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6440" tabRatio="600" firstSheet="0" activeTab="0" autoFilterDateGrouping="1"/>
  </bookViews>
  <sheets>
    <sheet name="LLL Load Plan - 16 June 25" sheetId="1" state="visible" r:id="rId1"/>
    <sheet name="LLL Pivot Table - 16 June 25" sheetId="2" state="visible" r:id="rId2"/>
    <sheet name="CMB Bookings" sheetId="3" state="visible" r:id="rId3"/>
  </sheets>
  <definedNames>
    <definedName name="_xlnm._FilterDatabase" localSheetId="2" hidden="1">'CMB Bookings'!$C$1:$AO$421</definedName>
  </definedNames>
  <calcPr calcId="191029" fullCalcOnLoad="1"/>
</workbook>
</file>

<file path=xl/styles.xml><?xml version="1.0" encoding="utf-8"?>
<styleSheet xmlns="http://schemas.openxmlformats.org/spreadsheetml/2006/main">
  <numFmts count="2">
    <numFmt numFmtId="164" formatCode="[$€]#,##0.00"/>
    <numFmt numFmtId="165" formatCode="m&quot;/&quot;d&quot;/&quot;yyyy"/>
  </numFmts>
  <fonts count="12">
    <font>
      <name val="Arial"/>
      <color rgb="FF000000"/>
      <sz val="10"/>
      <scheme val="minor"/>
    </font>
    <font>
      <name val="Calibri"/>
      <family val="2"/>
      <b val="1"/>
      <color rgb="FF000000"/>
      <sz val="10"/>
    </font>
    <font>
      <name val="Arial"/>
      <family val="2"/>
      <color theme="1"/>
      <sz val="10"/>
      <scheme val="minor"/>
    </font>
    <font>
      <name val="Arial"/>
      <family val="2"/>
      <color theme="1"/>
      <sz val="10"/>
    </font>
    <font>
      <name val="Arial"/>
      <family val="2"/>
      <color rgb="FF000000"/>
      <sz val="10"/>
    </font>
    <font>
      <name val="Google Sans Mono"/>
      <color rgb="FF000000"/>
      <sz val="9"/>
    </font>
    <font>
      <name val="Arial"/>
      <family val="2"/>
      <color rgb="FFFF0000"/>
      <sz val="10"/>
      <scheme val="minor"/>
    </font>
    <font>
      <name val="Arial"/>
      <family val="2"/>
      <color rgb="FFFF0000"/>
      <sz val="10"/>
    </font>
    <font>
      <name val="Google Sans Mono"/>
      <color rgb="FFFF0000"/>
      <sz val="9"/>
    </font>
    <font>
      <name val="Arial"/>
      <family val="2"/>
      <color rgb="FF000000"/>
      <sz val="10"/>
      <scheme val="minor"/>
    </font>
    <font>
      <name val="Arial"/>
      <family val="2"/>
      <b val="1"/>
      <color rgb="FFFF0000"/>
      <sz val="10"/>
      <scheme val="minor"/>
    </font>
    <font>
      <name val="Arial"/>
      <family val="2"/>
      <b val="1"/>
      <color rgb="FFFF0000"/>
      <sz val="10"/>
    </font>
  </fonts>
  <fills count="20">
    <fill>
      <patternFill/>
    </fill>
    <fill>
      <patternFill patternType="gray125"/>
    </fill>
    <fill>
      <patternFill patternType="solid">
        <fgColor rgb="FFFF9900"/>
        <bgColor rgb="FFFF9900"/>
      </patternFill>
    </fill>
    <fill>
      <patternFill patternType="solid">
        <fgColor rgb="FFFF0000"/>
        <bgColor rgb="FFFF0000"/>
      </patternFill>
    </fill>
    <fill>
      <patternFill patternType="solid">
        <fgColor rgb="FF00FFFF"/>
        <bgColor rgb="FF00FFFF"/>
      </patternFill>
    </fill>
    <fill>
      <patternFill patternType="solid">
        <fgColor rgb="FF00FF00"/>
        <bgColor rgb="FF00FF00"/>
      </patternFill>
    </fill>
    <fill>
      <patternFill patternType="solid">
        <fgColor rgb="FFFFFF00"/>
        <bgColor rgb="FFFFFF00"/>
      </patternFill>
    </fill>
    <fill>
      <patternFill patternType="solid">
        <fgColor rgb="FFD9D9D9"/>
        <bgColor rgb="FFD9D9D9"/>
      </patternFill>
    </fill>
    <fill>
      <patternFill patternType="solid">
        <fgColor theme="2" tint="-0.1499984740745262"/>
        <bgColor rgb="FFFF0000"/>
      </patternFill>
    </fill>
    <fill>
      <patternFill patternType="solid">
        <fgColor theme="2" tint="-0.1499984740745262"/>
        <bgColor indexed="64"/>
      </patternFill>
    </fill>
    <fill>
      <patternFill patternType="solid">
        <fgColor theme="2" tint="-0.1499984740745262"/>
        <bgColor rgb="FFFFFF00"/>
      </patternFill>
    </fill>
    <fill>
      <patternFill patternType="solid">
        <fgColor theme="4" tint="0.7999816888943144"/>
        <bgColor rgb="FFFF9900"/>
      </patternFill>
    </fill>
    <fill>
      <patternFill patternType="solid">
        <fgColor theme="4" tint="0.7999816888943144"/>
        <bgColor indexed="64"/>
      </patternFill>
    </fill>
    <fill>
      <patternFill patternType="solid">
        <fgColor theme="4" tint="0.7999816888943144"/>
        <bgColor rgb="FFFFFF00"/>
      </patternFill>
    </fill>
    <fill>
      <patternFill patternType="solid">
        <fgColor theme="7" tint="0.3999755851924192"/>
        <bgColor rgb="FFFF9900"/>
      </patternFill>
    </fill>
    <fill>
      <patternFill patternType="solid">
        <fgColor theme="7" tint="0.3999755851924192"/>
        <bgColor indexed="64"/>
      </patternFill>
    </fill>
    <fill>
      <patternFill patternType="solid">
        <fgColor theme="7" tint="0.3999755851924192"/>
        <bgColor rgb="FFFFFF00"/>
      </patternFill>
    </fill>
    <fill>
      <patternFill patternType="solid">
        <fgColor rgb="FFCC0099"/>
        <bgColor rgb="FFFF9900"/>
      </patternFill>
    </fill>
    <fill>
      <patternFill patternType="solid">
        <fgColor rgb="FFCC0099"/>
        <bgColor indexed="64"/>
      </patternFill>
    </fill>
    <fill>
      <patternFill patternType="solid">
        <fgColor rgb="FFCC0099"/>
        <bgColor rgb="FFFFFF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9" fillId="0" borderId="0"/>
  </cellStyleXfs>
  <cellXfs count="74">
    <xf numFmtId="0" fontId="0" fillId="0" borderId="0" pivotButton="0" quotePrefix="0" xfId="0"/>
    <xf numFmtId="0" fontId="1" fillId="0" borderId="0" pivotButton="0" quotePrefix="0" xfId="0"/>
    <xf numFmtId="0" fontId="1" fillId="2" borderId="0" pivotButton="0" quotePrefix="0" xfId="0"/>
    <xf numFmtId="0" fontId="1" fillId="0" borderId="0" applyAlignment="1" pivotButton="0" quotePrefix="0" xfId="0">
      <alignment wrapText="1"/>
    </xf>
    <xf numFmtId="14" fontId="1" fillId="2" borderId="0" pivotButton="0" quotePrefix="0" xfId="0"/>
    <xf numFmtId="14" fontId="1" fillId="0" borderId="0" pivotButton="0" quotePrefix="0" xfId="0"/>
    <xf numFmtId="1" fontId="1" fillId="0" borderId="0" pivotButton="0" quotePrefix="0" xfId="0"/>
    <xf numFmtId="1" fontId="1" fillId="3" borderId="0" applyAlignment="1" pivotButton="0" quotePrefix="0" xfId="0">
      <alignment horizontal="right"/>
    </xf>
    <xf numFmtId="4" fontId="1" fillId="0" borderId="0" pivotButton="0" quotePrefix="0" xfId="0"/>
    <xf numFmtId="14" fontId="1" fillId="0" borderId="0" applyAlignment="1" pivotButton="0" quotePrefix="0" xfId="0">
      <alignment horizontal="right"/>
    </xf>
    <xf numFmtId="0" fontId="1" fillId="2" borderId="0" applyAlignment="1" pivotButton="0" quotePrefix="0" xfId="0">
      <alignment wrapText="1"/>
    </xf>
    <xf numFmtId="4" fontId="1" fillId="2" borderId="0" applyAlignment="1" pivotButton="0" quotePrefix="0" xfId="0">
      <alignment horizontal="right"/>
    </xf>
    <xf numFmtId="4" fontId="1" fillId="3" borderId="0" pivotButton="0" quotePrefix="0" xfId="0"/>
    <xf numFmtId="0" fontId="1" fillId="4" borderId="0" applyAlignment="1" pivotButton="0" quotePrefix="0" xfId="0">
      <alignment wrapText="1"/>
    </xf>
    <xf numFmtId="0" fontId="1" fillId="5" borderId="0" applyAlignment="1" pivotButton="0" quotePrefix="0" xfId="0">
      <alignment wrapText="1"/>
    </xf>
    <xf numFmtId="0" fontId="2" fillId="0" borderId="0" pivotButton="0" quotePrefix="0" xfId="0"/>
    <xf numFmtId="14" fontId="2" fillId="0" borderId="0" pivotButton="0" quotePrefix="0" xfId="0"/>
    <xf numFmtId="1" fontId="2" fillId="0" borderId="0" pivotButton="0" quotePrefix="0" xfId="0"/>
    <xf numFmtId="0" fontId="2" fillId="0" borderId="0" applyAlignment="1" pivotButton="0" quotePrefix="0" xfId="0">
      <alignment horizontal="right"/>
    </xf>
    <xf numFmtId="14" fontId="3" fillId="0" borderId="0" pivotButton="0" quotePrefix="0" xfId="0"/>
    <xf numFmtId="0" fontId="4" fillId="0" borderId="0" applyAlignment="1" pivotButton="0" quotePrefix="0" xfId="0">
      <alignment horizontal="center"/>
    </xf>
    <xf numFmtId="0" fontId="4" fillId="0" borderId="0" pivotButton="0" quotePrefix="0" xfId="0"/>
    <xf numFmtId="0" fontId="5" fillId="0" borderId="0" pivotButton="0" quotePrefix="0" xfId="0"/>
    <xf numFmtId="0" fontId="3" fillId="0" borderId="0" pivotButton="0" quotePrefix="0" xfId="0"/>
    <xf numFmtId="0" fontId="3" fillId="0" borderId="0" applyAlignment="1" pivotButton="0" quotePrefix="0" xfId="0">
      <alignment horizontal="center"/>
    </xf>
    <xf numFmtId="1" fontId="3" fillId="0" borderId="0" applyAlignment="1" pivotButton="0" quotePrefix="0" xfId="0">
      <alignment horizontal="center"/>
    </xf>
    <xf numFmtId="14" fontId="3" fillId="0" borderId="0" applyAlignment="1" pivotButton="0" quotePrefix="0" xfId="0">
      <alignment horizontal="center"/>
    </xf>
    <xf numFmtId="164" fontId="3" fillId="0" borderId="0" applyAlignment="1" pivotButton="0" quotePrefix="0" xfId="0">
      <alignment horizontal="center"/>
    </xf>
    <xf numFmtId="164" fontId="2" fillId="0" borderId="0" pivotButton="0" quotePrefix="0" xfId="0"/>
    <xf numFmtId="0" fontId="6" fillId="6" borderId="0" pivotButton="0" quotePrefix="0" xfId="0"/>
    <xf numFmtId="165" fontId="6" fillId="6" borderId="0" pivotButton="0" quotePrefix="0" xfId="0"/>
    <xf numFmtId="14" fontId="6" fillId="6" borderId="0" pivotButton="0" quotePrefix="0" xfId="0"/>
    <xf numFmtId="1" fontId="6" fillId="6" borderId="0" pivotButton="0" quotePrefix="0" xfId="0"/>
    <xf numFmtId="0" fontId="6" fillId="6" borderId="0" applyAlignment="1" pivotButton="0" quotePrefix="0" xfId="0">
      <alignment horizontal="right"/>
    </xf>
    <xf numFmtId="14" fontId="7" fillId="6" borderId="0" pivotButton="0" quotePrefix="0" xfId="0"/>
    <xf numFmtId="14" fontId="7" fillId="6" borderId="0" applyAlignment="1" pivotButton="0" quotePrefix="0" xfId="0">
      <alignment horizontal="right"/>
    </xf>
    <xf numFmtId="0" fontId="7" fillId="6" borderId="0" applyAlignment="1" pivotButton="0" quotePrefix="0" xfId="0">
      <alignment horizontal="center"/>
    </xf>
    <xf numFmtId="0" fontId="7" fillId="6" borderId="0" pivotButton="0" quotePrefix="0" xfId="0"/>
    <xf numFmtId="0" fontId="8" fillId="6" borderId="0" pivotButton="0" quotePrefix="0" xfId="0"/>
    <xf numFmtId="0" fontId="9" fillId="0" borderId="0" pivotButton="0" quotePrefix="0" xfId="0"/>
    <xf numFmtId="0" fontId="7" fillId="0" borderId="0" applyAlignment="1" pivotButton="0" quotePrefix="0" xfId="0">
      <alignment horizontal="center"/>
    </xf>
    <xf numFmtId="0" fontId="6" fillId="0" borderId="0" pivotButton="0" quotePrefix="0" xfId="0"/>
    <xf numFmtId="0" fontId="9" fillId="0" borderId="0" pivotButton="0" quotePrefix="0" xfId="1"/>
    <xf numFmtId="1" fontId="2" fillId="0" borderId="0" pivotButton="0" quotePrefix="0" xfId="1"/>
    <xf numFmtId="14" fontId="2" fillId="0" borderId="0" pivotButton="0" quotePrefix="0" xfId="1"/>
    <xf numFmtId="0" fontId="2" fillId="0" borderId="0" pivotButton="0" quotePrefix="0" xfId="1"/>
    <xf numFmtId="165" fontId="2" fillId="0" borderId="0" pivotButton="0" quotePrefix="0" xfId="1"/>
    <xf numFmtId="4" fontId="2" fillId="0" borderId="0" pivotButton="0" quotePrefix="0" xfId="1"/>
    <xf numFmtId="0" fontId="2" fillId="0" borderId="0" applyAlignment="1" pivotButton="0" quotePrefix="0" xfId="1">
      <alignment horizontal="right"/>
    </xf>
    <xf numFmtId="0" fontId="3" fillId="0" borderId="0" pivotButton="0" quotePrefix="0" xfId="1"/>
    <xf numFmtId="0" fontId="10" fillId="7" borderId="0" pivotButton="0" quotePrefix="0" xfId="1"/>
    <xf numFmtId="0" fontId="11" fillId="6" borderId="1" pivotButton="0" quotePrefix="0" xfId="1"/>
    <xf numFmtId="0" fontId="11" fillId="6" borderId="0" pivotButton="0" quotePrefix="0" xfId="1"/>
    <xf numFmtId="0" fontId="11" fillId="7" borderId="0" pivotButton="0" quotePrefix="0" xfId="1"/>
    <xf numFmtId="1" fontId="10" fillId="7" borderId="0" pivotButton="0" quotePrefix="0" xfId="1"/>
    <xf numFmtId="0" fontId="10" fillId="6" borderId="0" pivotButton="0" quotePrefix="0" xfId="1"/>
    <xf numFmtId="14" fontId="1" fillId="8" borderId="0" pivotButton="0" quotePrefix="0" xfId="0"/>
    <xf numFmtId="14" fontId="3" fillId="9" borderId="0" applyAlignment="1" pivotButton="0" quotePrefix="0" xfId="0">
      <alignment horizontal="right"/>
    </xf>
    <xf numFmtId="14" fontId="7" fillId="10" borderId="0" applyAlignment="1" pivotButton="0" quotePrefix="0" xfId="0">
      <alignment horizontal="right"/>
    </xf>
    <xf numFmtId="14" fontId="3" fillId="9" borderId="0" pivotButton="0" quotePrefix="0" xfId="0"/>
    <xf numFmtId="14" fontId="6" fillId="10" borderId="0" pivotButton="0" quotePrefix="0" xfId="0"/>
    <xf numFmtId="0" fontId="0" fillId="9" borderId="0" pivotButton="0" quotePrefix="0" xfId="0"/>
    <xf numFmtId="14" fontId="1" fillId="11" borderId="0" applyAlignment="1" pivotButton="0" quotePrefix="0" xfId="0">
      <alignment horizontal="right"/>
    </xf>
    <xf numFmtId="14" fontId="3" fillId="12" borderId="0" applyAlignment="1" pivotButton="0" quotePrefix="0" xfId="0">
      <alignment horizontal="right"/>
    </xf>
    <xf numFmtId="14" fontId="7" fillId="13" borderId="0" applyAlignment="1" pivotButton="0" quotePrefix="0" xfId="0">
      <alignment horizontal="right"/>
    </xf>
    <xf numFmtId="0" fontId="0" fillId="12" borderId="0" pivotButton="0" quotePrefix="0" xfId="0"/>
    <xf numFmtId="14" fontId="1" fillId="14" borderId="0" applyAlignment="1" pivotButton="0" quotePrefix="0" xfId="0">
      <alignment horizontal="right"/>
    </xf>
    <xf numFmtId="14" fontId="3" fillId="15" borderId="0" applyAlignment="1" pivotButton="0" quotePrefix="0" xfId="0">
      <alignment horizontal="right"/>
    </xf>
    <xf numFmtId="14" fontId="7" fillId="16" borderId="0" applyAlignment="1" pivotButton="0" quotePrefix="0" xfId="0">
      <alignment horizontal="right"/>
    </xf>
    <xf numFmtId="0" fontId="0" fillId="15" borderId="0" pivotButton="0" quotePrefix="0" xfId="0"/>
    <xf numFmtId="14" fontId="1" fillId="17" borderId="0" applyAlignment="1" pivotButton="0" quotePrefix="0" xfId="0">
      <alignment horizontal="right"/>
    </xf>
    <xf numFmtId="14" fontId="3" fillId="18" borderId="0" applyAlignment="1" pivotButton="0" quotePrefix="0" xfId="0">
      <alignment horizontal="right"/>
    </xf>
    <xf numFmtId="14" fontId="7" fillId="19" borderId="0" applyAlignment="1" pivotButton="0" quotePrefix="0" xfId="0">
      <alignment horizontal="right"/>
    </xf>
    <xf numFmtId="0" fontId="0" fillId="18" borderId="0" pivotButton="0" quotePrefix="0" xfId="0"/>
  </cellXfs>
  <cellStyles count="2">
    <cellStyle name="Normal" xfId="0" builtinId="0"/>
    <cellStyle name="Normal 2" xfId="1"/>
  </cellStyles>
  <dxfs count="4">
    <dxf>
      <fill>
        <patternFill patternType="solid">
          <fgColor rgb="FFFFFF00"/>
          <bgColor rgb="FFFFFF00"/>
        </patternFill>
      </fill>
    </dxf>
    <dxf>
      <fill>
        <patternFill patternType="solid">
          <fgColor rgb="FFB7E1CD"/>
          <bgColor rgb="FFB7E1CD"/>
        </patternFill>
      </fill>
    </dxf>
    <dxf>
      <font>
        <color rgb="FF000000"/>
      </font>
      <fill>
        <patternFill patternType="solid">
          <fgColor rgb="FFCFE2F3"/>
          <bgColor rgb="FFCFE2F3"/>
        </patternFill>
      </fill>
    </dxf>
    <dxf>
      <fill>
        <patternFill patternType="solid">
          <fgColor rgb="FFFFFF00"/>
          <bgColor rgb="FFFFFF00"/>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tabColor rgb="FF00FF00"/>
    <outlinePr summaryBelow="0" summaryRight="0"/>
    <pageSetUpPr/>
  </sheetPr>
  <dimension ref="A1:AQ422"/>
  <sheetViews>
    <sheetView tabSelected="1" topLeftCell="P1" workbookViewId="0">
      <pane ySplit="1" topLeftCell="A254" activePane="bottomLeft" state="frozen"/>
      <selection pane="bottomLeft" activeCell="AB289" sqref="AB289"/>
    </sheetView>
  </sheetViews>
  <sheetFormatPr baseColWidth="8" defaultColWidth="12.7109375" defaultRowHeight="15.75" customHeight="1"/>
  <cols>
    <col width="14.28515625" customWidth="1" min="4" max="4"/>
    <col width="18.7109375" customWidth="1" min="5" max="5"/>
    <col width="10.7109375" customWidth="1" min="6" max="6"/>
    <col width="16.7109375" customWidth="1" min="9" max="9"/>
    <col width="14.140625" customWidth="1" min="10" max="10"/>
    <col width="19" customWidth="1" min="11" max="11"/>
    <col width="37.85546875" customWidth="1" min="12" max="12"/>
    <col width="19.28515625" customWidth="1" min="17" max="17"/>
    <col width="14.7109375" customWidth="1" min="18" max="18"/>
    <col width="13.42578125" customWidth="1" min="21" max="21"/>
    <col width="13" customWidth="1" min="22" max="22"/>
    <col width="15.42578125" customWidth="1" min="23" max="23"/>
    <col width="15.85546875" customWidth="1" style="61" min="24" max="24"/>
    <col width="18.5703125" bestFit="1" customWidth="1" style="65" min="25" max="25"/>
    <col width="22.42578125" bestFit="1" customWidth="1" style="69" min="26" max="26"/>
    <col width="12.7109375" customWidth="1" style="73" min="27" max="27"/>
    <col width="16.42578125" customWidth="1" min="29" max="29"/>
    <col width="31.85546875" customWidth="1" min="34" max="34"/>
    <col width="13.28515625" customWidth="1" min="36" max="36"/>
  </cols>
  <sheetData>
    <row r="1" ht="38.25" customHeight="1">
      <c r="A1" s="1" t="inlineStr">
        <is>
          <t>FLEX-ID</t>
        </is>
      </c>
      <c r="B1" s="2" t="inlineStr">
        <is>
          <t>LSP</t>
        </is>
      </c>
      <c r="C1" s="1" t="inlineStr">
        <is>
          <t>Port of Loading</t>
        </is>
      </c>
      <c r="D1" s="3" t="inlineStr">
        <is>
          <t>Port Of Discharge (Ocean Carrier)</t>
        </is>
      </c>
      <c r="E1" s="3" t="inlineStr">
        <is>
          <t>Final Destination</t>
        </is>
      </c>
      <c r="F1" s="1" t="inlineStr">
        <is>
          <t>Booked Mode</t>
        </is>
      </c>
      <c r="G1" s="2" t="inlineStr">
        <is>
          <t>CONTAINER SIZE</t>
        </is>
      </c>
      <c r="H1" s="4" t="inlineStr">
        <is>
          <t>Load Type</t>
        </is>
      </c>
      <c r="I1" s="2" t="inlineStr">
        <is>
          <t>Carrier Name for FCL
Coloader Name for LCL</t>
        </is>
      </c>
      <c r="J1" s="2" t="inlineStr">
        <is>
          <t>Service String (FCL)</t>
        </is>
      </c>
      <c r="K1" s="1" t="inlineStr">
        <is>
          <t>Supplier</t>
        </is>
      </c>
      <c r="L1" s="5" t="inlineStr">
        <is>
          <t>Factory Name</t>
        </is>
      </c>
      <c r="M1" s="3" t="inlineStr">
        <is>
          <t>HOT / PRIORITY</t>
        </is>
      </c>
      <c r="N1" s="6" t="inlineStr">
        <is>
          <t>SO#</t>
        </is>
      </c>
      <c r="O1" s="1" t="inlineStr">
        <is>
          <t>PO#</t>
        </is>
      </c>
      <c r="P1" s="7" t="inlineStr">
        <is>
          <t>Style # *</t>
        </is>
      </c>
      <c r="Q1" s="6" t="inlineStr">
        <is>
          <t>Total Cartons</t>
        </is>
      </c>
      <c r="R1" s="8" t="inlineStr">
        <is>
          <t>Volume</t>
        </is>
      </c>
      <c r="S1" s="8" t="inlineStr">
        <is>
          <t>GW</t>
        </is>
      </c>
      <c r="T1" s="5" t="inlineStr">
        <is>
          <t>Book HOD</t>
        </is>
      </c>
      <c r="U1" s="9" t="inlineStr">
        <is>
          <t>DC Date</t>
        </is>
      </c>
      <c r="V1" s="10" t="inlineStr">
        <is>
          <t>CY Open Date</t>
        </is>
      </c>
      <c r="W1" s="4" t="inlineStr">
        <is>
          <t>Cut off</t>
        </is>
      </c>
      <c r="X1" s="56" t="inlineStr">
        <is>
          <t>LSP Requested HOD</t>
        </is>
      </c>
      <c r="Y1" s="62" t="inlineStr">
        <is>
          <t>ETD Port Of Load Date</t>
        </is>
      </c>
      <c r="Z1" s="66" t="inlineStr">
        <is>
          <t>ETA Port Of Discharge Date</t>
        </is>
      </c>
      <c r="AA1" s="70" t="inlineStr">
        <is>
          <t>ETA IN DC Date</t>
        </is>
      </c>
      <c r="AB1" s="11" t="inlineStr">
        <is>
          <t>Late DC Calculation</t>
        </is>
      </c>
      <c r="AC1" s="2" t="inlineStr">
        <is>
          <t>Yes (with transit port) or 
 NO (direct vessel)</t>
        </is>
      </c>
      <c r="AD1" s="2" t="inlineStr">
        <is>
          <t>HBL</t>
        </is>
      </c>
      <c r="AE1" s="2" t="inlineStr">
        <is>
          <t>SO Released</t>
        </is>
      </c>
      <c r="AF1" s="12" t="inlineStr">
        <is>
          <t>Category</t>
        </is>
      </c>
      <c r="AG1" s="12" t="inlineStr">
        <is>
          <t>FAK or NAC?</t>
        </is>
      </c>
      <c r="AH1" s="3" t="inlineStr">
        <is>
          <t>Remark (New booking/ Cancel/ LHOD)</t>
        </is>
      </c>
      <c r="AI1" s="13" t="inlineStr">
        <is>
          <t>TP#</t>
        </is>
      </c>
      <c r="AJ1" s="14" t="inlineStr">
        <is>
          <t>Port of Final Destination (Coloader)</t>
        </is>
      </c>
      <c r="AK1" s="14" t="inlineStr">
        <is>
          <t>RFS</t>
        </is>
      </c>
      <c r="AL1" s="14" t="n"/>
      <c r="AM1" s="14" t="n"/>
      <c r="AN1" s="14" t="n"/>
      <c r="AO1" s="14" t="n"/>
      <c r="AP1" s="14" t="n"/>
    </row>
    <row r="2" ht="15" customHeight="1">
      <c r="A2" s="15" t="n">
        <v>3254118</v>
      </c>
      <c r="B2" s="15" t="inlineStr">
        <is>
          <t>Flexport</t>
        </is>
      </c>
      <c r="C2" s="15" t="inlineStr">
        <is>
          <t>Colombo, LK</t>
        </is>
      </c>
      <c r="D2" s="15" t="inlineStr">
        <is>
          <t>Felixstowe, GB</t>
        </is>
      </c>
      <c r="E2" s="15" t="inlineStr">
        <is>
          <t>Birmingham, GB</t>
        </is>
      </c>
      <c r="F2" s="15" t="inlineStr">
        <is>
          <t>OCEAN</t>
        </is>
      </c>
      <c r="G2" s="15" t="inlineStr">
        <is>
          <t>A. 1 x 20ft</t>
        </is>
      </c>
      <c r="H2" s="15" t="inlineStr">
        <is>
          <t>CFS / CY</t>
        </is>
      </c>
      <c r="I2" s="15" t="inlineStr">
        <is>
          <t>MSC</t>
        </is>
      </c>
      <c r="J2" s="15" t="inlineStr">
        <is>
          <t>Britainnia</t>
        </is>
      </c>
      <c r="K2" s="15" t="inlineStr">
        <is>
          <t>Inqube Global (PVT) Ltd</t>
        </is>
      </c>
      <c r="L2" s="16" t="inlineStr">
        <is>
          <t>BRANDIX APPAREL SOLUTION LTD - GIRITALE</t>
        </is>
      </c>
      <c r="M2" s="15" t="inlineStr">
        <is>
          <t>N</t>
        </is>
      </c>
      <c r="N2" s="17" t="n">
        <v>452503025214</v>
      </c>
      <c r="O2" s="15" t="n">
        <v>19807145</v>
      </c>
      <c r="P2" s="18" t="inlineStr">
        <is>
          <t>LM5BKOS</t>
        </is>
      </c>
      <c r="Q2" s="18" t="n">
        <v>6</v>
      </c>
      <c r="R2" s="18" t="n">
        <v>0.495</v>
      </c>
      <c r="S2" s="15" t="n">
        <v>85.40000000000001</v>
      </c>
      <c r="T2" s="16" t="n">
        <v>45824</v>
      </c>
      <c r="U2" s="19" t="n">
        <v>45883</v>
      </c>
      <c r="V2" s="16" t="n">
        <v>45824</v>
      </c>
      <c r="W2" s="16" t="n">
        <v>45826</v>
      </c>
      <c r="X2" s="57">
        <f>W2-1</f>
        <v/>
      </c>
      <c r="Y2" s="63" t="n">
        <v>45832</v>
      </c>
      <c r="Z2" s="67" t="n">
        <v>45863</v>
      </c>
      <c r="AA2" s="71">
        <f>Z2+7</f>
        <v/>
      </c>
      <c r="AB2" s="20">
        <f>AA2-U2</f>
        <v/>
      </c>
      <c r="AC2" s="20" t="inlineStr">
        <is>
          <t>No</t>
        </is>
      </c>
      <c r="AD2" s="21" t="inlineStr">
        <is>
          <t>1 HBL</t>
        </is>
      </c>
      <c r="AE2" s="21" t="n"/>
      <c r="AF2" s="22" t="inlineStr">
        <is>
          <t>LW</t>
        </is>
      </c>
      <c r="AG2" s="23" t="inlineStr">
        <is>
          <t>NAC</t>
        </is>
      </c>
      <c r="AH2" s="24" t="n"/>
      <c r="AK2" s="25" t="n"/>
      <c r="AL2" s="24" t="n"/>
      <c r="AM2" s="24" t="n"/>
      <c r="AN2" s="24" t="n"/>
    </row>
    <row r="3" ht="12.75" customHeight="1">
      <c r="A3" s="15" t="n">
        <v>3254118</v>
      </c>
      <c r="B3" s="15" t="inlineStr">
        <is>
          <t>Flexport</t>
        </is>
      </c>
      <c r="C3" s="15" t="inlineStr">
        <is>
          <t>Colombo, LK</t>
        </is>
      </c>
      <c r="D3" s="15" t="inlineStr">
        <is>
          <t>Felixstowe, GB</t>
        </is>
      </c>
      <c r="E3" s="15" t="inlineStr">
        <is>
          <t>Birmingham, GB</t>
        </is>
      </c>
      <c r="F3" s="15" t="inlineStr">
        <is>
          <t>OCEAN</t>
        </is>
      </c>
      <c r="G3" s="15" t="inlineStr">
        <is>
          <t>A. 1 x 20ft</t>
        </is>
      </c>
      <c r="H3" s="15" t="inlineStr">
        <is>
          <t>CFS / CY</t>
        </is>
      </c>
      <c r="I3" s="15" t="inlineStr">
        <is>
          <t>MSC</t>
        </is>
      </c>
      <c r="J3" s="15" t="inlineStr">
        <is>
          <t>Britainnia</t>
        </is>
      </c>
      <c r="K3" s="15" t="inlineStr">
        <is>
          <t>Inqube Global (PVT) Ltd</t>
        </is>
      </c>
      <c r="L3" s="16" t="inlineStr">
        <is>
          <t>BRANDIX APPAREL SOLUTION LTD - GIRITALE</t>
        </is>
      </c>
      <c r="M3" s="15" t="inlineStr">
        <is>
          <t>N</t>
        </is>
      </c>
      <c r="N3" s="17" t="n">
        <v>452503031243</v>
      </c>
      <c r="O3" s="15" t="n">
        <v>19807150</v>
      </c>
      <c r="P3" s="18" t="inlineStr">
        <is>
          <t>LM5BKOS</t>
        </is>
      </c>
      <c r="Q3" s="18" t="n">
        <v>5</v>
      </c>
      <c r="R3" s="18" t="n">
        <v>0.373</v>
      </c>
      <c r="S3" s="15" t="n">
        <v>67.45999999999999</v>
      </c>
      <c r="T3" s="16" t="n">
        <v>45824</v>
      </c>
      <c r="U3" s="19" t="n">
        <v>45883</v>
      </c>
      <c r="V3" s="16" t="n">
        <v>45824</v>
      </c>
      <c r="W3" s="16" t="n">
        <v>45826</v>
      </c>
      <c r="X3" s="57">
        <f>W3-1</f>
        <v/>
      </c>
      <c r="Y3" s="63" t="n">
        <v>45832</v>
      </c>
      <c r="Z3" s="67" t="n">
        <v>45863</v>
      </c>
      <c r="AA3" s="71">
        <f>Z3+7</f>
        <v/>
      </c>
      <c r="AB3" s="20">
        <f>AA3-U3</f>
        <v/>
      </c>
      <c r="AC3" s="20" t="inlineStr">
        <is>
          <t>No</t>
        </is>
      </c>
      <c r="AD3" s="21" t="inlineStr">
        <is>
          <t>1 HBL</t>
        </is>
      </c>
      <c r="AE3" s="21" t="n"/>
      <c r="AF3" s="22" t="inlineStr">
        <is>
          <t>LW</t>
        </is>
      </c>
      <c r="AG3" s="23" t="inlineStr">
        <is>
          <t>NAC</t>
        </is>
      </c>
      <c r="AH3" s="24" t="n"/>
      <c r="AI3" s="26" t="n"/>
      <c r="AJ3" s="26" t="n"/>
      <c r="AK3" s="26" t="n"/>
      <c r="AL3" s="24" t="n"/>
      <c r="AM3" s="27" t="n"/>
      <c r="AN3" s="24" t="n"/>
    </row>
    <row r="4" ht="12.75" customHeight="1">
      <c r="A4" s="15" t="n">
        <v>3254118</v>
      </c>
      <c r="B4" s="15" t="inlineStr">
        <is>
          <t>Flexport</t>
        </is>
      </c>
      <c r="C4" s="15" t="inlineStr">
        <is>
          <t>Colombo, LK</t>
        </is>
      </c>
      <c r="D4" s="15" t="inlineStr">
        <is>
          <t>Felixstowe, GB</t>
        </is>
      </c>
      <c r="E4" s="15" t="inlineStr">
        <is>
          <t>Birmingham, GB</t>
        </is>
      </c>
      <c r="F4" s="15" t="inlineStr">
        <is>
          <t>OCEAN</t>
        </is>
      </c>
      <c r="G4" s="15" t="inlineStr">
        <is>
          <t>A. 1 x 20ft</t>
        </is>
      </c>
      <c r="H4" s="15" t="inlineStr">
        <is>
          <t>CFS / CY</t>
        </is>
      </c>
      <c r="I4" s="15" t="inlineStr">
        <is>
          <t>MSC</t>
        </is>
      </c>
      <c r="J4" s="15" t="inlineStr">
        <is>
          <t>Britainnia</t>
        </is>
      </c>
      <c r="K4" s="15" t="inlineStr">
        <is>
          <t>Inqube Global (PVT) Ltd</t>
        </is>
      </c>
      <c r="L4" s="16" t="inlineStr">
        <is>
          <t>BRANDIX APPAREL SOLUTION LTD - GIRITALE</t>
        </is>
      </c>
      <c r="M4" s="15" t="inlineStr">
        <is>
          <t>N</t>
        </is>
      </c>
      <c r="N4" s="17" t="n">
        <v>452503041065</v>
      </c>
      <c r="O4" s="15" t="n">
        <v>19807140</v>
      </c>
      <c r="P4" s="18" t="inlineStr">
        <is>
          <t>LM5BKOS</t>
        </is>
      </c>
      <c r="Q4" s="18" t="n">
        <v>8</v>
      </c>
      <c r="R4" s="18" t="n">
        <v>0.58</v>
      </c>
      <c r="S4" s="15" t="n">
        <v>109.2</v>
      </c>
      <c r="T4" s="16" t="n">
        <v>45824</v>
      </c>
      <c r="U4" s="19" t="n">
        <v>45883</v>
      </c>
      <c r="V4" s="16" t="n">
        <v>45824</v>
      </c>
      <c r="W4" s="16" t="n">
        <v>45826</v>
      </c>
      <c r="X4" s="57">
        <f>W4-1</f>
        <v/>
      </c>
      <c r="Y4" s="63" t="n">
        <v>45832</v>
      </c>
      <c r="Z4" s="67" t="n">
        <v>45863</v>
      </c>
      <c r="AA4" s="71">
        <f>Z4+7</f>
        <v/>
      </c>
      <c r="AB4" s="20">
        <f>AA4-U4</f>
        <v/>
      </c>
      <c r="AC4" s="20" t="inlineStr">
        <is>
          <t>No</t>
        </is>
      </c>
      <c r="AD4" s="21" t="inlineStr">
        <is>
          <t>1 HBL</t>
        </is>
      </c>
      <c r="AE4" s="21" t="n"/>
      <c r="AF4" s="22" t="inlineStr">
        <is>
          <t>LW</t>
        </is>
      </c>
      <c r="AG4" s="23" t="inlineStr">
        <is>
          <t>NAC</t>
        </is>
      </c>
      <c r="AH4" s="24" t="n"/>
      <c r="AI4" s="16" t="n"/>
      <c r="AJ4" s="16" t="n"/>
      <c r="AM4" s="28" t="n"/>
      <c r="AN4" s="24" t="n"/>
    </row>
    <row r="5" ht="12.75" customHeight="1">
      <c r="A5" s="15" t="n">
        <v>3254118</v>
      </c>
      <c r="B5" s="15" t="inlineStr">
        <is>
          <t>Flexport</t>
        </is>
      </c>
      <c r="C5" s="15" t="inlineStr">
        <is>
          <t>Colombo, LK</t>
        </is>
      </c>
      <c r="D5" s="15" t="inlineStr">
        <is>
          <t>Felixstowe, GB</t>
        </is>
      </c>
      <c r="E5" s="15" t="inlineStr">
        <is>
          <t>Birmingham, GB</t>
        </is>
      </c>
      <c r="F5" s="15" t="inlineStr">
        <is>
          <t>OCEAN</t>
        </is>
      </c>
      <c r="G5" s="15" t="inlineStr">
        <is>
          <t>A. 1 x 20ft</t>
        </is>
      </c>
      <c r="H5" s="15" t="inlineStr">
        <is>
          <t>CFS / CY</t>
        </is>
      </c>
      <c r="I5" s="15" t="inlineStr">
        <is>
          <t>MSC</t>
        </is>
      </c>
      <c r="J5" s="15" t="inlineStr">
        <is>
          <t>Britainnia</t>
        </is>
      </c>
      <c r="K5" s="15" t="inlineStr">
        <is>
          <t>Inqube Global (PVT) Ltd</t>
        </is>
      </c>
      <c r="L5" s="16" t="inlineStr">
        <is>
          <t>BRANDIX APPAREL SOLUTION LTD - GIRITALE</t>
        </is>
      </c>
      <c r="M5" s="15" t="inlineStr">
        <is>
          <t>N</t>
        </is>
      </c>
      <c r="N5" s="17" t="n">
        <v>452503345762</v>
      </c>
      <c r="O5" s="15" t="n">
        <v>19807152</v>
      </c>
      <c r="P5" s="18" t="inlineStr">
        <is>
          <t>LM5BL3S</t>
        </is>
      </c>
      <c r="Q5" s="18" t="n">
        <v>1</v>
      </c>
      <c r="R5" s="18" t="n">
        <v>0.083</v>
      </c>
      <c r="S5" s="15" t="n">
        <v>9.33</v>
      </c>
      <c r="T5" s="16" t="n">
        <v>45824</v>
      </c>
      <c r="U5" s="19" t="n">
        <v>45883</v>
      </c>
      <c r="V5" s="16" t="n">
        <v>45824</v>
      </c>
      <c r="W5" s="16" t="n">
        <v>45826</v>
      </c>
      <c r="X5" s="57">
        <f>W5-1</f>
        <v/>
      </c>
      <c r="Y5" s="63" t="n">
        <v>45832</v>
      </c>
      <c r="Z5" s="67" t="n">
        <v>45863</v>
      </c>
      <c r="AA5" s="71">
        <f>Z5+7</f>
        <v/>
      </c>
      <c r="AB5" s="20">
        <f>AA5-U5</f>
        <v/>
      </c>
      <c r="AC5" s="20" t="inlineStr">
        <is>
          <t>No</t>
        </is>
      </c>
      <c r="AD5" s="21" t="inlineStr">
        <is>
          <t>1 HBL</t>
        </is>
      </c>
      <c r="AE5" s="21" t="n"/>
      <c r="AF5" s="22" t="inlineStr">
        <is>
          <t>LW</t>
        </is>
      </c>
      <c r="AG5" s="23" t="inlineStr">
        <is>
          <t>NAC</t>
        </is>
      </c>
      <c r="AH5" s="24" t="n"/>
    </row>
    <row r="6" ht="12.75" customHeight="1">
      <c r="A6" s="15" t="n">
        <v>3254118</v>
      </c>
      <c r="B6" s="15" t="inlineStr">
        <is>
          <t>Flexport</t>
        </is>
      </c>
      <c r="C6" s="15" t="inlineStr">
        <is>
          <t>Colombo, LK</t>
        </is>
      </c>
      <c r="D6" s="15" t="inlineStr">
        <is>
          <t>Felixstowe, GB</t>
        </is>
      </c>
      <c r="E6" s="15" t="inlineStr">
        <is>
          <t>Birmingham, GB</t>
        </is>
      </c>
      <c r="F6" s="15" t="inlineStr">
        <is>
          <t>OCEAN</t>
        </is>
      </c>
      <c r="G6" s="15" t="inlineStr">
        <is>
          <t>A. 1 x 20ft</t>
        </is>
      </c>
      <c r="H6" s="15" t="inlineStr">
        <is>
          <t>CFS / CY</t>
        </is>
      </c>
      <c r="I6" s="15" t="inlineStr">
        <is>
          <t>MSC</t>
        </is>
      </c>
      <c r="J6" s="15" t="inlineStr">
        <is>
          <t>Britainnia</t>
        </is>
      </c>
      <c r="K6" s="15" t="inlineStr">
        <is>
          <t>Inqube Global (PVT) Ltd</t>
        </is>
      </c>
      <c r="L6" s="16" t="inlineStr">
        <is>
          <t>BRANDIX APPAREL SOLUTION LTD - GIRITALE</t>
        </is>
      </c>
      <c r="M6" s="15" t="inlineStr">
        <is>
          <t>N</t>
        </is>
      </c>
      <c r="N6" s="17" t="n">
        <v>452504206989</v>
      </c>
      <c r="O6" s="15" t="n">
        <v>19807156</v>
      </c>
      <c r="P6" s="18" t="inlineStr">
        <is>
          <t>LM5BL3S</t>
        </is>
      </c>
      <c r="Q6" s="18" t="n">
        <v>1</v>
      </c>
      <c r="R6" s="18" t="n">
        <v>0.083</v>
      </c>
      <c r="S6" s="15" t="n">
        <v>11.51</v>
      </c>
      <c r="T6" s="16" t="n">
        <v>45824</v>
      </c>
      <c r="U6" s="19" t="n">
        <v>45883</v>
      </c>
      <c r="V6" s="16" t="n">
        <v>45824</v>
      </c>
      <c r="W6" s="16" t="n">
        <v>45826</v>
      </c>
      <c r="X6" s="57">
        <f>W6-1</f>
        <v/>
      </c>
      <c r="Y6" s="63" t="n">
        <v>45832</v>
      </c>
      <c r="Z6" s="67" t="n">
        <v>45863</v>
      </c>
      <c r="AA6" s="71">
        <f>Z6+7</f>
        <v/>
      </c>
      <c r="AB6" s="20">
        <f>AA6-U6</f>
        <v/>
      </c>
      <c r="AC6" s="20" t="inlineStr">
        <is>
          <t>No</t>
        </is>
      </c>
      <c r="AD6" s="21" t="inlineStr">
        <is>
          <t>1 HBL</t>
        </is>
      </c>
      <c r="AE6" s="21" t="n"/>
      <c r="AF6" s="22" t="inlineStr">
        <is>
          <t>LW</t>
        </is>
      </c>
      <c r="AG6" s="23" t="inlineStr">
        <is>
          <t>NAC</t>
        </is>
      </c>
      <c r="AH6" s="24" t="n"/>
      <c r="AQ6" t="inlineStr">
        <is>
          <t>Updated Value</t>
        </is>
      </c>
    </row>
    <row r="7" ht="12.75" customHeight="1">
      <c r="A7" s="15" t="n">
        <v>3254118</v>
      </c>
      <c r="B7" s="15" t="inlineStr">
        <is>
          <t>Flexport</t>
        </is>
      </c>
      <c r="C7" s="15" t="inlineStr">
        <is>
          <t>Colombo, LK</t>
        </is>
      </c>
      <c r="D7" s="15" t="inlineStr">
        <is>
          <t>Felixstowe, GB</t>
        </is>
      </c>
      <c r="E7" s="15" t="inlineStr">
        <is>
          <t>Birmingham, GB</t>
        </is>
      </c>
      <c r="F7" s="15" t="inlineStr">
        <is>
          <t>OCEAN</t>
        </is>
      </c>
      <c r="G7" s="15" t="inlineStr">
        <is>
          <t>A. 1 x 20ft</t>
        </is>
      </c>
      <c r="H7" s="15" t="inlineStr">
        <is>
          <t>CFS / CY</t>
        </is>
      </c>
      <c r="I7" s="15" t="inlineStr">
        <is>
          <t>MSC</t>
        </is>
      </c>
      <c r="J7" s="15" t="inlineStr">
        <is>
          <t>Britainnia</t>
        </is>
      </c>
      <c r="K7" s="15" t="inlineStr">
        <is>
          <t>Inqube Global (PVT) Ltd</t>
        </is>
      </c>
      <c r="L7" s="16" t="inlineStr">
        <is>
          <t>BRANDIX APPAREL SOLUTION LTD - GIRITALE</t>
        </is>
      </c>
      <c r="M7" s="15" t="inlineStr">
        <is>
          <t>N</t>
        </is>
      </c>
      <c r="N7" s="17" t="n">
        <v>452517861652</v>
      </c>
      <c r="O7" s="15" t="n">
        <v>19849783</v>
      </c>
      <c r="P7" s="18" t="inlineStr">
        <is>
          <t>LM5BL3S</t>
        </is>
      </c>
      <c r="Q7" s="18" t="n">
        <v>3</v>
      </c>
      <c r="R7" s="18" t="n">
        <v>0.168</v>
      </c>
      <c r="S7" s="15" t="n">
        <v>14.89</v>
      </c>
      <c r="T7" s="16" t="n">
        <v>45824</v>
      </c>
      <c r="U7" s="19" t="n">
        <v>45883</v>
      </c>
      <c r="V7" s="16" t="n">
        <v>45824</v>
      </c>
      <c r="W7" s="16" t="n">
        <v>45826</v>
      </c>
      <c r="X7" s="57">
        <f>W7-1</f>
        <v/>
      </c>
      <c r="Y7" s="63" t="n">
        <v>45832</v>
      </c>
      <c r="Z7" s="67" t="n">
        <v>45863</v>
      </c>
      <c r="AA7" s="71">
        <f>Z7+7</f>
        <v/>
      </c>
      <c r="AB7" s="20">
        <f>AA7-U7</f>
        <v/>
      </c>
      <c r="AC7" s="20" t="inlineStr">
        <is>
          <t>No</t>
        </is>
      </c>
      <c r="AD7" s="21" t="inlineStr">
        <is>
          <t>1 HBL</t>
        </is>
      </c>
      <c r="AE7" s="21" t="n"/>
      <c r="AF7" s="22" t="inlineStr">
        <is>
          <t>LW</t>
        </is>
      </c>
      <c r="AG7" s="23" t="inlineStr">
        <is>
          <t>NAC</t>
        </is>
      </c>
      <c r="AH7" s="24" t="n"/>
    </row>
    <row r="8" ht="12.75" customHeight="1">
      <c r="A8" s="15" t="n">
        <v>3254118</v>
      </c>
      <c r="B8" s="15" t="inlineStr">
        <is>
          <t>Flexport</t>
        </is>
      </c>
      <c r="C8" s="15" t="inlineStr">
        <is>
          <t>Colombo, LK</t>
        </is>
      </c>
      <c r="D8" s="15" t="inlineStr">
        <is>
          <t>Felixstowe, GB</t>
        </is>
      </c>
      <c r="E8" s="15" t="inlineStr">
        <is>
          <t>Birmingham, GB</t>
        </is>
      </c>
      <c r="F8" s="15" t="inlineStr">
        <is>
          <t>OCEAN</t>
        </is>
      </c>
      <c r="G8" s="15" t="inlineStr">
        <is>
          <t>A. 1 x 20ft</t>
        </is>
      </c>
      <c r="H8" s="15" t="inlineStr">
        <is>
          <t>CFS / CY</t>
        </is>
      </c>
      <c r="I8" s="15" t="inlineStr">
        <is>
          <t>MSC</t>
        </is>
      </c>
      <c r="J8" s="15" t="inlineStr">
        <is>
          <t>Britainnia</t>
        </is>
      </c>
      <c r="K8" s="15" t="inlineStr">
        <is>
          <t>Inqube Global (PVT) Ltd</t>
        </is>
      </c>
      <c r="L8" s="16" t="inlineStr">
        <is>
          <t>BRANDIX APPAREL SOLUTION LTD - GIRITALE</t>
        </is>
      </c>
      <c r="M8" s="15" t="inlineStr">
        <is>
          <t>N</t>
        </is>
      </c>
      <c r="N8" s="17" t="n">
        <v>452518317022</v>
      </c>
      <c r="O8" s="15" t="n">
        <v>19849781</v>
      </c>
      <c r="P8" s="18" t="inlineStr">
        <is>
          <t>LM5BL3S</t>
        </is>
      </c>
      <c r="Q8" s="18" t="n">
        <v>2</v>
      </c>
      <c r="R8" s="18" t="n">
        <v>0.083</v>
      </c>
      <c r="S8" s="15" t="n">
        <v>15.16</v>
      </c>
      <c r="T8" s="16" t="n">
        <v>45824</v>
      </c>
      <c r="U8" s="19" t="n">
        <v>45883</v>
      </c>
      <c r="V8" s="16" t="n">
        <v>45824</v>
      </c>
      <c r="W8" s="16" t="n">
        <v>45826</v>
      </c>
      <c r="X8" s="57">
        <f>W8-1</f>
        <v/>
      </c>
      <c r="Y8" s="63" t="n">
        <v>45832</v>
      </c>
      <c r="Z8" s="67" t="n">
        <v>45863</v>
      </c>
      <c r="AA8" s="71">
        <f>Z8+7</f>
        <v/>
      </c>
      <c r="AB8" s="20">
        <f>AA8-U8</f>
        <v/>
      </c>
      <c r="AC8" s="20" t="inlineStr">
        <is>
          <t>No</t>
        </is>
      </c>
      <c r="AD8" s="21" t="inlineStr">
        <is>
          <t>1 HBL</t>
        </is>
      </c>
      <c r="AE8" s="21" t="n"/>
      <c r="AF8" s="22" t="inlineStr">
        <is>
          <t>LW</t>
        </is>
      </c>
      <c r="AG8" s="23" t="inlineStr">
        <is>
          <t>NAC</t>
        </is>
      </c>
      <c r="AH8" s="24" t="n"/>
      <c r="AN8" s="24" t="n"/>
    </row>
    <row r="9" ht="12.75" customHeight="1">
      <c r="A9" s="15" t="n">
        <v>3254118</v>
      </c>
      <c r="B9" s="15" t="inlineStr">
        <is>
          <t>Flexport</t>
        </is>
      </c>
      <c r="C9" s="15" t="inlineStr">
        <is>
          <t>Colombo, LK</t>
        </is>
      </c>
      <c r="D9" s="15" t="inlineStr">
        <is>
          <t>Felixstowe, GB</t>
        </is>
      </c>
      <c r="E9" s="15" t="inlineStr">
        <is>
          <t>Birmingham, GB</t>
        </is>
      </c>
      <c r="F9" s="15" t="inlineStr">
        <is>
          <t>OCEAN</t>
        </is>
      </c>
      <c r="G9" s="15" t="inlineStr">
        <is>
          <t>A. 1 x 20ft</t>
        </is>
      </c>
      <c r="H9" s="15" t="inlineStr">
        <is>
          <t>CFS / CY</t>
        </is>
      </c>
      <c r="I9" s="15" t="inlineStr">
        <is>
          <t>MSC</t>
        </is>
      </c>
      <c r="J9" s="15" t="inlineStr">
        <is>
          <t>Britainnia</t>
        </is>
      </c>
      <c r="K9" s="15" t="inlineStr">
        <is>
          <t>Inqube Global (PVT) Ltd</t>
        </is>
      </c>
      <c r="L9" s="15" t="inlineStr">
        <is>
          <t>Brandix Apparel Solutions Limited - Minuwangoda</t>
        </is>
      </c>
      <c r="M9" s="15" t="inlineStr">
        <is>
          <t>N</t>
        </is>
      </c>
      <c r="N9" s="17" t="n">
        <v>452015221240</v>
      </c>
      <c r="O9" s="17" t="n">
        <v>19854988</v>
      </c>
      <c r="P9" s="18" t="inlineStr">
        <is>
          <t>LW5GLNS</t>
        </is>
      </c>
      <c r="Q9" s="18" t="n">
        <v>1</v>
      </c>
      <c r="R9" s="18" t="n">
        <v>0.079</v>
      </c>
      <c r="S9" s="15" t="n">
        <v>9.470000000000001</v>
      </c>
      <c r="T9" s="16" t="n">
        <v>45824</v>
      </c>
      <c r="U9" s="19" t="n">
        <v>45883</v>
      </c>
      <c r="V9" s="16" t="n">
        <v>45824</v>
      </c>
      <c r="W9" s="16" t="n">
        <v>45826</v>
      </c>
      <c r="X9" s="57">
        <f>W9-1</f>
        <v/>
      </c>
      <c r="Y9" s="63" t="n">
        <v>45832</v>
      </c>
      <c r="Z9" s="67" t="n">
        <v>45863</v>
      </c>
      <c r="AA9" s="71">
        <f>Z9+7</f>
        <v/>
      </c>
      <c r="AB9" s="20">
        <f>AA9-U9</f>
        <v/>
      </c>
      <c r="AC9" s="20" t="inlineStr">
        <is>
          <t>No</t>
        </is>
      </c>
      <c r="AD9" s="21" t="inlineStr">
        <is>
          <t>1 HBL</t>
        </is>
      </c>
      <c r="AE9" s="21" t="n"/>
      <c r="AF9" s="22" t="inlineStr">
        <is>
          <t>LW</t>
        </is>
      </c>
      <c r="AG9" s="23" t="inlineStr">
        <is>
          <t>NAC</t>
        </is>
      </c>
      <c r="AH9" s="24" t="n"/>
      <c r="AN9" s="24" t="n"/>
    </row>
    <row r="10" ht="12.75" customHeight="1">
      <c r="A10" s="15" t="n">
        <v>3254118</v>
      </c>
      <c r="B10" s="15" t="inlineStr">
        <is>
          <t>Flexport</t>
        </is>
      </c>
      <c r="C10" s="15" t="inlineStr">
        <is>
          <t>Colombo, LK</t>
        </is>
      </c>
      <c r="D10" s="15" t="inlineStr">
        <is>
          <t>Felixstowe, GB</t>
        </is>
      </c>
      <c r="E10" s="15" t="inlineStr">
        <is>
          <t>Birmingham, GB</t>
        </is>
      </c>
      <c r="F10" s="15" t="inlineStr">
        <is>
          <t>OCEAN</t>
        </is>
      </c>
      <c r="G10" s="15" t="inlineStr">
        <is>
          <t>A. 1 x 20ft</t>
        </is>
      </c>
      <c r="H10" s="15" t="inlineStr">
        <is>
          <t>CFS / CY</t>
        </is>
      </c>
      <c r="I10" s="15" t="inlineStr">
        <is>
          <t>MSC</t>
        </is>
      </c>
      <c r="J10" s="15" t="inlineStr">
        <is>
          <t>Britainnia</t>
        </is>
      </c>
      <c r="K10" s="15" t="inlineStr">
        <is>
          <t>Inqube Global (PVT) Ltd</t>
        </is>
      </c>
      <c r="L10" s="15" t="inlineStr">
        <is>
          <t>Quantum Clothing Lanka (Pvt) Ltd</t>
        </is>
      </c>
      <c r="M10" s="15" t="inlineStr">
        <is>
          <t>N</t>
        </is>
      </c>
      <c r="N10" s="17" t="n">
        <v>452031503449</v>
      </c>
      <c r="O10" s="17" t="n">
        <v>19727217</v>
      </c>
      <c r="P10" s="18" t="inlineStr">
        <is>
          <t>LW2E01S</t>
        </is>
      </c>
      <c r="Q10" s="18" t="n">
        <v>49</v>
      </c>
      <c r="R10" s="18" t="n">
        <v>4.116</v>
      </c>
      <c r="S10" s="15" t="n">
        <v>171.102</v>
      </c>
      <c r="T10" s="16" t="n">
        <v>45824</v>
      </c>
      <c r="U10" s="19" t="n">
        <v>45883</v>
      </c>
      <c r="V10" s="16" t="n">
        <v>45824</v>
      </c>
      <c r="W10" s="16" t="n">
        <v>45826</v>
      </c>
      <c r="X10" s="57">
        <f>W10-1</f>
        <v/>
      </c>
      <c r="Y10" s="63" t="n">
        <v>45832</v>
      </c>
      <c r="Z10" s="67" t="n">
        <v>45863</v>
      </c>
      <c r="AA10" s="71">
        <f>Z10+7</f>
        <v/>
      </c>
      <c r="AB10" s="20">
        <f>AA10-U10</f>
        <v/>
      </c>
      <c r="AC10" s="20" t="inlineStr">
        <is>
          <t>No</t>
        </is>
      </c>
      <c r="AD10" s="21" t="inlineStr">
        <is>
          <t>1 HBL</t>
        </is>
      </c>
      <c r="AE10" s="21" t="n"/>
      <c r="AF10" s="22" t="inlineStr">
        <is>
          <t>LW</t>
        </is>
      </c>
      <c r="AG10" s="23" t="inlineStr">
        <is>
          <t>NAC</t>
        </is>
      </c>
      <c r="AH10" s="24" t="n"/>
      <c r="AN10" s="24" t="n"/>
    </row>
    <row r="11" ht="12.75" customHeight="1">
      <c r="A11" s="15" t="n">
        <v>3254118</v>
      </c>
      <c r="B11" s="15" t="inlineStr">
        <is>
          <t>Flexport</t>
        </is>
      </c>
      <c r="C11" s="15" t="inlineStr">
        <is>
          <t>Colombo, LK</t>
        </is>
      </c>
      <c r="D11" s="15" t="inlineStr">
        <is>
          <t>Felixstowe, GB</t>
        </is>
      </c>
      <c r="E11" s="15" t="inlineStr">
        <is>
          <t>Birmingham, GB</t>
        </is>
      </c>
      <c r="F11" s="15" t="inlineStr">
        <is>
          <t>OCEAN</t>
        </is>
      </c>
      <c r="G11" s="15" t="inlineStr">
        <is>
          <t>A. 1 x 20ft</t>
        </is>
      </c>
      <c r="H11" s="15" t="inlineStr">
        <is>
          <t>CFS / CY</t>
        </is>
      </c>
      <c r="I11" s="15" t="inlineStr">
        <is>
          <t>MSC</t>
        </is>
      </c>
      <c r="J11" s="15" t="inlineStr">
        <is>
          <t>Britainnia</t>
        </is>
      </c>
      <c r="K11" s="15" t="inlineStr">
        <is>
          <t>Inqube Global (PVT) Ltd</t>
        </is>
      </c>
      <c r="L11" s="15" t="inlineStr">
        <is>
          <t>Quantum Clothing Lanka (Pvt) Ltd</t>
        </is>
      </c>
      <c r="M11" s="15" t="inlineStr">
        <is>
          <t>N</t>
        </is>
      </c>
      <c r="N11" s="17" t="n">
        <v>452092648789</v>
      </c>
      <c r="O11" s="17" t="n">
        <v>19855238</v>
      </c>
      <c r="P11" s="18" t="inlineStr">
        <is>
          <t>LW9FMPS</t>
        </is>
      </c>
      <c r="Q11" s="18" t="n">
        <v>1</v>
      </c>
      <c r="R11" s="18" t="n">
        <v>0.04</v>
      </c>
      <c r="S11" s="15" t="n">
        <v>6.084</v>
      </c>
      <c r="T11" s="16" t="n">
        <v>45824</v>
      </c>
      <c r="U11" s="19" t="n">
        <v>45883</v>
      </c>
      <c r="V11" s="16" t="n">
        <v>45824</v>
      </c>
      <c r="W11" s="16" t="n">
        <v>45826</v>
      </c>
      <c r="X11" s="57">
        <f>W11-1</f>
        <v/>
      </c>
      <c r="Y11" s="63" t="n">
        <v>45832</v>
      </c>
      <c r="Z11" s="67" t="n">
        <v>45863</v>
      </c>
      <c r="AA11" s="71">
        <f>Z11+7</f>
        <v/>
      </c>
      <c r="AB11" s="20">
        <f>AA11-U11</f>
        <v/>
      </c>
      <c r="AC11" s="20" t="inlineStr">
        <is>
          <t>No</t>
        </is>
      </c>
      <c r="AD11" s="21" t="inlineStr">
        <is>
          <t>1 HBL</t>
        </is>
      </c>
      <c r="AE11" s="21" t="n"/>
      <c r="AF11" s="22" t="inlineStr">
        <is>
          <t>LW</t>
        </is>
      </c>
      <c r="AG11" s="23" t="inlineStr">
        <is>
          <t>NAC</t>
        </is>
      </c>
      <c r="AH11" s="24" t="n"/>
      <c r="AN11" s="24" t="n"/>
    </row>
    <row r="12" ht="12.75" customHeight="1">
      <c r="A12" s="15" t="n">
        <v>3254118</v>
      </c>
      <c r="B12" s="15" t="inlineStr">
        <is>
          <t>Flexport</t>
        </is>
      </c>
      <c r="C12" s="15" t="inlineStr">
        <is>
          <t>Colombo, LK</t>
        </is>
      </c>
      <c r="D12" s="15" t="inlineStr">
        <is>
          <t>Felixstowe, GB</t>
        </is>
      </c>
      <c r="E12" s="15" t="inlineStr">
        <is>
          <t>Birmingham, GB</t>
        </is>
      </c>
      <c r="F12" s="15" t="inlineStr">
        <is>
          <t>OCEAN</t>
        </is>
      </c>
      <c r="G12" s="15" t="inlineStr">
        <is>
          <t>A. 1 x 20ft</t>
        </is>
      </c>
      <c r="H12" s="15" t="inlineStr">
        <is>
          <t>CFS / CY</t>
        </is>
      </c>
      <c r="I12" s="15" t="inlineStr">
        <is>
          <t>MSC</t>
        </is>
      </c>
      <c r="J12" s="15" t="inlineStr">
        <is>
          <t>Britainnia</t>
        </is>
      </c>
      <c r="K12" s="15" t="inlineStr">
        <is>
          <t>MAS AMITY PTE LTD</t>
        </is>
      </c>
      <c r="L12" s="15" t="inlineStr">
        <is>
          <t>MAS Active (Pvt) Ltd - Linea Intimo</t>
        </is>
      </c>
      <c r="M12" s="15" t="inlineStr">
        <is>
          <t>N</t>
        </is>
      </c>
      <c r="N12" s="17" t="n">
        <v>454722903594</v>
      </c>
      <c r="O12" s="17" t="n">
        <v>91018423</v>
      </c>
      <c r="P12" s="18" t="inlineStr">
        <is>
          <t>LW1CHSS</t>
        </is>
      </c>
      <c r="Q12" s="18" t="n">
        <v>2</v>
      </c>
      <c r="R12" s="18" t="n">
        <v>0.119</v>
      </c>
      <c r="S12" s="15" t="n">
        <v>10.33</v>
      </c>
      <c r="T12" s="16" t="n">
        <v>45824</v>
      </c>
      <c r="U12" s="19" t="n">
        <v>45883</v>
      </c>
      <c r="V12" s="16" t="n">
        <v>45824</v>
      </c>
      <c r="W12" s="16" t="n">
        <v>45826</v>
      </c>
      <c r="X12" s="57">
        <f>W12-1</f>
        <v/>
      </c>
      <c r="Y12" s="63" t="n">
        <v>45832</v>
      </c>
      <c r="Z12" s="67" t="n">
        <v>45863</v>
      </c>
      <c r="AA12" s="71">
        <f>Z12+7</f>
        <v/>
      </c>
      <c r="AB12" s="20">
        <f>AA12-U12</f>
        <v/>
      </c>
      <c r="AC12" s="20" t="inlineStr">
        <is>
          <t>No</t>
        </is>
      </c>
      <c r="AD12" s="21" t="inlineStr">
        <is>
          <t>1 HBL</t>
        </is>
      </c>
      <c r="AE12" s="21" t="n"/>
      <c r="AF12" s="22" t="inlineStr">
        <is>
          <t>LW</t>
        </is>
      </c>
      <c r="AG12" s="23" t="inlineStr">
        <is>
          <t>NAC</t>
        </is>
      </c>
      <c r="AH12" s="24" t="n"/>
      <c r="AN12" s="24" t="n"/>
    </row>
    <row r="13" ht="12.75" customHeight="1">
      <c r="A13" s="15" t="n">
        <v>3254118</v>
      </c>
      <c r="B13" s="15" t="inlineStr">
        <is>
          <t>Flexport</t>
        </is>
      </c>
      <c r="C13" s="15" t="inlineStr">
        <is>
          <t>Colombo, LK</t>
        </is>
      </c>
      <c r="D13" s="15" t="inlineStr">
        <is>
          <t>Felixstowe, GB</t>
        </is>
      </c>
      <c r="E13" s="15" t="inlineStr">
        <is>
          <t>Birmingham, GB</t>
        </is>
      </c>
      <c r="F13" s="15" t="inlineStr">
        <is>
          <t>OCEAN</t>
        </is>
      </c>
      <c r="G13" s="15" t="inlineStr">
        <is>
          <t>A. 1 x 20ft</t>
        </is>
      </c>
      <c r="H13" s="15" t="inlineStr">
        <is>
          <t>CFS / CY</t>
        </is>
      </c>
      <c r="I13" s="15" t="inlineStr">
        <is>
          <t>MSC</t>
        </is>
      </c>
      <c r="J13" s="15" t="inlineStr">
        <is>
          <t>Britainnia</t>
        </is>
      </c>
      <c r="K13" s="15" t="inlineStr">
        <is>
          <t>MAS AMITY PTE LTD</t>
        </is>
      </c>
      <c r="L13" s="15" t="inlineStr">
        <is>
          <t>MAS Active (Pvt) Ltd – Shadowline</t>
        </is>
      </c>
      <c r="M13" s="15" t="inlineStr">
        <is>
          <t>N</t>
        </is>
      </c>
      <c r="N13" s="17" t="n">
        <v>454864010774</v>
      </c>
      <c r="O13" s="17" t="n">
        <v>19808326</v>
      </c>
      <c r="P13" s="18" t="inlineStr">
        <is>
          <t>LM1366S</t>
        </is>
      </c>
      <c r="Q13" s="18" t="n">
        <v>1</v>
      </c>
      <c r="R13" s="18" t="n">
        <v>0.079</v>
      </c>
      <c r="S13" s="15" t="n">
        <v>7.996</v>
      </c>
      <c r="T13" s="16" t="n">
        <v>45824</v>
      </c>
      <c r="U13" s="19" t="n">
        <v>45883</v>
      </c>
      <c r="V13" s="16" t="n">
        <v>45824</v>
      </c>
      <c r="W13" s="16" t="n">
        <v>45826</v>
      </c>
      <c r="X13" s="57">
        <f>W13-1</f>
        <v/>
      </c>
      <c r="Y13" s="63" t="n">
        <v>45832</v>
      </c>
      <c r="Z13" s="67" t="n">
        <v>45863</v>
      </c>
      <c r="AA13" s="71">
        <f>Z13+7</f>
        <v/>
      </c>
      <c r="AB13" s="20">
        <f>AA13-U13</f>
        <v/>
      </c>
      <c r="AC13" s="20" t="inlineStr">
        <is>
          <t>No</t>
        </is>
      </c>
      <c r="AD13" s="21" t="inlineStr">
        <is>
          <t>1 HBL</t>
        </is>
      </c>
      <c r="AE13" s="21" t="n"/>
      <c r="AF13" s="22" t="inlineStr">
        <is>
          <t>LW</t>
        </is>
      </c>
      <c r="AG13" s="23" t="inlineStr">
        <is>
          <t>NAC</t>
        </is>
      </c>
      <c r="AH13" s="24" t="n"/>
      <c r="AN13" s="24" t="n"/>
    </row>
    <row r="14" ht="12.75" customHeight="1">
      <c r="A14" s="15" t="n">
        <v>3254118</v>
      </c>
      <c r="B14" s="15" t="inlineStr">
        <is>
          <t>Flexport</t>
        </is>
      </c>
      <c r="C14" s="15" t="inlineStr">
        <is>
          <t>Colombo, LK</t>
        </is>
      </c>
      <c r="D14" s="15" t="inlineStr">
        <is>
          <t>Felixstowe, GB</t>
        </is>
      </c>
      <c r="E14" s="15" t="inlineStr">
        <is>
          <t>Birmingham, GB</t>
        </is>
      </c>
      <c r="F14" s="15" t="inlineStr">
        <is>
          <t>OCEAN</t>
        </is>
      </c>
      <c r="G14" s="15" t="inlineStr">
        <is>
          <t>A. 1 x 20ft</t>
        </is>
      </c>
      <c r="H14" s="15" t="inlineStr">
        <is>
          <t>CFS / CY</t>
        </is>
      </c>
      <c r="I14" s="15" t="inlineStr">
        <is>
          <t>MSC</t>
        </is>
      </c>
      <c r="J14" s="15" t="inlineStr">
        <is>
          <t>Britainnia</t>
        </is>
      </c>
      <c r="K14" s="15" t="inlineStr">
        <is>
          <t>MAS AMITY PTE LTD</t>
        </is>
      </c>
      <c r="L14" s="15" t="inlineStr">
        <is>
          <t>MAS Active(Pvt) Ltd – CONTOURLINE</t>
        </is>
      </c>
      <c r="M14" s="15" t="inlineStr">
        <is>
          <t>N</t>
        </is>
      </c>
      <c r="N14" s="17" t="n">
        <v>454770290213</v>
      </c>
      <c r="O14" s="17" t="n">
        <v>19920979</v>
      </c>
      <c r="P14" s="18" t="inlineStr">
        <is>
          <t>LW5FARS</t>
        </is>
      </c>
      <c r="Q14" s="18" t="n">
        <v>6</v>
      </c>
      <c r="R14" s="18" t="n">
        <v>0.395</v>
      </c>
      <c r="S14" s="15" t="n">
        <v>60.822</v>
      </c>
      <c r="T14" s="16" t="n">
        <v>45824</v>
      </c>
      <c r="U14" s="19" t="n">
        <v>45883</v>
      </c>
      <c r="V14" s="16" t="n">
        <v>45824</v>
      </c>
      <c r="W14" s="16" t="n">
        <v>45826</v>
      </c>
      <c r="X14" s="57">
        <f>W14-1</f>
        <v/>
      </c>
      <c r="Y14" s="63" t="n">
        <v>45832</v>
      </c>
      <c r="Z14" s="67" t="n">
        <v>45863</v>
      </c>
      <c r="AA14" s="71">
        <f>Z14+7</f>
        <v/>
      </c>
      <c r="AB14" s="20">
        <f>AA14-U14</f>
        <v/>
      </c>
      <c r="AC14" s="20" t="inlineStr">
        <is>
          <t>No</t>
        </is>
      </c>
      <c r="AD14" s="21" t="inlineStr">
        <is>
          <t>1 HBL</t>
        </is>
      </c>
      <c r="AE14" s="21" t="n"/>
      <c r="AF14" s="22" t="inlineStr">
        <is>
          <t>LW</t>
        </is>
      </c>
      <c r="AG14" s="23" t="inlineStr">
        <is>
          <t>NAC</t>
        </is>
      </c>
      <c r="AH14" s="24" t="n"/>
      <c r="AN14" s="24" t="n"/>
    </row>
    <row r="15" ht="12.75" customHeight="1">
      <c r="A15" s="15" t="n">
        <v>3254118</v>
      </c>
      <c r="B15" s="15" t="inlineStr">
        <is>
          <t>Flexport</t>
        </is>
      </c>
      <c r="C15" s="15" t="inlineStr">
        <is>
          <t>Colombo, LK</t>
        </is>
      </c>
      <c r="D15" s="15" t="inlineStr">
        <is>
          <t>Felixstowe, GB</t>
        </is>
      </c>
      <c r="E15" s="15" t="inlineStr">
        <is>
          <t>Birmingham, GB</t>
        </is>
      </c>
      <c r="F15" s="15" t="inlineStr">
        <is>
          <t>OCEAN</t>
        </is>
      </c>
      <c r="G15" s="15" t="inlineStr">
        <is>
          <t>A. 1 x 20ft</t>
        </is>
      </c>
      <c r="H15" s="15" t="inlineStr">
        <is>
          <t>CFS / CY</t>
        </is>
      </c>
      <c r="I15" s="15" t="inlineStr">
        <is>
          <t>MSC</t>
        </is>
      </c>
      <c r="J15" s="15" t="inlineStr">
        <is>
          <t>Britainnia</t>
        </is>
      </c>
      <c r="K15" s="15" t="inlineStr">
        <is>
          <t>MAS AMITY PTE LTD</t>
        </is>
      </c>
      <c r="L15" s="15" t="inlineStr">
        <is>
          <t>MAS Active(Pvt) Ltd – CONTOURLINE</t>
        </is>
      </c>
      <c r="M15" s="15" t="inlineStr">
        <is>
          <t>N</t>
        </is>
      </c>
      <c r="N15" s="17" t="n">
        <v>454772994403</v>
      </c>
      <c r="O15" s="17" t="n">
        <v>19921003</v>
      </c>
      <c r="P15" s="18" t="inlineStr">
        <is>
          <t>LW6CLQS</t>
        </is>
      </c>
      <c r="Q15" s="18" t="n">
        <v>1</v>
      </c>
      <c r="R15" s="18" t="n">
        <v>0.039</v>
      </c>
      <c r="S15" s="15" t="n">
        <v>5.991</v>
      </c>
      <c r="T15" s="16" t="n">
        <v>45824</v>
      </c>
      <c r="U15" s="19" t="n">
        <v>45883</v>
      </c>
      <c r="V15" s="16" t="n">
        <v>45824</v>
      </c>
      <c r="W15" s="16" t="n">
        <v>45826</v>
      </c>
      <c r="X15" s="57">
        <f>W15-1</f>
        <v/>
      </c>
      <c r="Y15" s="63" t="n">
        <v>45832</v>
      </c>
      <c r="Z15" s="67" t="n">
        <v>45863</v>
      </c>
      <c r="AA15" s="71">
        <f>Z15+7</f>
        <v/>
      </c>
      <c r="AB15" s="20">
        <f>AA15-U15</f>
        <v/>
      </c>
      <c r="AC15" s="20" t="inlineStr">
        <is>
          <t>No</t>
        </is>
      </c>
      <c r="AD15" s="21" t="inlineStr">
        <is>
          <t>1 HBL</t>
        </is>
      </c>
      <c r="AE15" s="21" t="n"/>
      <c r="AF15" s="22" t="inlineStr">
        <is>
          <t>LW</t>
        </is>
      </c>
      <c r="AG15" s="23" t="inlineStr">
        <is>
          <t>NAC</t>
        </is>
      </c>
      <c r="AH15" s="24" t="n"/>
      <c r="AN15" s="24" t="n"/>
    </row>
    <row r="16" ht="12.75" customHeight="1">
      <c r="A16" s="15" t="n">
        <v>3254118</v>
      </c>
      <c r="B16" s="15" t="inlineStr">
        <is>
          <t>Flexport</t>
        </is>
      </c>
      <c r="C16" s="15" t="inlineStr">
        <is>
          <t>Colombo, LK</t>
        </is>
      </c>
      <c r="D16" s="15" t="inlineStr">
        <is>
          <t>Felixstowe, GB</t>
        </is>
      </c>
      <c r="E16" s="15" t="inlineStr">
        <is>
          <t>Birmingham, GB</t>
        </is>
      </c>
      <c r="F16" s="15" t="inlineStr">
        <is>
          <t>OCEAN</t>
        </is>
      </c>
      <c r="G16" s="15" t="inlineStr">
        <is>
          <t>A. 1 x 20ft</t>
        </is>
      </c>
      <c r="H16" s="15" t="inlineStr">
        <is>
          <t>CFS / CY</t>
        </is>
      </c>
      <c r="I16" s="15" t="inlineStr">
        <is>
          <t>MSC</t>
        </is>
      </c>
      <c r="J16" s="15" t="inlineStr">
        <is>
          <t>Britainnia</t>
        </is>
      </c>
      <c r="K16" s="15" t="inlineStr">
        <is>
          <t>MAS AMITY PTE LTD</t>
        </is>
      </c>
      <c r="L16" s="15" t="inlineStr">
        <is>
          <t>MAS Active(Pvt) Ltd – CONTOURLINE</t>
        </is>
      </c>
      <c r="M16" s="15" t="inlineStr">
        <is>
          <t>N</t>
        </is>
      </c>
      <c r="N16" s="17" t="n">
        <v>454772994540</v>
      </c>
      <c r="O16" s="17" t="n">
        <v>19925973</v>
      </c>
      <c r="P16" s="18" t="inlineStr">
        <is>
          <t>LW5FARS</t>
        </is>
      </c>
      <c r="Q16" s="18" t="n">
        <v>3</v>
      </c>
      <c r="R16" s="18" t="n">
        <v>0.197</v>
      </c>
      <c r="S16" s="15" t="n">
        <v>27.967</v>
      </c>
      <c r="T16" s="16" t="n">
        <v>45824</v>
      </c>
      <c r="U16" s="19" t="n">
        <v>45883</v>
      </c>
      <c r="V16" s="16" t="n">
        <v>45824</v>
      </c>
      <c r="W16" s="16" t="n">
        <v>45826</v>
      </c>
      <c r="X16" s="57">
        <f>W16-1</f>
        <v/>
      </c>
      <c r="Y16" s="63" t="n">
        <v>45832</v>
      </c>
      <c r="Z16" s="67" t="n">
        <v>45863</v>
      </c>
      <c r="AA16" s="71">
        <f>Z16+7</f>
        <v/>
      </c>
      <c r="AB16" s="20">
        <f>AA16-U16</f>
        <v/>
      </c>
      <c r="AC16" s="20" t="inlineStr">
        <is>
          <t>No</t>
        </is>
      </c>
      <c r="AD16" s="21" t="inlineStr">
        <is>
          <t>1 HBL</t>
        </is>
      </c>
      <c r="AE16" s="21" t="n"/>
      <c r="AF16" s="22" t="inlineStr">
        <is>
          <t>LW</t>
        </is>
      </c>
      <c r="AG16" s="23" t="inlineStr">
        <is>
          <t>NAC</t>
        </is>
      </c>
      <c r="AH16" s="24" t="n"/>
      <c r="AN16" s="24" t="n"/>
    </row>
    <row r="17" ht="12.75" customHeight="1">
      <c r="A17" s="15" t="n">
        <v>3254118</v>
      </c>
      <c r="B17" s="15" t="inlineStr">
        <is>
          <t>Flexport</t>
        </is>
      </c>
      <c r="C17" s="15" t="inlineStr">
        <is>
          <t>Colombo, LK</t>
        </is>
      </c>
      <c r="D17" s="15" t="inlineStr">
        <is>
          <t>Felixstowe, GB</t>
        </is>
      </c>
      <c r="E17" s="15" t="inlineStr">
        <is>
          <t>Birmingham, GB</t>
        </is>
      </c>
      <c r="F17" s="15" t="inlineStr">
        <is>
          <t>OCEAN</t>
        </is>
      </c>
      <c r="G17" s="15" t="inlineStr">
        <is>
          <t>A. 1 x 20ft</t>
        </is>
      </c>
      <c r="H17" s="15" t="inlineStr">
        <is>
          <t>CFS / CY</t>
        </is>
      </c>
      <c r="I17" s="15" t="inlineStr">
        <is>
          <t>MSC</t>
        </is>
      </c>
      <c r="J17" s="15" t="inlineStr">
        <is>
          <t>Britainnia</t>
        </is>
      </c>
      <c r="K17" s="15" t="inlineStr">
        <is>
          <t>MAS AMITY PTE LTD</t>
        </is>
      </c>
      <c r="L17" s="16" t="inlineStr">
        <is>
          <t>MAS Active(Pvt) Ltd – CONTOURLINE</t>
        </is>
      </c>
      <c r="M17" s="15" t="inlineStr">
        <is>
          <t>N</t>
        </is>
      </c>
      <c r="N17" s="17" t="n">
        <v>454773467353</v>
      </c>
      <c r="O17" s="17" t="n">
        <v>19921005</v>
      </c>
      <c r="P17" s="18" t="inlineStr">
        <is>
          <t>LW6CLQS</t>
        </is>
      </c>
      <c r="Q17" s="18" t="n">
        <v>1</v>
      </c>
      <c r="R17" s="18" t="n">
        <v>0.039</v>
      </c>
      <c r="S17" s="15" t="n">
        <v>7.846</v>
      </c>
      <c r="T17" s="16" t="n">
        <v>45824</v>
      </c>
      <c r="U17" s="19" t="n">
        <v>45883</v>
      </c>
      <c r="V17" s="16" t="n">
        <v>45824</v>
      </c>
      <c r="W17" s="16" t="n">
        <v>45826</v>
      </c>
      <c r="X17" s="57">
        <f>W17-1</f>
        <v/>
      </c>
      <c r="Y17" s="63" t="n">
        <v>45832</v>
      </c>
      <c r="Z17" s="67" t="n">
        <v>45863</v>
      </c>
      <c r="AA17" s="71">
        <f>Z17+7</f>
        <v/>
      </c>
      <c r="AB17" s="20">
        <f>AA17-U17</f>
        <v/>
      </c>
      <c r="AC17" s="20" t="inlineStr">
        <is>
          <t>No</t>
        </is>
      </c>
      <c r="AD17" s="21" t="inlineStr">
        <is>
          <t>1 HBL</t>
        </is>
      </c>
      <c r="AE17" s="21" t="n"/>
      <c r="AF17" s="22" t="inlineStr">
        <is>
          <t>LW</t>
        </is>
      </c>
      <c r="AG17" s="23" t="inlineStr">
        <is>
          <t>NAC</t>
        </is>
      </c>
      <c r="AH17" s="24" t="n"/>
      <c r="AN17" s="24" t="n"/>
    </row>
    <row r="18" ht="12.75" customHeight="1">
      <c r="A18" s="15" t="n">
        <v>3254118</v>
      </c>
      <c r="B18" s="15" t="inlineStr">
        <is>
          <t>Flexport</t>
        </is>
      </c>
      <c r="C18" s="15" t="inlineStr">
        <is>
          <t>Colombo, LK</t>
        </is>
      </c>
      <c r="D18" s="15" t="inlineStr">
        <is>
          <t>Felixstowe, GB</t>
        </is>
      </c>
      <c r="E18" s="15" t="inlineStr">
        <is>
          <t>Birmingham, GB</t>
        </is>
      </c>
      <c r="F18" s="15" t="inlineStr">
        <is>
          <t>OCEAN</t>
        </is>
      </c>
      <c r="G18" s="15" t="inlineStr">
        <is>
          <t>A. 1 x 20ft</t>
        </is>
      </c>
      <c r="H18" s="15" t="inlineStr">
        <is>
          <t>CFS / CY</t>
        </is>
      </c>
      <c r="I18" s="15" t="inlineStr">
        <is>
          <t>MSC</t>
        </is>
      </c>
      <c r="J18" s="15" t="inlineStr">
        <is>
          <t>Britainnia</t>
        </is>
      </c>
      <c r="K18" s="15" t="inlineStr">
        <is>
          <t>MAS AMITY PTE LTD</t>
        </is>
      </c>
      <c r="L18" s="16" t="inlineStr">
        <is>
          <t>MAS Active(Pvt) Ltd – CONTOURLINE</t>
        </is>
      </c>
      <c r="M18" s="15" t="inlineStr">
        <is>
          <t>N</t>
        </is>
      </c>
      <c r="N18" s="17" t="n">
        <v>454774312210</v>
      </c>
      <c r="O18" s="17" t="n">
        <v>19920957</v>
      </c>
      <c r="P18" s="18" t="inlineStr">
        <is>
          <t>LW5EYKS</t>
        </is>
      </c>
      <c r="Q18" s="18" t="n">
        <v>6</v>
      </c>
      <c r="R18" s="18" t="n">
        <v>0.395</v>
      </c>
      <c r="S18" s="15" t="n">
        <v>59.486</v>
      </c>
      <c r="T18" s="16" t="n">
        <v>45824</v>
      </c>
      <c r="U18" s="19" t="n">
        <v>45883</v>
      </c>
      <c r="V18" s="16" t="n">
        <v>45824</v>
      </c>
      <c r="W18" s="16" t="n">
        <v>45826</v>
      </c>
      <c r="X18" s="57">
        <f>W18-1</f>
        <v/>
      </c>
      <c r="Y18" s="63" t="n">
        <v>45832</v>
      </c>
      <c r="Z18" s="67" t="n">
        <v>45863</v>
      </c>
      <c r="AA18" s="71">
        <f>Z18+7</f>
        <v/>
      </c>
      <c r="AB18" s="20">
        <f>AA18-U18</f>
        <v/>
      </c>
      <c r="AC18" s="20" t="inlineStr">
        <is>
          <t>No</t>
        </is>
      </c>
      <c r="AD18" s="21" t="inlineStr">
        <is>
          <t>1 HBL</t>
        </is>
      </c>
      <c r="AE18" s="21" t="n"/>
      <c r="AF18" s="22" t="inlineStr">
        <is>
          <t>LW</t>
        </is>
      </c>
      <c r="AG18" s="23" t="inlineStr">
        <is>
          <t>NAC</t>
        </is>
      </c>
      <c r="AH18" s="24" t="n"/>
      <c r="AN18" s="24" t="n"/>
    </row>
    <row r="19" ht="12.75" customHeight="1">
      <c r="A19" s="15" t="n">
        <v>3254118</v>
      </c>
      <c r="B19" s="15" t="inlineStr">
        <is>
          <t>Flexport</t>
        </is>
      </c>
      <c r="C19" s="15" t="inlineStr">
        <is>
          <t>Colombo, LK</t>
        </is>
      </c>
      <c r="D19" s="15" t="inlineStr">
        <is>
          <t>Felixstowe, GB</t>
        </is>
      </c>
      <c r="E19" s="15" t="inlineStr">
        <is>
          <t>Birmingham, GB</t>
        </is>
      </c>
      <c r="F19" s="15" t="inlineStr">
        <is>
          <t>OCEAN</t>
        </is>
      </c>
      <c r="G19" s="15" t="inlineStr">
        <is>
          <t>A. 1 x 20ft</t>
        </is>
      </c>
      <c r="H19" s="15" t="inlineStr">
        <is>
          <t>CFS / CY</t>
        </is>
      </c>
      <c r="I19" s="15" t="inlineStr">
        <is>
          <t>MSC</t>
        </is>
      </c>
      <c r="J19" s="15" t="inlineStr">
        <is>
          <t>Britainnia</t>
        </is>
      </c>
      <c r="K19" s="15" t="inlineStr">
        <is>
          <t>MAS AMITY PTE LTD</t>
        </is>
      </c>
      <c r="L19" s="16" t="inlineStr">
        <is>
          <t>MAS Active(Pvt) Ltd – CONTOURLINE</t>
        </is>
      </c>
      <c r="M19" s="15" t="inlineStr">
        <is>
          <t>N</t>
        </is>
      </c>
      <c r="N19" s="17" t="n">
        <v>454774400970</v>
      </c>
      <c r="O19" s="17" t="n">
        <v>19920968</v>
      </c>
      <c r="P19" s="18" t="inlineStr">
        <is>
          <t>LW5FARS</t>
        </is>
      </c>
      <c r="Q19" s="18" t="n">
        <v>3</v>
      </c>
      <c r="R19" s="18" t="n">
        <v>0.197</v>
      </c>
      <c r="S19" s="15" t="n">
        <v>32.147</v>
      </c>
      <c r="T19" s="16" t="n">
        <v>45824</v>
      </c>
      <c r="U19" s="19" t="n">
        <v>45883</v>
      </c>
      <c r="V19" s="16" t="n">
        <v>45824</v>
      </c>
      <c r="W19" s="16" t="n">
        <v>45826</v>
      </c>
      <c r="X19" s="57">
        <f>W19-1</f>
        <v/>
      </c>
      <c r="Y19" s="63" t="n">
        <v>45832</v>
      </c>
      <c r="Z19" s="67" t="n">
        <v>45863</v>
      </c>
      <c r="AA19" s="71">
        <f>Z19+7</f>
        <v/>
      </c>
      <c r="AB19" s="20">
        <f>AA19-U19</f>
        <v/>
      </c>
      <c r="AC19" s="20" t="inlineStr">
        <is>
          <t>No</t>
        </is>
      </c>
      <c r="AD19" s="21" t="inlineStr">
        <is>
          <t>1 HBL</t>
        </is>
      </c>
      <c r="AE19" s="21" t="n"/>
      <c r="AF19" s="22" t="inlineStr">
        <is>
          <t>LW</t>
        </is>
      </c>
      <c r="AG19" s="23" t="inlineStr">
        <is>
          <t>NAC</t>
        </is>
      </c>
      <c r="AH19" s="24" t="n"/>
      <c r="AN19" s="24" t="n"/>
    </row>
    <row r="20" ht="12.75" customHeight="1">
      <c r="A20" s="15" t="n">
        <v>3254118</v>
      </c>
      <c r="B20" s="15" t="inlineStr">
        <is>
          <t>Flexport</t>
        </is>
      </c>
      <c r="C20" s="15" t="inlineStr">
        <is>
          <t>Colombo, LK</t>
        </is>
      </c>
      <c r="D20" s="15" t="inlineStr">
        <is>
          <t>Felixstowe, GB</t>
        </is>
      </c>
      <c r="E20" s="15" t="inlineStr">
        <is>
          <t>Birmingham, GB</t>
        </is>
      </c>
      <c r="F20" s="15" t="inlineStr">
        <is>
          <t>OCEAN</t>
        </is>
      </c>
      <c r="G20" s="15" t="inlineStr">
        <is>
          <t>A. 1 x 20ft</t>
        </is>
      </c>
      <c r="H20" s="15" t="inlineStr">
        <is>
          <t>CFS / CY</t>
        </is>
      </c>
      <c r="I20" s="15" t="inlineStr">
        <is>
          <t>MSC</t>
        </is>
      </c>
      <c r="J20" s="15" t="inlineStr">
        <is>
          <t>Britainnia</t>
        </is>
      </c>
      <c r="K20" s="15" t="inlineStr">
        <is>
          <t>MAS AMITY PTE LTD</t>
        </is>
      </c>
      <c r="L20" s="16" t="inlineStr">
        <is>
          <t>MAS Active(Pvt) Ltd – CONTOURLINE</t>
        </is>
      </c>
      <c r="M20" s="15" t="inlineStr">
        <is>
          <t>N</t>
        </is>
      </c>
      <c r="N20" s="17" t="n">
        <v>454774401369</v>
      </c>
      <c r="O20" s="17" t="n">
        <v>19926263</v>
      </c>
      <c r="P20" s="18" t="inlineStr">
        <is>
          <t>LW2EB3S</t>
        </is>
      </c>
      <c r="Q20" s="18" t="n">
        <v>1</v>
      </c>
      <c r="R20" s="18" t="n">
        <v>0.039</v>
      </c>
      <c r="S20" s="15" t="n">
        <v>4.926</v>
      </c>
      <c r="T20" s="16" t="n">
        <v>45824</v>
      </c>
      <c r="U20" s="19" t="n">
        <v>45883</v>
      </c>
      <c r="V20" s="16" t="n">
        <v>45824</v>
      </c>
      <c r="W20" s="16" t="n">
        <v>45826</v>
      </c>
      <c r="X20" s="57">
        <f>W20-1</f>
        <v/>
      </c>
      <c r="Y20" s="63" t="n">
        <v>45832</v>
      </c>
      <c r="Z20" s="67" t="n">
        <v>45863</v>
      </c>
      <c r="AA20" s="71">
        <f>Z20+7</f>
        <v/>
      </c>
      <c r="AB20" s="20">
        <f>AA20-U20</f>
        <v/>
      </c>
      <c r="AC20" s="20" t="inlineStr">
        <is>
          <t>No</t>
        </is>
      </c>
      <c r="AD20" s="21" t="inlineStr">
        <is>
          <t>1 HBL</t>
        </is>
      </c>
      <c r="AE20" s="21" t="n"/>
      <c r="AF20" s="22" t="inlineStr">
        <is>
          <t>LW</t>
        </is>
      </c>
      <c r="AG20" s="23" t="inlineStr">
        <is>
          <t>NAC</t>
        </is>
      </c>
      <c r="AH20" s="24" t="n"/>
      <c r="AN20" s="24" t="n"/>
    </row>
    <row r="21" ht="12.75" customHeight="1">
      <c r="A21" s="15" t="n">
        <v>3254118</v>
      </c>
      <c r="B21" s="15" t="inlineStr">
        <is>
          <t>Flexport</t>
        </is>
      </c>
      <c r="C21" s="15" t="inlineStr">
        <is>
          <t>Colombo, LK</t>
        </is>
      </c>
      <c r="D21" s="15" t="inlineStr">
        <is>
          <t>Felixstowe, GB</t>
        </is>
      </c>
      <c r="E21" s="15" t="inlineStr">
        <is>
          <t>Birmingham, GB</t>
        </is>
      </c>
      <c r="F21" s="15" t="inlineStr">
        <is>
          <t>OCEAN</t>
        </is>
      </c>
      <c r="G21" s="15" t="inlineStr">
        <is>
          <t>A. 1 x 20ft</t>
        </is>
      </c>
      <c r="H21" s="15" t="inlineStr">
        <is>
          <t>CFS / CY</t>
        </is>
      </c>
      <c r="I21" s="15" t="inlineStr">
        <is>
          <t>MSC</t>
        </is>
      </c>
      <c r="J21" s="15" t="inlineStr">
        <is>
          <t>Britainnia</t>
        </is>
      </c>
      <c r="K21" s="15" t="inlineStr">
        <is>
          <t>MAS AMITY PTE LTD</t>
        </is>
      </c>
      <c r="L21" s="16" t="inlineStr">
        <is>
          <t>MAS Active(Pvt) Ltd – CONTOURLINE</t>
        </is>
      </c>
      <c r="M21" s="15" t="inlineStr">
        <is>
          <t>N</t>
        </is>
      </c>
      <c r="N21" s="17" t="n">
        <v>454774676885</v>
      </c>
      <c r="O21" s="17" t="n">
        <v>19920975</v>
      </c>
      <c r="P21" s="18" t="inlineStr">
        <is>
          <t>LW5FARS</t>
        </is>
      </c>
      <c r="Q21" s="18" t="n">
        <v>2</v>
      </c>
      <c r="R21" s="18" t="n">
        <v>0.118</v>
      </c>
      <c r="S21" s="15" t="n">
        <v>18.042</v>
      </c>
      <c r="T21" s="16" t="n">
        <v>45824</v>
      </c>
      <c r="U21" s="19" t="n">
        <v>45883</v>
      </c>
      <c r="V21" s="16" t="n">
        <v>45824</v>
      </c>
      <c r="W21" s="16" t="n">
        <v>45826</v>
      </c>
      <c r="X21" s="57">
        <f>W21-1</f>
        <v/>
      </c>
      <c r="Y21" s="63" t="n">
        <v>45832</v>
      </c>
      <c r="Z21" s="67" t="n">
        <v>45863</v>
      </c>
      <c r="AA21" s="71">
        <f>Z21+7</f>
        <v/>
      </c>
      <c r="AB21" s="20">
        <f>AA21-U21</f>
        <v/>
      </c>
      <c r="AC21" s="20" t="inlineStr">
        <is>
          <t>No</t>
        </is>
      </c>
      <c r="AD21" s="21" t="inlineStr">
        <is>
          <t>1 HBL</t>
        </is>
      </c>
      <c r="AE21" s="21" t="n"/>
      <c r="AF21" s="22" t="inlineStr">
        <is>
          <t>LW</t>
        </is>
      </c>
      <c r="AG21" s="23" t="inlineStr">
        <is>
          <t>NAC</t>
        </is>
      </c>
      <c r="AH21" s="24" t="n"/>
      <c r="AN21" s="24" t="n"/>
    </row>
    <row r="22" ht="12.75" customHeight="1">
      <c r="A22" s="15" t="n">
        <v>3254118</v>
      </c>
      <c r="B22" s="15" t="inlineStr">
        <is>
          <t>Flexport</t>
        </is>
      </c>
      <c r="C22" s="15" t="inlineStr">
        <is>
          <t>Colombo, LK</t>
        </is>
      </c>
      <c r="D22" s="15" t="inlineStr">
        <is>
          <t>Felixstowe, GB</t>
        </is>
      </c>
      <c r="E22" s="15" t="inlineStr">
        <is>
          <t>Birmingham, GB</t>
        </is>
      </c>
      <c r="F22" s="15" t="inlineStr">
        <is>
          <t>OCEAN</t>
        </is>
      </c>
      <c r="G22" s="15" t="inlineStr">
        <is>
          <t>A. 1 x 20ft</t>
        </is>
      </c>
      <c r="H22" s="15" t="inlineStr">
        <is>
          <t>CFS / CY</t>
        </is>
      </c>
      <c r="I22" s="15" t="inlineStr">
        <is>
          <t>MSC</t>
        </is>
      </c>
      <c r="J22" s="15" t="inlineStr">
        <is>
          <t>Britainnia</t>
        </is>
      </c>
      <c r="K22" s="15" t="inlineStr">
        <is>
          <t>MAS AMITY PTE LTD</t>
        </is>
      </c>
      <c r="L22" s="16" t="inlineStr">
        <is>
          <t>MAS Active(Pvt) Ltd – CONTOURLINE</t>
        </is>
      </c>
      <c r="M22" s="15" t="inlineStr">
        <is>
          <t>N</t>
        </is>
      </c>
      <c r="N22" s="17" t="n">
        <v>454774766099</v>
      </c>
      <c r="O22" s="15" t="n">
        <v>19920959</v>
      </c>
      <c r="P22" s="18" t="inlineStr">
        <is>
          <t>LW5EYKS</t>
        </is>
      </c>
      <c r="Q22" s="18" t="n">
        <v>1</v>
      </c>
      <c r="R22" s="18" t="n">
        <v>0.039</v>
      </c>
      <c r="S22" s="15" t="n">
        <v>6.583</v>
      </c>
      <c r="T22" s="16" t="n">
        <v>45824</v>
      </c>
      <c r="U22" s="19" t="n">
        <v>45883</v>
      </c>
      <c r="V22" s="16" t="n">
        <v>45824</v>
      </c>
      <c r="W22" s="16" t="n">
        <v>45826</v>
      </c>
      <c r="X22" s="57">
        <f>W22-1</f>
        <v/>
      </c>
      <c r="Y22" s="63" t="n">
        <v>45832</v>
      </c>
      <c r="Z22" s="67" t="n">
        <v>45863</v>
      </c>
      <c r="AA22" s="71">
        <f>Z22+7</f>
        <v/>
      </c>
      <c r="AB22" s="20">
        <f>AA22-U22</f>
        <v/>
      </c>
      <c r="AC22" s="20" t="inlineStr">
        <is>
          <t>No</t>
        </is>
      </c>
      <c r="AD22" s="21" t="inlineStr">
        <is>
          <t>1 HBL</t>
        </is>
      </c>
      <c r="AE22" s="21" t="n"/>
      <c r="AF22" s="22" t="inlineStr">
        <is>
          <t>LW</t>
        </is>
      </c>
      <c r="AG22" s="23" t="inlineStr">
        <is>
          <t>NAC</t>
        </is>
      </c>
      <c r="AN22" s="24" t="n"/>
    </row>
    <row r="23" ht="12.75" customHeight="1">
      <c r="A23" s="15" t="n">
        <v>3254118</v>
      </c>
      <c r="B23" s="15" t="inlineStr">
        <is>
          <t>Flexport</t>
        </is>
      </c>
      <c r="C23" s="15" t="inlineStr">
        <is>
          <t>Colombo, LK</t>
        </is>
      </c>
      <c r="D23" s="15" t="inlineStr">
        <is>
          <t>Felixstowe, GB</t>
        </is>
      </c>
      <c r="E23" s="15" t="inlineStr">
        <is>
          <t>Birmingham, GB</t>
        </is>
      </c>
      <c r="F23" s="15" t="inlineStr">
        <is>
          <t>OCEAN</t>
        </is>
      </c>
      <c r="G23" s="15" t="inlineStr">
        <is>
          <t>A. 1 x 20ft</t>
        </is>
      </c>
      <c r="H23" s="15" t="inlineStr">
        <is>
          <t>CFS / CY</t>
        </is>
      </c>
      <c r="I23" s="15" t="inlineStr">
        <is>
          <t>MSC</t>
        </is>
      </c>
      <c r="J23" s="15" t="inlineStr">
        <is>
          <t>Britainnia</t>
        </is>
      </c>
      <c r="K23" s="15" t="inlineStr">
        <is>
          <t>MAS AMITY PTE LTD</t>
        </is>
      </c>
      <c r="L23" s="16" t="inlineStr">
        <is>
          <t>MAS Active(Pvt) Ltd – CONTOURLINE</t>
        </is>
      </c>
      <c r="M23" s="15" t="inlineStr">
        <is>
          <t>N</t>
        </is>
      </c>
      <c r="N23" s="17" t="n">
        <v>454775187235</v>
      </c>
      <c r="O23" s="15" t="n">
        <v>19921009</v>
      </c>
      <c r="P23" s="18" t="inlineStr">
        <is>
          <t>LW7CPPS</t>
        </is>
      </c>
      <c r="Q23" s="18" t="n">
        <v>4</v>
      </c>
      <c r="R23" s="18" t="n">
        <v>0.237</v>
      </c>
      <c r="S23" s="15" t="n">
        <v>31.343</v>
      </c>
      <c r="T23" s="16" t="n">
        <v>45824</v>
      </c>
      <c r="U23" s="19" t="n">
        <v>45883</v>
      </c>
      <c r="V23" s="16" t="n">
        <v>45824</v>
      </c>
      <c r="W23" s="16" t="n">
        <v>45826</v>
      </c>
      <c r="X23" s="57">
        <f>W23-1</f>
        <v/>
      </c>
      <c r="Y23" s="63" t="n">
        <v>45832</v>
      </c>
      <c r="Z23" s="67" t="n">
        <v>45863</v>
      </c>
      <c r="AA23" s="71">
        <f>Z23+7</f>
        <v/>
      </c>
      <c r="AB23" s="20">
        <f>AA23-U23</f>
        <v/>
      </c>
      <c r="AC23" s="20" t="inlineStr">
        <is>
          <t>No</t>
        </is>
      </c>
      <c r="AD23" s="21" t="inlineStr">
        <is>
          <t>1 HBL</t>
        </is>
      </c>
      <c r="AE23" s="21" t="n"/>
      <c r="AF23" s="22" t="inlineStr">
        <is>
          <t>LW</t>
        </is>
      </c>
      <c r="AG23" s="23" t="inlineStr">
        <is>
          <t>NAC</t>
        </is>
      </c>
      <c r="AH23" s="24" t="n"/>
      <c r="AN23" s="24" t="n"/>
    </row>
    <row r="24" ht="12.75" customHeight="1">
      <c r="A24" s="15" t="n">
        <v>3254118</v>
      </c>
      <c r="B24" s="15" t="inlineStr">
        <is>
          <t>Flexport</t>
        </is>
      </c>
      <c r="C24" s="15" t="inlineStr">
        <is>
          <t>Colombo, LK</t>
        </is>
      </c>
      <c r="D24" s="15" t="inlineStr">
        <is>
          <t>Felixstowe, GB</t>
        </is>
      </c>
      <c r="E24" s="15" t="inlineStr">
        <is>
          <t>Birmingham, GB</t>
        </is>
      </c>
      <c r="F24" s="15" t="inlineStr">
        <is>
          <t>OCEAN</t>
        </is>
      </c>
      <c r="G24" s="15" t="inlineStr">
        <is>
          <t>A. 1 x 20ft</t>
        </is>
      </c>
      <c r="H24" s="15" t="inlineStr">
        <is>
          <t>CFS / CY</t>
        </is>
      </c>
      <c r="I24" s="15" t="inlineStr">
        <is>
          <t>MSC</t>
        </is>
      </c>
      <c r="J24" s="15" t="inlineStr">
        <is>
          <t>Britainnia</t>
        </is>
      </c>
      <c r="K24" s="15" t="inlineStr">
        <is>
          <t>MAS AMITY PTE LTD</t>
        </is>
      </c>
      <c r="L24" s="16" t="inlineStr">
        <is>
          <t>MAS Active(Pvt) Ltd – CONTOURLINE</t>
        </is>
      </c>
      <c r="M24" s="15" t="inlineStr">
        <is>
          <t>N</t>
        </is>
      </c>
      <c r="N24" s="17" t="n">
        <v>454775192886</v>
      </c>
      <c r="O24" s="15" t="n">
        <v>19926260</v>
      </c>
      <c r="P24" s="18" t="inlineStr">
        <is>
          <t>LW2EB3S</t>
        </is>
      </c>
      <c r="Q24" s="18" t="n">
        <v>4</v>
      </c>
      <c r="R24" s="18" t="n">
        <v>0.316</v>
      </c>
      <c r="S24" s="15" t="n">
        <v>36.461</v>
      </c>
      <c r="T24" s="16" t="n">
        <v>45824</v>
      </c>
      <c r="U24" s="19" t="n">
        <v>45883</v>
      </c>
      <c r="V24" s="16" t="n">
        <v>45824</v>
      </c>
      <c r="W24" s="16" t="n">
        <v>45826</v>
      </c>
      <c r="X24" s="57">
        <f>W24-1</f>
        <v/>
      </c>
      <c r="Y24" s="63" t="n">
        <v>45832</v>
      </c>
      <c r="Z24" s="67" t="n">
        <v>45863</v>
      </c>
      <c r="AA24" s="71">
        <f>Z24+7</f>
        <v/>
      </c>
      <c r="AB24" s="20">
        <f>AA24-U24</f>
        <v/>
      </c>
      <c r="AC24" s="20" t="inlineStr">
        <is>
          <t>No</t>
        </is>
      </c>
      <c r="AD24" s="21" t="inlineStr">
        <is>
          <t>1 HBL</t>
        </is>
      </c>
      <c r="AE24" s="21" t="n"/>
      <c r="AF24" s="22" t="inlineStr">
        <is>
          <t>LW</t>
        </is>
      </c>
      <c r="AG24" s="23" t="inlineStr">
        <is>
          <t>NAC</t>
        </is>
      </c>
      <c r="AH24" s="24" t="n"/>
      <c r="AN24" s="24" t="n"/>
    </row>
    <row r="25" ht="12.75" customHeight="1">
      <c r="A25" s="15" t="n">
        <v>3254118</v>
      </c>
      <c r="B25" s="15" t="inlineStr">
        <is>
          <t>Flexport</t>
        </is>
      </c>
      <c r="C25" s="15" t="inlineStr">
        <is>
          <t>Colombo, LK</t>
        </is>
      </c>
      <c r="D25" s="15" t="inlineStr">
        <is>
          <t>Felixstowe, GB</t>
        </is>
      </c>
      <c r="E25" s="15" t="inlineStr">
        <is>
          <t>Birmingham, GB</t>
        </is>
      </c>
      <c r="F25" s="15" t="inlineStr">
        <is>
          <t>OCEAN</t>
        </is>
      </c>
      <c r="G25" s="15" t="inlineStr">
        <is>
          <t>A. 1 x 20ft</t>
        </is>
      </c>
      <c r="H25" s="15" t="inlineStr">
        <is>
          <t>CFS / CY</t>
        </is>
      </c>
      <c r="I25" s="15" t="inlineStr">
        <is>
          <t>MSC</t>
        </is>
      </c>
      <c r="J25" s="15" t="inlineStr">
        <is>
          <t>Britainnia</t>
        </is>
      </c>
      <c r="K25" s="15" t="inlineStr">
        <is>
          <t>MAS AMITY PTE LTD</t>
        </is>
      </c>
      <c r="L25" s="16" t="inlineStr">
        <is>
          <t>MAS Active(Pvt) Ltd – CONTOURLINE</t>
        </is>
      </c>
      <c r="M25" s="15" t="inlineStr">
        <is>
          <t>N</t>
        </is>
      </c>
      <c r="N25" s="17" t="n">
        <v>454775252856</v>
      </c>
      <c r="O25" s="15" t="n">
        <v>19925895</v>
      </c>
      <c r="P25" s="18" t="inlineStr">
        <is>
          <t>LW5EPSS</t>
        </is>
      </c>
      <c r="Q25" s="18" t="n">
        <v>2</v>
      </c>
      <c r="R25" s="18" t="n">
        <v>0.118</v>
      </c>
      <c r="S25" s="15" t="n">
        <v>20.416</v>
      </c>
      <c r="T25" s="16" t="n">
        <v>45824</v>
      </c>
      <c r="U25" s="19" t="n">
        <v>45883</v>
      </c>
      <c r="V25" s="16" t="n">
        <v>45824</v>
      </c>
      <c r="W25" s="16" t="n">
        <v>45826</v>
      </c>
      <c r="X25" s="57">
        <f>W25-1</f>
        <v/>
      </c>
      <c r="Y25" s="63" t="n">
        <v>45832</v>
      </c>
      <c r="Z25" s="67" t="n">
        <v>45863</v>
      </c>
      <c r="AA25" s="71">
        <f>Z25+7</f>
        <v/>
      </c>
      <c r="AB25" s="20">
        <f>AA25-U25</f>
        <v/>
      </c>
      <c r="AC25" s="20" t="inlineStr">
        <is>
          <t>No</t>
        </is>
      </c>
      <c r="AD25" s="21" t="inlineStr">
        <is>
          <t>1 HBL</t>
        </is>
      </c>
      <c r="AE25" s="21" t="n"/>
      <c r="AF25" s="22" t="inlineStr">
        <is>
          <t>LW</t>
        </is>
      </c>
      <c r="AG25" s="23" t="inlineStr">
        <is>
          <t>NAC</t>
        </is>
      </c>
      <c r="AH25" s="24" t="n"/>
      <c r="AN25" s="24" t="n"/>
    </row>
    <row r="26" ht="12.75" customHeight="1">
      <c r="A26" s="15" t="n">
        <v>3254118</v>
      </c>
      <c r="B26" s="15" t="inlineStr">
        <is>
          <t>Flexport</t>
        </is>
      </c>
      <c r="C26" s="15" t="inlineStr">
        <is>
          <t>Colombo, LK</t>
        </is>
      </c>
      <c r="D26" s="15" t="inlineStr">
        <is>
          <t>Felixstowe, GB</t>
        </is>
      </c>
      <c r="E26" s="15" t="inlineStr">
        <is>
          <t>Birmingham, GB</t>
        </is>
      </c>
      <c r="F26" s="15" t="inlineStr">
        <is>
          <t>OCEAN</t>
        </is>
      </c>
      <c r="G26" s="15" t="inlineStr">
        <is>
          <t>A. 1 x 20ft</t>
        </is>
      </c>
      <c r="H26" s="15" t="inlineStr">
        <is>
          <t>CFS / CY</t>
        </is>
      </c>
      <c r="I26" s="15" t="inlineStr">
        <is>
          <t>MSC</t>
        </is>
      </c>
      <c r="J26" s="15" t="inlineStr">
        <is>
          <t>Britainnia</t>
        </is>
      </c>
      <c r="K26" s="15" t="inlineStr">
        <is>
          <t>MAS AMITY PTE LTD</t>
        </is>
      </c>
      <c r="L26" s="16" t="inlineStr">
        <is>
          <t>MAS Active(Pvt) Ltd – CONTOURLINE</t>
        </is>
      </c>
      <c r="M26" s="15" t="inlineStr">
        <is>
          <t>N</t>
        </is>
      </c>
      <c r="N26" s="17" t="n">
        <v>454775599438</v>
      </c>
      <c r="O26" s="15" t="n">
        <v>19925872</v>
      </c>
      <c r="P26" s="18" t="inlineStr">
        <is>
          <t>LW5EPSS</t>
        </is>
      </c>
      <c r="Q26" s="18" t="n">
        <v>7</v>
      </c>
      <c r="R26" s="18" t="n">
        <v>0.434</v>
      </c>
      <c r="S26" s="15" t="n">
        <v>61.082</v>
      </c>
      <c r="T26" s="16" t="n">
        <v>45824</v>
      </c>
      <c r="U26" s="19" t="n">
        <v>45883</v>
      </c>
      <c r="V26" s="16" t="n">
        <v>45824</v>
      </c>
      <c r="W26" s="16" t="n">
        <v>45826</v>
      </c>
      <c r="X26" s="57">
        <f>W26-1</f>
        <v/>
      </c>
      <c r="Y26" s="63" t="n">
        <v>45832</v>
      </c>
      <c r="Z26" s="67" t="n">
        <v>45863</v>
      </c>
      <c r="AA26" s="71">
        <f>Z26+7</f>
        <v/>
      </c>
      <c r="AB26" s="20">
        <f>AA26-U26</f>
        <v/>
      </c>
      <c r="AC26" s="20" t="inlineStr">
        <is>
          <t>No</t>
        </is>
      </c>
      <c r="AD26" s="21" t="inlineStr">
        <is>
          <t>1 HBL</t>
        </is>
      </c>
      <c r="AE26" s="21" t="n"/>
      <c r="AF26" s="22" t="inlineStr">
        <is>
          <t>LW</t>
        </is>
      </c>
      <c r="AG26" s="23" t="inlineStr">
        <is>
          <t>NAC</t>
        </is>
      </c>
      <c r="AH26" s="24" t="n"/>
      <c r="AN26" s="24" t="n"/>
    </row>
    <row r="27" ht="12.75" customHeight="1">
      <c r="A27" s="15" t="n">
        <v>3254118</v>
      </c>
      <c r="B27" s="15" t="inlineStr">
        <is>
          <t>Flexport</t>
        </is>
      </c>
      <c r="C27" s="15" t="inlineStr">
        <is>
          <t>Colombo, LK</t>
        </is>
      </c>
      <c r="D27" s="15" t="inlineStr">
        <is>
          <t>Felixstowe, GB</t>
        </is>
      </c>
      <c r="E27" s="15" t="inlineStr">
        <is>
          <t>Birmingham, GB</t>
        </is>
      </c>
      <c r="F27" s="15" t="inlineStr">
        <is>
          <t>OCEAN</t>
        </is>
      </c>
      <c r="G27" s="15" t="inlineStr">
        <is>
          <t>A. 1 x 20ft</t>
        </is>
      </c>
      <c r="H27" s="15" t="inlineStr">
        <is>
          <t>CFS / CY</t>
        </is>
      </c>
      <c r="I27" s="15" t="inlineStr">
        <is>
          <t>MSC</t>
        </is>
      </c>
      <c r="J27" s="15" t="inlineStr">
        <is>
          <t>Britainnia</t>
        </is>
      </c>
      <c r="K27" s="15" t="inlineStr">
        <is>
          <t>MAS AMITY PTE LTD</t>
        </is>
      </c>
      <c r="L27" s="16" t="inlineStr">
        <is>
          <t>MAS Active(Pvt) Ltd – CONTOURLINE</t>
        </is>
      </c>
      <c r="M27" s="15" t="inlineStr">
        <is>
          <t>N</t>
        </is>
      </c>
      <c r="N27" s="17" t="n">
        <v>454858069214</v>
      </c>
      <c r="O27" s="15" t="n">
        <v>19920976</v>
      </c>
      <c r="P27" s="18" t="inlineStr">
        <is>
          <t>LW5FARS</t>
        </is>
      </c>
      <c r="Q27" s="18" t="n">
        <v>4</v>
      </c>
      <c r="R27" s="18" t="n">
        <v>0.316</v>
      </c>
      <c r="S27" s="15" t="n">
        <v>44.051</v>
      </c>
      <c r="T27" s="16" t="n">
        <v>45824</v>
      </c>
      <c r="U27" s="19" t="n">
        <v>45883</v>
      </c>
      <c r="V27" s="16" t="n">
        <v>45824</v>
      </c>
      <c r="W27" s="16" t="n">
        <v>45826</v>
      </c>
      <c r="X27" s="57">
        <f>W27-1</f>
        <v/>
      </c>
      <c r="Y27" s="63" t="n">
        <v>45832</v>
      </c>
      <c r="Z27" s="67" t="n">
        <v>45863</v>
      </c>
      <c r="AA27" s="71">
        <f>Z27+7</f>
        <v/>
      </c>
      <c r="AB27" s="20">
        <f>AA27-U27</f>
        <v/>
      </c>
      <c r="AC27" s="20" t="inlineStr">
        <is>
          <t>No</t>
        </is>
      </c>
      <c r="AD27" s="21" t="inlineStr">
        <is>
          <t>1 HBL</t>
        </is>
      </c>
      <c r="AE27" s="21" t="n"/>
      <c r="AF27" s="22" t="inlineStr">
        <is>
          <t>LW</t>
        </is>
      </c>
      <c r="AG27" s="23" t="inlineStr">
        <is>
          <t>NAC</t>
        </is>
      </c>
      <c r="AH27" s="24" t="n"/>
      <c r="AN27" s="24" t="n"/>
    </row>
    <row r="28" ht="12.75" customHeight="1">
      <c r="A28" s="15" t="n">
        <v>3254118</v>
      </c>
      <c r="B28" s="15" t="inlineStr">
        <is>
          <t>Flexport</t>
        </is>
      </c>
      <c r="C28" s="15" t="inlineStr">
        <is>
          <t>Colombo, LK</t>
        </is>
      </c>
      <c r="D28" s="15" t="inlineStr">
        <is>
          <t>Rotterdam, NL</t>
        </is>
      </c>
      <c r="E28" s="15" t="inlineStr">
        <is>
          <t>Birmingham, GB</t>
        </is>
      </c>
      <c r="F28" s="15" t="inlineStr">
        <is>
          <t>OCEAN</t>
        </is>
      </c>
      <c r="G28" s="15" t="inlineStr">
        <is>
          <t>A. 1 x 20ft</t>
        </is>
      </c>
      <c r="H28" s="15" t="inlineStr">
        <is>
          <t>CFS / CY</t>
        </is>
      </c>
      <c r="I28" s="15" t="inlineStr">
        <is>
          <t>MSC</t>
        </is>
      </c>
      <c r="J28" s="15" t="inlineStr">
        <is>
          <t>Britainnia</t>
        </is>
      </c>
      <c r="K28" s="15" t="inlineStr">
        <is>
          <t>MAS AMITY PTE LTD</t>
        </is>
      </c>
      <c r="L28" s="16" t="inlineStr">
        <is>
          <t>MAS Active (Pvt) Ltd – Shadowline</t>
        </is>
      </c>
      <c r="M28" s="15" t="inlineStr">
        <is>
          <t>N</t>
        </is>
      </c>
      <c r="N28" s="17" t="n">
        <v>454893040591</v>
      </c>
      <c r="O28" s="15" t="n">
        <v>19814191</v>
      </c>
      <c r="P28" s="18" t="inlineStr">
        <is>
          <t>LW1DUDS</t>
        </is>
      </c>
      <c r="Q28" s="18" t="n">
        <v>19</v>
      </c>
      <c r="R28" s="18" t="n">
        <v>1.382</v>
      </c>
      <c r="S28" s="15" t="n">
        <v>174.115</v>
      </c>
      <c r="T28" s="16" t="n">
        <v>45824</v>
      </c>
      <c r="U28" s="19" t="n">
        <v>45883</v>
      </c>
      <c r="V28" s="16" t="n">
        <v>45824</v>
      </c>
      <c r="W28" s="16" t="n">
        <v>45826</v>
      </c>
      <c r="X28" s="57">
        <f>W28-1</f>
        <v/>
      </c>
      <c r="Y28" s="63" t="n">
        <v>45832</v>
      </c>
      <c r="Z28" s="67" t="n">
        <v>45863</v>
      </c>
      <c r="AA28" s="71">
        <f>Z28+7</f>
        <v/>
      </c>
      <c r="AB28" s="20">
        <f>AA28-U28</f>
        <v/>
      </c>
      <c r="AC28" s="20" t="inlineStr">
        <is>
          <t>No</t>
        </is>
      </c>
      <c r="AD28" s="21" t="inlineStr">
        <is>
          <t>1 HBL</t>
        </is>
      </c>
      <c r="AE28" s="21" t="n"/>
      <c r="AF28" s="22" t="inlineStr">
        <is>
          <t>LW</t>
        </is>
      </c>
      <c r="AG28" s="23" t="inlineStr">
        <is>
          <t>NAC</t>
        </is>
      </c>
      <c r="AH28" s="24" t="n"/>
      <c r="AN28" s="24" t="n"/>
    </row>
    <row r="29" ht="12.75" customHeight="1">
      <c r="A29" s="15" t="n">
        <v>3254118</v>
      </c>
      <c r="B29" s="15" t="inlineStr">
        <is>
          <t>Flexport</t>
        </is>
      </c>
      <c r="C29" s="15" t="inlineStr">
        <is>
          <t>Colombo, LK</t>
        </is>
      </c>
      <c r="D29" s="15" t="inlineStr">
        <is>
          <t>Rotterdam, NL</t>
        </is>
      </c>
      <c r="E29" s="15" t="inlineStr">
        <is>
          <t>Birmingham, GB</t>
        </is>
      </c>
      <c r="F29" s="15" t="inlineStr">
        <is>
          <t>OCEAN</t>
        </is>
      </c>
      <c r="G29" s="15" t="inlineStr">
        <is>
          <t>A. 1 x 20ft</t>
        </is>
      </c>
      <c r="H29" s="15" t="inlineStr">
        <is>
          <t>CFS / CY</t>
        </is>
      </c>
      <c r="I29" s="15" t="inlineStr">
        <is>
          <t>MSC</t>
        </is>
      </c>
      <c r="J29" s="15" t="inlineStr">
        <is>
          <t>Britainnia</t>
        </is>
      </c>
      <c r="K29" s="15" t="inlineStr">
        <is>
          <t>MAS AMITY PTE LTD</t>
        </is>
      </c>
      <c r="L29" s="16" t="inlineStr">
        <is>
          <t>MAS Active (Pvt) Ltd – Shadowline</t>
        </is>
      </c>
      <c r="M29" s="15" t="inlineStr">
        <is>
          <t>N</t>
        </is>
      </c>
      <c r="N29" s="17" t="n">
        <v>454893442911</v>
      </c>
      <c r="O29" s="15" t="n">
        <v>19814204</v>
      </c>
      <c r="P29" s="18" t="inlineStr">
        <is>
          <t>LW1DUDS</t>
        </is>
      </c>
      <c r="Q29" s="18" t="n">
        <v>2</v>
      </c>
      <c r="R29" s="18" t="n">
        <v>0.118</v>
      </c>
      <c r="S29" s="15" t="n">
        <v>9.895</v>
      </c>
      <c r="T29" s="16" t="n">
        <v>45824</v>
      </c>
      <c r="U29" s="19" t="n">
        <v>45883</v>
      </c>
      <c r="V29" s="16" t="n">
        <v>45824</v>
      </c>
      <c r="W29" s="16" t="n">
        <v>45826</v>
      </c>
      <c r="X29" s="57">
        <f>W29-1</f>
        <v/>
      </c>
      <c r="Y29" s="63" t="n">
        <v>45832</v>
      </c>
      <c r="Z29" s="67" t="n">
        <v>45863</v>
      </c>
      <c r="AA29" s="71">
        <f>Z29+7</f>
        <v/>
      </c>
      <c r="AB29" s="20">
        <f>AA29-U29</f>
        <v/>
      </c>
      <c r="AC29" s="20" t="inlineStr">
        <is>
          <t>No</t>
        </is>
      </c>
      <c r="AD29" s="21" t="inlineStr">
        <is>
          <t>1 HBL</t>
        </is>
      </c>
      <c r="AE29" s="21" t="n"/>
      <c r="AF29" s="22" t="inlineStr">
        <is>
          <t>LW</t>
        </is>
      </c>
      <c r="AG29" s="23" t="inlineStr">
        <is>
          <t>NAC</t>
        </is>
      </c>
      <c r="AH29" s="24" t="n"/>
      <c r="AN29" s="24" t="n"/>
    </row>
    <row r="30" ht="12.75" customHeight="1">
      <c r="A30" s="29" t="inlineStr">
        <is>
          <t>3254118 Total</t>
        </is>
      </c>
      <c r="B30" s="29" t="inlineStr">
        <is>
          <t>3254118 Total</t>
        </is>
      </c>
      <c r="C30" s="29" t="n"/>
      <c r="D30" s="29" t="n"/>
      <c r="E30" s="29" t="n"/>
      <c r="F30" s="29" t="n"/>
      <c r="G30" s="30" t="n"/>
      <c r="H30" s="31" t="n"/>
      <c r="I30" s="29" t="n"/>
      <c r="J30" s="29" t="n"/>
      <c r="K30" s="29" t="n"/>
      <c r="L30" s="31" t="n"/>
      <c r="M30" s="29" t="n"/>
      <c r="N30" s="32" t="n"/>
      <c r="O30" s="29" t="n"/>
      <c r="P30" s="33" t="n"/>
      <c r="Q30" s="33">
        <f>SUM(Q2:Q29)</f>
        <v/>
      </c>
      <c r="R30" s="33">
        <f>SUM(R2:R29)</f>
        <v/>
      </c>
      <c r="S30" s="33">
        <f>SUM(S2:S29)</f>
        <v/>
      </c>
      <c r="T30" s="31" t="n"/>
      <c r="U30" s="34" t="n"/>
      <c r="V30" s="31" t="n"/>
      <c r="W30" s="35" t="n"/>
      <c r="X30" s="58" t="n"/>
      <c r="Y30" s="64" t="n"/>
      <c r="Z30" s="68" t="n"/>
      <c r="AA30" s="72" t="n"/>
      <c r="AB30" s="36" t="n"/>
      <c r="AC30" s="36" t="n"/>
      <c r="AD30" s="37" t="n"/>
      <c r="AE30" s="37" t="n"/>
      <c r="AF30" s="38" t="n"/>
      <c r="AG30" s="37" t="n"/>
      <c r="AH30" s="36" t="n"/>
      <c r="AI30" s="29" t="n"/>
      <c r="AJ30" s="29" t="n"/>
      <c r="AK30" s="29" t="n"/>
      <c r="AL30" s="29" t="n"/>
      <c r="AM30" s="29" t="n"/>
      <c r="AN30" s="36" t="n"/>
      <c r="AO30" s="29" t="n"/>
      <c r="AP30" s="29" t="n"/>
    </row>
    <row r="31" ht="12.75" customHeight="1">
      <c r="A31" s="15" t="n">
        <v>3254120</v>
      </c>
      <c r="B31" s="15" t="inlineStr">
        <is>
          <t>Flexport</t>
        </is>
      </c>
      <c r="C31" s="15" t="inlineStr">
        <is>
          <t>Colombo, LK</t>
        </is>
      </c>
      <c r="D31" s="15" t="inlineStr">
        <is>
          <t>Rotterdam, NL</t>
        </is>
      </c>
      <c r="E31" s="15" t="inlineStr">
        <is>
          <t>Rotterdam, NL</t>
        </is>
      </c>
      <c r="F31" s="15" t="inlineStr">
        <is>
          <t>OCEAN</t>
        </is>
      </c>
      <c r="G31" s="39" t="inlineStr">
        <is>
          <t>B. 1 x 20ft</t>
        </is>
      </c>
      <c r="H31" s="39" t="inlineStr">
        <is>
          <t>CFS/CY</t>
        </is>
      </c>
      <c r="I31" s="39" t="inlineStr">
        <is>
          <t>ONE</t>
        </is>
      </c>
      <c r="J31" s="39" t="inlineStr">
        <is>
          <t>IO3</t>
        </is>
      </c>
      <c r="K31" s="15" t="inlineStr">
        <is>
          <t>Inqube Global (PVT) Ltd</t>
        </is>
      </c>
      <c r="L31" s="16" t="inlineStr">
        <is>
          <t>BRANDIX APPAREL SOLUTION LTD - GIRITALE</t>
        </is>
      </c>
      <c r="M31" s="15" t="inlineStr">
        <is>
          <t>N</t>
        </is>
      </c>
      <c r="N31" s="17" t="n">
        <v>452517869906</v>
      </c>
      <c r="O31" s="15" t="n">
        <v>19849782</v>
      </c>
      <c r="P31" s="18" t="inlineStr">
        <is>
          <t>LM5BL3S</t>
        </is>
      </c>
      <c r="Q31" s="18" t="n">
        <v>1</v>
      </c>
      <c r="R31" s="18" t="n">
        <v>0.043</v>
      </c>
      <c r="S31" s="15" t="n">
        <v>10.52</v>
      </c>
      <c r="T31" s="16" t="n">
        <v>45824</v>
      </c>
      <c r="U31" s="19" t="n">
        <v>45878</v>
      </c>
      <c r="V31" s="19" t="n">
        <v>45824</v>
      </c>
      <c r="W31" s="19" t="n">
        <v>45826</v>
      </c>
      <c r="X31" s="59">
        <f>W31-1</f>
        <v/>
      </c>
      <c r="Y31" s="63" t="n">
        <v>45831</v>
      </c>
      <c r="Z31" s="67" t="n">
        <v>45859</v>
      </c>
      <c r="AA31" s="71">
        <f>Z31+7</f>
        <v/>
      </c>
      <c r="AB31" s="20">
        <f>AA31-U31</f>
        <v/>
      </c>
      <c r="AC31" s="20" t="inlineStr">
        <is>
          <t>No</t>
        </is>
      </c>
      <c r="AD31" s="21" t="inlineStr">
        <is>
          <t>1 HBL</t>
        </is>
      </c>
      <c r="AE31" s="21" t="n"/>
      <c r="AF31" s="22" t="inlineStr">
        <is>
          <t>LW</t>
        </is>
      </c>
      <c r="AG31" s="23" t="inlineStr">
        <is>
          <t>NAC</t>
        </is>
      </c>
      <c r="AH31" s="24" t="n"/>
      <c r="AN31" s="24" t="n"/>
    </row>
    <row r="32" ht="12.75" customHeight="1">
      <c r="A32" s="15" t="n">
        <v>3254120</v>
      </c>
      <c r="B32" s="15" t="inlineStr">
        <is>
          <t>Flexport</t>
        </is>
      </c>
      <c r="C32" s="15" t="inlineStr">
        <is>
          <t>Colombo, LK</t>
        </is>
      </c>
      <c r="D32" s="15" t="inlineStr">
        <is>
          <t>Rotterdam, NL</t>
        </is>
      </c>
      <c r="E32" s="15" t="inlineStr">
        <is>
          <t>Rotterdam, NL</t>
        </is>
      </c>
      <c r="F32" s="15" t="inlineStr">
        <is>
          <t>OCEAN</t>
        </is>
      </c>
      <c r="G32" s="39" t="inlineStr">
        <is>
          <t>B. 1 x 20ft</t>
        </is>
      </c>
      <c r="H32" s="39" t="inlineStr">
        <is>
          <t>CFS/CY</t>
        </is>
      </c>
      <c r="I32" s="39" t="inlineStr">
        <is>
          <t>ONE</t>
        </is>
      </c>
      <c r="J32" s="39" t="inlineStr">
        <is>
          <t>IO3</t>
        </is>
      </c>
      <c r="K32" s="15" t="inlineStr">
        <is>
          <t>Inqube Global (PVT) Ltd</t>
        </is>
      </c>
      <c r="L32" s="16" t="inlineStr">
        <is>
          <t>BRANDIX APPAREL SOLUTION LTD - GIRITALE</t>
        </is>
      </c>
      <c r="M32" s="15" t="inlineStr">
        <is>
          <t>N</t>
        </is>
      </c>
      <c r="N32" s="17" t="n">
        <v>452502648506</v>
      </c>
      <c r="O32" s="15" t="n">
        <v>19807139</v>
      </c>
      <c r="P32" s="18" t="inlineStr">
        <is>
          <t>LM5BKOS</t>
        </is>
      </c>
      <c r="Q32" s="18" t="n">
        <v>8</v>
      </c>
      <c r="R32" s="18" t="n">
        <v>0.66</v>
      </c>
      <c r="S32" s="15" t="n">
        <v>135.78</v>
      </c>
      <c r="T32" s="16" t="n">
        <v>45824</v>
      </c>
      <c r="U32" s="19" t="n">
        <v>45878</v>
      </c>
      <c r="V32" s="16" t="n">
        <v>45824</v>
      </c>
      <c r="W32" s="16" t="n">
        <v>45826</v>
      </c>
      <c r="X32" s="57">
        <f>W32-1</f>
        <v/>
      </c>
      <c r="Y32" s="63" t="n">
        <v>45831</v>
      </c>
      <c r="Z32" s="67" t="n">
        <v>45859</v>
      </c>
      <c r="AA32" s="71">
        <f>Z32+7</f>
        <v/>
      </c>
      <c r="AB32" s="20">
        <f>AA32-U32</f>
        <v/>
      </c>
      <c r="AC32" s="20" t="inlineStr">
        <is>
          <t>No</t>
        </is>
      </c>
      <c r="AD32" s="21" t="inlineStr">
        <is>
          <t>1 HBL</t>
        </is>
      </c>
      <c r="AE32" s="21" t="n"/>
      <c r="AF32" s="22" t="inlineStr">
        <is>
          <t>LW</t>
        </is>
      </c>
      <c r="AG32" s="23" t="inlineStr">
        <is>
          <t>NAC</t>
        </is>
      </c>
      <c r="AH32" s="24" t="n"/>
      <c r="AN32" s="24" t="n"/>
    </row>
    <row r="33" ht="12.75" customHeight="1">
      <c r="A33" s="15" t="n">
        <v>3254120</v>
      </c>
      <c r="B33" s="15" t="inlineStr">
        <is>
          <t>Flexport</t>
        </is>
      </c>
      <c r="C33" s="15" t="inlineStr">
        <is>
          <t>Colombo, LK</t>
        </is>
      </c>
      <c r="D33" s="15" t="inlineStr">
        <is>
          <t>Rotterdam, NL</t>
        </is>
      </c>
      <c r="E33" s="15" t="inlineStr">
        <is>
          <t>Rotterdam, NL</t>
        </is>
      </c>
      <c r="F33" s="15" t="inlineStr">
        <is>
          <t>OCEAN</t>
        </is>
      </c>
      <c r="G33" s="39" t="inlineStr">
        <is>
          <t>B. 1 x 20ft</t>
        </is>
      </c>
      <c r="H33" s="39" t="inlineStr">
        <is>
          <t>CFS/CY</t>
        </is>
      </c>
      <c r="I33" s="39" t="inlineStr">
        <is>
          <t>ONE</t>
        </is>
      </c>
      <c r="J33" s="39" t="inlineStr">
        <is>
          <t>IO3</t>
        </is>
      </c>
      <c r="K33" s="15" t="inlineStr">
        <is>
          <t>Inqube Global (PVT) Ltd</t>
        </is>
      </c>
      <c r="L33" s="16" t="inlineStr">
        <is>
          <t>BRANDIX APPAREL SOLUTION LTD - GIRITALE</t>
        </is>
      </c>
      <c r="M33" s="15" t="inlineStr">
        <is>
          <t>N</t>
        </is>
      </c>
      <c r="N33" s="17" t="n">
        <v>452503031553</v>
      </c>
      <c r="O33" s="15" t="n">
        <v>19807149</v>
      </c>
      <c r="P33" s="18" t="inlineStr">
        <is>
          <t>LM5BKOS</t>
        </is>
      </c>
      <c r="Q33" s="18" t="n">
        <v>4</v>
      </c>
      <c r="R33" s="18" t="n">
        <v>0.29</v>
      </c>
      <c r="S33" s="15" t="n">
        <v>60.89</v>
      </c>
      <c r="T33" s="16" t="n">
        <v>45824</v>
      </c>
      <c r="U33" s="19" t="n">
        <v>45878</v>
      </c>
      <c r="V33" s="16" t="n">
        <v>45824</v>
      </c>
      <c r="W33" s="16" t="n">
        <v>45826</v>
      </c>
      <c r="X33" s="57">
        <f>W33-1</f>
        <v/>
      </c>
      <c r="Y33" s="63" t="n">
        <v>45831</v>
      </c>
      <c r="Z33" s="67" t="n">
        <v>45859</v>
      </c>
      <c r="AA33" s="71">
        <f>Z33+7</f>
        <v/>
      </c>
      <c r="AB33" s="20">
        <f>AA33-U33</f>
        <v/>
      </c>
      <c r="AC33" s="20" t="inlineStr">
        <is>
          <t>No</t>
        </is>
      </c>
      <c r="AD33" s="21" t="inlineStr">
        <is>
          <t>1 HBL</t>
        </is>
      </c>
      <c r="AE33" s="21" t="n"/>
      <c r="AF33" s="22" t="inlineStr">
        <is>
          <t>LW</t>
        </is>
      </c>
      <c r="AG33" s="23" t="inlineStr">
        <is>
          <t>NAC</t>
        </is>
      </c>
      <c r="AH33" s="24" t="n"/>
      <c r="AN33" s="24" t="n"/>
    </row>
    <row r="34" ht="12.75" customHeight="1">
      <c r="A34" s="15" t="n">
        <v>3254120</v>
      </c>
      <c r="B34" s="15" t="inlineStr">
        <is>
          <t>Flexport</t>
        </is>
      </c>
      <c r="C34" s="15" t="inlineStr">
        <is>
          <t>Colombo, LK</t>
        </is>
      </c>
      <c r="D34" s="15" t="inlineStr">
        <is>
          <t>Rotterdam, NL</t>
        </is>
      </c>
      <c r="E34" s="15" t="inlineStr">
        <is>
          <t>Rotterdam, NL</t>
        </is>
      </c>
      <c r="F34" s="15" t="inlineStr">
        <is>
          <t>OCEAN</t>
        </is>
      </c>
      <c r="G34" s="39" t="inlineStr">
        <is>
          <t>B. 1 x 20ft</t>
        </is>
      </c>
      <c r="H34" s="39" t="inlineStr">
        <is>
          <t>CFS/CY</t>
        </is>
      </c>
      <c r="I34" s="39" t="inlineStr">
        <is>
          <t>ONE</t>
        </is>
      </c>
      <c r="J34" s="39" t="inlineStr">
        <is>
          <t>IO3</t>
        </is>
      </c>
      <c r="K34" s="15" t="inlineStr">
        <is>
          <t>Inqube Global (PVT) Ltd</t>
        </is>
      </c>
      <c r="L34" s="16" t="inlineStr">
        <is>
          <t>BRANDIX APPAREL SOLUTION LTD - GIRITALE</t>
        </is>
      </c>
      <c r="M34" s="15" t="inlineStr">
        <is>
          <t>N</t>
        </is>
      </c>
      <c r="N34" s="17" t="n">
        <v>452503337572</v>
      </c>
      <c r="O34" s="15" t="n">
        <v>19807143</v>
      </c>
      <c r="P34" s="18" t="inlineStr">
        <is>
          <t>LM5BKOS</t>
        </is>
      </c>
      <c r="Q34" s="18" t="n">
        <v>8</v>
      </c>
      <c r="R34" s="18" t="n">
        <v>0.58</v>
      </c>
      <c r="S34" s="15" t="n">
        <v>109.8</v>
      </c>
      <c r="T34" s="16" t="n">
        <v>45824</v>
      </c>
      <c r="U34" s="19" t="n">
        <v>45878</v>
      </c>
      <c r="V34" s="16" t="n">
        <v>45824</v>
      </c>
      <c r="W34" s="16" t="n">
        <v>45826</v>
      </c>
      <c r="X34" s="57">
        <f>W34-1</f>
        <v/>
      </c>
      <c r="Y34" s="63" t="n">
        <v>45831</v>
      </c>
      <c r="Z34" s="67" t="n">
        <v>45859</v>
      </c>
      <c r="AA34" s="71">
        <f>Z34+7</f>
        <v/>
      </c>
      <c r="AB34" s="20">
        <f>AA34-U34</f>
        <v/>
      </c>
      <c r="AC34" s="20" t="inlineStr">
        <is>
          <t>No</t>
        </is>
      </c>
      <c r="AD34" s="21" t="inlineStr">
        <is>
          <t>1 HBL</t>
        </is>
      </c>
      <c r="AE34" s="21" t="n"/>
      <c r="AF34" s="22" t="inlineStr">
        <is>
          <t>LW</t>
        </is>
      </c>
      <c r="AG34" s="23" t="inlineStr">
        <is>
          <t>NAC</t>
        </is>
      </c>
      <c r="AH34" s="24" t="n"/>
      <c r="AN34" s="24" t="n"/>
    </row>
    <row r="35" ht="12.75" customHeight="1">
      <c r="A35" s="15" t="n">
        <v>3254120</v>
      </c>
      <c r="B35" s="15" t="inlineStr">
        <is>
          <t>Flexport</t>
        </is>
      </c>
      <c r="C35" s="15" t="inlineStr">
        <is>
          <t>Colombo, LK</t>
        </is>
      </c>
      <c r="D35" s="15" t="inlineStr">
        <is>
          <t>Rotterdam, NL</t>
        </is>
      </c>
      <c r="E35" s="15" t="inlineStr">
        <is>
          <t>Rotterdam, NL</t>
        </is>
      </c>
      <c r="F35" s="15" t="inlineStr">
        <is>
          <t>OCEAN</t>
        </is>
      </c>
      <c r="G35" s="39" t="inlineStr">
        <is>
          <t>B. 1 x 20ft</t>
        </is>
      </c>
      <c r="H35" s="39" t="inlineStr">
        <is>
          <t>CFS/CY</t>
        </is>
      </c>
      <c r="I35" s="39" t="inlineStr">
        <is>
          <t>ONE</t>
        </is>
      </c>
      <c r="J35" s="39" t="inlineStr">
        <is>
          <t>IO3</t>
        </is>
      </c>
      <c r="K35" s="15" t="inlineStr">
        <is>
          <t>Inqube Global (PVT) Ltd</t>
        </is>
      </c>
      <c r="L35" s="16" t="inlineStr">
        <is>
          <t>BRANDIX APPAREL SOLUTION LTD - GIRITALE</t>
        </is>
      </c>
      <c r="M35" s="15" t="inlineStr">
        <is>
          <t>N</t>
        </is>
      </c>
      <c r="N35" s="17" t="n">
        <v>452503346259</v>
      </c>
      <c r="O35" s="15" t="n">
        <v>19807151</v>
      </c>
      <c r="P35" s="18" t="inlineStr">
        <is>
          <t>LM5BL3S</t>
        </is>
      </c>
      <c r="Q35" s="18" t="n">
        <v>1</v>
      </c>
      <c r="R35" s="18" t="n">
        <v>0.043</v>
      </c>
      <c r="S35" s="15" t="n">
        <v>6.96</v>
      </c>
      <c r="T35" s="16" t="n">
        <v>45824</v>
      </c>
      <c r="U35" s="19" t="n">
        <v>45878</v>
      </c>
      <c r="V35" s="16" t="n">
        <v>45824</v>
      </c>
      <c r="W35" s="16" t="n">
        <v>45826</v>
      </c>
      <c r="X35" s="57">
        <f>W35-1</f>
        <v/>
      </c>
      <c r="Y35" s="63" t="n">
        <v>45831</v>
      </c>
      <c r="Z35" s="67" t="n">
        <v>45859</v>
      </c>
      <c r="AA35" s="71">
        <f>Z35+7</f>
        <v/>
      </c>
      <c r="AB35" s="20">
        <f>AA35-U35</f>
        <v/>
      </c>
      <c r="AC35" s="20" t="inlineStr">
        <is>
          <t>No</t>
        </is>
      </c>
      <c r="AD35" s="21" t="inlineStr">
        <is>
          <t>1 HBL</t>
        </is>
      </c>
      <c r="AE35" s="21" t="n"/>
      <c r="AF35" s="22" t="inlineStr">
        <is>
          <t>LW</t>
        </is>
      </c>
      <c r="AG35" s="23" t="inlineStr">
        <is>
          <t>NAC</t>
        </is>
      </c>
      <c r="AH35" s="24" t="n"/>
      <c r="AN35" s="24" t="n"/>
    </row>
    <row r="36" ht="12.75" customHeight="1">
      <c r="A36" s="15" t="n">
        <v>3254120</v>
      </c>
      <c r="B36" s="15" t="inlineStr">
        <is>
          <t>Flexport</t>
        </is>
      </c>
      <c r="C36" s="15" t="inlineStr">
        <is>
          <t>Colombo, LK</t>
        </is>
      </c>
      <c r="D36" s="15" t="inlineStr">
        <is>
          <t>Rotterdam, NL</t>
        </is>
      </c>
      <c r="E36" s="15" t="inlineStr">
        <is>
          <t>Rotterdam, NL</t>
        </is>
      </c>
      <c r="F36" s="15" t="inlineStr">
        <is>
          <t>OCEAN</t>
        </is>
      </c>
      <c r="G36" s="39" t="inlineStr">
        <is>
          <t>B. 1 x 20ft</t>
        </is>
      </c>
      <c r="H36" s="39" t="inlineStr">
        <is>
          <t>CFS/CY</t>
        </is>
      </c>
      <c r="I36" s="39" t="inlineStr">
        <is>
          <t>ONE</t>
        </is>
      </c>
      <c r="J36" s="39" t="inlineStr">
        <is>
          <t>IO3</t>
        </is>
      </c>
      <c r="K36" s="15" t="inlineStr">
        <is>
          <t>Inqube Global (PVT) Ltd</t>
        </is>
      </c>
      <c r="L36" s="16" t="inlineStr">
        <is>
          <t>BRANDIX APPAREL SOLUTION LTD - GIRITALE</t>
        </is>
      </c>
      <c r="M36" s="15" t="inlineStr">
        <is>
          <t>N</t>
        </is>
      </c>
      <c r="N36" s="17" t="n">
        <v>452517307998</v>
      </c>
      <c r="O36" s="15" t="n">
        <v>19856636</v>
      </c>
      <c r="P36" s="18" t="inlineStr">
        <is>
          <t>LM5BKOS</t>
        </is>
      </c>
      <c r="Q36" s="18" t="n">
        <v>7</v>
      </c>
      <c r="R36" s="18" t="n">
        <v>0.498</v>
      </c>
      <c r="S36" s="15" t="n">
        <v>101.39</v>
      </c>
      <c r="T36" s="16" t="n">
        <v>45824</v>
      </c>
      <c r="U36" s="19" t="n">
        <v>45878</v>
      </c>
      <c r="V36" s="16" t="n">
        <v>45824</v>
      </c>
      <c r="W36" s="16" t="n">
        <v>45826</v>
      </c>
      <c r="X36" s="57">
        <f>W36-1</f>
        <v/>
      </c>
      <c r="Y36" s="63" t="n">
        <v>45831</v>
      </c>
      <c r="Z36" s="67" t="n">
        <v>45859</v>
      </c>
      <c r="AA36" s="71">
        <f>Z36+7</f>
        <v/>
      </c>
      <c r="AB36" s="20">
        <f>AA36-U36</f>
        <v/>
      </c>
      <c r="AC36" s="20" t="inlineStr">
        <is>
          <t>No</t>
        </is>
      </c>
      <c r="AD36" s="21" t="inlineStr">
        <is>
          <t>1 HBL</t>
        </is>
      </c>
      <c r="AE36" s="21" t="n"/>
      <c r="AF36" s="22" t="inlineStr">
        <is>
          <t>LW</t>
        </is>
      </c>
      <c r="AG36" s="23" t="inlineStr">
        <is>
          <t>NAC</t>
        </is>
      </c>
      <c r="AH36" s="24" t="n"/>
      <c r="AN36" s="24" t="n"/>
    </row>
    <row r="37" ht="12.75" customHeight="1">
      <c r="A37" s="15" t="n">
        <v>3254120</v>
      </c>
      <c r="B37" s="15" t="inlineStr">
        <is>
          <t>Flexport</t>
        </is>
      </c>
      <c r="C37" s="15" t="inlineStr">
        <is>
          <t>Colombo, LK</t>
        </is>
      </c>
      <c r="D37" s="15" t="inlineStr">
        <is>
          <t>Rotterdam, NL</t>
        </is>
      </c>
      <c r="E37" s="15" t="inlineStr">
        <is>
          <t>Rotterdam, NL</t>
        </is>
      </c>
      <c r="F37" s="15" t="inlineStr">
        <is>
          <t>OCEAN</t>
        </is>
      </c>
      <c r="G37" s="39" t="inlineStr">
        <is>
          <t>B. 1 x 20ft</t>
        </is>
      </c>
      <c r="H37" s="39" t="inlineStr">
        <is>
          <t>CFS/CY</t>
        </is>
      </c>
      <c r="I37" s="39" t="inlineStr">
        <is>
          <t>ONE</t>
        </is>
      </c>
      <c r="J37" s="39" t="inlineStr">
        <is>
          <t>IO3</t>
        </is>
      </c>
      <c r="K37" s="15" t="inlineStr">
        <is>
          <t>Inqube Global (PVT) Ltd</t>
        </is>
      </c>
      <c r="L37" s="16" t="inlineStr">
        <is>
          <t>BRANDIX APPAREL SOLUTION LTD - GIRITALE</t>
        </is>
      </c>
      <c r="M37" s="15" t="inlineStr">
        <is>
          <t>N</t>
        </is>
      </c>
      <c r="N37" s="17" t="n">
        <v>452517688487</v>
      </c>
      <c r="O37" s="15" t="n">
        <v>19856637</v>
      </c>
      <c r="P37" s="18" t="inlineStr">
        <is>
          <t>LM5BKOS</t>
        </is>
      </c>
      <c r="Q37" s="18" t="n">
        <v>3</v>
      </c>
      <c r="R37" s="18" t="n">
        <v>0.248</v>
      </c>
      <c r="S37" s="15" t="n">
        <v>45.67</v>
      </c>
      <c r="T37" s="16" t="n">
        <v>45824</v>
      </c>
      <c r="U37" s="19" t="n">
        <v>45878</v>
      </c>
      <c r="V37" s="16" t="n">
        <v>45824</v>
      </c>
      <c r="W37" s="16" t="n">
        <v>45826</v>
      </c>
      <c r="X37" s="57">
        <f>W37-1</f>
        <v/>
      </c>
      <c r="Y37" s="63" t="n">
        <v>45831</v>
      </c>
      <c r="Z37" s="67" t="n">
        <v>45859</v>
      </c>
      <c r="AA37" s="71">
        <f>Z37+7</f>
        <v/>
      </c>
      <c r="AB37" s="20">
        <f>AA37-U37</f>
        <v/>
      </c>
      <c r="AC37" s="20" t="inlineStr">
        <is>
          <t>No</t>
        </is>
      </c>
      <c r="AD37" s="21" t="inlineStr">
        <is>
          <t>1 HBL</t>
        </is>
      </c>
      <c r="AE37" s="21" t="n"/>
      <c r="AF37" s="22" t="inlineStr">
        <is>
          <t>LW</t>
        </is>
      </c>
      <c r="AG37" s="23" t="inlineStr">
        <is>
          <t>NAC</t>
        </is>
      </c>
      <c r="AH37" s="24" t="n"/>
      <c r="AN37" s="24" t="n"/>
    </row>
    <row r="38" ht="12.75" customHeight="1">
      <c r="A38" s="15" t="n">
        <v>3254120</v>
      </c>
      <c r="B38" s="15" t="inlineStr">
        <is>
          <t>Flexport</t>
        </is>
      </c>
      <c r="C38" s="15" t="inlineStr">
        <is>
          <t>Colombo, LK</t>
        </is>
      </c>
      <c r="D38" s="15" t="inlineStr">
        <is>
          <t>Rotterdam, NL</t>
        </is>
      </c>
      <c r="E38" s="15" t="inlineStr">
        <is>
          <t>Rotterdam, NL</t>
        </is>
      </c>
      <c r="F38" s="15" t="inlineStr">
        <is>
          <t>OCEAN</t>
        </is>
      </c>
      <c r="G38" s="39" t="inlineStr">
        <is>
          <t>B. 1 x 20ft</t>
        </is>
      </c>
      <c r="H38" s="39" t="inlineStr">
        <is>
          <t>CFS/CY</t>
        </is>
      </c>
      <c r="I38" s="39" t="inlineStr">
        <is>
          <t>ONE</t>
        </is>
      </c>
      <c r="J38" s="39" t="inlineStr">
        <is>
          <t>IO3</t>
        </is>
      </c>
      <c r="K38" s="15" t="inlineStr">
        <is>
          <t>Inqube Global (PVT) Ltd</t>
        </is>
      </c>
      <c r="L38" s="16" t="inlineStr">
        <is>
          <t>BRANDIX APPAREL SOLUTION LTD - GIRITALE</t>
        </is>
      </c>
      <c r="M38" s="15" t="inlineStr">
        <is>
          <t>N</t>
        </is>
      </c>
      <c r="N38" s="17" t="n">
        <v>452518357641</v>
      </c>
      <c r="O38" s="15" t="n">
        <v>19849780</v>
      </c>
      <c r="P38" s="18" t="inlineStr">
        <is>
          <t>LM5BL3S</t>
        </is>
      </c>
      <c r="Q38" s="18" t="n">
        <v>1</v>
      </c>
      <c r="R38" s="18" t="n">
        <v>0.083</v>
      </c>
      <c r="S38" s="15" t="n">
        <v>12.59</v>
      </c>
      <c r="T38" s="16" t="n">
        <v>45824</v>
      </c>
      <c r="U38" s="19" t="n">
        <v>45878</v>
      </c>
      <c r="V38" s="16" t="n">
        <v>45824</v>
      </c>
      <c r="W38" s="16" t="n">
        <v>45826</v>
      </c>
      <c r="X38" s="57">
        <f>W38-1</f>
        <v/>
      </c>
      <c r="Y38" s="63" t="n">
        <v>45831</v>
      </c>
      <c r="Z38" s="67" t="n">
        <v>45859</v>
      </c>
      <c r="AA38" s="71">
        <f>Z38+7</f>
        <v/>
      </c>
      <c r="AB38" s="20">
        <f>AA38-U38</f>
        <v/>
      </c>
      <c r="AC38" s="20" t="inlineStr">
        <is>
          <t>No</t>
        </is>
      </c>
      <c r="AD38" s="21" t="inlineStr">
        <is>
          <t>1 HBL</t>
        </is>
      </c>
      <c r="AE38" s="21" t="n"/>
      <c r="AF38" s="22" t="inlineStr">
        <is>
          <t>LW</t>
        </is>
      </c>
      <c r="AG38" s="23" t="inlineStr">
        <is>
          <t>NAC</t>
        </is>
      </c>
      <c r="AH38" s="24" t="n"/>
      <c r="AN38" s="24" t="n"/>
    </row>
    <row r="39" ht="16.5" customHeight="1">
      <c r="A39" s="15" t="n">
        <v>3254120</v>
      </c>
      <c r="B39" s="15" t="inlineStr">
        <is>
          <t>Flexport</t>
        </is>
      </c>
      <c r="C39" s="15" t="inlineStr">
        <is>
          <t>Colombo, LK</t>
        </is>
      </c>
      <c r="D39" s="15" t="inlineStr">
        <is>
          <t>Rotterdam, NL</t>
        </is>
      </c>
      <c r="E39" s="15" t="inlineStr">
        <is>
          <t>Rotterdam, NL</t>
        </is>
      </c>
      <c r="F39" s="15" t="inlineStr">
        <is>
          <t>OCEAN</t>
        </is>
      </c>
      <c r="G39" s="39" t="inlineStr">
        <is>
          <t>B. 1 x 20ft</t>
        </is>
      </c>
      <c r="H39" s="39" t="inlineStr">
        <is>
          <t>CFS/CY</t>
        </is>
      </c>
      <c r="I39" s="39" t="inlineStr">
        <is>
          <t>ONE</t>
        </is>
      </c>
      <c r="J39" s="39" t="inlineStr">
        <is>
          <t>IO3</t>
        </is>
      </c>
      <c r="K39" s="15" t="inlineStr">
        <is>
          <t>Inqube Global (PVT) Ltd</t>
        </is>
      </c>
      <c r="L39" s="16" t="inlineStr">
        <is>
          <t>Brandix Apparel Solutions Limited - Minuwangoda</t>
        </is>
      </c>
      <c r="M39" s="15" t="inlineStr">
        <is>
          <t>N</t>
        </is>
      </c>
      <c r="N39" s="17" t="n">
        <v>452015706494</v>
      </c>
      <c r="O39" s="15" t="n">
        <v>19854987</v>
      </c>
      <c r="P39" s="18" t="inlineStr">
        <is>
          <t>LW5GLNS</t>
        </is>
      </c>
      <c r="Q39" s="18" t="n">
        <v>3</v>
      </c>
      <c r="R39" s="18" t="n">
        <v>0.236</v>
      </c>
      <c r="S39" s="15" t="n">
        <v>17.9</v>
      </c>
      <c r="T39" s="16" t="n">
        <v>45824</v>
      </c>
      <c r="U39" s="19" t="n">
        <v>45878</v>
      </c>
      <c r="V39" s="16" t="n">
        <v>45824</v>
      </c>
      <c r="W39" s="16" t="n">
        <v>45826</v>
      </c>
      <c r="X39" s="57">
        <f>W39-1</f>
        <v/>
      </c>
      <c r="Y39" s="63" t="n">
        <v>45831</v>
      </c>
      <c r="Z39" s="67" t="n">
        <v>45859</v>
      </c>
      <c r="AA39" s="71">
        <f>Z39+7</f>
        <v/>
      </c>
      <c r="AB39" s="20">
        <f>AA39-U39</f>
        <v/>
      </c>
      <c r="AC39" s="20" t="inlineStr">
        <is>
          <t>No</t>
        </is>
      </c>
      <c r="AD39" s="21" t="inlineStr">
        <is>
          <t>1 HBL</t>
        </is>
      </c>
      <c r="AE39" s="21" t="n"/>
      <c r="AF39" s="22" t="inlineStr">
        <is>
          <t>LW</t>
        </is>
      </c>
      <c r="AG39" s="23" t="inlineStr">
        <is>
          <t>NAC</t>
        </is>
      </c>
      <c r="AN39" s="24" t="n"/>
    </row>
    <row r="40" ht="12.75" customHeight="1">
      <c r="A40" s="15" t="n">
        <v>3254120</v>
      </c>
      <c r="B40" s="15" t="inlineStr">
        <is>
          <t>Flexport</t>
        </is>
      </c>
      <c r="C40" s="15" t="inlineStr">
        <is>
          <t>Colombo, LK</t>
        </is>
      </c>
      <c r="D40" s="15" t="inlineStr">
        <is>
          <t>Rotterdam, NL</t>
        </is>
      </c>
      <c r="E40" s="15" t="inlineStr">
        <is>
          <t>Rotterdam, NL</t>
        </is>
      </c>
      <c r="F40" s="15" t="inlineStr">
        <is>
          <t>OCEAN</t>
        </is>
      </c>
      <c r="G40" s="39" t="inlineStr">
        <is>
          <t>B. 1 x 20ft</t>
        </is>
      </c>
      <c r="H40" s="39" t="inlineStr">
        <is>
          <t>CFS/CY</t>
        </is>
      </c>
      <c r="I40" s="39" t="inlineStr">
        <is>
          <t>ONE</t>
        </is>
      </c>
      <c r="J40" s="39" t="inlineStr">
        <is>
          <t>IO3</t>
        </is>
      </c>
      <c r="K40" s="15" t="inlineStr">
        <is>
          <t>Inqube Global (PVT) Ltd</t>
        </is>
      </c>
      <c r="L40" s="16" t="inlineStr">
        <is>
          <t>Quantum Clothing Lanka (Pvt) Ltd</t>
        </is>
      </c>
      <c r="M40" s="15" t="inlineStr">
        <is>
          <t>N</t>
        </is>
      </c>
      <c r="N40" s="17" t="n">
        <v>452032527956</v>
      </c>
      <c r="O40" s="15" t="n">
        <v>19727214</v>
      </c>
      <c r="P40" s="18" t="inlineStr">
        <is>
          <t>LW2E01S</t>
        </is>
      </c>
      <c r="Q40" s="18" t="n">
        <v>65</v>
      </c>
      <c r="R40" s="18" t="n">
        <v>5.418</v>
      </c>
      <c r="S40" s="15" t="n">
        <v>226.036</v>
      </c>
      <c r="T40" s="16" t="n">
        <v>45824</v>
      </c>
      <c r="U40" s="19" t="n">
        <v>45878</v>
      </c>
      <c r="V40" s="16" t="n">
        <v>45824</v>
      </c>
      <c r="W40" s="16" t="n">
        <v>45826</v>
      </c>
      <c r="X40" s="57">
        <f>W40-1</f>
        <v/>
      </c>
      <c r="Y40" s="63" t="n">
        <v>45831</v>
      </c>
      <c r="Z40" s="67" t="n">
        <v>45859</v>
      </c>
      <c r="AA40" s="71">
        <f>Z40+7</f>
        <v/>
      </c>
      <c r="AB40" s="20">
        <f>AA40-U40</f>
        <v/>
      </c>
      <c r="AC40" s="20" t="inlineStr">
        <is>
          <t>No</t>
        </is>
      </c>
      <c r="AD40" s="21" t="inlineStr">
        <is>
          <t>1 HBL</t>
        </is>
      </c>
      <c r="AE40" s="21" t="n"/>
      <c r="AF40" s="22" t="inlineStr">
        <is>
          <t>LW</t>
        </is>
      </c>
      <c r="AG40" s="23" t="inlineStr">
        <is>
          <t>NAC</t>
        </is>
      </c>
      <c r="AN40" s="24" t="n"/>
    </row>
    <row r="41" ht="12.75" customHeight="1">
      <c r="A41" s="15" t="n">
        <v>3254120</v>
      </c>
      <c r="B41" s="15" t="inlineStr">
        <is>
          <t>Flexport</t>
        </is>
      </c>
      <c r="C41" s="15" t="inlineStr">
        <is>
          <t>Colombo, LK</t>
        </is>
      </c>
      <c r="D41" s="15" t="inlineStr">
        <is>
          <t>Rotterdam, NL</t>
        </is>
      </c>
      <c r="E41" s="15" t="inlineStr">
        <is>
          <t>Rotterdam, NL</t>
        </is>
      </c>
      <c r="F41" s="15" t="inlineStr">
        <is>
          <t>OCEAN</t>
        </is>
      </c>
      <c r="G41" s="39" t="inlineStr">
        <is>
          <t>B. 1 x 20ft</t>
        </is>
      </c>
      <c r="H41" s="39" t="inlineStr">
        <is>
          <t>CFS/CY</t>
        </is>
      </c>
      <c r="I41" s="39" t="inlineStr">
        <is>
          <t>ONE</t>
        </is>
      </c>
      <c r="J41" s="39" t="inlineStr">
        <is>
          <t>IO3</t>
        </is>
      </c>
      <c r="K41" s="15" t="inlineStr">
        <is>
          <t>Inqube Global (PVT) Ltd</t>
        </is>
      </c>
      <c r="L41" s="16" t="inlineStr">
        <is>
          <t>Quantum Clothing Lanka (Pvt) Ltd</t>
        </is>
      </c>
      <c r="M41" s="15" t="inlineStr">
        <is>
          <t>N</t>
        </is>
      </c>
      <c r="N41" s="17" t="n">
        <v>452036246851</v>
      </c>
      <c r="O41" s="15" t="n">
        <v>19802402</v>
      </c>
      <c r="P41" s="18" t="inlineStr">
        <is>
          <t>LW2EC1S</t>
        </is>
      </c>
      <c r="Q41" s="18" t="n">
        <v>5</v>
      </c>
      <c r="R41" s="18" t="n">
        <v>0.42</v>
      </c>
      <c r="S41" s="15" t="n">
        <v>14.518</v>
      </c>
      <c r="T41" s="16" t="n">
        <v>45824</v>
      </c>
      <c r="U41" s="19" t="n">
        <v>45878</v>
      </c>
      <c r="V41" s="16" t="n">
        <v>45824</v>
      </c>
      <c r="W41" s="16" t="n">
        <v>45826</v>
      </c>
      <c r="X41" s="57">
        <f>W41-1</f>
        <v/>
      </c>
      <c r="Y41" s="63" t="n">
        <v>45831</v>
      </c>
      <c r="Z41" s="67" t="n">
        <v>45859</v>
      </c>
      <c r="AA41" s="71">
        <f>Z41+7</f>
        <v/>
      </c>
      <c r="AB41" s="20">
        <f>AA41-U41</f>
        <v/>
      </c>
      <c r="AC41" s="20" t="inlineStr">
        <is>
          <t>No</t>
        </is>
      </c>
      <c r="AD41" s="21" t="inlineStr">
        <is>
          <t>1 HBL</t>
        </is>
      </c>
      <c r="AE41" s="21" t="n"/>
      <c r="AF41" s="22" t="inlineStr">
        <is>
          <t>LW</t>
        </is>
      </c>
      <c r="AG41" s="23" t="inlineStr">
        <is>
          <t>NAC</t>
        </is>
      </c>
      <c r="AN41" s="24" t="n"/>
    </row>
    <row r="42" ht="12.75" customHeight="1">
      <c r="A42" s="15" t="n">
        <v>3254120</v>
      </c>
      <c r="B42" s="15" t="inlineStr">
        <is>
          <t>Flexport</t>
        </is>
      </c>
      <c r="C42" s="15" t="inlineStr">
        <is>
          <t>Colombo, LK</t>
        </is>
      </c>
      <c r="D42" s="15" t="inlineStr">
        <is>
          <t>Rotterdam, NL</t>
        </is>
      </c>
      <c r="E42" s="15" t="inlineStr">
        <is>
          <t>Rotterdam, NL</t>
        </is>
      </c>
      <c r="F42" s="15" t="inlineStr">
        <is>
          <t>OCEAN</t>
        </is>
      </c>
      <c r="G42" s="39" t="inlineStr">
        <is>
          <t>B. 1 x 20ft</t>
        </is>
      </c>
      <c r="H42" s="39" t="inlineStr">
        <is>
          <t>CFS/CY</t>
        </is>
      </c>
      <c r="I42" s="39" t="inlineStr">
        <is>
          <t>ONE</t>
        </is>
      </c>
      <c r="J42" s="39" t="inlineStr">
        <is>
          <t>IO3</t>
        </is>
      </c>
      <c r="K42" s="15" t="inlineStr">
        <is>
          <t>Inqube Global (PVT) Ltd</t>
        </is>
      </c>
      <c r="L42" s="16" t="inlineStr">
        <is>
          <t>Quantum Clothing Lanka (Pvt) Ltd</t>
        </is>
      </c>
      <c r="M42" s="15" t="inlineStr">
        <is>
          <t>N</t>
        </is>
      </c>
      <c r="N42" s="17" t="n">
        <v>452093818718</v>
      </c>
      <c r="O42" s="15" t="n">
        <v>19855237</v>
      </c>
      <c r="P42" s="18" t="inlineStr">
        <is>
          <t>LW9FMPS</t>
        </is>
      </c>
      <c r="Q42" s="18" t="n">
        <v>1</v>
      </c>
      <c r="R42" s="18" t="n">
        <v>0.079</v>
      </c>
      <c r="S42" s="15" t="n">
        <v>7.964</v>
      </c>
      <c r="T42" s="16" t="n">
        <v>45824</v>
      </c>
      <c r="U42" s="19" t="n">
        <v>45878</v>
      </c>
      <c r="V42" s="16" t="n">
        <v>45824</v>
      </c>
      <c r="W42" s="16" t="n">
        <v>45826</v>
      </c>
      <c r="X42" s="57">
        <f>W42-1</f>
        <v/>
      </c>
      <c r="Y42" s="63" t="n">
        <v>45831</v>
      </c>
      <c r="Z42" s="67" t="n">
        <v>45859</v>
      </c>
      <c r="AA42" s="71">
        <f>Z42+7</f>
        <v/>
      </c>
      <c r="AB42" s="20">
        <f>AA42-U42</f>
        <v/>
      </c>
      <c r="AC42" s="20" t="inlineStr">
        <is>
          <t>No</t>
        </is>
      </c>
      <c r="AD42" s="21" t="inlineStr">
        <is>
          <t>1 HBL</t>
        </is>
      </c>
      <c r="AE42" s="21" t="n"/>
      <c r="AF42" s="22" t="inlineStr">
        <is>
          <t>LW</t>
        </is>
      </c>
      <c r="AG42" s="23" t="inlineStr">
        <is>
          <t>NAC</t>
        </is>
      </c>
      <c r="AH42" s="23" t="n"/>
      <c r="AI42" s="23" t="n"/>
      <c r="AJ42" s="23" t="n"/>
      <c r="AK42" s="23" t="n"/>
      <c r="AL42" s="23" t="n"/>
      <c r="AM42" s="23" t="n"/>
      <c r="AN42" s="23" t="n"/>
      <c r="AO42" s="23" t="n"/>
      <c r="AP42" s="23" t="n"/>
    </row>
    <row r="43" ht="12.75" customHeight="1">
      <c r="A43" s="15" t="n">
        <v>3254120</v>
      </c>
      <c r="B43" s="15" t="inlineStr">
        <is>
          <t>Flexport</t>
        </is>
      </c>
      <c r="C43" s="15" t="inlineStr">
        <is>
          <t>Colombo, LK</t>
        </is>
      </c>
      <c r="D43" s="15" t="inlineStr">
        <is>
          <t>Rotterdam, NL</t>
        </is>
      </c>
      <c r="E43" s="15" t="inlineStr">
        <is>
          <t>Rotterdam, NL</t>
        </is>
      </c>
      <c r="F43" s="15" t="inlineStr">
        <is>
          <t>OCEAN</t>
        </is>
      </c>
      <c r="G43" s="39" t="inlineStr">
        <is>
          <t>B. 1 x 20ft</t>
        </is>
      </c>
      <c r="H43" s="39" t="inlineStr">
        <is>
          <t>CFS/CY</t>
        </is>
      </c>
      <c r="I43" s="39" t="inlineStr">
        <is>
          <t>ONE</t>
        </is>
      </c>
      <c r="J43" s="39" t="inlineStr">
        <is>
          <t>IO3</t>
        </is>
      </c>
      <c r="K43" s="15" t="inlineStr">
        <is>
          <t>MAS AMITY PTE LTD</t>
        </is>
      </c>
      <c r="L43" s="16" t="inlineStr">
        <is>
          <t>MAS Active (Pvt) Ltd – Shadowline</t>
        </is>
      </c>
      <c r="M43" s="15" t="inlineStr">
        <is>
          <t>N</t>
        </is>
      </c>
      <c r="N43" s="17" t="n">
        <v>454863244190</v>
      </c>
      <c r="O43" s="15" t="n">
        <v>19808325</v>
      </c>
      <c r="P43" s="18" t="inlineStr">
        <is>
          <t>LM1366S</t>
        </is>
      </c>
      <c r="Q43" s="18" t="n">
        <v>1</v>
      </c>
      <c r="R43" s="18" t="n">
        <v>0.079</v>
      </c>
      <c r="S43" s="15" t="n">
        <v>6.728</v>
      </c>
      <c r="T43" s="16" t="n">
        <v>45824</v>
      </c>
      <c r="U43" s="19" t="n">
        <v>45878</v>
      </c>
      <c r="V43" s="16" t="n">
        <v>45824</v>
      </c>
      <c r="W43" s="16" t="n">
        <v>45826</v>
      </c>
      <c r="X43" s="57">
        <f>W43-1</f>
        <v/>
      </c>
      <c r="Y43" s="63" t="n">
        <v>45831</v>
      </c>
      <c r="Z43" s="67" t="n">
        <v>45859</v>
      </c>
      <c r="AA43" s="71">
        <f>Z43+7</f>
        <v/>
      </c>
      <c r="AB43" s="20">
        <f>AA43-U43</f>
        <v/>
      </c>
      <c r="AC43" s="20" t="inlineStr">
        <is>
          <t>No</t>
        </is>
      </c>
      <c r="AD43" s="21" t="inlineStr">
        <is>
          <t>1 HBL</t>
        </is>
      </c>
      <c r="AE43" s="21" t="n"/>
      <c r="AF43" s="22" t="inlineStr">
        <is>
          <t>LW</t>
        </is>
      </c>
      <c r="AG43" s="23" t="inlineStr">
        <is>
          <t>NAC</t>
        </is>
      </c>
      <c r="AH43" s="23" t="n"/>
      <c r="AI43" s="23" t="n"/>
      <c r="AJ43" s="23" t="n"/>
      <c r="AK43" s="23" t="n"/>
      <c r="AL43" s="23" t="n"/>
      <c r="AM43" s="23" t="n"/>
      <c r="AN43" s="23" t="n"/>
      <c r="AO43" s="23" t="n"/>
      <c r="AP43" s="23" t="n"/>
    </row>
    <row r="44" ht="12.75" customHeight="1">
      <c r="A44" s="15" t="n">
        <v>3254120</v>
      </c>
      <c r="B44" s="15" t="inlineStr">
        <is>
          <t>Flexport</t>
        </is>
      </c>
      <c r="C44" s="15" t="inlineStr">
        <is>
          <t>Colombo, LK</t>
        </is>
      </c>
      <c r="D44" s="15" t="inlineStr">
        <is>
          <t>Rotterdam, NL</t>
        </is>
      </c>
      <c r="E44" s="15" t="inlineStr">
        <is>
          <t>Rotterdam, NL</t>
        </is>
      </c>
      <c r="F44" s="15" t="inlineStr">
        <is>
          <t>OCEAN</t>
        </is>
      </c>
      <c r="G44" s="39" t="inlineStr">
        <is>
          <t>B. 1 x 20ft</t>
        </is>
      </c>
      <c r="H44" s="39" t="inlineStr">
        <is>
          <t>CFS/CY</t>
        </is>
      </c>
      <c r="I44" s="39" t="inlineStr">
        <is>
          <t>ONE</t>
        </is>
      </c>
      <c r="J44" s="39" t="inlineStr">
        <is>
          <t>IO3</t>
        </is>
      </c>
      <c r="K44" s="15" t="inlineStr">
        <is>
          <t>MAS AMITY PTE LTD</t>
        </is>
      </c>
      <c r="L44" s="16" t="inlineStr">
        <is>
          <t>MAS Active (Pvt) Ltd – Shadowline</t>
        </is>
      </c>
      <c r="M44" s="15" t="inlineStr">
        <is>
          <t>N</t>
        </is>
      </c>
      <c r="N44" s="17" t="n">
        <v>454865164288</v>
      </c>
      <c r="O44" s="15" t="n">
        <v>19814189</v>
      </c>
      <c r="P44" s="18" t="inlineStr">
        <is>
          <t>LW1DUDS</t>
        </is>
      </c>
      <c r="Q44" s="18" t="n">
        <v>21</v>
      </c>
      <c r="R44" s="18" t="n">
        <v>1.659</v>
      </c>
      <c r="S44" s="15" t="n">
        <v>211.674</v>
      </c>
      <c r="T44" s="16" t="n">
        <v>45824</v>
      </c>
      <c r="U44" s="19" t="n">
        <v>45878</v>
      </c>
      <c r="V44" s="16" t="n">
        <v>45824</v>
      </c>
      <c r="W44" s="16" t="n">
        <v>45826</v>
      </c>
      <c r="X44" s="57">
        <f>W44-1</f>
        <v/>
      </c>
      <c r="Y44" s="63" t="n">
        <v>45831</v>
      </c>
      <c r="Z44" s="67" t="n">
        <v>45859</v>
      </c>
      <c r="AA44" s="71">
        <f>Z44+7</f>
        <v/>
      </c>
      <c r="AB44" s="20">
        <f>AA44-U44</f>
        <v/>
      </c>
      <c r="AC44" s="20" t="inlineStr">
        <is>
          <t>No</t>
        </is>
      </c>
      <c r="AD44" s="21" t="inlineStr">
        <is>
          <t>1 HBL</t>
        </is>
      </c>
      <c r="AE44" s="21" t="n"/>
      <c r="AF44" s="22" t="inlineStr">
        <is>
          <t>LW</t>
        </is>
      </c>
      <c r="AG44" s="23" t="inlineStr">
        <is>
          <t>NAC</t>
        </is>
      </c>
      <c r="AH44" s="23" t="n"/>
      <c r="AI44" s="23" t="n"/>
      <c r="AJ44" s="23" t="n"/>
      <c r="AK44" s="23" t="n"/>
      <c r="AL44" s="23" t="n"/>
      <c r="AM44" s="23" t="n"/>
      <c r="AN44" s="23" t="n"/>
      <c r="AO44" s="23" t="n"/>
      <c r="AP44" s="23" t="n"/>
    </row>
    <row r="45" ht="12.75" customHeight="1">
      <c r="A45" s="15" t="n">
        <v>3254120</v>
      </c>
      <c r="B45" s="15" t="inlineStr">
        <is>
          <t>Flexport</t>
        </is>
      </c>
      <c r="C45" s="15" t="inlineStr">
        <is>
          <t>Colombo, LK</t>
        </is>
      </c>
      <c r="D45" s="15" t="inlineStr">
        <is>
          <t>Rotterdam, NL</t>
        </is>
      </c>
      <c r="E45" s="15" t="inlineStr">
        <is>
          <t>Rotterdam, NL</t>
        </is>
      </c>
      <c r="F45" s="15" t="inlineStr">
        <is>
          <t>OCEAN</t>
        </is>
      </c>
      <c r="G45" s="39" t="inlineStr">
        <is>
          <t>B. 1 x 20ft</t>
        </is>
      </c>
      <c r="H45" s="39" t="inlineStr">
        <is>
          <t>CFS/CY</t>
        </is>
      </c>
      <c r="I45" s="39" t="inlineStr">
        <is>
          <t>ONE</t>
        </is>
      </c>
      <c r="J45" s="39" t="inlineStr">
        <is>
          <t>IO3</t>
        </is>
      </c>
      <c r="K45" s="15" t="inlineStr">
        <is>
          <t>MAS AMITY PTE LTD</t>
        </is>
      </c>
      <c r="L45" s="16" t="inlineStr">
        <is>
          <t>MAS Active (Pvt) Ltd – Shadowline</t>
        </is>
      </c>
      <c r="M45" s="15" t="inlineStr">
        <is>
          <t>N</t>
        </is>
      </c>
      <c r="N45" s="17" t="n">
        <v>454893038716</v>
      </c>
      <c r="O45" s="15" t="n">
        <v>19814203</v>
      </c>
      <c r="P45" s="18" t="inlineStr">
        <is>
          <t>LW1DUDS</t>
        </is>
      </c>
      <c r="Q45" s="18" t="n">
        <v>4</v>
      </c>
      <c r="R45" s="18" t="n">
        <v>0.158</v>
      </c>
      <c r="S45" s="15" t="n">
        <v>14.648</v>
      </c>
      <c r="T45" s="16" t="n">
        <v>45824</v>
      </c>
      <c r="U45" s="19" t="n">
        <v>45878</v>
      </c>
      <c r="V45" s="16" t="n">
        <v>45824</v>
      </c>
      <c r="W45" s="16" t="n">
        <v>45826</v>
      </c>
      <c r="X45" s="57">
        <f>W45-1</f>
        <v/>
      </c>
      <c r="Y45" s="63" t="n">
        <v>45831</v>
      </c>
      <c r="Z45" s="67" t="n">
        <v>45859</v>
      </c>
      <c r="AA45" s="71">
        <f>Z45+7</f>
        <v/>
      </c>
      <c r="AB45" s="20">
        <f>AA45-U45</f>
        <v/>
      </c>
      <c r="AC45" s="20" t="inlineStr">
        <is>
          <t>No</t>
        </is>
      </c>
      <c r="AD45" s="21" t="inlineStr">
        <is>
          <t>1 HBL</t>
        </is>
      </c>
      <c r="AE45" s="21" t="n"/>
      <c r="AF45" s="22" t="inlineStr">
        <is>
          <t>LW</t>
        </is>
      </c>
      <c r="AG45" s="23" t="inlineStr">
        <is>
          <t>NAC</t>
        </is>
      </c>
      <c r="AH45" s="23" t="n"/>
      <c r="AI45" s="23" t="n"/>
      <c r="AJ45" s="23" t="n"/>
      <c r="AK45" s="23" t="n"/>
      <c r="AL45" s="23" t="n"/>
      <c r="AM45" s="23" t="n"/>
      <c r="AN45" s="23" t="n"/>
      <c r="AO45" s="23" t="n"/>
      <c r="AP45" s="23" t="n"/>
    </row>
    <row r="46" ht="12.75" customHeight="1">
      <c r="A46" s="15" t="n">
        <v>3254120</v>
      </c>
      <c r="B46" s="15" t="inlineStr">
        <is>
          <t>Flexport</t>
        </is>
      </c>
      <c r="C46" s="15" t="inlineStr">
        <is>
          <t>Colombo, LK</t>
        </is>
      </c>
      <c r="D46" s="15" t="inlineStr">
        <is>
          <t>Rotterdam, NL</t>
        </is>
      </c>
      <c r="E46" s="15" t="inlineStr">
        <is>
          <t>Rotterdam, NL</t>
        </is>
      </c>
      <c r="F46" s="15" t="inlineStr">
        <is>
          <t>OCEAN</t>
        </is>
      </c>
      <c r="G46" s="39" t="inlineStr">
        <is>
          <t>B. 1 x 20ft</t>
        </is>
      </c>
      <c r="H46" s="39" t="inlineStr">
        <is>
          <t>CFS/CY</t>
        </is>
      </c>
      <c r="I46" s="39" t="inlineStr">
        <is>
          <t>ONE</t>
        </is>
      </c>
      <c r="J46" s="39" t="inlineStr">
        <is>
          <t>IO3</t>
        </is>
      </c>
      <c r="K46" s="15" t="inlineStr">
        <is>
          <t>MAS AMITY PTE LTD</t>
        </is>
      </c>
      <c r="L46" s="16" t="inlineStr">
        <is>
          <t>MAS Active(Pvt) Ltd – CONTOURLINE</t>
        </is>
      </c>
      <c r="M46" s="15" t="inlineStr">
        <is>
          <t>N</t>
        </is>
      </c>
      <c r="N46" s="17" t="n">
        <v>454770290651</v>
      </c>
      <c r="O46" s="15" t="n">
        <v>19925894</v>
      </c>
      <c r="P46" s="18" t="inlineStr">
        <is>
          <t>LW5EPSS</t>
        </is>
      </c>
      <c r="Q46" s="18" t="n">
        <v>4</v>
      </c>
      <c r="R46" s="18" t="n">
        <v>0.237</v>
      </c>
      <c r="S46" s="15" t="n">
        <v>33.539</v>
      </c>
      <c r="T46" s="16" t="n">
        <v>45824</v>
      </c>
      <c r="U46" s="19" t="n">
        <v>45878</v>
      </c>
      <c r="V46" s="16" t="n">
        <v>45824</v>
      </c>
      <c r="W46" s="16" t="n">
        <v>45826</v>
      </c>
      <c r="X46" s="57">
        <f>W46-1</f>
        <v/>
      </c>
      <c r="Y46" s="63" t="n">
        <v>45831</v>
      </c>
      <c r="Z46" s="67" t="n">
        <v>45859</v>
      </c>
      <c r="AA46" s="71">
        <f>Z46+7</f>
        <v/>
      </c>
      <c r="AB46" s="20">
        <f>AA46-U46</f>
        <v/>
      </c>
      <c r="AC46" s="20" t="inlineStr">
        <is>
          <t>No</t>
        </is>
      </c>
      <c r="AD46" s="21" t="inlineStr">
        <is>
          <t>1 HBL</t>
        </is>
      </c>
      <c r="AE46" s="21" t="n"/>
      <c r="AF46" s="22" t="inlineStr">
        <is>
          <t>LW</t>
        </is>
      </c>
      <c r="AG46" s="23" t="inlineStr">
        <is>
          <t>NAC</t>
        </is>
      </c>
      <c r="AH46" s="23" t="n"/>
      <c r="AI46" s="23" t="n"/>
      <c r="AJ46" s="23" t="n"/>
      <c r="AK46" s="23" t="n"/>
      <c r="AL46" s="23" t="n"/>
      <c r="AM46" s="23" t="n"/>
      <c r="AN46" s="23" t="n"/>
      <c r="AO46" s="23" t="n"/>
      <c r="AP46" s="23" t="n"/>
    </row>
    <row r="47" ht="12.75" customHeight="1">
      <c r="A47" s="15" t="n">
        <v>3254120</v>
      </c>
      <c r="B47" s="15" t="inlineStr">
        <is>
          <t>Flexport</t>
        </is>
      </c>
      <c r="C47" s="15" t="inlineStr">
        <is>
          <t>Colombo, LK</t>
        </is>
      </c>
      <c r="D47" s="15" t="inlineStr">
        <is>
          <t>Rotterdam, NL</t>
        </is>
      </c>
      <c r="E47" s="15" t="inlineStr">
        <is>
          <t>Rotterdam, NL</t>
        </is>
      </c>
      <c r="F47" s="15" t="inlineStr">
        <is>
          <t>OCEAN</t>
        </is>
      </c>
      <c r="G47" s="39" t="inlineStr">
        <is>
          <t>B. 1 x 20ft</t>
        </is>
      </c>
      <c r="H47" s="39" t="inlineStr">
        <is>
          <t>CFS/CY</t>
        </is>
      </c>
      <c r="I47" s="39" t="inlineStr">
        <is>
          <t>ONE</t>
        </is>
      </c>
      <c r="J47" s="39" t="inlineStr">
        <is>
          <t>IO3</t>
        </is>
      </c>
      <c r="K47" s="15" t="inlineStr">
        <is>
          <t>MAS AMITY PTE LTD</t>
        </is>
      </c>
      <c r="L47" s="16" t="inlineStr">
        <is>
          <t>MAS Active(Pvt) Ltd – CONTOURLINE</t>
        </is>
      </c>
      <c r="M47" s="15" t="inlineStr">
        <is>
          <t>N</t>
        </is>
      </c>
      <c r="N47" s="17" t="n">
        <v>454770290857</v>
      </c>
      <c r="O47" s="15" t="n">
        <v>19939870</v>
      </c>
      <c r="P47" s="18" t="inlineStr">
        <is>
          <t>LW7DPES</t>
        </is>
      </c>
      <c r="Q47" s="18" t="n">
        <v>1</v>
      </c>
      <c r="R47" s="18" t="n">
        <v>0.039</v>
      </c>
      <c r="S47" s="15" t="n">
        <v>5.461</v>
      </c>
      <c r="T47" s="16" t="n">
        <v>45824</v>
      </c>
      <c r="U47" s="19" t="n">
        <v>45878</v>
      </c>
      <c r="V47" s="16" t="n">
        <v>45824</v>
      </c>
      <c r="W47" s="16" t="n">
        <v>45826</v>
      </c>
      <c r="X47" s="57">
        <f>W47-1</f>
        <v/>
      </c>
      <c r="Y47" s="63" t="n">
        <v>45831</v>
      </c>
      <c r="Z47" s="67" t="n">
        <v>45859</v>
      </c>
      <c r="AA47" s="71">
        <f>Z47+7</f>
        <v/>
      </c>
      <c r="AB47" s="20">
        <f>AA47-U47</f>
        <v/>
      </c>
      <c r="AC47" s="20" t="inlineStr">
        <is>
          <t>No</t>
        </is>
      </c>
      <c r="AD47" s="21" t="inlineStr">
        <is>
          <t>1 HBL</t>
        </is>
      </c>
      <c r="AE47" s="21" t="n"/>
      <c r="AF47" s="22" t="inlineStr">
        <is>
          <t>LW</t>
        </is>
      </c>
      <c r="AG47" s="23" t="inlineStr">
        <is>
          <t>NAC</t>
        </is>
      </c>
      <c r="AH47" s="23" t="n"/>
      <c r="AI47" s="23" t="n"/>
      <c r="AJ47" s="23" t="n"/>
      <c r="AK47" s="23" t="n"/>
      <c r="AL47" s="23" t="n"/>
      <c r="AM47" s="23" t="n"/>
      <c r="AN47" s="23" t="n"/>
      <c r="AO47" s="23" t="n"/>
      <c r="AP47" s="23" t="n"/>
    </row>
    <row r="48" ht="12.75" customHeight="1">
      <c r="A48" s="15" t="n">
        <v>3254120</v>
      </c>
      <c r="B48" s="15" t="inlineStr">
        <is>
          <t>Flexport</t>
        </is>
      </c>
      <c r="C48" s="15" t="inlineStr">
        <is>
          <t>Colombo, LK</t>
        </is>
      </c>
      <c r="D48" s="15" t="inlineStr">
        <is>
          <t>Rotterdam, NL</t>
        </is>
      </c>
      <c r="E48" s="15" t="inlineStr">
        <is>
          <t>Rotterdam, NL</t>
        </is>
      </c>
      <c r="F48" s="15" t="inlineStr">
        <is>
          <t>OCEAN</t>
        </is>
      </c>
      <c r="G48" s="39" t="inlineStr">
        <is>
          <t>B. 1 x 20ft</t>
        </is>
      </c>
      <c r="H48" s="39" t="inlineStr">
        <is>
          <t>CFS/CY</t>
        </is>
      </c>
      <c r="I48" s="39" t="inlineStr">
        <is>
          <t>ONE</t>
        </is>
      </c>
      <c r="J48" s="39" t="inlineStr">
        <is>
          <t>IO3</t>
        </is>
      </c>
      <c r="K48" s="15" t="inlineStr">
        <is>
          <t>MAS AMITY PTE LTD</t>
        </is>
      </c>
      <c r="L48" s="16" t="inlineStr">
        <is>
          <t>MAS Active(Pvt) Ltd – CONTOURLINE</t>
        </is>
      </c>
      <c r="M48" s="15" t="inlineStr">
        <is>
          <t>N</t>
        </is>
      </c>
      <c r="N48" s="17" t="n">
        <v>454770290915</v>
      </c>
      <c r="O48" s="15" t="n">
        <v>19939871</v>
      </c>
      <c r="P48" s="18" t="inlineStr">
        <is>
          <t>LW2EB3S</t>
        </is>
      </c>
      <c r="Q48" s="18" t="n">
        <v>1</v>
      </c>
      <c r="R48" s="18" t="n">
        <v>0.079</v>
      </c>
      <c r="S48" s="15" t="n">
        <v>6.953</v>
      </c>
      <c r="T48" s="16" t="n">
        <v>45824</v>
      </c>
      <c r="U48" s="19" t="n">
        <v>45878</v>
      </c>
      <c r="V48" s="16" t="n">
        <v>45824</v>
      </c>
      <c r="W48" s="16" t="n">
        <v>45826</v>
      </c>
      <c r="X48" s="57">
        <f>W48-1</f>
        <v/>
      </c>
      <c r="Y48" s="63" t="n">
        <v>45831</v>
      </c>
      <c r="Z48" s="67" t="n">
        <v>45859</v>
      </c>
      <c r="AA48" s="71">
        <f>Z48+7</f>
        <v/>
      </c>
      <c r="AB48" s="20">
        <f>AA48-U48</f>
        <v/>
      </c>
      <c r="AC48" s="20" t="inlineStr">
        <is>
          <t>No</t>
        </is>
      </c>
      <c r="AD48" s="21" t="inlineStr">
        <is>
          <t>1 HBL</t>
        </is>
      </c>
      <c r="AE48" s="21" t="n"/>
      <c r="AF48" s="22" t="inlineStr">
        <is>
          <t>LW</t>
        </is>
      </c>
      <c r="AG48" s="23" t="inlineStr">
        <is>
          <t>NAC</t>
        </is>
      </c>
      <c r="AH48" s="23" t="n"/>
      <c r="AI48" s="23" t="n"/>
      <c r="AJ48" s="23" t="n"/>
      <c r="AK48" s="23" t="n"/>
      <c r="AL48" s="23" t="n"/>
      <c r="AM48" s="23" t="n"/>
      <c r="AN48" s="23" t="n"/>
      <c r="AO48" s="23" t="n"/>
      <c r="AP48" s="23" t="n"/>
    </row>
    <row r="49" ht="12.75" customHeight="1">
      <c r="A49" s="15" t="n">
        <v>3254120</v>
      </c>
      <c r="B49" s="15" t="inlineStr">
        <is>
          <t>Flexport</t>
        </is>
      </c>
      <c r="C49" s="15" t="inlineStr">
        <is>
          <t>Colombo, LK</t>
        </is>
      </c>
      <c r="D49" s="15" t="inlineStr">
        <is>
          <t>Rotterdam, NL</t>
        </is>
      </c>
      <c r="E49" s="15" t="inlineStr">
        <is>
          <t>Rotterdam, NL</t>
        </is>
      </c>
      <c r="F49" s="15" t="inlineStr">
        <is>
          <t>OCEAN</t>
        </is>
      </c>
      <c r="G49" s="39" t="inlineStr">
        <is>
          <t>B. 1 x 20ft</t>
        </is>
      </c>
      <c r="H49" s="39" t="inlineStr">
        <is>
          <t>CFS/CY</t>
        </is>
      </c>
      <c r="I49" s="39" t="inlineStr">
        <is>
          <t>ONE</t>
        </is>
      </c>
      <c r="J49" s="39" t="inlineStr">
        <is>
          <t>IO3</t>
        </is>
      </c>
      <c r="K49" s="15" t="inlineStr">
        <is>
          <t>MAS AMITY PTE LTD</t>
        </is>
      </c>
      <c r="L49" s="16" t="inlineStr">
        <is>
          <t>MAS Active(Pvt) Ltd – CONTOURLINE</t>
        </is>
      </c>
      <c r="M49" s="15" t="inlineStr">
        <is>
          <t>N</t>
        </is>
      </c>
      <c r="N49" s="17" t="n">
        <v>454772994775</v>
      </c>
      <c r="O49" s="15" t="n">
        <v>19926259</v>
      </c>
      <c r="P49" s="18" t="inlineStr">
        <is>
          <t>LW2EB3S</t>
        </is>
      </c>
      <c r="Q49" s="18" t="n">
        <v>5</v>
      </c>
      <c r="R49" s="18" t="n">
        <v>0.395</v>
      </c>
      <c r="S49" s="15" t="n">
        <v>49.519</v>
      </c>
      <c r="T49" s="16" t="n">
        <v>45824</v>
      </c>
      <c r="U49" s="19" t="n">
        <v>45878</v>
      </c>
      <c r="V49" s="16" t="n">
        <v>45824</v>
      </c>
      <c r="W49" s="16" t="n">
        <v>45826</v>
      </c>
      <c r="X49" s="57">
        <f>W49-1</f>
        <v/>
      </c>
      <c r="Y49" s="63" t="n">
        <v>45831</v>
      </c>
      <c r="Z49" s="67" t="n">
        <v>45859</v>
      </c>
      <c r="AA49" s="71">
        <f>Z49+7</f>
        <v/>
      </c>
      <c r="AB49" s="20">
        <f>AA49-U49</f>
        <v/>
      </c>
      <c r="AC49" s="20" t="inlineStr">
        <is>
          <t>No</t>
        </is>
      </c>
      <c r="AD49" s="21" t="inlineStr">
        <is>
          <t>1 HBL</t>
        </is>
      </c>
      <c r="AE49" s="21" t="n"/>
      <c r="AF49" s="22" t="inlineStr">
        <is>
          <t>LW</t>
        </is>
      </c>
      <c r="AG49" s="23" t="inlineStr">
        <is>
          <t>NAC</t>
        </is>
      </c>
      <c r="AH49" s="23" t="n"/>
      <c r="AI49" s="23" t="n"/>
      <c r="AJ49" s="23" t="n"/>
      <c r="AK49" s="23" t="n"/>
      <c r="AL49" s="23" t="n"/>
      <c r="AM49" s="23" t="n"/>
      <c r="AN49" s="23" t="n"/>
      <c r="AO49" s="23" t="n"/>
      <c r="AP49" s="23" t="n"/>
    </row>
    <row r="50" ht="12.75" customHeight="1">
      <c r="A50" s="15" t="n">
        <v>3254120</v>
      </c>
      <c r="B50" s="15" t="inlineStr">
        <is>
          <t>Flexport</t>
        </is>
      </c>
      <c r="C50" s="15" t="inlineStr">
        <is>
          <t>Colombo, LK</t>
        </is>
      </c>
      <c r="D50" s="15" t="inlineStr">
        <is>
          <t>Rotterdam, NL</t>
        </is>
      </c>
      <c r="E50" s="15" t="inlineStr">
        <is>
          <t>Rotterdam, NL</t>
        </is>
      </c>
      <c r="F50" s="15" t="inlineStr">
        <is>
          <t>OCEAN</t>
        </is>
      </c>
      <c r="G50" s="39" t="inlineStr">
        <is>
          <t>B. 1 x 20ft</t>
        </is>
      </c>
      <c r="H50" s="39" t="inlineStr">
        <is>
          <t>CFS/CY</t>
        </is>
      </c>
      <c r="I50" s="39" t="inlineStr">
        <is>
          <t>ONE</t>
        </is>
      </c>
      <c r="J50" s="39" t="inlineStr">
        <is>
          <t>IO3</t>
        </is>
      </c>
      <c r="K50" s="15" t="inlineStr">
        <is>
          <t>MAS AMITY PTE LTD</t>
        </is>
      </c>
      <c r="L50" s="16" t="inlineStr">
        <is>
          <t>MAS Active(Pvt) Ltd – CONTOURLINE</t>
        </is>
      </c>
      <c r="M50" s="15" t="inlineStr">
        <is>
          <t>N</t>
        </is>
      </c>
      <c r="N50" s="17" t="n">
        <v>454773466988</v>
      </c>
      <c r="O50" s="15" t="n">
        <v>19920958</v>
      </c>
      <c r="P50" s="18" t="inlineStr">
        <is>
          <t>LW5EYKS</t>
        </is>
      </c>
      <c r="Q50" s="18" t="n">
        <v>1</v>
      </c>
      <c r="R50" s="18" t="n">
        <v>0.079</v>
      </c>
      <c r="S50" s="15" t="n">
        <v>10.491</v>
      </c>
      <c r="T50" s="16" t="n">
        <v>45824</v>
      </c>
      <c r="U50" s="19" t="n">
        <v>45878</v>
      </c>
      <c r="V50" s="16" t="n">
        <v>45824</v>
      </c>
      <c r="W50" s="16" t="n">
        <v>45826</v>
      </c>
      <c r="X50" s="57">
        <f>W50-1</f>
        <v/>
      </c>
      <c r="Y50" s="63" t="n">
        <v>45831</v>
      </c>
      <c r="Z50" s="67" t="n">
        <v>45859</v>
      </c>
      <c r="AA50" s="71">
        <f>Z50+7</f>
        <v/>
      </c>
      <c r="AB50" s="20">
        <f>AA50-U50</f>
        <v/>
      </c>
      <c r="AC50" s="20" t="inlineStr">
        <is>
          <t>No</t>
        </is>
      </c>
      <c r="AD50" s="21" t="inlineStr">
        <is>
          <t>1 HBL</t>
        </is>
      </c>
      <c r="AE50" s="21" t="n"/>
      <c r="AF50" s="22" t="inlineStr">
        <is>
          <t>LW</t>
        </is>
      </c>
      <c r="AG50" s="23" t="inlineStr">
        <is>
          <t>NAC</t>
        </is>
      </c>
      <c r="AH50" s="23" t="n"/>
      <c r="AI50" s="23" t="n"/>
      <c r="AJ50" s="23" t="n"/>
      <c r="AK50" s="23" t="n"/>
      <c r="AL50" s="23" t="n"/>
      <c r="AM50" s="23" t="n"/>
      <c r="AN50" s="23" t="n"/>
      <c r="AO50" s="23" t="n"/>
      <c r="AP50" s="23" t="n"/>
    </row>
    <row r="51" ht="12.75" customHeight="1">
      <c r="A51" s="15" t="n">
        <v>3254120</v>
      </c>
      <c r="B51" s="15" t="inlineStr">
        <is>
          <t>Flexport</t>
        </is>
      </c>
      <c r="C51" s="15" t="inlineStr">
        <is>
          <t>Colombo, LK</t>
        </is>
      </c>
      <c r="D51" s="15" t="inlineStr">
        <is>
          <t>Rotterdam, NL</t>
        </is>
      </c>
      <c r="E51" s="15" t="inlineStr">
        <is>
          <t>Rotterdam, NL</t>
        </is>
      </c>
      <c r="F51" s="15" t="inlineStr">
        <is>
          <t>OCEAN</t>
        </is>
      </c>
      <c r="G51" s="39" t="inlineStr">
        <is>
          <t>B. 1 x 20ft</t>
        </is>
      </c>
      <c r="H51" s="39" t="inlineStr">
        <is>
          <t>CFS/CY</t>
        </is>
      </c>
      <c r="I51" s="39" t="inlineStr">
        <is>
          <t>ONE</t>
        </is>
      </c>
      <c r="J51" s="39" t="inlineStr">
        <is>
          <t>IO3</t>
        </is>
      </c>
      <c r="K51" s="15" t="inlineStr">
        <is>
          <t>MAS AMITY PTE LTD</t>
        </is>
      </c>
      <c r="L51" s="16" t="inlineStr">
        <is>
          <t>MAS Active(Pvt) Ltd – CONTOURLINE</t>
        </is>
      </c>
      <c r="M51" s="15" t="inlineStr">
        <is>
          <t>N</t>
        </is>
      </c>
      <c r="N51" s="17" t="n">
        <v>454773467131</v>
      </c>
      <c r="O51" s="15" t="n">
        <v>19920972</v>
      </c>
      <c r="P51" s="18" t="inlineStr">
        <is>
          <t>LW5FARS</t>
        </is>
      </c>
      <c r="Q51" s="18" t="n">
        <v>3</v>
      </c>
      <c r="R51" s="18" t="n">
        <v>0.197</v>
      </c>
      <c r="S51" s="15" t="n">
        <v>28.79</v>
      </c>
      <c r="T51" s="16" t="n">
        <v>45824</v>
      </c>
      <c r="U51" s="19" t="n">
        <v>45878</v>
      </c>
      <c r="V51" s="16" t="n">
        <v>45824</v>
      </c>
      <c r="W51" s="16" t="n">
        <v>45826</v>
      </c>
      <c r="X51" s="57">
        <f>W51-1</f>
        <v/>
      </c>
      <c r="Y51" s="63" t="n">
        <v>45831</v>
      </c>
      <c r="Z51" s="67" t="n">
        <v>45859</v>
      </c>
      <c r="AA51" s="71">
        <f>Z51+7</f>
        <v/>
      </c>
      <c r="AB51" s="20">
        <f>AA51-U51</f>
        <v/>
      </c>
      <c r="AC51" s="20" t="inlineStr">
        <is>
          <t>No</t>
        </is>
      </c>
      <c r="AD51" s="21" t="inlineStr">
        <is>
          <t>1 HBL</t>
        </is>
      </c>
      <c r="AE51" s="21" t="n"/>
      <c r="AF51" s="22" t="inlineStr">
        <is>
          <t>LW</t>
        </is>
      </c>
      <c r="AG51" s="23" t="inlineStr">
        <is>
          <t>NAC</t>
        </is>
      </c>
      <c r="AH51" s="23" t="n"/>
      <c r="AI51" s="23" t="n"/>
      <c r="AJ51" s="23" t="n"/>
      <c r="AK51" s="23" t="n"/>
      <c r="AL51" s="23" t="n"/>
      <c r="AM51" s="23" t="n"/>
      <c r="AN51" s="23" t="n"/>
      <c r="AO51" s="23" t="n"/>
      <c r="AP51" s="23" t="n"/>
    </row>
    <row r="52" ht="12.75" customHeight="1">
      <c r="A52" s="15" t="n">
        <v>3254120</v>
      </c>
      <c r="B52" s="15" t="inlineStr">
        <is>
          <t>Flexport</t>
        </is>
      </c>
      <c r="C52" s="15" t="inlineStr">
        <is>
          <t>Colombo, LK</t>
        </is>
      </c>
      <c r="D52" s="15" t="inlineStr">
        <is>
          <t>Rotterdam, NL</t>
        </is>
      </c>
      <c r="E52" s="15" t="inlineStr">
        <is>
          <t>Rotterdam, NL</t>
        </is>
      </c>
      <c r="F52" s="15" t="inlineStr">
        <is>
          <t>OCEAN</t>
        </is>
      </c>
      <c r="G52" s="39" t="inlineStr">
        <is>
          <t>B. 1 x 20ft</t>
        </is>
      </c>
      <c r="H52" s="39" t="inlineStr">
        <is>
          <t>CFS/CY</t>
        </is>
      </c>
      <c r="I52" s="39" t="inlineStr">
        <is>
          <t>ONE</t>
        </is>
      </c>
      <c r="J52" s="39" t="inlineStr">
        <is>
          <t>IO3</t>
        </is>
      </c>
      <c r="K52" s="15" t="inlineStr">
        <is>
          <t>MAS AMITY PTE LTD</t>
        </is>
      </c>
      <c r="L52" s="16" t="inlineStr">
        <is>
          <t>MAS Active(Pvt) Ltd – CONTOURLINE</t>
        </is>
      </c>
      <c r="M52" s="15" t="inlineStr">
        <is>
          <t>N</t>
        </is>
      </c>
      <c r="N52" s="17" t="n">
        <v>454773467698</v>
      </c>
      <c r="O52" s="15" t="n">
        <v>19939856</v>
      </c>
      <c r="P52" s="18" t="inlineStr">
        <is>
          <t>LW1DRNS</t>
        </is>
      </c>
      <c r="Q52" s="18" t="n">
        <v>1</v>
      </c>
      <c r="R52" s="18" t="n">
        <v>0.039</v>
      </c>
      <c r="S52" s="15" t="n">
        <v>4.555</v>
      </c>
      <c r="T52" s="16" t="n">
        <v>45824</v>
      </c>
      <c r="U52" s="19" t="n">
        <v>45878</v>
      </c>
      <c r="V52" s="16" t="n">
        <v>45824</v>
      </c>
      <c r="W52" s="16" t="n">
        <v>45826</v>
      </c>
      <c r="X52" s="57">
        <f>W52-1</f>
        <v/>
      </c>
      <c r="Y52" s="63" t="n">
        <v>45831</v>
      </c>
      <c r="Z52" s="67" t="n">
        <v>45859</v>
      </c>
      <c r="AA52" s="71">
        <f>Z52+7</f>
        <v/>
      </c>
      <c r="AB52" s="20">
        <f>AA52-U52</f>
        <v/>
      </c>
      <c r="AC52" s="20" t="inlineStr">
        <is>
          <t>No</t>
        </is>
      </c>
      <c r="AD52" s="21" t="inlineStr">
        <is>
          <t>1 HBL</t>
        </is>
      </c>
      <c r="AE52" s="21" t="n"/>
      <c r="AF52" s="22" t="inlineStr">
        <is>
          <t>LW</t>
        </is>
      </c>
      <c r="AG52" s="23" t="inlineStr">
        <is>
          <t>NAC</t>
        </is>
      </c>
      <c r="AH52" s="23" t="n"/>
      <c r="AI52" s="23" t="n"/>
      <c r="AJ52" s="23" t="n"/>
      <c r="AK52" s="23" t="n"/>
      <c r="AL52" s="23" t="n"/>
      <c r="AM52" s="23" t="n"/>
      <c r="AN52" s="23" t="n"/>
      <c r="AO52" s="23" t="n"/>
      <c r="AP52" s="23" t="n"/>
    </row>
    <row r="53" ht="12.75" customHeight="1">
      <c r="A53" s="15" t="n">
        <v>3254120</v>
      </c>
      <c r="B53" s="15" t="inlineStr">
        <is>
          <t>Flexport</t>
        </is>
      </c>
      <c r="C53" s="15" t="inlineStr">
        <is>
          <t>Colombo, LK</t>
        </is>
      </c>
      <c r="D53" s="15" t="inlineStr">
        <is>
          <t>Rotterdam, NL</t>
        </is>
      </c>
      <c r="E53" s="15" t="inlineStr">
        <is>
          <t>Rotterdam, NL</t>
        </is>
      </c>
      <c r="F53" s="15" t="inlineStr">
        <is>
          <t>OCEAN</t>
        </is>
      </c>
      <c r="G53" s="39" t="inlineStr">
        <is>
          <t>B. 1 x 20ft</t>
        </is>
      </c>
      <c r="H53" s="39" t="inlineStr">
        <is>
          <t>CFS/CY</t>
        </is>
      </c>
      <c r="I53" s="39" t="inlineStr">
        <is>
          <t>ONE</t>
        </is>
      </c>
      <c r="J53" s="39" t="inlineStr">
        <is>
          <t>IO3</t>
        </is>
      </c>
      <c r="K53" s="15" t="inlineStr">
        <is>
          <t>MAS AMITY PTE LTD</t>
        </is>
      </c>
      <c r="L53" s="16" t="inlineStr">
        <is>
          <t>MAS Active(Pvt) Ltd – CONTOURLINE</t>
        </is>
      </c>
      <c r="M53" s="15" t="inlineStr">
        <is>
          <t>N</t>
        </is>
      </c>
      <c r="N53" s="17" t="n">
        <v>454774400782</v>
      </c>
      <c r="O53" s="15" t="n">
        <v>19920956</v>
      </c>
      <c r="P53" s="18" t="inlineStr">
        <is>
          <t>LW5EYKS</t>
        </is>
      </c>
      <c r="Q53" s="18" t="n">
        <v>7</v>
      </c>
      <c r="R53" s="18" t="n">
        <v>0.434</v>
      </c>
      <c r="S53" s="15" t="n">
        <v>73.43300000000001</v>
      </c>
      <c r="T53" s="16" t="n">
        <v>45824</v>
      </c>
      <c r="U53" s="19" t="n">
        <v>45878</v>
      </c>
      <c r="V53" s="16" t="n">
        <v>45824</v>
      </c>
      <c r="W53" s="16" t="n">
        <v>45826</v>
      </c>
      <c r="X53" s="57">
        <f>W53-1</f>
        <v/>
      </c>
      <c r="Y53" s="63" t="n">
        <v>45831</v>
      </c>
      <c r="Z53" s="67" t="n">
        <v>45859</v>
      </c>
      <c r="AA53" s="71">
        <f>Z53+7</f>
        <v/>
      </c>
      <c r="AB53" s="20">
        <f>AA53-U53</f>
        <v/>
      </c>
      <c r="AC53" s="20" t="inlineStr">
        <is>
          <t>No</t>
        </is>
      </c>
      <c r="AD53" s="21" t="inlineStr">
        <is>
          <t>1 HBL</t>
        </is>
      </c>
      <c r="AE53" s="21" t="n"/>
      <c r="AF53" s="22" t="inlineStr">
        <is>
          <t>LW</t>
        </is>
      </c>
      <c r="AG53" s="23" t="inlineStr">
        <is>
          <t>NAC</t>
        </is>
      </c>
      <c r="AH53" s="23" t="n"/>
      <c r="AI53" s="23" t="n"/>
      <c r="AJ53" s="23" t="n"/>
      <c r="AK53" s="23" t="n"/>
      <c r="AL53" s="23" t="n"/>
      <c r="AM53" s="23" t="n"/>
      <c r="AN53" s="23" t="n"/>
      <c r="AO53" s="23" t="n"/>
      <c r="AP53" s="23" t="n"/>
    </row>
    <row r="54" ht="12.75" customHeight="1">
      <c r="A54" s="15" t="n">
        <v>3254120</v>
      </c>
      <c r="B54" s="15" t="inlineStr">
        <is>
          <t>Flexport</t>
        </is>
      </c>
      <c r="C54" s="15" t="inlineStr">
        <is>
          <t>Colombo, LK</t>
        </is>
      </c>
      <c r="D54" s="15" t="inlineStr">
        <is>
          <t>Rotterdam, NL</t>
        </is>
      </c>
      <c r="E54" s="15" t="inlineStr">
        <is>
          <t>Rotterdam, NL</t>
        </is>
      </c>
      <c r="F54" s="15" t="inlineStr">
        <is>
          <t>OCEAN</t>
        </is>
      </c>
      <c r="G54" s="39" t="inlineStr">
        <is>
          <t>B. 1 x 20ft</t>
        </is>
      </c>
      <c r="H54" s="39" t="inlineStr">
        <is>
          <t>CFS/CY</t>
        </is>
      </c>
      <c r="I54" s="39" t="inlineStr">
        <is>
          <t>ONE</t>
        </is>
      </c>
      <c r="J54" s="39" t="inlineStr">
        <is>
          <t>IO3</t>
        </is>
      </c>
      <c r="K54" s="15" t="inlineStr">
        <is>
          <t>MAS AMITY PTE LTD</t>
        </is>
      </c>
      <c r="L54" s="16" t="inlineStr">
        <is>
          <t>MAS Active(Pvt) Ltd – CONTOURLINE</t>
        </is>
      </c>
      <c r="M54" s="15" t="inlineStr">
        <is>
          <t>N</t>
        </is>
      </c>
      <c r="N54" s="17" t="n">
        <v>454774401107</v>
      </c>
      <c r="O54" s="15" t="n">
        <v>19921004</v>
      </c>
      <c r="P54" s="18" t="inlineStr">
        <is>
          <t>LW6CLQS</t>
        </is>
      </c>
      <c r="Q54" s="18" t="n">
        <v>1</v>
      </c>
      <c r="R54" s="18" t="n">
        <v>0.079</v>
      </c>
      <c r="S54" s="15" t="n">
        <v>12.78</v>
      </c>
      <c r="T54" s="16" t="n">
        <v>45824</v>
      </c>
      <c r="U54" s="19" t="n">
        <v>45878</v>
      </c>
      <c r="V54" s="16" t="n">
        <v>45824</v>
      </c>
      <c r="W54" s="16" t="n">
        <v>45826</v>
      </c>
      <c r="X54" s="57">
        <f>W54-1</f>
        <v/>
      </c>
      <c r="Y54" s="63" t="n">
        <v>45831</v>
      </c>
      <c r="Z54" s="67" t="n">
        <v>45859</v>
      </c>
      <c r="AA54" s="71">
        <f>Z54+7</f>
        <v/>
      </c>
      <c r="AB54" s="20">
        <f>AA54-U54</f>
        <v/>
      </c>
      <c r="AC54" s="20" t="inlineStr">
        <is>
          <t>No</t>
        </is>
      </c>
      <c r="AD54" s="21" t="inlineStr">
        <is>
          <t>1 HBL</t>
        </is>
      </c>
      <c r="AE54" s="21" t="n"/>
      <c r="AF54" s="22" t="inlineStr">
        <is>
          <t>LW</t>
        </is>
      </c>
      <c r="AG54" s="23" t="inlineStr">
        <is>
          <t>NAC</t>
        </is>
      </c>
      <c r="AH54" s="23" t="n"/>
      <c r="AI54" s="23" t="n"/>
      <c r="AJ54" s="23" t="n"/>
      <c r="AK54" s="23" t="n"/>
      <c r="AL54" s="23" t="n"/>
      <c r="AM54" s="23" t="n"/>
      <c r="AN54" s="23" t="n"/>
      <c r="AO54" s="23" t="n"/>
      <c r="AP54" s="23" t="n"/>
    </row>
    <row r="55" ht="12.75" customHeight="1">
      <c r="A55" s="15" t="n">
        <v>3254120</v>
      </c>
      <c r="B55" s="15" t="inlineStr">
        <is>
          <t>Flexport</t>
        </is>
      </c>
      <c r="C55" s="15" t="inlineStr">
        <is>
          <t>Colombo, LK</t>
        </is>
      </c>
      <c r="D55" s="15" t="inlineStr">
        <is>
          <t>Rotterdam, NL</t>
        </is>
      </c>
      <c r="E55" s="15" t="inlineStr">
        <is>
          <t>Rotterdam, NL</t>
        </is>
      </c>
      <c r="F55" s="15" t="inlineStr">
        <is>
          <t>OCEAN</t>
        </is>
      </c>
      <c r="G55" s="39" t="inlineStr">
        <is>
          <t>B. 1 x 20ft</t>
        </is>
      </c>
      <c r="H55" s="39" t="inlineStr">
        <is>
          <t>CFS/CY</t>
        </is>
      </c>
      <c r="I55" s="39" t="inlineStr">
        <is>
          <t>ONE</t>
        </is>
      </c>
      <c r="J55" s="39" t="inlineStr">
        <is>
          <t>IO3</t>
        </is>
      </c>
      <c r="K55" s="15" t="inlineStr">
        <is>
          <t>MAS AMITY PTE LTD</t>
        </is>
      </c>
      <c r="L55" s="16" t="inlineStr">
        <is>
          <t>MAS Active(Pvt) Ltd – CONTOURLINE</t>
        </is>
      </c>
      <c r="M55" s="15" t="inlineStr">
        <is>
          <t>N</t>
        </is>
      </c>
      <c r="N55" s="17" t="n">
        <v>454774669478</v>
      </c>
      <c r="O55" s="15" t="n">
        <v>19920973</v>
      </c>
      <c r="P55" s="18" t="inlineStr">
        <is>
          <t>LW5FARS</t>
        </is>
      </c>
      <c r="Q55" s="18" t="n">
        <v>6</v>
      </c>
      <c r="R55" s="18" t="n">
        <v>0.434</v>
      </c>
      <c r="S55" s="15" t="n">
        <v>71.145</v>
      </c>
      <c r="T55" s="16" t="n">
        <v>45824</v>
      </c>
      <c r="U55" s="19" t="n">
        <v>45878</v>
      </c>
      <c r="V55" s="16" t="n">
        <v>45824</v>
      </c>
      <c r="W55" s="16" t="n">
        <v>45826</v>
      </c>
      <c r="X55" s="57">
        <f>W55-1</f>
        <v/>
      </c>
      <c r="Y55" s="63" t="n">
        <v>45831</v>
      </c>
      <c r="Z55" s="67" t="n">
        <v>45859</v>
      </c>
      <c r="AA55" s="71">
        <f>Z55+7</f>
        <v/>
      </c>
      <c r="AB55" s="20">
        <f>AA55-U55</f>
        <v/>
      </c>
      <c r="AC55" s="20" t="inlineStr">
        <is>
          <t>No</t>
        </is>
      </c>
      <c r="AD55" s="21" t="inlineStr">
        <is>
          <t>1 HBL</t>
        </is>
      </c>
      <c r="AE55" s="21" t="n"/>
      <c r="AF55" s="22" t="inlineStr">
        <is>
          <t>LW</t>
        </is>
      </c>
      <c r="AG55" s="23" t="inlineStr">
        <is>
          <t>NAC</t>
        </is>
      </c>
      <c r="AH55" s="23" t="n"/>
      <c r="AI55" s="23" t="n"/>
      <c r="AJ55" s="23" t="n"/>
      <c r="AK55" s="23" t="n"/>
      <c r="AL55" s="23" t="n"/>
      <c r="AM55" s="23" t="n"/>
      <c r="AN55" s="23" t="n"/>
      <c r="AO55" s="23" t="n"/>
      <c r="AP55" s="23" t="n"/>
    </row>
    <row r="56" ht="12.75" customHeight="1">
      <c r="A56" s="15" t="n">
        <v>3254120</v>
      </c>
      <c r="B56" s="15" t="inlineStr">
        <is>
          <t>Flexport</t>
        </is>
      </c>
      <c r="C56" s="15" t="inlineStr">
        <is>
          <t>Colombo, LK</t>
        </is>
      </c>
      <c r="D56" s="15" t="inlineStr">
        <is>
          <t>Rotterdam, NL</t>
        </is>
      </c>
      <c r="E56" s="15" t="inlineStr">
        <is>
          <t>Rotterdam, NL</t>
        </is>
      </c>
      <c r="F56" s="15" t="inlineStr">
        <is>
          <t>OCEAN</t>
        </is>
      </c>
      <c r="G56" s="39" t="inlineStr">
        <is>
          <t>B. 1 x 20ft</t>
        </is>
      </c>
      <c r="H56" s="39" t="inlineStr">
        <is>
          <t>CFS/CY</t>
        </is>
      </c>
      <c r="I56" s="39" t="inlineStr">
        <is>
          <t>ONE</t>
        </is>
      </c>
      <c r="J56" s="39" t="inlineStr">
        <is>
          <t>IO3</t>
        </is>
      </c>
      <c r="K56" s="15" t="inlineStr">
        <is>
          <t>MAS AMITY PTE LTD</t>
        </is>
      </c>
      <c r="L56" s="16" t="inlineStr">
        <is>
          <t>MAS Active(Pvt) Ltd – CONTOURLINE</t>
        </is>
      </c>
      <c r="M56" s="15" t="inlineStr">
        <is>
          <t>N</t>
        </is>
      </c>
      <c r="N56" s="17" t="n">
        <v>454774676791</v>
      </c>
      <c r="O56" s="15" t="n">
        <v>19920966</v>
      </c>
      <c r="P56" s="18" t="inlineStr">
        <is>
          <t>LW5FARS</t>
        </is>
      </c>
      <c r="Q56" s="18" t="n">
        <v>4</v>
      </c>
      <c r="R56" s="18" t="n">
        <v>0.316</v>
      </c>
      <c r="S56" s="15" t="n">
        <v>51.547</v>
      </c>
      <c r="T56" s="16" t="n">
        <v>45824</v>
      </c>
      <c r="U56" s="19" t="n">
        <v>45878</v>
      </c>
      <c r="V56" s="16" t="n">
        <v>45824</v>
      </c>
      <c r="W56" s="16" t="n">
        <v>45826</v>
      </c>
      <c r="X56" s="57">
        <f>W56-1</f>
        <v/>
      </c>
      <c r="Y56" s="63" t="n">
        <v>45831</v>
      </c>
      <c r="Z56" s="67" t="n">
        <v>45859</v>
      </c>
      <c r="AA56" s="71">
        <f>Z56+7</f>
        <v/>
      </c>
      <c r="AB56" s="20">
        <f>AA56-U56</f>
        <v/>
      </c>
      <c r="AC56" s="20" t="inlineStr">
        <is>
          <t>No</t>
        </is>
      </c>
      <c r="AD56" s="21" t="inlineStr">
        <is>
          <t>1 HBL</t>
        </is>
      </c>
      <c r="AE56" s="21" t="n"/>
      <c r="AF56" s="22" t="inlineStr">
        <is>
          <t>LW</t>
        </is>
      </c>
      <c r="AG56" s="23" t="inlineStr">
        <is>
          <t>NAC</t>
        </is>
      </c>
      <c r="AH56" s="23" t="n"/>
      <c r="AI56" s="23" t="n"/>
      <c r="AJ56" s="23" t="n"/>
      <c r="AK56" s="23" t="n"/>
      <c r="AL56" s="23" t="n"/>
      <c r="AM56" s="23" t="n"/>
      <c r="AN56" s="23" t="n"/>
      <c r="AO56" s="23" t="n"/>
      <c r="AP56" s="23" t="n"/>
    </row>
    <row r="57" ht="12.75" customHeight="1">
      <c r="A57" s="15" t="n">
        <v>3254120</v>
      </c>
      <c r="B57" s="15" t="inlineStr">
        <is>
          <t>Flexport</t>
        </is>
      </c>
      <c r="C57" s="15" t="inlineStr">
        <is>
          <t>Colombo, LK</t>
        </is>
      </c>
      <c r="D57" s="15" t="inlineStr">
        <is>
          <t>Rotterdam, NL</t>
        </is>
      </c>
      <c r="E57" s="15" t="inlineStr">
        <is>
          <t>Rotterdam, NL</t>
        </is>
      </c>
      <c r="F57" s="15" t="inlineStr">
        <is>
          <t>OCEAN</t>
        </is>
      </c>
      <c r="G57" s="39" t="inlineStr">
        <is>
          <t>B. 1 x 20ft</t>
        </is>
      </c>
      <c r="H57" s="39" t="inlineStr">
        <is>
          <t>CFS/CY</t>
        </is>
      </c>
      <c r="I57" s="39" t="inlineStr">
        <is>
          <t>ONE</t>
        </is>
      </c>
      <c r="J57" s="39" t="inlineStr">
        <is>
          <t>IO3</t>
        </is>
      </c>
      <c r="K57" s="15" t="inlineStr">
        <is>
          <t>MAS AMITY PTE LTD</t>
        </is>
      </c>
      <c r="L57" s="16" t="inlineStr">
        <is>
          <t>MAS Active(Pvt) Ltd – CONTOURLINE</t>
        </is>
      </c>
      <c r="M57" s="15" t="inlineStr">
        <is>
          <t>N</t>
        </is>
      </c>
      <c r="N57" s="17" t="n">
        <v>454775006730</v>
      </c>
      <c r="O57" s="15" t="n">
        <v>19920978</v>
      </c>
      <c r="P57" s="18" t="inlineStr">
        <is>
          <t>LW5FARS</t>
        </is>
      </c>
      <c r="Q57" s="18" t="n">
        <v>8</v>
      </c>
      <c r="R57" s="18" t="n">
        <v>0.474</v>
      </c>
      <c r="S57" s="15" t="n">
        <v>78.705</v>
      </c>
      <c r="T57" s="16" t="n">
        <v>45824</v>
      </c>
      <c r="U57" s="19" t="n">
        <v>45878</v>
      </c>
      <c r="V57" s="16" t="n">
        <v>45824</v>
      </c>
      <c r="W57" s="16" t="n">
        <v>45826</v>
      </c>
      <c r="X57" s="57">
        <f>W57-1</f>
        <v/>
      </c>
      <c r="Y57" s="63" t="n">
        <v>45831</v>
      </c>
      <c r="Z57" s="67" t="n">
        <v>45859</v>
      </c>
      <c r="AA57" s="71">
        <f>Z57+7</f>
        <v/>
      </c>
      <c r="AB57" s="20">
        <f>AA57-U57</f>
        <v/>
      </c>
      <c r="AC57" s="20" t="inlineStr">
        <is>
          <t>No</t>
        </is>
      </c>
      <c r="AD57" s="21" t="inlineStr">
        <is>
          <t>1 HBL</t>
        </is>
      </c>
      <c r="AE57" s="21" t="n"/>
      <c r="AF57" s="22" t="inlineStr">
        <is>
          <t>LW</t>
        </is>
      </c>
      <c r="AG57" s="23" t="inlineStr">
        <is>
          <t>NAC</t>
        </is>
      </c>
      <c r="AH57" s="23" t="n"/>
      <c r="AI57" s="23" t="n"/>
      <c r="AJ57" s="23" t="n"/>
      <c r="AK57" s="23" t="n"/>
      <c r="AL57" s="23" t="n"/>
      <c r="AM57" s="23" t="n"/>
      <c r="AN57" s="23" t="n"/>
      <c r="AO57" s="23" t="n"/>
      <c r="AP57" s="23" t="n"/>
    </row>
    <row r="58" ht="12.75" customHeight="1">
      <c r="A58" s="15" t="n">
        <v>3254120</v>
      </c>
      <c r="B58" s="15" t="inlineStr">
        <is>
          <t>Flexport</t>
        </is>
      </c>
      <c r="C58" s="15" t="inlineStr">
        <is>
          <t>Colombo, LK</t>
        </is>
      </c>
      <c r="D58" s="15" t="inlineStr">
        <is>
          <t>Rotterdam, NL</t>
        </is>
      </c>
      <c r="E58" s="15" t="inlineStr">
        <is>
          <t>Rotterdam, NL</t>
        </is>
      </c>
      <c r="F58" s="15" t="inlineStr">
        <is>
          <t>OCEAN</t>
        </is>
      </c>
      <c r="G58" s="39" t="inlineStr">
        <is>
          <t>B. 1 x 20ft</t>
        </is>
      </c>
      <c r="H58" s="39" t="inlineStr">
        <is>
          <t>CFS/CY</t>
        </is>
      </c>
      <c r="I58" s="39" t="inlineStr">
        <is>
          <t>ONE</t>
        </is>
      </c>
      <c r="J58" s="39" t="inlineStr">
        <is>
          <t>IO3</t>
        </is>
      </c>
      <c r="K58" s="15" t="inlineStr">
        <is>
          <t>MAS AMITY PTE LTD</t>
        </is>
      </c>
      <c r="L58" s="16" t="inlineStr">
        <is>
          <t>MAS Active(Pvt) Ltd – CONTOURLINE</t>
        </is>
      </c>
      <c r="M58" s="15" t="inlineStr">
        <is>
          <t>N</t>
        </is>
      </c>
      <c r="N58" s="17" t="n">
        <v>454775035759</v>
      </c>
      <c r="O58" s="15" t="n">
        <v>19925871</v>
      </c>
      <c r="P58" s="18" t="inlineStr">
        <is>
          <t>LW5EPSS</t>
        </is>
      </c>
      <c r="Q58" s="18" t="n">
        <v>8</v>
      </c>
      <c r="R58" s="18" t="n">
        <v>0.632</v>
      </c>
      <c r="S58" s="15" t="n">
        <v>81.101</v>
      </c>
      <c r="T58" s="16" t="n">
        <v>45824</v>
      </c>
      <c r="U58" s="19" t="n">
        <v>45878</v>
      </c>
      <c r="V58" s="16" t="n">
        <v>45824</v>
      </c>
      <c r="W58" s="16" t="n">
        <v>45826</v>
      </c>
      <c r="X58" s="57">
        <f>W58-1</f>
        <v/>
      </c>
      <c r="Y58" s="63" t="n">
        <v>45831</v>
      </c>
      <c r="Z58" s="67" t="n">
        <v>45859</v>
      </c>
      <c r="AA58" s="71">
        <f>Z58+7</f>
        <v/>
      </c>
      <c r="AB58" s="20">
        <f>AA58-U58</f>
        <v/>
      </c>
      <c r="AC58" s="20" t="inlineStr">
        <is>
          <t>No</t>
        </is>
      </c>
      <c r="AD58" s="21" t="inlineStr">
        <is>
          <t>1 HBL</t>
        </is>
      </c>
      <c r="AE58" s="21" t="n"/>
      <c r="AF58" s="22" t="inlineStr">
        <is>
          <t>LW</t>
        </is>
      </c>
      <c r="AG58" s="23" t="inlineStr">
        <is>
          <t>NAC</t>
        </is>
      </c>
      <c r="AH58" s="23" t="n"/>
      <c r="AI58" s="23" t="n"/>
      <c r="AJ58" s="23" t="n"/>
      <c r="AK58" s="23" t="n"/>
      <c r="AL58" s="23" t="n"/>
      <c r="AM58" s="23" t="n"/>
      <c r="AN58" s="23" t="n"/>
      <c r="AO58" s="23" t="n"/>
      <c r="AP58" s="23" t="n"/>
    </row>
    <row r="59" ht="12.75" customHeight="1">
      <c r="A59" s="15" t="n">
        <v>3254120</v>
      </c>
      <c r="B59" s="15" t="inlineStr">
        <is>
          <t>Flexport</t>
        </is>
      </c>
      <c r="C59" s="15" t="inlineStr">
        <is>
          <t>Colombo, LK</t>
        </is>
      </c>
      <c r="D59" s="15" t="inlineStr">
        <is>
          <t>Rotterdam, NL</t>
        </is>
      </c>
      <c r="E59" s="15" t="inlineStr">
        <is>
          <t>Rotterdam, NL</t>
        </is>
      </c>
      <c r="F59" s="15" t="inlineStr">
        <is>
          <t>OCEAN</t>
        </is>
      </c>
      <c r="G59" s="39" t="inlineStr">
        <is>
          <t>B. 1 x 20ft</t>
        </is>
      </c>
      <c r="H59" s="39" t="inlineStr">
        <is>
          <t>CFS/CY</t>
        </is>
      </c>
      <c r="I59" s="39" t="inlineStr">
        <is>
          <t>ONE</t>
        </is>
      </c>
      <c r="J59" s="39" t="inlineStr">
        <is>
          <t>IO3</t>
        </is>
      </c>
      <c r="K59" s="15" t="inlineStr">
        <is>
          <t>MAS AMITY PTE LTD</t>
        </is>
      </c>
      <c r="L59" s="16" t="inlineStr">
        <is>
          <t>MAS Active(Pvt) Ltd – CONTOURLINE</t>
        </is>
      </c>
      <c r="M59" s="15" t="inlineStr">
        <is>
          <t>N</t>
        </is>
      </c>
      <c r="N59" s="17" t="n">
        <v>454775192654</v>
      </c>
      <c r="O59" s="15" t="n">
        <v>19921008</v>
      </c>
      <c r="P59" s="18" t="inlineStr">
        <is>
          <t>LW7CPPS</t>
        </is>
      </c>
      <c r="Q59" s="18" t="n">
        <v>4</v>
      </c>
      <c r="R59" s="18" t="n">
        <v>0.237</v>
      </c>
      <c r="S59" s="15" t="n">
        <v>35.133</v>
      </c>
      <c r="T59" s="16" t="n">
        <v>45824</v>
      </c>
      <c r="U59" s="19" t="n">
        <v>45878</v>
      </c>
      <c r="V59" s="16" t="n">
        <v>45824</v>
      </c>
      <c r="W59" s="16" t="n">
        <v>45826</v>
      </c>
      <c r="X59" s="57">
        <f>W59-1</f>
        <v/>
      </c>
      <c r="Y59" s="63" t="n">
        <v>45831</v>
      </c>
      <c r="Z59" s="67" t="n">
        <v>45859</v>
      </c>
      <c r="AA59" s="71">
        <f>Z59+7</f>
        <v/>
      </c>
      <c r="AB59" s="20">
        <f>AA59-U59</f>
        <v/>
      </c>
      <c r="AC59" s="20" t="inlineStr">
        <is>
          <t>No</t>
        </is>
      </c>
      <c r="AD59" s="21" t="inlineStr">
        <is>
          <t>1 HBL</t>
        </is>
      </c>
      <c r="AE59" s="21" t="n"/>
      <c r="AF59" s="22" t="inlineStr">
        <is>
          <t>LW</t>
        </is>
      </c>
      <c r="AG59" s="23" t="inlineStr">
        <is>
          <t>NAC</t>
        </is>
      </c>
      <c r="AH59" s="23" t="n"/>
      <c r="AI59" s="23" t="n"/>
      <c r="AJ59" s="23" t="n"/>
      <c r="AK59" s="23" t="n"/>
      <c r="AL59" s="23" t="n"/>
      <c r="AM59" s="23" t="n"/>
      <c r="AN59" s="23" t="n"/>
      <c r="AO59" s="23" t="n"/>
      <c r="AP59" s="23" t="n"/>
    </row>
    <row r="60" ht="12.75" customHeight="1">
      <c r="A60" s="15" t="n">
        <v>3254120</v>
      </c>
      <c r="B60" s="15" t="inlineStr">
        <is>
          <t>Flexport</t>
        </is>
      </c>
      <c r="C60" s="15" t="inlineStr">
        <is>
          <t>Colombo, LK</t>
        </is>
      </c>
      <c r="D60" s="15" t="inlineStr">
        <is>
          <t>Rotterdam, NL</t>
        </is>
      </c>
      <c r="E60" s="15" t="inlineStr">
        <is>
          <t>Rotterdam, NL</t>
        </is>
      </c>
      <c r="F60" s="15" t="inlineStr">
        <is>
          <t>OCEAN</t>
        </is>
      </c>
      <c r="G60" s="39" t="inlineStr">
        <is>
          <t>B. 1 x 20ft</t>
        </is>
      </c>
      <c r="H60" s="39" t="inlineStr">
        <is>
          <t>CFS/CY</t>
        </is>
      </c>
      <c r="I60" s="39" t="inlineStr">
        <is>
          <t>ONE</t>
        </is>
      </c>
      <c r="J60" s="39" t="inlineStr">
        <is>
          <t>IO3</t>
        </is>
      </c>
      <c r="K60" s="15" t="inlineStr">
        <is>
          <t>MAS AMITY PTE LTD</t>
        </is>
      </c>
      <c r="L60" s="16" t="inlineStr">
        <is>
          <t>MAS Active(Pvt) Ltd – CONTOURLINE</t>
        </is>
      </c>
      <c r="M60" s="15" t="inlineStr">
        <is>
          <t>N</t>
        </is>
      </c>
      <c r="N60" s="17" t="n">
        <v>454775252695</v>
      </c>
      <c r="O60" s="15" t="n">
        <v>19921010</v>
      </c>
      <c r="P60" s="18" t="inlineStr">
        <is>
          <t>LW7CPPS</t>
        </is>
      </c>
      <c r="Q60" s="18" t="n">
        <v>1</v>
      </c>
      <c r="R60" s="18" t="n">
        <v>0.079</v>
      </c>
      <c r="S60" s="15" t="n">
        <v>6.959</v>
      </c>
      <c r="T60" s="16" t="n">
        <v>45824</v>
      </c>
      <c r="U60" s="19" t="n">
        <v>45878</v>
      </c>
      <c r="V60" s="16" t="n">
        <v>45824</v>
      </c>
      <c r="W60" s="16" t="n">
        <v>45826</v>
      </c>
      <c r="X60" s="57">
        <f>W60-1</f>
        <v/>
      </c>
      <c r="Y60" s="63" t="n">
        <v>45831</v>
      </c>
      <c r="Z60" s="67" t="n">
        <v>45859</v>
      </c>
      <c r="AA60" s="71">
        <f>Z60+7</f>
        <v/>
      </c>
      <c r="AB60" s="20">
        <f>AA60-U60</f>
        <v/>
      </c>
      <c r="AC60" s="20" t="inlineStr">
        <is>
          <t>No</t>
        </is>
      </c>
      <c r="AD60" s="21" t="inlineStr">
        <is>
          <t>1 HBL</t>
        </is>
      </c>
      <c r="AE60" s="21" t="n"/>
      <c r="AF60" s="22" t="inlineStr">
        <is>
          <t>LW</t>
        </is>
      </c>
      <c r="AG60" s="23" t="inlineStr">
        <is>
          <t>NAC</t>
        </is>
      </c>
      <c r="AN60" s="24" t="n"/>
    </row>
    <row r="61" ht="12.75" customHeight="1">
      <c r="A61" s="15" t="n">
        <v>3254120</v>
      </c>
      <c r="B61" s="15" t="inlineStr">
        <is>
          <t>Flexport</t>
        </is>
      </c>
      <c r="C61" s="15" t="inlineStr">
        <is>
          <t>Colombo, LK</t>
        </is>
      </c>
      <c r="D61" s="15" t="inlineStr">
        <is>
          <t>Rotterdam, NL</t>
        </is>
      </c>
      <c r="E61" s="15" t="inlineStr">
        <is>
          <t>Rotterdam, NL</t>
        </is>
      </c>
      <c r="F61" s="15" t="inlineStr">
        <is>
          <t>OCEAN</t>
        </is>
      </c>
      <c r="G61" s="39" t="inlineStr">
        <is>
          <t>B. 1 x 20ft</t>
        </is>
      </c>
      <c r="H61" s="39" t="inlineStr">
        <is>
          <t>CFS/CY</t>
        </is>
      </c>
      <c r="I61" s="39" t="inlineStr">
        <is>
          <t>ONE</t>
        </is>
      </c>
      <c r="J61" s="39" t="inlineStr">
        <is>
          <t>IO3</t>
        </is>
      </c>
      <c r="K61" s="15" t="inlineStr">
        <is>
          <t>MAS AMITY PTE LTD</t>
        </is>
      </c>
      <c r="L61" s="16" t="inlineStr">
        <is>
          <t>MAS Active(Pvt) Ltd – CONTOURLINE</t>
        </is>
      </c>
      <c r="M61" s="15" t="inlineStr">
        <is>
          <t>N</t>
        </is>
      </c>
      <c r="N61" s="17" t="n">
        <v>454775252915</v>
      </c>
      <c r="O61" s="15" t="n">
        <v>19925972</v>
      </c>
      <c r="P61" s="18" t="inlineStr">
        <is>
          <t>LW5FARS</t>
        </is>
      </c>
      <c r="Q61" s="18" t="n">
        <v>4</v>
      </c>
      <c r="R61" s="18" t="n">
        <v>0.316</v>
      </c>
      <c r="S61" s="15" t="n">
        <v>45.138</v>
      </c>
      <c r="T61" s="16" t="n">
        <v>45824</v>
      </c>
      <c r="U61" s="19" t="n">
        <v>45878</v>
      </c>
      <c r="V61" s="16" t="n">
        <v>45824</v>
      </c>
      <c r="W61" s="16" t="n">
        <v>45826</v>
      </c>
      <c r="X61" s="57">
        <f>W61-1</f>
        <v/>
      </c>
      <c r="Y61" s="63" t="n">
        <v>45831</v>
      </c>
      <c r="Z61" s="67" t="n">
        <v>45859</v>
      </c>
      <c r="AA61" s="71">
        <f>Z61+7</f>
        <v/>
      </c>
      <c r="AB61" s="20">
        <f>AA61-U61</f>
        <v/>
      </c>
      <c r="AC61" s="20" t="inlineStr">
        <is>
          <t>No</t>
        </is>
      </c>
      <c r="AD61" s="21" t="inlineStr">
        <is>
          <t>1 HBL</t>
        </is>
      </c>
      <c r="AE61" s="21" t="n"/>
      <c r="AF61" s="22" t="inlineStr">
        <is>
          <t>LW</t>
        </is>
      </c>
      <c r="AG61" s="23" t="inlineStr">
        <is>
          <t>NAC</t>
        </is>
      </c>
      <c r="AN61" s="24" t="n"/>
    </row>
    <row r="62" ht="12.75" customHeight="1">
      <c r="A62" s="15" t="n">
        <v>3254120</v>
      </c>
      <c r="B62" s="15" t="inlineStr">
        <is>
          <t>Flexport</t>
        </is>
      </c>
      <c r="C62" s="15" t="inlineStr">
        <is>
          <t>Colombo, LK</t>
        </is>
      </c>
      <c r="D62" s="15" t="inlineStr">
        <is>
          <t>Rotterdam, NL</t>
        </is>
      </c>
      <c r="E62" s="15" t="inlineStr">
        <is>
          <t>Rotterdam, NL</t>
        </is>
      </c>
      <c r="F62" s="15" t="inlineStr">
        <is>
          <t>OCEAN</t>
        </is>
      </c>
      <c r="G62" s="39" t="inlineStr">
        <is>
          <t>B. 1 x 20ft</t>
        </is>
      </c>
      <c r="H62" s="39" t="inlineStr">
        <is>
          <t>CFS/CY</t>
        </is>
      </c>
      <c r="I62" s="39" t="inlineStr">
        <is>
          <t>ONE</t>
        </is>
      </c>
      <c r="J62" s="39" t="inlineStr">
        <is>
          <t>IO3</t>
        </is>
      </c>
      <c r="K62" s="15" t="inlineStr">
        <is>
          <t>MAS AMITY PTE LTD</t>
        </is>
      </c>
      <c r="L62" s="16" t="inlineStr">
        <is>
          <t>MAS Active(Pvt) Ltd – CONTOURLINE</t>
        </is>
      </c>
      <c r="M62" s="15" t="inlineStr">
        <is>
          <t>N</t>
        </is>
      </c>
      <c r="N62" s="17" t="n">
        <v>454776032834</v>
      </c>
      <c r="O62" s="15" t="n">
        <v>19926262</v>
      </c>
      <c r="P62" s="18" t="inlineStr">
        <is>
          <t>LW2EB3S</t>
        </is>
      </c>
      <c r="Q62" s="18" t="n">
        <v>1</v>
      </c>
      <c r="R62" s="18" t="n">
        <v>0.079</v>
      </c>
      <c r="S62" s="15" t="n">
        <v>7.771</v>
      </c>
      <c r="T62" s="16" t="n">
        <v>45824</v>
      </c>
      <c r="U62" s="19" t="n">
        <v>45878</v>
      </c>
      <c r="V62" s="16" t="n">
        <v>45824</v>
      </c>
      <c r="W62" s="16" t="n">
        <v>45826</v>
      </c>
      <c r="X62" s="57">
        <f>W62-1</f>
        <v/>
      </c>
      <c r="Y62" s="63" t="n">
        <v>45831</v>
      </c>
      <c r="Z62" s="67" t="n">
        <v>45859</v>
      </c>
      <c r="AA62" s="71">
        <f>Z62+7</f>
        <v/>
      </c>
      <c r="AB62" s="20">
        <f>AA62-U62</f>
        <v/>
      </c>
      <c r="AC62" s="20" t="inlineStr">
        <is>
          <t>No</t>
        </is>
      </c>
      <c r="AD62" s="21" t="inlineStr">
        <is>
          <t>1 HBL</t>
        </is>
      </c>
      <c r="AE62" s="21" t="n"/>
      <c r="AF62" s="22" t="inlineStr">
        <is>
          <t>LW</t>
        </is>
      </c>
      <c r="AG62" s="23" t="inlineStr">
        <is>
          <t>NAC</t>
        </is>
      </c>
      <c r="AN62" s="24" t="n"/>
    </row>
    <row r="63" ht="12.75" customHeight="1">
      <c r="A63" s="15" t="n">
        <v>3254120</v>
      </c>
      <c r="B63" s="15" t="inlineStr">
        <is>
          <t>Flexport</t>
        </is>
      </c>
      <c r="C63" s="15" t="inlineStr">
        <is>
          <t>Colombo, LK</t>
        </is>
      </c>
      <c r="D63" s="15" t="inlineStr">
        <is>
          <t>Rotterdam, NL</t>
        </is>
      </c>
      <c r="E63" s="15" t="inlineStr">
        <is>
          <t>Rotterdam, NL</t>
        </is>
      </c>
      <c r="F63" s="15" t="inlineStr">
        <is>
          <t>OCEAN</t>
        </is>
      </c>
      <c r="G63" s="39" t="inlineStr">
        <is>
          <t>B. 1 x 20ft</t>
        </is>
      </c>
      <c r="H63" s="39" t="inlineStr">
        <is>
          <t>CFS/CY</t>
        </is>
      </c>
      <c r="I63" s="39" t="inlineStr">
        <is>
          <t>ONE</t>
        </is>
      </c>
      <c r="J63" s="39" t="inlineStr">
        <is>
          <t>IO3</t>
        </is>
      </c>
      <c r="K63" s="15" t="inlineStr">
        <is>
          <t>MAS AMITY PTE LTD</t>
        </is>
      </c>
      <c r="L63" s="16" t="inlineStr">
        <is>
          <t>MAS Fabrics (Pvt) Ltd Intimo</t>
        </is>
      </c>
      <c r="M63" s="15" t="inlineStr">
        <is>
          <t>N</t>
        </is>
      </c>
      <c r="N63" s="17" t="n">
        <v>454698451345</v>
      </c>
      <c r="O63" s="15" t="n">
        <v>19892444</v>
      </c>
      <c r="P63" s="18" t="inlineStr">
        <is>
          <t>LM3FG2S</t>
        </is>
      </c>
      <c r="Q63" s="18" t="n">
        <v>1</v>
      </c>
      <c r="R63" s="18" t="n">
        <v>0.039</v>
      </c>
      <c r="S63" s="15" t="n">
        <v>3.541</v>
      </c>
      <c r="T63" s="16" t="n">
        <v>45824</v>
      </c>
      <c r="U63" s="19" t="n">
        <v>45878</v>
      </c>
      <c r="V63" s="16" t="n">
        <v>45824</v>
      </c>
      <c r="W63" s="16" t="n">
        <v>45826</v>
      </c>
      <c r="X63" s="57">
        <f>W63-1</f>
        <v/>
      </c>
      <c r="Y63" s="63" t="n">
        <v>45831</v>
      </c>
      <c r="Z63" s="67" t="n">
        <v>45859</v>
      </c>
      <c r="AA63" s="71">
        <f>Z63+7</f>
        <v/>
      </c>
      <c r="AB63" s="20">
        <f>AA63-U63</f>
        <v/>
      </c>
      <c r="AC63" s="20" t="inlineStr">
        <is>
          <t>No</t>
        </is>
      </c>
      <c r="AD63" s="21" t="inlineStr">
        <is>
          <t>1 HBL</t>
        </is>
      </c>
      <c r="AE63" s="21" t="n"/>
      <c r="AF63" s="22" t="inlineStr">
        <is>
          <t>LW</t>
        </is>
      </c>
      <c r="AG63" s="23" t="inlineStr">
        <is>
          <t>NAC</t>
        </is>
      </c>
      <c r="AN63" s="24" t="n"/>
    </row>
    <row r="64" ht="12.75" customHeight="1">
      <c r="A64" s="15" t="n">
        <v>3254120</v>
      </c>
      <c r="B64" s="15" t="inlineStr">
        <is>
          <t>Flexport</t>
        </is>
      </c>
      <c r="C64" s="15" t="inlineStr">
        <is>
          <t>Colombo, LK</t>
        </is>
      </c>
      <c r="D64" s="15" t="inlineStr">
        <is>
          <t>Rotterdam, NL</t>
        </is>
      </c>
      <c r="E64" s="15" t="inlineStr">
        <is>
          <t>Rotterdam, NL</t>
        </is>
      </c>
      <c r="F64" s="15" t="inlineStr">
        <is>
          <t>OCEAN</t>
        </is>
      </c>
      <c r="G64" s="39" t="inlineStr">
        <is>
          <t>B. 1 x 20ft</t>
        </is>
      </c>
      <c r="H64" s="39" t="inlineStr">
        <is>
          <t>CFS/CY</t>
        </is>
      </c>
      <c r="I64" s="39" t="inlineStr">
        <is>
          <t>ONE</t>
        </is>
      </c>
      <c r="J64" s="39" t="inlineStr">
        <is>
          <t>IO3</t>
        </is>
      </c>
      <c r="K64" s="15" t="inlineStr">
        <is>
          <t>MAS AMITY PTE LTD</t>
        </is>
      </c>
      <c r="L64" s="16" t="inlineStr">
        <is>
          <t>MAS Fabrics (Pvt) Ltd Intimo</t>
        </is>
      </c>
      <c r="M64" s="15" t="inlineStr">
        <is>
          <t>N</t>
        </is>
      </c>
      <c r="N64" s="17" t="n">
        <v>454698628078</v>
      </c>
      <c r="O64" s="15" t="n">
        <v>19892445</v>
      </c>
      <c r="P64" s="18" t="inlineStr">
        <is>
          <t>LM3FG2S</t>
        </is>
      </c>
      <c r="Q64" s="18" t="n">
        <v>1</v>
      </c>
      <c r="R64" s="18" t="n">
        <v>0.039</v>
      </c>
      <c r="S64" s="15" t="n">
        <v>3.541</v>
      </c>
      <c r="T64" s="16" t="n">
        <v>45824</v>
      </c>
      <c r="U64" s="19" t="n">
        <v>45878</v>
      </c>
      <c r="V64" s="16" t="n">
        <v>45824</v>
      </c>
      <c r="W64" s="16" t="n">
        <v>45826</v>
      </c>
      <c r="X64" s="57">
        <f>W64-1</f>
        <v/>
      </c>
      <c r="Y64" s="63" t="n">
        <v>45831</v>
      </c>
      <c r="Z64" s="67" t="n">
        <v>45859</v>
      </c>
      <c r="AA64" s="71">
        <f>Z64+7</f>
        <v/>
      </c>
      <c r="AB64" s="20">
        <f>AA64-U64</f>
        <v/>
      </c>
      <c r="AC64" s="20" t="inlineStr">
        <is>
          <t>No</t>
        </is>
      </c>
      <c r="AD64" s="21" t="inlineStr">
        <is>
          <t>1 HBL</t>
        </is>
      </c>
      <c r="AE64" s="21" t="n"/>
      <c r="AF64" s="22" t="inlineStr">
        <is>
          <t>LW</t>
        </is>
      </c>
      <c r="AG64" s="23" t="inlineStr">
        <is>
          <t>NAC</t>
        </is>
      </c>
      <c r="AN64" s="24" t="n"/>
    </row>
    <row r="65" ht="12.75" customHeight="1">
      <c r="A65" s="29" t="inlineStr">
        <is>
          <t>3254120 Total</t>
        </is>
      </c>
      <c r="B65" s="29" t="inlineStr">
        <is>
          <t>3254120 Total</t>
        </is>
      </c>
      <c r="C65" s="29" t="n"/>
      <c r="D65" s="29" t="n"/>
      <c r="E65" s="29" t="n"/>
      <c r="F65" s="29" t="n"/>
      <c r="G65" s="30" t="n"/>
      <c r="H65" s="31" t="n"/>
      <c r="I65" s="29" t="n"/>
      <c r="J65" s="29" t="n"/>
      <c r="K65" s="29" t="n"/>
      <c r="L65" s="31" t="n"/>
      <c r="M65" s="29" t="n"/>
      <c r="N65" s="32" t="n"/>
      <c r="O65" s="29" t="n"/>
      <c r="P65" s="33" t="n"/>
      <c r="Q65" s="33">
        <f>SUM(Q31:Q64)</f>
        <v/>
      </c>
      <c r="R65" s="33">
        <f>SUM(R31:R64)</f>
        <v/>
      </c>
      <c r="S65" s="33">
        <f>SUM(S31:S64)</f>
        <v/>
      </c>
      <c r="T65" s="31" t="n"/>
      <c r="U65" s="31" t="n"/>
      <c r="V65" s="31" t="n"/>
      <c r="W65" s="35" t="n"/>
      <c r="X65" s="60" t="n"/>
      <c r="Y65" s="64" t="n"/>
      <c r="Z65" s="68" t="n"/>
      <c r="AA65" s="72" t="n"/>
      <c r="AB65" s="36" t="n"/>
      <c r="AC65" s="36" t="n"/>
      <c r="AD65" s="37" t="n"/>
      <c r="AE65" s="37" t="n"/>
      <c r="AF65" s="38" t="n"/>
      <c r="AG65" s="37" t="n"/>
      <c r="AH65" s="29" t="n"/>
      <c r="AI65" s="29" t="n"/>
      <c r="AJ65" s="29" t="n"/>
      <c r="AK65" s="29" t="n"/>
      <c r="AL65" s="29" t="n"/>
      <c r="AM65" s="29" t="n"/>
      <c r="AN65" s="36" t="n"/>
      <c r="AO65" s="29" t="n"/>
      <c r="AP65" s="29" t="n"/>
    </row>
    <row r="66" ht="12.75" customHeight="1">
      <c r="A66" s="15" t="n">
        <v>3254506</v>
      </c>
      <c r="B66" s="15" t="inlineStr">
        <is>
          <t>Flexport</t>
        </is>
      </c>
      <c r="C66" s="15" t="inlineStr">
        <is>
          <t>Colombo, LK</t>
        </is>
      </c>
      <c r="D66" s="15" t="inlineStr">
        <is>
          <t>New York, NY, US</t>
        </is>
      </c>
      <c r="E66" s="15" t="inlineStr">
        <is>
          <t>Mississauga, ON, CA</t>
        </is>
      </c>
      <c r="F66" s="15" t="inlineStr">
        <is>
          <t>OCEAN</t>
        </is>
      </c>
      <c r="G66" s="15" t="inlineStr">
        <is>
          <t>C. 1 x 40HC</t>
        </is>
      </c>
      <c r="H66" s="15" t="inlineStr">
        <is>
          <t>CFS/CY</t>
        </is>
      </c>
      <c r="I66" s="15" t="inlineStr">
        <is>
          <t>ONE</t>
        </is>
      </c>
      <c r="J66" s="15" t="inlineStr">
        <is>
          <t>EC3</t>
        </is>
      </c>
      <c r="K66" s="15" t="inlineStr">
        <is>
          <t>Bodyline Trading (Private) Limited</t>
        </is>
      </c>
      <c r="L66" s="16" t="inlineStr">
        <is>
          <t>Bodyline (Private) Limited</t>
        </is>
      </c>
      <c r="M66" s="15" t="inlineStr">
        <is>
          <t>N</t>
        </is>
      </c>
      <c r="N66" s="17" t="n">
        <v>452711781089</v>
      </c>
      <c r="O66" s="15" t="n">
        <v>19878118</v>
      </c>
      <c r="P66" s="18" t="inlineStr">
        <is>
          <t>LW9FLRS</t>
        </is>
      </c>
      <c r="Q66" s="18" t="n">
        <v>3</v>
      </c>
      <c r="R66" s="18" t="n">
        <v>0.132</v>
      </c>
      <c r="S66" s="15" t="n">
        <v>10.71</v>
      </c>
      <c r="T66" s="16" t="n">
        <v>45824</v>
      </c>
      <c r="U66" s="19" t="n">
        <v>45883</v>
      </c>
      <c r="V66" s="16" t="n">
        <v>45824</v>
      </c>
      <c r="W66" s="16" t="n">
        <v>45826</v>
      </c>
      <c r="X66" s="57">
        <f>W66-1</f>
        <v/>
      </c>
      <c r="Y66" s="63" t="n">
        <v>45832</v>
      </c>
      <c r="Z66" s="67" t="n">
        <v>45861</v>
      </c>
      <c r="AA66" s="71">
        <f>Z66+13</f>
        <v/>
      </c>
      <c r="AB66" s="20">
        <f>AA66-U66</f>
        <v/>
      </c>
      <c r="AC66" s="20" t="inlineStr">
        <is>
          <t>No</t>
        </is>
      </c>
      <c r="AD66" s="21" t="inlineStr">
        <is>
          <t>1 HBL</t>
        </is>
      </c>
      <c r="AE66" s="21" t="n"/>
      <c r="AF66" s="22" t="inlineStr">
        <is>
          <t>LW</t>
        </is>
      </c>
      <c r="AG66" s="23" t="inlineStr">
        <is>
          <t>NAC</t>
        </is>
      </c>
      <c r="AN66" s="24" t="n"/>
    </row>
    <row r="67" ht="12.75" customHeight="1">
      <c r="A67" s="15" t="n">
        <v>3254506</v>
      </c>
      <c r="B67" s="15" t="inlineStr">
        <is>
          <t>Flexport</t>
        </is>
      </c>
      <c r="C67" s="15" t="inlineStr">
        <is>
          <t>Colombo, LK</t>
        </is>
      </c>
      <c r="D67" s="15" t="inlineStr">
        <is>
          <t>New York, NY, US</t>
        </is>
      </c>
      <c r="E67" s="15" t="inlineStr">
        <is>
          <t>Mississauga, ON, CA</t>
        </is>
      </c>
      <c r="F67" s="15" t="inlineStr">
        <is>
          <t>OCEAN</t>
        </is>
      </c>
      <c r="G67" s="15" t="inlineStr">
        <is>
          <t>C. 1 x 40HC</t>
        </is>
      </c>
      <c r="H67" s="15" t="inlineStr">
        <is>
          <t>CFS/CY</t>
        </is>
      </c>
      <c r="I67" s="15" t="inlineStr">
        <is>
          <t>ONE</t>
        </is>
      </c>
      <c r="J67" s="15" t="inlineStr">
        <is>
          <t>EC3</t>
        </is>
      </c>
      <c r="K67" s="15" t="inlineStr">
        <is>
          <t>Bodyline Trading (Private) Limited</t>
        </is>
      </c>
      <c r="L67" s="16" t="inlineStr">
        <is>
          <t>Bodyline (Private) Limited</t>
        </is>
      </c>
      <c r="M67" s="15" t="inlineStr">
        <is>
          <t>N</t>
        </is>
      </c>
      <c r="N67" s="17" t="n">
        <v>452713380372</v>
      </c>
      <c r="O67" s="15" t="n">
        <v>19878511</v>
      </c>
      <c r="P67" s="18" t="inlineStr">
        <is>
          <t>LW9FLRS</t>
        </is>
      </c>
      <c r="Q67" s="18" t="n">
        <v>4</v>
      </c>
      <c r="R67" s="18" t="n">
        <v>0.176</v>
      </c>
      <c r="S67" s="15" t="n">
        <v>17.284</v>
      </c>
      <c r="T67" s="16" t="n">
        <v>45824</v>
      </c>
      <c r="U67" s="19" t="n">
        <v>45883</v>
      </c>
      <c r="V67" s="16" t="n">
        <v>45824</v>
      </c>
      <c r="W67" s="16" t="n">
        <v>45826</v>
      </c>
      <c r="X67" s="57">
        <f>W67-1</f>
        <v/>
      </c>
      <c r="Y67" s="63" t="n">
        <v>45832</v>
      </c>
      <c r="Z67" s="67" t="n">
        <v>45861</v>
      </c>
      <c r="AA67" s="71">
        <f>Z67+13</f>
        <v/>
      </c>
      <c r="AB67" s="20">
        <f>AA67-U67</f>
        <v/>
      </c>
      <c r="AC67" s="20" t="inlineStr">
        <is>
          <t>No</t>
        </is>
      </c>
      <c r="AD67" s="21" t="inlineStr">
        <is>
          <t>1 HBL</t>
        </is>
      </c>
      <c r="AE67" s="21" t="n"/>
      <c r="AF67" s="22" t="inlineStr">
        <is>
          <t>LW</t>
        </is>
      </c>
      <c r="AG67" s="23" t="inlineStr">
        <is>
          <t>NAC</t>
        </is>
      </c>
      <c r="AN67" s="24" t="n"/>
    </row>
    <row r="68" ht="12.75" customHeight="1">
      <c r="A68" s="15" t="n">
        <v>3254506</v>
      </c>
      <c r="B68" s="15" t="inlineStr">
        <is>
          <t>Flexport</t>
        </is>
      </c>
      <c r="C68" s="15" t="inlineStr">
        <is>
          <t>Colombo, LK</t>
        </is>
      </c>
      <c r="D68" s="15" t="inlineStr">
        <is>
          <t>New York, NY, US</t>
        </is>
      </c>
      <c r="E68" s="15" t="inlineStr">
        <is>
          <t>Mississauga, ON, CA</t>
        </is>
      </c>
      <c r="F68" s="15" t="inlineStr">
        <is>
          <t>OCEAN</t>
        </is>
      </c>
      <c r="G68" s="15" t="inlineStr">
        <is>
          <t>C. 1 x 40HC</t>
        </is>
      </c>
      <c r="H68" s="15" t="inlineStr">
        <is>
          <t>CFS/CY</t>
        </is>
      </c>
      <c r="I68" s="15" t="inlineStr">
        <is>
          <t>ONE</t>
        </is>
      </c>
      <c r="J68" s="15" t="inlineStr">
        <is>
          <t>EC3</t>
        </is>
      </c>
      <c r="K68" s="15" t="inlineStr">
        <is>
          <t>Bodyline Trading (Private) Limited</t>
        </is>
      </c>
      <c r="L68" s="16" t="inlineStr">
        <is>
          <t>Bodyline (Private) Limited</t>
        </is>
      </c>
      <c r="M68" s="15" t="inlineStr">
        <is>
          <t>N</t>
        </is>
      </c>
      <c r="N68" s="17" t="n">
        <v>452714007820</v>
      </c>
      <c r="O68" s="15" t="n">
        <v>19843725</v>
      </c>
      <c r="P68" s="18" t="inlineStr">
        <is>
          <t>LW1FF7S</t>
        </is>
      </c>
      <c r="Q68" s="18" t="n">
        <v>5</v>
      </c>
      <c r="R68" s="18" t="n">
        <v>0.22</v>
      </c>
      <c r="S68" s="15" t="n">
        <v>21.39</v>
      </c>
      <c r="T68" s="16" t="n">
        <v>45824</v>
      </c>
      <c r="U68" s="19" t="n">
        <v>45883</v>
      </c>
      <c r="V68" s="16" t="n">
        <v>45824</v>
      </c>
      <c r="W68" s="16" t="n">
        <v>45826</v>
      </c>
      <c r="X68" s="57">
        <f>W68-1</f>
        <v/>
      </c>
      <c r="Y68" s="63" t="n">
        <v>45832</v>
      </c>
      <c r="Z68" s="67" t="n">
        <v>45861</v>
      </c>
      <c r="AA68" s="71">
        <f>Z68+13</f>
        <v/>
      </c>
      <c r="AB68" s="20">
        <f>AA68-U68</f>
        <v/>
      </c>
      <c r="AC68" s="20" t="inlineStr">
        <is>
          <t>No</t>
        </is>
      </c>
      <c r="AD68" s="21" t="inlineStr">
        <is>
          <t>1 HBL</t>
        </is>
      </c>
      <c r="AE68" s="21" t="n"/>
      <c r="AF68" s="22" t="inlineStr">
        <is>
          <t>LW</t>
        </is>
      </c>
      <c r="AG68" s="23" t="inlineStr">
        <is>
          <t>NAC</t>
        </is>
      </c>
      <c r="AN68" s="24" t="n"/>
    </row>
    <row r="69" ht="12.75" customHeight="1">
      <c r="A69" s="15" t="n">
        <v>3254506</v>
      </c>
      <c r="B69" s="15" t="inlineStr">
        <is>
          <t>Flexport</t>
        </is>
      </c>
      <c r="C69" s="15" t="inlineStr">
        <is>
          <t>Colombo, LK</t>
        </is>
      </c>
      <c r="D69" s="15" t="inlineStr">
        <is>
          <t>New York, NY, US</t>
        </is>
      </c>
      <c r="E69" s="15" t="inlineStr">
        <is>
          <t>Mississauga, ON, CA</t>
        </is>
      </c>
      <c r="F69" s="15" t="inlineStr">
        <is>
          <t>OCEAN</t>
        </is>
      </c>
      <c r="G69" s="15" t="inlineStr">
        <is>
          <t>C. 1 x 40HC</t>
        </is>
      </c>
      <c r="H69" s="15" t="inlineStr">
        <is>
          <t>CFS/CY</t>
        </is>
      </c>
      <c r="I69" s="15" t="inlineStr">
        <is>
          <t>ONE</t>
        </is>
      </c>
      <c r="J69" s="15" t="inlineStr">
        <is>
          <t>EC3</t>
        </is>
      </c>
      <c r="K69" s="15" t="inlineStr">
        <is>
          <t>Bodyline Trading (Private) Limited</t>
        </is>
      </c>
      <c r="L69" s="16" t="inlineStr">
        <is>
          <t>Bodyline (Private) Limited</t>
        </is>
      </c>
      <c r="M69" s="15" t="inlineStr">
        <is>
          <t>N</t>
        </is>
      </c>
      <c r="N69" s="17" t="n">
        <v>452714470923</v>
      </c>
      <c r="O69" s="15" t="n">
        <v>19843810</v>
      </c>
      <c r="P69" s="18" t="inlineStr">
        <is>
          <t>LW1FF7S</t>
        </is>
      </c>
      <c r="Q69" s="18" t="n">
        <v>11</v>
      </c>
      <c r="R69" s="18" t="n">
        <v>0.483</v>
      </c>
      <c r="S69" s="15" t="n">
        <v>56.275</v>
      </c>
      <c r="T69" s="16" t="n">
        <v>45824</v>
      </c>
      <c r="U69" s="19" t="n">
        <v>45883</v>
      </c>
      <c r="V69" s="16" t="n">
        <v>45824</v>
      </c>
      <c r="W69" s="16" t="n">
        <v>45826</v>
      </c>
      <c r="X69" s="57">
        <f>W69-1</f>
        <v/>
      </c>
      <c r="Y69" s="63" t="n">
        <v>45832</v>
      </c>
      <c r="Z69" s="67" t="n">
        <v>45861</v>
      </c>
      <c r="AA69" s="71">
        <f>Z69+13</f>
        <v/>
      </c>
      <c r="AB69" s="20">
        <f>AA69-U69</f>
        <v/>
      </c>
      <c r="AC69" s="20" t="inlineStr">
        <is>
          <t>No</t>
        </is>
      </c>
      <c r="AD69" s="21" t="inlineStr">
        <is>
          <t>1 HBL</t>
        </is>
      </c>
      <c r="AE69" s="21" t="n"/>
      <c r="AF69" s="22" t="inlineStr">
        <is>
          <t>LW</t>
        </is>
      </c>
      <c r="AG69" s="23" t="inlineStr">
        <is>
          <t>NAC</t>
        </is>
      </c>
      <c r="AN69" s="24" t="n"/>
    </row>
    <row r="70" ht="12.75" customHeight="1">
      <c r="A70" s="15" t="n">
        <v>3254506</v>
      </c>
      <c r="B70" s="15" t="inlineStr">
        <is>
          <t>Flexport</t>
        </is>
      </c>
      <c r="C70" s="15" t="inlineStr">
        <is>
          <t>Colombo, LK</t>
        </is>
      </c>
      <c r="D70" s="15" t="inlineStr">
        <is>
          <t>New York, NY, US</t>
        </is>
      </c>
      <c r="E70" s="15" t="inlineStr">
        <is>
          <t>Mississauga, ON, CA</t>
        </is>
      </c>
      <c r="F70" s="15" t="inlineStr">
        <is>
          <t>OCEAN</t>
        </is>
      </c>
      <c r="G70" s="15" t="inlineStr">
        <is>
          <t>C. 1 x 40HC</t>
        </is>
      </c>
      <c r="H70" s="15" t="inlineStr">
        <is>
          <t>CFS/CY</t>
        </is>
      </c>
      <c r="I70" s="15" t="inlineStr">
        <is>
          <t>ONE</t>
        </is>
      </c>
      <c r="J70" s="15" t="inlineStr">
        <is>
          <t>EC3</t>
        </is>
      </c>
      <c r="K70" s="15" t="inlineStr">
        <is>
          <t>Bodyline Trading (Private) Limited</t>
        </is>
      </c>
      <c r="L70" s="16" t="inlineStr">
        <is>
          <t>Bodyline (Private) Limited</t>
        </is>
      </c>
      <c r="M70" s="15" t="inlineStr">
        <is>
          <t>N</t>
        </is>
      </c>
      <c r="N70" s="17" t="n">
        <v>452715829365</v>
      </c>
      <c r="O70" s="15" t="n">
        <v>19843733</v>
      </c>
      <c r="P70" s="18" t="inlineStr">
        <is>
          <t>LW1FF7S</t>
        </is>
      </c>
      <c r="Q70" s="18" t="n">
        <v>3</v>
      </c>
      <c r="R70" s="18" t="n">
        <v>0.132</v>
      </c>
      <c r="S70" s="15" t="n">
        <v>12.43</v>
      </c>
      <c r="T70" s="16" t="n">
        <v>45824</v>
      </c>
      <c r="U70" s="19" t="n">
        <v>45883</v>
      </c>
      <c r="V70" s="16" t="n">
        <v>45824</v>
      </c>
      <c r="W70" s="16" t="n">
        <v>45826</v>
      </c>
      <c r="X70" s="57">
        <f>W70-1</f>
        <v/>
      </c>
      <c r="Y70" s="63" t="n">
        <v>45832</v>
      </c>
      <c r="Z70" s="67" t="n">
        <v>45861</v>
      </c>
      <c r="AA70" s="71">
        <f>Z70+13</f>
        <v/>
      </c>
      <c r="AB70" s="20">
        <f>AA70-U70</f>
        <v/>
      </c>
      <c r="AC70" s="20" t="inlineStr">
        <is>
          <t>No</t>
        </is>
      </c>
      <c r="AD70" s="21" t="inlineStr">
        <is>
          <t>1 HBL</t>
        </is>
      </c>
      <c r="AE70" s="21" t="n"/>
      <c r="AF70" s="22" t="inlineStr">
        <is>
          <t>LW</t>
        </is>
      </c>
      <c r="AG70" s="23" t="inlineStr">
        <is>
          <t>NAC</t>
        </is>
      </c>
      <c r="AN70" s="24" t="n"/>
    </row>
    <row r="71" ht="12.75" customHeight="1">
      <c r="A71" s="15" t="n">
        <v>3254506</v>
      </c>
      <c r="B71" s="15" t="inlineStr">
        <is>
          <t>Flexport</t>
        </is>
      </c>
      <c r="C71" s="15" t="inlineStr">
        <is>
          <t>Colombo, LK</t>
        </is>
      </c>
      <c r="D71" s="15" t="inlineStr">
        <is>
          <t>New York, NY, US</t>
        </is>
      </c>
      <c r="E71" s="15" t="inlineStr">
        <is>
          <t>Mississauga, ON, CA</t>
        </is>
      </c>
      <c r="F71" s="15" t="inlineStr">
        <is>
          <t>OCEAN</t>
        </is>
      </c>
      <c r="G71" s="15" t="inlineStr">
        <is>
          <t>C. 1 x 40HC</t>
        </is>
      </c>
      <c r="H71" s="15" t="inlineStr">
        <is>
          <t>CFS/CY</t>
        </is>
      </c>
      <c r="I71" s="15" t="inlineStr">
        <is>
          <t>ONE</t>
        </is>
      </c>
      <c r="J71" s="15" t="inlineStr">
        <is>
          <t>EC3</t>
        </is>
      </c>
      <c r="K71" s="15" t="inlineStr">
        <is>
          <t>Bodyline Trading (Private) Limited</t>
        </is>
      </c>
      <c r="L71" s="16" t="inlineStr">
        <is>
          <t>Bodyline (Private) Limited</t>
        </is>
      </c>
      <c r="M71" s="15" t="inlineStr">
        <is>
          <t>N</t>
        </is>
      </c>
      <c r="N71" s="17" t="n">
        <v>452716558693</v>
      </c>
      <c r="O71" s="15" t="n">
        <v>19843826</v>
      </c>
      <c r="P71" s="18" t="inlineStr">
        <is>
          <t>LW1FF7S</t>
        </is>
      </c>
      <c r="Q71" s="18" t="n">
        <v>9</v>
      </c>
      <c r="R71" s="18" t="n">
        <v>0.395</v>
      </c>
      <c r="S71" s="15" t="n">
        <v>44.269</v>
      </c>
      <c r="T71" s="16" t="n">
        <v>45824</v>
      </c>
      <c r="U71" s="19" t="n">
        <v>45883</v>
      </c>
      <c r="V71" s="16" t="n">
        <v>45824</v>
      </c>
      <c r="W71" s="16" t="n">
        <v>45826</v>
      </c>
      <c r="X71" s="57">
        <f>W71-1</f>
        <v/>
      </c>
      <c r="Y71" s="63" t="n">
        <v>45832</v>
      </c>
      <c r="Z71" s="67" t="n">
        <v>45861</v>
      </c>
      <c r="AA71" s="71">
        <f>Z71+13</f>
        <v/>
      </c>
      <c r="AB71" s="20">
        <f>AA71-U71</f>
        <v/>
      </c>
      <c r="AC71" s="20" t="inlineStr">
        <is>
          <t>No</t>
        </is>
      </c>
      <c r="AD71" s="21" t="inlineStr">
        <is>
          <t>1 HBL</t>
        </is>
      </c>
      <c r="AE71" s="21" t="n"/>
      <c r="AF71" s="22" t="inlineStr">
        <is>
          <t>LW</t>
        </is>
      </c>
      <c r="AG71" s="23" t="inlineStr">
        <is>
          <t>NAC</t>
        </is>
      </c>
      <c r="AN71" s="24" t="n"/>
    </row>
    <row r="72" ht="12.75" customHeight="1">
      <c r="A72" s="15" t="n">
        <v>3254506</v>
      </c>
      <c r="B72" s="15" t="inlineStr">
        <is>
          <t>Flexport</t>
        </is>
      </c>
      <c r="C72" s="15" t="inlineStr">
        <is>
          <t>Colombo, LK</t>
        </is>
      </c>
      <c r="D72" s="15" t="inlineStr">
        <is>
          <t>New York, NY, US</t>
        </is>
      </c>
      <c r="E72" s="15" t="inlineStr">
        <is>
          <t>Mississauga, ON, CA</t>
        </is>
      </c>
      <c r="F72" s="15" t="inlineStr">
        <is>
          <t>OCEAN</t>
        </is>
      </c>
      <c r="G72" s="15" t="inlineStr">
        <is>
          <t>C. 1 x 40HC</t>
        </is>
      </c>
      <c r="H72" s="15" t="inlineStr">
        <is>
          <t>CFS/CY</t>
        </is>
      </c>
      <c r="I72" s="15" t="inlineStr">
        <is>
          <t>ONE</t>
        </is>
      </c>
      <c r="J72" s="15" t="inlineStr">
        <is>
          <t>EC3</t>
        </is>
      </c>
      <c r="K72" s="15" t="inlineStr">
        <is>
          <t>Bodyline Trading (Private) Limited</t>
        </is>
      </c>
      <c r="L72" s="16" t="inlineStr">
        <is>
          <t>Bodyline (Private) Limited</t>
        </is>
      </c>
      <c r="M72" s="15" t="inlineStr">
        <is>
          <t>N</t>
        </is>
      </c>
      <c r="N72" s="17" t="n">
        <v>452716917986</v>
      </c>
      <c r="O72" s="15" t="n">
        <v>19843754</v>
      </c>
      <c r="P72" s="18" t="inlineStr">
        <is>
          <t>LW1FM7S</t>
        </is>
      </c>
      <c r="Q72" s="18" t="n">
        <v>4</v>
      </c>
      <c r="R72" s="18" t="n">
        <v>0.176</v>
      </c>
      <c r="S72" s="15" t="n">
        <v>17.168</v>
      </c>
      <c r="T72" s="16" t="n">
        <v>45824</v>
      </c>
      <c r="U72" s="19" t="n">
        <v>45883</v>
      </c>
      <c r="V72" s="16" t="n">
        <v>45824</v>
      </c>
      <c r="W72" s="16" t="n">
        <v>45826</v>
      </c>
      <c r="X72" s="57">
        <f>W72-1</f>
        <v/>
      </c>
      <c r="Y72" s="63" t="n">
        <v>45832</v>
      </c>
      <c r="Z72" s="67" t="n">
        <v>45861</v>
      </c>
      <c r="AA72" s="71">
        <f>Z72+13</f>
        <v/>
      </c>
      <c r="AB72" s="20">
        <f>AA72-U72</f>
        <v/>
      </c>
      <c r="AC72" s="20" t="inlineStr">
        <is>
          <t>No</t>
        </is>
      </c>
      <c r="AD72" s="21" t="inlineStr">
        <is>
          <t>1 HBL</t>
        </is>
      </c>
      <c r="AE72" s="21" t="n"/>
      <c r="AF72" s="22" t="inlineStr">
        <is>
          <t>LW</t>
        </is>
      </c>
      <c r="AG72" s="23" t="inlineStr">
        <is>
          <t>NAC</t>
        </is>
      </c>
      <c r="AN72" s="24" t="n"/>
    </row>
    <row r="73" ht="12.75" customHeight="1">
      <c r="A73" s="15" t="n">
        <v>3254506</v>
      </c>
      <c r="B73" s="15" t="inlineStr">
        <is>
          <t>Flexport</t>
        </is>
      </c>
      <c r="C73" s="15" t="inlineStr">
        <is>
          <t>Colombo, LK</t>
        </is>
      </c>
      <c r="D73" s="15" t="inlineStr">
        <is>
          <t>New York, NY, US</t>
        </is>
      </c>
      <c r="E73" s="15" t="inlineStr">
        <is>
          <t>Mississauga, ON, CA</t>
        </is>
      </c>
      <c r="F73" s="15" t="inlineStr">
        <is>
          <t>OCEAN</t>
        </is>
      </c>
      <c r="G73" s="15" t="inlineStr">
        <is>
          <t>C. 1 x 40HC</t>
        </is>
      </c>
      <c r="H73" s="15" t="inlineStr">
        <is>
          <t>CFS/CY</t>
        </is>
      </c>
      <c r="I73" s="15" t="inlineStr">
        <is>
          <t>ONE</t>
        </is>
      </c>
      <c r="J73" s="15" t="inlineStr">
        <is>
          <t>EC3</t>
        </is>
      </c>
      <c r="K73" s="15" t="inlineStr">
        <is>
          <t>Bodyline Trading (Private) Limited</t>
        </is>
      </c>
      <c r="L73" s="16" t="inlineStr">
        <is>
          <t>Bodyline (Private) Limited</t>
        </is>
      </c>
      <c r="M73" s="15" t="inlineStr">
        <is>
          <t>N</t>
        </is>
      </c>
      <c r="N73" s="17" t="n">
        <v>452717677611</v>
      </c>
      <c r="O73" s="15" t="n">
        <v>19843863</v>
      </c>
      <c r="P73" s="18" t="inlineStr">
        <is>
          <t>LW1FM7S</t>
        </is>
      </c>
      <c r="Q73" s="18" t="n">
        <v>13</v>
      </c>
      <c r="R73" s="18" t="n">
        <v>0.571</v>
      </c>
      <c r="S73" s="15" t="n">
        <v>73.587</v>
      </c>
      <c r="T73" s="16" t="n">
        <v>45824</v>
      </c>
      <c r="U73" s="19" t="n">
        <v>45883</v>
      </c>
      <c r="V73" s="16" t="n">
        <v>45824</v>
      </c>
      <c r="W73" s="16" t="n">
        <v>45826</v>
      </c>
      <c r="X73" s="57">
        <f>W73-1</f>
        <v/>
      </c>
      <c r="Y73" s="63" t="n">
        <v>45832</v>
      </c>
      <c r="Z73" s="67" t="n">
        <v>45861</v>
      </c>
      <c r="AA73" s="71">
        <f>Z73+13</f>
        <v/>
      </c>
      <c r="AB73" s="20">
        <f>AA73-U73</f>
        <v/>
      </c>
      <c r="AC73" s="20" t="inlineStr">
        <is>
          <t>No</t>
        </is>
      </c>
      <c r="AD73" s="21" t="inlineStr">
        <is>
          <t>1 HBL</t>
        </is>
      </c>
      <c r="AE73" s="21" t="n"/>
      <c r="AF73" s="22" t="inlineStr">
        <is>
          <t>LW</t>
        </is>
      </c>
      <c r="AG73" s="23" t="inlineStr">
        <is>
          <t>NAC</t>
        </is>
      </c>
      <c r="AN73" s="24" t="n"/>
    </row>
    <row r="74" ht="12.75" customHeight="1">
      <c r="A74" s="15" t="n">
        <v>3254506</v>
      </c>
      <c r="B74" s="15" t="inlineStr">
        <is>
          <t>Flexport</t>
        </is>
      </c>
      <c r="C74" s="15" t="inlineStr">
        <is>
          <t>Colombo, LK</t>
        </is>
      </c>
      <c r="D74" s="15" t="inlineStr">
        <is>
          <t>New York, NY, US</t>
        </is>
      </c>
      <c r="E74" s="15" t="inlineStr">
        <is>
          <t>Mississauga, ON, CA</t>
        </is>
      </c>
      <c r="F74" s="15" t="inlineStr">
        <is>
          <t>OCEAN</t>
        </is>
      </c>
      <c r="G74" s="15" t="inlineStr">
        <is>
          <t>C. 1 x 40HC</t>
        </is>
      </c>
      <c r="H74" s="15" t="inlineStr">
        <is>
          <t>CFS/CY</t>
        </is>
      </c>
      <c r="I74" s="15" t="inlineStr">
        <is>
          <t>ONE</t>
        </is>
      </c>
      <c r="J74" s="15" t="inlineStr">
        <is>
          <t>EC3</t>
        </is>
      </c>
      <c r="K74" s="15" t="inlineStr">
        <is>
          <t>Bodyline Trading (Private) Limited</t>
        </is>
      </c>
      <c r="L74" s="16" t="inlineStr">
        <is>
          <t>Bodyline (Private) Limited</t>
        </is>
      </c>
      <c r="M74" s="15" t="inlineStr">
        <is>
          <t>N</t>
        </is>
      </c>
      <c r="N74" s="17" t="n">
        <v>452718209567</v>
      </c>
      <c r="O74" s="15" t="n">
        <v>19843867</v>
      </c>
      <c r="P74" s="18" t="inlineStr">
        <is>
          <t>LW1FM7S</t>
        </is>
      </c>
      <c r="Q74" s="18" t="n">
        <v>12</v>
      </c>
      <c r="R74" s="18" t="n">
        <v>0.527</v>
      </c>
      <c r="S74" s="15" t="n">
        <v>70.328</v>
      </c>
      <c r="T74" s="16" t="n">
        <v>45824</v>
      </c>
      <c r="U74" s="19" t="n">
        <v>45883</v>
      </c>
      <c r="V74" s="16" t="n">
        <v>45824</v>
      </c>
      <c r="W74" s="16" t="n">
        <v>45826</v>
      </c>
      <c r="X74" s="57">
        <f>W74-1</f>
        <v/>
      </c>
      <c r="Y74" s="63" t="n">
        <v>45832</v>
      </c>
      <c r="Z74" s="67" t="n">
        <v>45861</v>
      </c>
      <c r="AA74" s="71">
        <f>Z74+13</f>
        <v/>
      </c>
      <c r="AB74" s="20">
        <f>AA74-U74</f>
        <v/>
      </c>
      <c r="AC74" s="20" t="inlineStr">
        <is>
          <t>No</t>
        </is>
      </c>
      <c r="AD74" s="21" t="inlineStr">
        <is>
          <t>1 HBL</t>
        </is>
      </c>
      <c r="AE74" s="21" t="n"/>
      <c r="AF74" s="22" t="inlineStr">
        <is>
          <t>LW</t>
        </is>
      </c>
      <c r="AG74" s="23" t="inlineStr">
        <is>
          <t>NAC</t>
        </is>
      </c>
      <c r="AN74" s="24" t="n"/>
    </row>
    <row r="75" ht="12.75" customHeight="1">
      <c r="A75" s="15" t="n">
        <v>3254506</v>
      </c>
      <c r="B75" s="15" t="inlineStr">
        <is>
          <t>Flexport</t>
        </is>
      </c>
      <c r="C75" s="15" t="inlineStr">
        <is>
          <t>Colombo, LK</t>
        </is>
      </c>
      <c r="D75" s="15" t="inlineStr">
        <is>
          <t>New York, NY, US</t>
        </is>
      </c>
      <c r="E75" s="15" t="inlineStr">
        <is>
          <t>Mississauga, ON, CA</t>
        </is>
      </c>
      <c r="F75" s="15" t="inlineStr">
        <is>
          <t>OCEAN</t>
        </is>
      </c>
      <c r="G75" s="15" t="inlineStr">
        <is>
          <t>C. 1 x 40HC</t>
        </is>
      </c>
      <c r="H75" s="15" t="inlineStr">
        <is>
          <t>CFS/CY</t>
        </is>
      </c>
      <c r="I75" s="15" t="inlineStr">
        <is>
          <t>ONE</t>
        </is>
      </c>
      <c r="J75" s="15" t="inlineStr">
        <is>
          <t>EC3</t>
        </is>
      </c>
      <c r="K75" s="15" t="inlineStr">
        <is>
          <t>Bodyline Trading (Private) Limited</t>
        </is>
      </c>
      <c r="L75" s="16" t="inlineStr">
        <is>
          <t>Bodyline (Private) Limited</t>
        </is>
      </c>
      <c r="M75" s="15" t="inlineStr">
        <is>
          <t>N</t>
        </is>
      </c>
      <c r="N75" s="17" t="n">
        <v>452719229489</v>
      </c>
      <c r="O75" s="15" t="n">
        <v>19878633</v>
      </c>
      <c r="P75" s="18" t="inlineStr">
        <is>
          <t>LW2CRHS</t>
        </is>
      </c>
      <c r="Q75" s="18" t="n">
        <v>12</v>
      </c>
      <c r="R75" s="18" t="n">
        <v>0.93</v>
      </c>
      <c r="S75" s="15" t="n">
        <v>80.736</v>
      </c>
      <c r="T75" s="16" t="n">
        <v>45824</v>
      </c>
      <c r="U75" s="19" t="n">
        <v>45883</v>
      </c>
      <c r="V75" s="16" t="n">
        <v>45824</v>
      </c>
      <c r="W75" s="16" t="n">
        <v>45826</v>
      </c>
      <c r="X75" s="57">
        <f>W75-1</f>
        <v/>
      </c>
      <c r="Y75" s="63" t="n">
        <v>45832</v>
      </c>
      <c r="Z75" s="67" t="n">
        <v>45861</v>
      </c>
      <c r="AA75" s="71">
        <f>Z75+13</f>
        <v/>
      </c>
      <c r="AB75" s="20">
        <f>AA75-U75</f>
        <v/>
      </c>
      <c r="AC75" s="20" t="inlineStr">
        <is>
          <t>No</t>
        </is>
      </c>
      <c r="AD75" s="21" t="inlineStr">
        <is>
          <t>1 HBL</t>
        </is>
      </c>
      <c r="AE75" s="21" t="n"/>
      <c r="AF75" s="22" t="inlineStr">
        <is>
          <t>LW</t>
        </is>
      </c>
      <c r="AG75" s="23" t="inlineStr">
        <is>
          <t>NAC</t>
        </is>
      </c>
      <c r="AN75" s="24" t="n"/>
    </row>
    <row r="76" ht="12.75" customHeight="1">
      <c r="A76" s="15" t="n">
        <v>3254506</v>
      </c>
      <c r="B76" s="15" t="inlineStr">
        <is>
          <t>Flexport</t>
        </is>
      </c>
      <c r="C76" s="15" t="inlineStr">
        <is>
          <t>Colombo, LK</t>
        </is>
      </c>
      <c r="D76" s="15" t="inlineStr">
        <is>
          <t>New York, NY, US</t>
        </is>
      </c>
      <c r="E76" s="15" t="inlineStr">
        <is>
          <t>Mississauga, ON, CA</t>
        </is>
      </c>
      <c r="F76" s="15" t="inlineStr">
        <is>
          <t>OCEAN</t>
        </is>
      </c>
      <c r="G76" s="15" t="inlineStr">
        <is>
          <t>C. 1 x 40HC</t>
        </is>
      </c>
      <c r="H76" s="15" t="inlineStr">
        <is>
          <t>CFS/CY</t>
        </is>
      </c>
      <c r="I76" s="15" t="inlineStr">
        <is>
          <t>ONE</t>
        </is>
      </c>
      <c r="J76" s="15" t="inlineStr">
        <is>
          <t>EC3</t>
        </is>
      </c>
      <c r="K76" s="15" t="inlineStr">
        <is>
          <t>Bodyline Trading (Private) Limited</t>
        </is>
      </c>
      <c r="L76" s="16" t="inlineStr">
        <is>
          <t>Bodyline (Private) Limited</t>
        </is>
      </c>
      <c r="M76" s="15" t="inlineStr">
        <is>
          <t>N</t>
        </is>
      </c>
      <c r="N76" s="17" t="n">
        <v>452720877605</v>
      </c>
      <c r="O76" s="15" t="n">
        <v>19878628</v>
      </c>
      <c r="P76" s="18" t="inlineStr">
        <is>
          <t>LW2DW4S</t>
        </is>
      </c>
      <c r="Q76" s="18" t="n">
        <v>1</v>
      </c>
      <c r="R76" s="18" t="n">
        <v>0.044</v>
      </c>
      <c r="S76" s="15" t="n">
        <v>3.757</v>
      </c>
      <c r="T76" s="16" t="n">
        <v>45824</v>
      </c>
      <c r="U76" s="19" t="n">
        <v>45883</v>
      </c>
      <c r="V76" s="16" t="n">
        <v>45824</v>
      </c>
      <c r="W76" s="16" t="n">
        <v>45826</v>
      </c>
      <c r="X76" s="57">
        <f>W76-1</f>
        <v/>
      </c>
      <c r="Y76" s="63" t="n">
        <v>45832</v>
      </c>
      <c r="Z76" s="67" t="n">
        <v>45861</v>
      </c>
      <c r="AA76" s="71">
        <f>Z76+13</f>
        <v/>
      </c>
      <c r="AB76" s="20">
        <f>AA76-U76</f>
        <v/>
      </c>
      <c r="AC76" s="20" t="inlineStr">
        <is>
          <t>No</t>
        </is>
      </c>
      <c r="AD76" s="21" t="inlineStr">
        <is>
          <t>1 HBL</t>
        </is>
      </c>
      <c r="AE76" s="21" t="n"/>
      <c r="AF76" s="22" t="inlineStr">
        <is>
          <t>LW</t>
        </is>
      </c>
      <c r="AG76" s="23" t="inlineStr">
        <is>
          <t>NAC</t>
        </is>
      </c>
      <c r="AN76" s="24" t="n"/>
    </row>
    <row r="77" ht="12.75" customHeight="1">
      <c r="A77" s="15" t="n">
        <v>3254506</v>
      </c>
      <c r="B77" s="15" t="inlineStr">
        <is>
          <t>Flexport</t>
        </is>
      </c>
      <c r="C77" s="15" t="inlineStr">
        <is>
          <t>Colombo, LK</t>
        </is>
      </c>
      <c r="D77" s="15" t="inlineStr">
        <is>
          <t>New York, NY, US</t>
        </is>
      </c>
      <c r="E77" s="15" t="inlineStr">
        <is>
          <t>Mississauga, ON, CA</t>
        </is>
      </c>
      <c r="F77" s="15" t="inlineStr">
        <is>
          <t>OCEAN</t>
        </is>
      </c>
      <c r="G77" s="15" t="inlineStr">
        <is>
          <t>C. 1 x 40HC</t>
        </is>
      </c>
      <c r="H77" s="15" t="inlineStr">
        <is>
          <t>CFS/CY</t>
        </is>
      </c>
      <c r="I77" s="15" t="inlineStr">
        <is>
          <t>ONE</t>
        </is>
      </c>
      <c r="J77" s="15" t="inlineStr">
        <is>
          <t>EC3</t>
        </is>
      </c>
      <c r="K77" s="15" t="inlineStr">
        <is>
          <t>Bodyline Trading (Private) Limited</t>
        </is>
      </c>
      <c r="L77" s="16" t="inlineStr">
        <is>
          <t>Bodyline (Private) Limited</t>
        </is>
      </c>
      <c r="M77" s="15" t="inlineStr">
        <is>
          <t>N</t>
        </is>
      </c>
      <c r="N77" s="17" t="n">
        <v>452721772655</v>
      </c>
      <c r="O77" s="15" t="n">
        <v>19911482</v>
      </c>
      <c r="P77" s="18" t="inlineStr">
        <is>
          <t>LW2ELMS</t>
        </is>
      </c>
      <c r="Q77" s="18" t="n">
        <v>3</v>
      </c>
      <c r="R77" s="18" t="n">
        <v>0.242</v>
      </c>
      <c r="S77" s="15" t="n">
        <v>21.852</v>
      </c>
      <c r="T77" s="16" t="n">
        <v>45824</v>
      </c>
      <c r="U77" s="19" t="n">
        <v>45883</v>
      </c>
      <c r="V77" s="16" t="n">
        <v>45824</v>
      </c>
      <c r="W77" s="16" t="n">
        <v>45826</v>
      </c>
      <c r="X77" s="57">
        <f>W77-1</f>
        <v/>
      </c>
      <c r="Y77" s="63" t="n">
        <v>45832</v>
      </c>
      <c r="Z77" s="67" t="n">
        <v>45861</v>
      </c>
      <c r="AA77" s="71">
        <f>Z77+13</f>
        <v/>
      </c>
      <c r="AB77" s="20">
        <f>AA77-U77</f>
        <v/>
      </c>
      <c r="AC77" s="20" t="inlineStr">
        <is>
          <t>No</t>
        </is>
      </c>
      <c r="AD77" s="21" t="inlineStr">
        <is>
          <t>1 HBL</t>
        </is>
      </c>
      <c r="AE77" s="21" t="n"/>
      <c r="AF77" s="22" t="inlineStr">
        <is>
          <t>LW</t>
        </is>
      </c>
      <c r="AG77" s="23" t="inlineStr">
        <is>
          <t>NAC</t>
        </is>
      </c>
      <c r="AN77" s="24" t="n"/>
    </row>
    <row r="78" ht="12.75" customHeight="1">
      <c r="A78" s="15" t="n">
        <v>3254506</v>
      </c>
      <c r="B78" s="15" t="inlineStr">
        <is>
          <t>Flexport</t>
        </is>
      </c>
      <c r="C78" s="15" t="inlineStr">
        <is>
          <t>Colombo, LK</t>
        </is>
      </c>
      <c r="D78" s="15" t="inlineStr">
        <is>
          <t>New York, NY, US</t>
        </is>
      </c>
      <c r="E78" s="15" t="inlineStr">
        <is>
          <t>Mississauga, ON, CA</t>
        </is>
      </c>
      <c r="F78" s="15" t="inlineStr">
        <is>
          <t>OCEAN</t>
        </is>
      </c>
      <c r="G78" s="15" t="inlineStr">
        <is>
          <t>C. 1 x 40HC</t>
        </is>
      </c>
      <c r="H78" s="15" t="inlineStr">
        <is>
          <t>CFS/CY</t>
        </is>
      </c>
      <c r="I78" s="15" t="inlineStr">
        <is>
          <t>ONE</t>
        </is>
      </c>
      <c r="J78" s="15" t="inlineStr">
        <is>
          <t>EC3</t>
        </is>
      </c>
      <c r="K78" s="15" t="inlineStr">
        <is>
          <t>Bodyline Trading (Private) Limited</t>
        </is>
      </c>
      <c r="L78" s="16" t="inlineStr">
        <is>
          <t>Bodyline (Private) Limited</t>
        </is>
      </c>
      <c r="M78" s="15" t="inlineStr">
        <is>
          <t>N</t>
        </is>
      </c>
      <c r="N78" s="17" t="n">
        <v>452721779178</v>
      </c>
      <c r="O78" s="15" t="n">
        <v>19931837</v>
      </c>
      <c r="P78" s="18" t="inlineStr">
        <is>
          <t>LW2ELMS</t>
        </is>
      </c>
      <c r="Q78" s="18" t="n">
        <v>6</v>
      </c>
      <c r="R78" s="18" t="n">
        <v>0.447</v>
      </c>
      <c r="S78" s="15" t="n">
        <v>52.708</v>
      </c>
      <c r="T78" s="16" t="n">
        <v>45824</v>
      </c>
      <c r="U78" s="19" t="n">
        <v>45883</v>
      </c>
      <c r="V78" s="16" t="n">
        <v>45824</v>
      </c>
      <c r="W78" s="16" t="n">
        <v>45826</v>
      </c>
      <c r="X78" s="57">
        <f>W78-1</f>
        <v/>
      </c>
      <c r="Y78" s="63" t="n">
        <v>45832</v>
      </c>
      <c r="Z78" s="67" t="n">
        <v>45861</v>
      </c>
      <c r="AA78" s="71">
        <f>Z78+13</f>
        <v/>
      </c>
      <c r="AB78" s="20">
        <f>AA78-U78</f>
        <v/>
      </c>
      <c r="AC78" s="20" t="inlineStr">
        <is>
          <t>No</t>
        </is>
      </c>
      <c r="AD78" s="21" t="inlineStr">
        <is>
          <t>1 HBL</t>
        </is>
      </c>
      <c r="AE78" s="21" t="n"/>
      <c r="AF78" s="22" t="inlineStr">
        <is>
          <t>LW</t>
        </is>
      </c>
      <c r="AG78" s="23" t="inlineStr">
        <is>
          <t>NAC</t>
        </is>
      </c>
      <c r="AN78" s="24" t="n"/>
    </row>
    <row r="79" ht="12.75" customHeight="1">
      <c r="A79" s="15" t="n">
        <v>3254506</v>
      </c>
      <c r="B79" s="15" t="inlineStr">
        <is>
          <t>Flexport</t>
        </is>
      </c>
      <c r="C79" s="15" t="inlineStr">
        <is>
          <t>Colombo, LK</t>
        </is>
      </c>
      <c r="D79" s="15" t="inlineStr">
        <is>
          <t>New York, NY, US</t>
        </is>
      </c>
      <c r="E79" s="15" t="inlineStr">
        <is>
          <t>Mississauga, ON, CA</t>
        </is>
      </c>
      <c r="F79" s="15" t="inlineStr">
        <is>
          <t>OCEAN</t>
        </is>
      </c>
      <c r="G79" s="15" t="inlineStr">
        <is>
          <t>C. 1 x 40HC</t>
        </is>
      </c>
      <c r="H79" s="15" t="inlineStr">
        <is>
          <t>CFS/CY</t>
        </is>
      </c>
      <c r="I79" s="15" t="inlineStr">
        <is>
          <t>ONE</t>
        </is>
      </c>
      <c r="J79" s="15" t="inlineStr">
        <is>
          <t>EC3</t>
        </is>
      </c>
      <c r="K79" s="15" t="inlineStr">
        <is>
          <t>Bodyline Trading (Private) Limited</t>
        </is>
      </c>
      <c r="L79" s="16" t="inlineStr">
        <is>
          <t>Bodyline (Private) Limited</t>
        </is>
      </c>
      <c r="M79" s="15" t="inlineStr">
        <is>
          <t>N</t>
        </is>
      </c>
      <c r="N79" s="17" t="n">
        <v>452723321938</v>
      </c>
      <c r="O79" s="15" t="n">
        <v>19878927</v>
      </c>
      <c r="P79" s="18" t="inlineStr">
        <is>
          <t>LW2EB8S</t>
        </is>
      </c>
      <c r="Q79" s="18" t="n">
        <v>8</v>
      </c>
      <c r="R79" s="18" t="n">
        <v>0.644</v>
      </c>
      <c r="S79" s="15" t="n">
        <v>65.28700000000001</v>
      </c>
      <c r="T79" s="16" t="n">
        <v>45824</v>
      </c>
      <c r="U79" s="19" t="n">
        <v>45883</v>
      </c>
      <c r="V79" s="16" t="n">
        <v>45824</v>
      </c>
      <c r="W79" s="16" t="n">
        <v>45826</v>
      </c>
      <c r="X79" s="57">
        <f>W79-1</f>
        <v/>
      </c>
      <c r="Y79" s="63" t="n">
        <v>45832</v>
      </c>
      <c r="Z79" s="67" t="n">
        <v>45861</v>
      </c>
      <c r="AA79" s="71">
        <f>Z79+13</f>
        <v/>
      </c>
      <c r="AB79" s="20">
        <f>AA79-U79</f>
        <v/>
      </c>
      <c r="AC79" s="20" t="inlineStr">
        <is>
          <t>No</t>
        </is>
      </c>
      <c r="AD79" s="21" t="inlineStr">
        <is>
          <t>1 HBL</t>
        </is>
      </c>
      <c r="AE79" s="21" t="n"/>
      <c r="AF79" s="22" t="inlineStr">
        <is>
          <t>LW</t>
        </is>
      </c>
      <c r="AG79" s="23" t="inlineStr">
        <is>
          <t>NAC</t>
        </is>
      </c>
      <c r="AN79" s="24" t="n"/>
    </row>
    <row r="80" ht="12.75" customHeight="1">
      <c r="A80" s="15" t="n">
        <v>3254506</v>
      </c>
      <c r="B80" s="15" t="inlineStr">
        <is>
          <t>Flexport</t>
        </is>
      </c>
      <c r="C80" s="15" t="inlineStr">
        <is>
          <t>Colombo, LK</t>
        </is>
      </c>
      <c r="D80" s="15" t="inlineStr">
        <is>
          <t>New York, NY, US</t>
        </is>
      </c>
      <c r="E80" s="15" t="inlineStr">
        <is>
          <t>Mississauga, ON, CA</t>
        </is>
      </c>
      <c r="F80" s="15" t="inlineStr">
        <is>
          <t>OCEAN</t>
        </is>
      </c>
      <c r="G80" s="15" t="inlineStr">
        <is>
          <t>C. 1 x 40HC</t>
        </is>
      </c>
      <c r="H80" s="15" t="inlineStr">
        <is>
          <t>CFS/CY</t>
        </is>
      </c>
      <c r="I80" s="15" t="inlineStr">
        <is>
          <t>ONE</t>
        </is>
      </c>
      <c r="J80" s="15" t="inlineStr">
        <is>
          <t>EC3</t>
        </is>
      </c>
      <c r="K80" s="15" t="inlineStr">
        <is>
          <t>Bodyline Trading (Private) Limited</t>
        </is>
      </c>
      <c r="L80" s="16" t="inlineStr">
        <is>
          <t>Bodyline (Private) Limited</t>
        </is>
      </c>
      <c r="M80" s="15" t="inlineStr">
        <is>
          <t>N</t>
        </is>
      </c>
      <c r="N80" s="17" t="n">
        <v>452725636619</v>
      </c>
      <c r="O80" s="15" t="n">
        <v>19877410</v>
      </c>
      <c r="P80" s="18" t="inlineStr">
        <is>
          <t>LW2ED2S</t>
        </is>
      </c>
      <c r="Q80" s="18" t="n">
        <v>1</v>
      </c>
      <c r="R80" s="18" t="n">
        <v>0.081</v>
      </c>
      <c r="S80" s="15" t="n">
        <v>7.174</v>
      </c>
      <c r="T80" s="16" t="n">
        <v>45824</v>
      </c>
      <c r="U80" s="19" t="n">
        <v>45883</v>
      </c>
      <c r="V80" s="16" t="n">
        <v>45824</v>
      </c>
      <c r="W80" s="16" t="n">
        <v>45826</v>
      </c>
      <c r="X80" s="57">
        <f>W80-1</f>
        <v/>
      </c>
      <c r="Y80" s="63" t="n">
        <v>45832</v>
      </c>
      <c r="Z80" s="67" t="n">
        <v>45861</v>
      </c>
      <c r="AA80" s="71">
        <f>Z80+13</f>
        <v/>
      </c>
      <c r="AB80" s="20">
        <f>AA80-U80</f>
        <v/>
      </c>
      <c r="AC80" s="20" t="inlineStr">
        <is>
          <t>No</t>
        </is>
      </c>
      <c r="AD80" s="21" t="inlineStr">
        <is>
          <t>1 HBL</t>
        </is>
      </c>
      <c r="AE80" s="21" t="n"/>
      <c r="AF80" s="22" t="inlineStr">
        <is>
          <t>LW</t>
        </is>
      </c>
      <c r="AG80" s="23" t="inlineStr">
        <is>
          <t>NAC</t>
        </is>
      </c>
      <c r="AH80" s="24" t="n"/>
      <c r="AN80" s="24" t="n"/>
    </row>
    <row r="81" ht="12.75" customHeight="1">
      <c r="A81" s="15" t="n">
        <v>3254506</v>
      </c>
      <c r="B81" s="15" t="inlineStr">
        <is>
          <t>Flexport</t>
        </is>
      </c>
      <c r="C81" s="15" t="inlineStr">
        <is>
          <t>Colombo, LK</t>
        </is>
      </c>
      <c r="D81" s="15" t="inlineStr">
        <is>
          <t>New York, NY, US</t>
        </is>
      </c>
      <c r="E81" s="15" t="inlineStr">
        <is>
          <t>Mississauga, ON, CA</t>
        </is>
      </c>
      <c r="F81" s="15" t="inlineStr">
        <is>
          <t>OCEAN</t>
        </is>
      </c>
      <c r="G81" s="15" t="inlineStr">
        <is>
          <t>C. 1 x 40HC</t>
        </is>
      </c>
      <c r="H81" s="15" t="inlineStr">
        <is>
          <t>CFS/CY</t>
        </is>
      </c>
      <c r="I81" s="15" t="inlineStr">
        <is>
          <t>ONE</t>
        </is>
      </c>
      <c r="J81" s="15" t="inlineStr">
        <is>
          <t>EC3</t>
        </is>
      </c>
      <c r="K81" s="15" t="inlineStr">
        <is>
          <t>Bodyline Trading (Private) Limited</t>
        </is>
      </c>
      <c r="L81" s="16" t="inlineStr">
        <is>
          <t>Bodyline (Private) Limited</t>
        </is>
      </c>
      <c r="M81" s="15" t="inlineStr">
        <is>
          <t>N</t>
        </is>
      </c>
      <c r="N81" s="17" t="n">
        <v>452726113321</v>
      </c>
      <c r="O81" s="15" t="n">
        <v>19878967</v>
      </c>
      <c r="P81" s="18" t="inlineStr">
        <is>
          <t>LW2ED2S</t>
        </is>
      </c>
      <c r="Q81" s="18" t="n">
        <v>3</v>
      </c>
      <c r="R81" s="18" t="n">
        <v>0.242</v>
      </c>
      <c r="S81" s="15" t="n">
        <v>21.286</v>
      </c>
      <c r="T81" s="16" t="n">
        <v>45824</v>
      </c>
      <c r="U81" s="19" t="n">
        <v>45883</v>
      </c>
      <c r="V81" s="16" t="n">
        <v>45824</v>
      </c>
      <c r="W81" s="16" t="n">
        <v>45826</v>
      </c>
      <c r="X81" s="57">
        <f>W81-1</f>
        <v/>
      </c>
      <c r="Y81" s="63" t="n">
        <v>45832</v>
      </c>
      <c r="Z81" s="67" t="n">
        <v>45861</v>
      </c>
      <c r="AA81" s="71">
        <f>Z81+13</f>
        <v/>
      </c>
      <c r="AB81" s="20">
        <f>AA81-U81</f>
        <v/>
      </c>
      <c r="AC81" s="20" t="inlineStr">
        <is>
          <t>No</t>
        </is>
      </c>
      <c r="AD81" s="21" t="inlineStr">
        <is>
          <t>1 HBL</t>
        </is>
      </c>
      <c r="AE81" s="21" t="n"/>
      <c r="AF81" s="22" t="inlineStr">
        <is>
          <t>LW</t>
        </is>
      </c>
      <c r="AG81" s="23" t="inlineStr">
        <is>
          <t>NAC</t>
        </is>
      </c>
      <c r="AH81" s="24" t="n"/>
      <c r="AN81" s="24" t="n"/>
    </row>
    <row r="82" ht="12.75" customHeight="1">
      <c r="A82" s="15" t="n">
        <v>3254506</v>
      </c>
      <c r="B82" s="15" t="inlineStr">
        <is>
          <t>Flexport</t>
        </is>
      </c>
      <c r="C82" s="15" t="inlineStr">
        <is>
          <t>Colombo, LK</t>
        </is>
      </c>
      <c r="D82" s="15" t="inlineStr">
        <is>
          <t>New York, NY, US</t>
        </is>
      </c>
      <c r="E82" s="15" t="inlineStr">
        <is>
          <t>Mississauga, ON, CA</t>
        </is>
      </c>
      <c r="F82" s="15" t="inlineStr">
        <is>
          <t>OCEAN</t>
        </is>
      </c>
      <c r="G82" s="15" t="inlineStr">
        <is>
          <t>C. 1 x 40HC</t>
        </is>
      </c>
      <c r="H82" s="15" t="inlineStr">
        <is>
          <t>CFS/CY</t>
        </is>
      </c>
      <c r="I82" s="15" t="inlineStr">
        <is>
          <t>ONE</t>
        </is>
      </c>
      <c r="J82" s="15" t="inlineStr">
        <is>
          <t>EC3</t>
        </is>
      </c>
      <c r="K82" s="15" t="inlineStr">
        <is>
          <t>Bodyline Trading (Private) Limited</t>
        </is>
      </c>
      <c r="L82" s="16" t="inlineStr">
        <is>
          <t>Bodyline (Private) Limited</t>
        </is>
      </c>
      <c r="M82" s="15" t="inlineStr">
        <is>
          <t>N</t>
        </is>
      </c>
      <c r="N82" s="17" t="n">
        <v>452727167451</v>
      </c>
      <c r="O82" s="15" t="n">
        <v>19843746</v>
      </c>
      <c r="P82" s="18" t="inlineStr">
        <is>
          <t>LW1FM7S</t>
        </is>
      </c>
      <c r="Q82" s="18" t="n">
        <v>6</v>
      </c>
      <c r="R82" s="18" t="n">
        <v>0.264</v>
      </c>
      <c r="S82" s="15" t="n">
        <v>28.996</v>
      </c>
      <c r="T82" s="16" t="n">
        <v>45824</v>
      </c>
      <c r="U82" s="19" t="n">
        <v>45883</v>
      </c>
      <c r="V82" s="16" t="n">
        <v>45824</v>
      </c>
      <c r="W82" s="16" t="n">
        <v>45826</v>
      </c>
      <c r="X82" s="57">
        <f>W82-1</f>
        <v/>
      </c>
      <c r="Y82" s="63" t="n">
        <v>45832</v>
      </c>
      <c r="Z82" s="67" t="n">
        <v>45861</v>
      </c>
      <c r="AA82" s="71">
        <f>Z82+13</f>
        <v/>
      </c>
      <c r="AB82" s="20">
        <f>AA82-U82</f>
        <v/>
      </c>
      <c r="AC82" s="20" t="inlineStr">
        <is>
          <t>No</t>
        </is>
      </c>
      <c r="AD82" s="21" t="inlineStr">
        <is>
          <t>1 HBL</t>
        </is>
      </c>
      <c r="AE82" s="21" t="n"/>
      <c r="AF82" s="22" t="inlineStr">
        <is>
          <t>LW</t>
        </is>
      </c>
      <c r="AG82" s="23" t="inlineStr">
        <is>
          <t>NAC</t>
        </is>
      </c>
      <c r="AH82" s="24" t="n"/>
      <c r="AN82" s="24" t="n"/>
    </row>
    <row r="83" ht="12.75" customHeight="1">
      <c r="A83" s="15" t="n">
        <v>3254506</v>
      </c>
      <c r="B83" s="15" t="inlineStr">
        <is>
          <t>Flexport</t>
        </is>
      </c>
      <c r="C83" s="15" t="inlineStr">
        <is>
          <t>Colombo, LK</t>
        </is>
      </c>
      <c r="D83" s="15" t="inlineStr">
        <is>
          <t>New York, NY, US</t>
        </is>
      </c>
      <c r="E83" s="15" t="inlineStr">
        <is>
          <t>Mississauga, ON, CA</t>
        </is>
      </c>
      <c r="F83" s="15" t="inlineStr">
        <is>
          <t>OCEAN</t>
        </is>
      </c>
      <c r="G83" s="15" t="inlineStr">
        <is>
          <t>C. 1 x 40HC</t>
        </is>
      </c>
      <c r="H83" s="15" t="inlineStr">
        <is>
          <t>CFS/CY</t>
        </is>
      </c>
      <c r="I83" s="15" t="inlineStr">
        <is>
          <t>ONE</t>
        </is>
      </c>
      <c r="J83" s="15" t="inlineStr">
        <is>
          <t>EC3</t>
        </is>
      </c>
      <c r="K83" s="15" t="inlineStr">
        <is>
          <t>Bodyline Trading (Private) Limited</t>
        </is>
      </c>
      <c r="L83" s="16" t="inlineStr">
        <is>
          <t>Bodyline (Private) Limited</t>
        </is>
      </c>
      <c r="M83" s="15" t="inlineStr">
        <is>
          <t>N</t>
        </is>
      </c>
      <c r="N83" s="17" t="n">
        <v>452727371750</v>
      </c>
      <c r="O83" s="15" t="n">
        <v>19843848</v>
      </c>
      <c r="P83" s="18" t="inlineStr">
        <is>
          <t>LW1FM7S</t>
        </is>
      </c>
      <c r="Q83" s="18" t="n">
        <v>18</v>
      </c>
      <c r="R83" s="18" t="n">
        <v>0.791</v>
      </c>
      <c r="S83" s="15" t="n">
        <v>105.247</v>
      </c>
      <c r="T83" s="16" t="n">
        <v>45824</v>
      </c>
      <c r="U83" s="19" t="n">
        <v>45883</v>
      </c>
      <c r="V83" s="16" t="n">
        <v>45824</v>
      </c>
      <c r="W83" s="16" t="n">
        <v>45826</v>
      </c>
      <c r="X83" s="57">
        <f>W83-1</f>
        <v/>
      </c>
      <c r="Y83" s="63" t="n">
        <v>45832</v>
      </c>
      <c r="Z83" s="67" t="n">
        <v>45861</v>
      </c>
      <c r="AA83" s="71">
        <f>Z83+13</f>
        <v/>
      </c>
      <c r="AB83" s="20">
        <f>AA83-U83</f>
        <v/>
      </c>
      <c r="AC83" s="20" t="inlineStr">
        <is>
          <t>No</t>
        </is>
      </c>
      <c r="AD83" s="21" t="inlineStr">
        <is>
          <t>1 HBL</t>
        </is>
      </c>
      <c r="AE83" s="21" t="n"/>
      <c r="AF83" s="22" t="inlineStr">
        <is>
          <t>LW</t>
        </is>
      </c>
      <c r="AG83" s="23" t="inlineStr">
        <is>
          <t>NAC</t>
        </is>
      </c>
      <c r="AN83" s="24" t="n"/>
    </row>
    <row r="84" ht="12.75" customHeight="1">
      <c r="A84" s="15" t="n">
        <v>3254506</v>
      </c>
      <c r="B84" s="15" t="inlineStr">
        <is>
          <t>Flexport</t>
        </is>
      </c>
      <c r="C84" s="15" t="inlineStr">
        <is>
          <t>Colombo, LK</t>
        </is>
      </c>
      <c r="D84" s="15" t="inlineStr">
        <is>
          <t>New York, NY, US</t>
        </is>
      </c>
      <c r="E84" s="15" t="inlineStr">
        <is>
          <t>Mississauga, ON, CA</t>
        </is>
      </c>
      <c r="F84" s="15" t="inlineStr">
        <is>
          <t>OCEAN</t>
        </is>
      </c>
      <c r="G84" s="15" t="inlineStr">
        <is>
          <t>C. 1 x 40HC</t>
        </is>
      </c>
      <c r="H84" s="15" t="inlineStr">
        <is>
          <t>CFS/CY</t>
        </is>
      </c>
      <c r="I84" s="15" t="inlineStr">
        <is>
          <t>ONE</t>
        </is>
      </c>
      <c r="J84" s="15" t="inlineStr">
        <is>
          <t>EC3</t>
        </is>
      </c>
      <c r="K84" s="15" t="inlineStr">
        <is>
          <t>Bodyline Trading (Private) Limited</t>
        </is>
      </c>
      <c r="L84" s="16" t="inlineStr">
        <is>
          <t>Bodyline (Private) Limited</t>
        </is>
      </c>
      <c r="M84" s="15" t="inlineStr">
        <is>
          <t>N</t>
        </is>
      </c>
      <c r="N84" s="17" t="n">
        <v>452727619708</v>
      </c>
      <c r="O84" s="15" t="n">
        <v>19843747</v>
      </c>
      <c r="P84" s="18" t="inlineStr">
        <is>
          <t>LW1FM7S</t>
        </is>
      </c>
      <c r="Q84" s="18" t="n">
        <v>7</v>
      </c>
      <c r="R84" s="18" t="n">
        <v>0.307</v>
      </c>
      <c r="S84" s="15" t="n">
        <v>35.226</v>
      </c>
      <c r="T84" s="16" t="n">
        <v>45824</v>
      </c>
      <c r="U84" s="19" t="n">
        <v>45883</v>
      </c>
      <c r="V84" s="16" t="n">
        <v>45824</v>
      </c>
      <c r="W84" s="16" t="n">
        <v>45826</v>
      </c>
      <c r="X84" s="57">
        <f>W84-1</f>
        <v/>
      </c>
      <c r="Y84" s="63" t="n">
        <v>45832</v>
      </c>
      <c r="Z84" s="67" t="n">
        <v>45861</v>
      </c>
      <c r="AA84" s="71">
        <f>Z84+13</f>
        <v/>
      </c>
      <c r="AB84" s="20">
        <f>AA84-U84</f>
        <v/>
      </c>
      <c r="AC84" s="20" t="inlineStr">
        <is>
          <t>No</t>
        </is>
      </c>
      <c r="AD84" s="21" t="inlineStr">
        <is>
          <t>1 HBL</t>
        </is>
      </c>
      <c r="AE84" s="21" t="n"/>
      <c r="AF84" s="22" t="inlineStr">
        <is>
          <t>LW</t>
        </is>
      </c>
      <c r="AG84" s="23" t="inlineStr">
        <is>
          <t>NAC</t>
        </is>
      </c>
      <c r="AN84" s="24" t="n"/>
    </row>
    <row r="85" ht="12.75" customHeight="1">
      <c r="A85" s="15" t="n">
        <v>3254506</v>
      </c>
      <c r="B85" s="15" t="inlineStr">
        <is>
          <t>Flexport</t>
        </is>
      </c>
      <c r="C85" s="15" t="inlineStr">
        <is>
          <t>Colombo, LK</t>
        </is>
      </c>
      <c r="D85" s="15" t="inlineStr">
        <is>
          <t>New York, NY, US</t>
        </is>
      </c>
      <c r="E85" s="15" t="inlineStr">
        <is>
          <t>Mississauga, ON, CA</t>
        </is>
      </c>
      <c r="F85" s="15" t="inlineStr">
        <is>
          <t>OCEAN</t>
        </is>
      </c>
      <c r="G85" s="15" t="inlineStr">
        <is>
          <t>C. 1 x 40HC</t>
        </is>
      </c>
      <c r="H85" s="15" t="inlineStr">
        <is>
          <t>CFS/CY</t>
        </is>
      </c>
      <c r="I85" s="15" t="inlineStr">
        <is>
          <t>ONE</t>
        </is>
      </c>
      <c r="J85" s="15" t="inlineStr">
        <is>
          <t>EC3</t>
        </is>
      </c>
      <c r="K85" s="15" t="inlineStr">
        <is>
          <t>Bodyline Trading (Private) Limited</t>
        </is>
      </c>
      <c r="L85" s="16" t="inlineStr">
        <is>
          <t>Bodyline (Private) Limited</t>
        </is>
      </c>
      <c r="M85" s="15" t="inlineStr">
        <is>
          <t>N</t>
        </is>
      </c>
      <c r="N85" s="17" t="n">
        <v>452729349357</v>
      </c>
      <c r="O85" s="15" t="n">
        <v>19878340</v>
      </c>
      <c r="P85" s="18" t="inlineStr">
        <is>
          <t>LW2670S</t>
        </is>
      </c>
      <c r="Q85" s="18" t="n">
        <v>4</v>
      </c>
      <c r="R85" s="18" t="n">
        <v>0.322</v>
      </c>
      <c r="S85" s="15" t="n">
        <v>15.688</v>
      </c>
      <c r="T85" s="16" t="n">
        <v>45824</v>
      </c>
      <c r="U85" s="19" t="n">
        <v>45883</v>
      </c>
      <c r="V85" s="16" t="n">
        <v>45824</v>
      </c>
      <c r="W85" s="16" t="n">
        <v>45826</v>
      </c>
      <c r="X85" s="57">
        <f>W85-1</f>
        <v/>
      </c>
      <c r="Y85" s="63" t="n">
        <v>45832</v>
      </c>
      <c r="Z85" s="67" t="n">
        <v>45861</v>
      </c>
      <c r="AA85" s="71">
        <f>Z85+13</f>
        <v/>
      </c>
      <c r="AB85" s="20">
        <f>AA85-U85</f>
        <v/>
      </c>
      <c r="AC85" s="20" t="inlineStr">
        <is>
          <t>No</t>
        </is>
      </c>
      <c r="AD85" s="21" t="inlineStr">
        <is>
          <t>1 HBL</t>
        </is>
      </c>
      <c r="AE85" s="21" t="n"/>
      <c r="AF85" s="22" t="inlineStr">
        <is>
          <t>LW</t>
        </is>
      </c>
      <c r="AG85" s="23" t="inlineStr">
        <is>
          <t>NAC</t>
        </is>
      </c>
      <c r="AN85" s="24" t="n"/>
    </row>
    <row r="86" ht="12.75" customHeight="1">
      <c r="A86" s="15" t="n">
        <v>3254506</v>
      </c>
      <c r="B86" s="15" t="inlineStr">
        <is>
          <t>Flexport</t>
        </is>
      </c>
      <c r="C86" s="15" t="inlineStr">
        <is>
          <t>Colombo, LK</t>
        </is>
      </c>
      <c r="D86" s="15" t="inlineStr">
        <is>
          <t>New York, NY, US</t>
        </is>
      </c>
      <c r="E86" s="15" t="inlineStr">
        <is>
          <t>Mississauga, ON, CA</t>
        </is>
      </c>
      <c r="F86" s="15" t="inlineStr">
        <is>
          <t>OCEAN</t>
        </is>
      </c>
      <c r="G86" s="15" t="inlineStr">
        <is>
          <t>C. 1 x 40HC</t>
        </is>
      </c>
      <c r="H86" s="15" t="inlineStr">
        <is>
          <t>CFS/CY</t>
        </is>
      </c>
      <c r="I86" s="15" t="inlineStr">
        <is>
          <t>ONE</t>
        </is>
      </c>
      <c r="J86" s="15" t="inlineStr">
        <is>
          <t>EC3</t>
        </is>
      </c>
      <c r="K86" s="15" t="inlineStr">
        <is>
          <t>Bodyline Trading (Private) Limited</t>
        </is>
      </c>
      <c r="L86" s="16" t="inlineStr">
        <is>
          <t>Bodyline (Private) Limited</t>
        </is>
      </c>
      <c r="M86" s="15" t="inlineStr">
        <is>
          <t>N</t>
        </is>
      </c>
      <c r="N86" s="17" t="n">
        <v>452733135781</v>
      </c>
      <c r="O86" s="15" t="n">
        <v>19878355</v>
      </c>
      <c r="P86" s="18" t="inlineStr">
        <is>
          <t>LW2670S</t>
        </is>
      </c>
      <c r="Q86" s="18" t="n">
        <v>10</v>
      </c>
      <c r="R86" s="18" t="n">
        <v>0.805</v>
      </c>
      <c r="S86" s="15" t="n">
        <v>60.041</v>
      </c>
      <c r="T86" s="16" t="n">
        <v>45824</v>
      </c>
      <c r="U86" s="19" t="n">
        <v>45883</v>
      </c>
      <c r="V86" s="16" t="n">
        <v>45824</v>
      </c>
      <c r="W86" s="16" t="n">
        <v>45826</v>
      </c>
      <c r="X86" s="57">
        <f>W86-1</f>
        <v/>
      </c>
      <c r="Y86" s="63" t="n">
        <v>45832</v>
      </c>
      <c r="Z86" s="67" t="n">
        <v>45861</v>
      </c>
      <c r="AA86" s="71">
        <f>Z86+13</f>
        <v/>
      </c>
      <c r="AB86" s="20">
        <f>AA86-U86</f>
        <v/>
      </c>
      <c r="AC86" s="20" t="inlineStr">
        <is>
          <t>No</t>
        </is>
      </c>
      <c r="AD86" s="21" t="inlineStr">
        <is>
          <t>1 HBL</t>
        </is>
      </c>
      <c r="AE86" s="21" t="n"/>
      <c r="AF86" s="22" t="inlineStr">
        <is>
          <t>LW</t>
        </is>
      </c>
      <c r="AG86" s="23" t="inlineStr">
        <is>
          <t>NAC</t>
        </is>
      </c>
      <c r="AN86" s="24" t="n"/>
    </row>
    <row r="87" ht="12.75" customHeight="1">
      <c r="A87" s="15" t="n">
        <v>3254506</v>
      </c>
      <c r="B87" s="15" t="inlineStr">
        <is>
          <t>Flexport</t>
        </is>
      </c>
      <c r="C87" s="15" t="inlineStr">
        <is>
          <t>Colombo, LK</t>
        </is>
      </c>
      <c r="D87" s="15" t="inlineStr">
        <is>
          <t>New York, NY, US</t>
        </is>
      </c>
      <c r="E87" s="15" t="inlineStr">
        <is>
          <t>Mississauga, ON, CA</t>
        </is>
      </c>
      <c r="F87" s="15" t="inlineStr">
        <is>
          <t>OCEAN</t>
        </is>
      </c>
      <c r="G87" s="15" t="inlineStr">
        <is>
          <t>C. 1 x 40HC</t>
        </is>
      </c>
      <c r="H87" s="15" t="inlineStr">
        <is>
          <t>CFS/CY</t>
        </is>
      </c>
      <c r="I87" s="15" t="inlineStr">
        <is>
          <t>ONE</t>
        </is>
      </c>
      <c r="J87" s="15" t="inlineStr">
        <is>
          <t>EC3</t>
        </is>
      </c>
      <c r="K87" s="15" t="inlineStr">
        <is>
          <t>Bodyline Trading (Private) Limited</t>
        </is>
      </c>
      <c r="L87" s="16" t="inlineStr">
        <is>
          <t>Bodyline (Private) Limited</t>
        </is>
      </c>
      <c r="M87" s="15" t="inlineStr">
        <is>
          <t>N</t>
        </is>
      </c>
      <c r="N87" s="17" t="n">
        <v>452734215822</v>
      </c>
      <c r="O87" s="15" t="n">
        <v>19878571</v>
      </c>
      <c r="P87" s="18" t="inlineStr">
        <is>
          <t>LW2670S</t>
        </is>
      </c>
      <c r="Q87" s="18" t="n">
        <v>21</v>
      </c>
      <c r="R87" s="18" t="n">
        <v>1.691</v>
      </c>
      <c r="S87" s="15" t="n">
        <v>127.597</v>
      </c>
      <c r="T87" s="16" t="n">
        <v>45824</v>
      </c>
      <c r="U87" s="19" t="n">
        <v>45883</v>
      </c>
      <c r="V87" s="16" t="n">
        <v>45824</v>
      </c>
      <c r="W87" s="16" t="n">
        <v>45826</v>
      </c>
      <c r="X87" s="57">
        <f>W87-1</f>
        <v/>
      </c>
      <c r="Y87" s="63" t="n">
        <v>45832</v>
      </c>
      <c r="Z87" s="67" t="n">
        <v>45861</v>
      </c>
      <c r="AA87" s="71">
        <f>Z87+13</f>
        <v/>
      </c>
      <c r="AB87" s="20">
        <f>AA87-U87</f>
        <v/>
      </c>
      <c r="AC87" s="20" t="inlineStr">
        <is>
          <t>No</t>
        </is>
      </c>
      <c r="AD87" s="21" t="inlineStr">
        <is>
          <t>1 HBL</t>
        </is>
      </c>
      <c r="AE87" s="21" t="n"/>
      <c r="AF87" s="22" t="inlineStr">
        <is>
          <t>LW</t>
        </is>
      </c>
      <c r="AG87" s="23" t="inlineStr">
        <is>
          <t>NAC</t>
        </is>
      </c>
      <c r="AN87" s="24" t="n"/>
    </row>
    <row r="88" ht="12.75" customHeight="1">
      <c r="A88" s="15" t="n">
        <v>3254506</v>
      </c>
      <c r="B88" s="15" t="inlineStr">
        <is>
          <t>Flexport</t>
        </is>
      </c>
      <c r="C88" s="15" t="inlineStr">
        <is>
          <t>Colombo, LK</t>
        </is>
      </c>
      <c r="D88" s="15" t="inlineStr">
        <is>
          <t>New York, NY, US</t>
        </is>
      </c>
      <c r="E88" s="15" t="inlineStr">
        <is>
          <t>Mississauga, ON, CA</t>
        </is>
      </c>
      <c r="F88" s="15" t="inlineStr">
        <is>
          <t>OCEAN</t>
        </is>
      </c>
      <c r="G88" s="15" t="inlineStr">
        <is>
          <t>C. 1 x 40HC</t>
        </is>
      </c>
      <c r="H88" s="15" t="inlineStr">
        <is>
          <t>CFS/CY</t>
        </is>
      </c>
      <c r="I88" s="15" t="inlineStr">
        <is>
          <t>ONE</t>
        </is>
      </c>
      <c r="J88" s="15" t="inlineStr">
        <is>
          <t>EC3</t>
        </is>
      </c>
      <c r="K88" s="15" t="inlineStr">
        <is>
          <t>Bodyline Trading (Private) Limited</t>
        </is>
      </c>
      <c r="L88" s="16" t="inlineStr">
        <is>
          <t>Bodyline (Private) Limited</t>
        </is>
      </c>
      <c r="M88" s="15" t="inlineStr">
        <is>
          <t>N</t>
        </is>
      </c>
      <c r="N88" s="17" t="n">
        <v>452734741401</v>
      </c>
      <c r="O88" s="15" t="n">
        <v>19878560</v>
      </c>
      <c r="P88" s="18" t="inlineStr">
        <is>
          <t>LW2DQ0S</t>
        </is>
      </c>
      <c r="Q88" s="18" t="n">
        <v>4</v>
      </c>
      <c r="R88" s="18" t="n">
        <v>0.285</v>
      </c>
      <c r="S88" s="15" t="n">
        <v>19.593</v>
      </c>
      <c r="T88" s="16" t="n">
        <v>45824</v>
      </c>
      <c r="U88" s="19" t="n">
        <v>45883</v>
      </c>
      <c r="V88" s="16" t="n">
        <v>45824</v>
      </c>
      <c r="W88" s="16" t="n">
        <v>45826</v>
      </c>
      <c r="X88" s="57">
        <f>W88-1</f>
        <v/>
      </c>
      <c r="Y88" s="63" t="n">
        <v>45832</v>
      </c>
      <c r="Z88" s="67" t="n">
        <v>45861</v>
      </c>
      <c r="AA88" s="71">
        <f>Z88+13</f>
        <v/>
      </c>
      <c r="AB88" s="20">
        <f>AA88-U88</f>
        <v/>
      </c>
      <c r="AC88" s="20" t="inlineStr">
        <is>
          <t>No</t>
        </is>
      </c>
      <c r="AD88" s="21" t="inlineStr">
        <is>
          <t>1 HBL</t>
        </is>
      </c>
      <c r="AE88" s="21" t="n"/>
      <c r="AF88" s="22" t="inlineStr">
        <is>
          <t>LW</t>
        </is>
      </c>
      <c r="AG88" s="23" t="inlineStr">
        <is>
          <t>NAC</t>
        </is>
      </c>
    </row>
    <row r="89" ht="12.75" customHeight="1">
      <c r="A89" s="15" t="n">
        <v>3254506</v>
      </c>
      <c r="B89" s="15" t="inlineStr">
        <is>
          <t>Flexport</t>
        </is>
      </c>
      <c r="C89" s="15" t="inlineStr">
        <is>
          <t>Colombo, LK</t>
        </is>
      </c>
      <c r="D89" s="15" t="inlineStr">
        <is>
          <t>New York, NY, US</t>
        </is>
      </c>
      <c r="E89" s="15" t="inlineStr">
        <is>
          <t>Mississauga, ON, CA</t>
        </is>
      </c>
      <c r="F89" s="15" t="inlineStr">
        <is>
          <t>OCEAN</t>
        </is>
      </c>
      <c r="G89" s="15" t="inlineStr">
        <is>
          <t>C. 1 x 40HC</t>
        </is>
      </c>
      <c r="H89" s="15" t="inlineStr">
        <is>
          <t>CFS/CY</t>
        </is>
      </c>
      <c r="I89" s="15" t="inlineStr">
        <is>
          <t>ONE</t>
        </is>
      </c>
      <c r="J89" s="15" t="inlineStr">
        <is>
          <t>EC3</t>
        </is>
      </c>
      <c r="K89" s="15" t="inlineStr">
        <is>
          <t>Bodyline Trading (Private) Limited</t>
        </is>
      </c>
      <c r="L89" s="16" t="inlineStr">
        <is>
          <t>Bodyline (Private) Limited</t>
        </is>
      </c>
      <c r="M89" s="15" t="inlineStr">
        <is>
          <t>N</t>
        </is>
      </c>
      <c r="N89" s="17" t="n">
        <v>452735845068</v>
      </c>
      <c r="O89" s="15" t="n">
        <v>19878580</v>
      </c>
      <c r="P89" s="18" t="inlineStr">
        <is>
          <t>LW2DQ0S</t>
        </is>
      </c>
      <c r="Q89" s="18" t="n">
        <v>3</v>
      </c>
      <c r="R89" s="18" t="n">
        <v>0.205</v>
      </c>
      <c r="S89" s="15" t="n">
        <v>13.416</v>
      </c>
      <c r="T89" s="16" t="n">
        <v>45824</v>
      </c>
      <c r="U89" s="19" t="n">
        <v>45883</v>
      </c>
      <c r="V89" s="16" t="n">
        <v>45824</v>
      </c>
      <c r="W89" s="16" t="n">
        <v>45826</v>
      </c>
      <c r="X89" s="57">
        <f>W89-1</f>
        <v/>
      </c>
      <c r="Y89" s="63" t="n">
        <v>45832</v>
      </c>
      <c r="Z89" s="67" t="n">
        <v>45861</v>
      </c>
      <c r="AA89" s="71">
        <f>Z89+13</f>
        <v/>
      </c>
      <c r="AB89" s="20">
        <f>AA89-U89</f>
        <v/>
      </c>
      <c r="AC89" s="20" t="inlineStr">
        <is>
          <t>No</t>
        </is>
      </c>
      <c r="AD89" s="21" t="inlineStr">
        <is>
          <t>1 HBL</t>
        </is>
      </c>
      <c r="AE89" s="21" t="n"/>
      <c r="AF89" s="22" t="inlineStr">
        <is>
          <t>LW</t>
        </is>
      </c>
      <c r="AG89" s="23" t="inlineStr">
        <is>
          <t>NAC</t>
        </is>
      </c>
    </row>
    <row r="90" ht="12.75" customHeight="1">
      <c r="A90" s="15" t="n">
        <v>3254506</v>
      </c>
      <c r="B90" s="15" t="inlineStr">
        <is>
          <t>Flexport</t>
        </is>
      </c>
      <c r="C90" s="15" t="inlineStr">
        <is>
          <t>Colombo, LK</t>
        </is>
      </c>
      <c r="D90" s="15" t="inlineStr">
        <is>
          <t>New York, NY, US</t>
        </is>
      </c>
      <c r="E90" s="15" t="inlineStr">
        <is>
          <t>Mississauga, ON, CA</t>
        </is>
      </c>
      <c r="F90" s="15" t="inlineStr">
        <is>
          <t>OCEAN</t>
        </is>
      </c>
      <c r="G90" s="15" t="inlineStr">
        <is>
          <t>C. 1 x 40HC</t>
        </is>
      </c>
      <c r="H90" s="15" t="inlineStr">
        <is>
          <t>CFS/CY</t>
        </is>
      </c>
      <c r="I90" s="15" t="inlineStr">
        <is>
          <t>ONE</t>
        </is>
      </c>
      <c r="J90" s="15" t="inlineStr">
        <is>
          <t>EC3</t>
        </is>
      </c>
      <c r="K90" s="15" t="inlineStr">
        <is>
          <t>Bodyline Trading (Private) Limited</t>
        </is>
      </c>
      <c r="L90" s="16" t="inlineStr">
        <is>
          <t>Bodyline (Private) Limited</t>
        </is>
      </c>
      <c r="M90" s="15" t="inlineStr">
        <is>
          <t>N</t>
        </is>
      </c>
      <c r="N90" s="17" t="n">
        <v>452736795357</v>
      </c>
      <c r="O90" s="15" t="n">
        <v>19878808</v>
      </c>
      <c r="P90" s="18" t="inlineStr">
        <is>
          <t>LW2DQ0S</t>
        </is>
      </c>
      <c r="Q90" s="18" t="n">
        <v>6</v>
      </c>
      <c r="R90" s="18" t="n">
        <v>0.447</v>
      </c>
      <c r="S90" s="15" t="n">
        <v>33.176</v>
      </c>
      <c r="T90" s="16" t="n">
        <v>45824</v>
      </c>
      <c r="U90" s="19" t="n">
        <v>45883</v>
      </c>
      <c r="V90" s="16" t="n">
        <v>45824</v>
      </c>
      <c r="W90" s="16" t="n">
        <v>45826</v>
      </c>
      <c r="X90" s="57">
        <f>W90-1</f>
        <v/>
      </c>
      <c r="Y90" s="63" t="n">
        <v>45832</v>
      </c>
      <c r="Z90" s="67" t="n">
        <v>45861</v>
      </c>
      <c r="AA90" s="71">
        <f>Z90+13</f>
        <v/>
      </c>
      <c r="AB90" s="20">
        <f>AA90-U90</f>
        <v/>
      </c>
      <c r="AC90" s="20" t="inlineStr">
        <is>
          <t>No</t>
        </is>
      </c>
      <c r="AD90" s="21" t="inlineStr">
        <is>
          <t>1 HBL</t>
        </is>
      </c>
      <c r="AE90" s="21" t="n"/>
      <c r="AF90" s="22" t="inlineStr">
        <is>
          <t>LW</t>
        </is>
      </c>
      <c r="AG90" s="23" t="inlineStr">
        <is>
          <t>NAC</t>
        </is>
      </c>
    </row>
    <row r="91" ht="12.75" customHeight="1">
      <c r="A91" s="15" t="n">
        <v>3254506</v>
      </c>
      <c r="B91" s="15" t="inlineStr">
        <is>
          <t>Flexport</t>
        </is>
      </c>
      <c r="C91" s="15" t="inlineStr">
        <is>
          <t>Colombo, LK</t>
        </is>
      </c>
      <c r="D91" s="15" t="inlineStr">
        <is>
          <t>New York, NY, US</t>
        </is>
      </c>
      <c r="E91" s="15" t="inlineStr">
        <is>
          <t>Mississauga, ON, CA</t>
        </is>
      </c>
      <c r="F91" s="15" t="inlineStr">
        <is>
          <t>OCEAN</t>
        </is>
      </c>
      <c r="G91" s="15" t="inlineStr">
        <is>
          <t>C. 1 x 40HC</t>
        </is>
      </c>
      <c r="H91" s="15" t="inlineStr">
        <is>
          <t>CFS/CY</t>
        </is>
      </c>
      <c r="I91" s="15" t="inlineStr">
        <is>
          <t>ONE</t>
        </is>
      </c>
      <c r="J91" s="15" t="inlineStr">
        <is>
          <t>EC3</t>
        </is>
      </c>
      <c r="K91" s="15" t="inlineStr">
        <is>
          <t>Bodyline Trading (Private) Limited</t>
        </is>
      </c>
      <c r="L91" s="16" t="inlineStr">
        <is>
          <t>Bodyline (Private) Limited</t>
        </is>
      </c>
      <c r="M91" s="15" t="inlineStr">
        <is>
          <t>N</t>
        </is>
      </c>
      <c r="N91" s="17" t="n">
        <v>452737645478</v>
      </c>
      <c r="O91" s="15" t="n">
        <v>19878588</v>
      </c>
      <c r="P91" s="18" t="inlineStr">
        <is>
          <t>LW2DQ0S</t>
        </is>
      </c>
      <c r="Q91" s="18" t="n">
        <v>3</v>
      </c>
      <c r="R91" s="18" t="n">
        <v>0.205</v>
      </c>
      <c r="S91" s="15" t="n">
        <v>14.82</v>
      </c>
      <c r="T91" s="16" t="n">
        <v>45824</v>
      </c>
      <c r="U91" s="19" t="n">
        <v>45883</v>
      </c>
      <c r="V91" s="16" t="n">
        <v>45824</v>
      </c>
      <c r="W91" s="16" t="n">
        <v>45826</v>
      </c>
      <c r="X91" s="57">
        <f>W91-1</f>
        <v/>
      </c>
      <c r="Y91" s="63" t="n">
        <v>45832</v>
      </c>
      <c r="Z91" s="67" t="n">
        <v>45861</v>
      </c>
      <c r="AA91" s="71">
        <f>Z91+13</f>
        <v/>
      </c>
      <c r="AB91" s="20">
        <f>AA91-U91</f>
        <v/>
      </c>
      <c r="AC91" s="20" t="inlineStr">
        <is>
          <t>No</t>
        </is>
      </c>
      <c r="AD91" s="21" t="inlineStr">
        <is>
          <t>1 HBL</t>
        </is>
      </c>
      <c r="AE91" s="21" t="n"/>
      <c r="AF91" s="22" t="inlineStr">
        <is>
          <t>LW</t>
        </is>
      </c>
      <c r="AG91" s="23" t="inlineStr">
        <is>
          <t>NAC</t>
        </is>
      </c>
      <c r="AN91" s="24" t="n"/>
    </row>
    <row r="92" ht="12.75" customHeight="1">
      <c r="A92" s="15" t="n">
        <v>3254506</v>
      </c>
      <c r="B92" s="15" t="inlineStr">
        <is>
          <t>Flexport</t>
        </is>
      </c>
      <c r="C92" s="15" t="inlineStr">
        <is>
          <t>Colombo, LK</t>
        </is>
      </c>
      <c r="D92" s="15" t="inlineStr">
        <is>
          <t>New York, NY, US</t>
        </is>
      </c>
      <c r="E92" s="15" t="inlineStr">
        <is>
          <t>Mississauga, ON, CA</t>
        </is>
      </c>
      <c r="F92" s="15" t="inlineStr">
        <is>
          <t>OCEAN</t>
        </is>
      </c>
      <c r="G92" s="15" t="inlineStr">
        <is>
          <t>C. 1 x 40HC</t>
        </is>
      </c>
      <c r="H92" s="15" t="inlineStr">
        <is>
          <t>CFS/CY</t>
        </is>
      </c>
      <c r="I92" s="15" t="inlineStr">
        <is>
          <t>ONE</t>
        </is>
      </c>
      <c r="J92" s="15" t="inlineStr">
        <is>
          <t>EC3</t>
        </is>
      </c>
      <c r="K92" s="15" t="inlineStr">
        <is>
          <t>Bodyline Trading (Private) Limited</t>
        </is>
      </c>
      <c r="L92" s="16" t="inlineStr">
        <is>
          <t>Bodyline (Private) Limited</t>
        </is>
      </c>
      <c r="M92" s="15" t="inlineStr">
        <is>
          <t>N</t>
        </is>
      </c>
      <c r="N92" s="17" t="n">
        <v>452738863860</v>
      </c>
      <c r="O92" s="15" t="n">
        <v>19878816</v>
      </c>
      <c r="P92" s="18" t="inlineStr">
        <is>
          <t>LW2DQ0S</t>
        </is>
      </c>
      <c r="Q92" s="18" t="n">
        <v>6</v>
      </c>
      <c r="R92" s="18" t="n">
        <v>0.41</v>
      </c>
      <c r="S92" s="15" t="n">
        <v>30.482</v>
      </c>
      <c r="T92" s="16" t="n">
        <v>45824</v>
      </c>
      <c r="U92" s="19" t="n">
        <v>45883</v>
      </c>
      <c r="V92" s="16" t="n">
        <v>45824</v>
      </c>
      <c r="W92" s="16" t="n">
        <v>45826</v>
      </c>
      <c r="X92" s="57">
        <f>W92-1</f>
        <v/>
      </c>
      <c r="Y92" s="63" t="n">
        <v>45832</v>
      </c>
      <c r="Z92" s="67" t="n">
        <v>45861</v>
      </c>
      <c r="AA92" s="71">
        <f>Z92+13</f>
        <v/>
      </c>
      <c r="AB92" s="20">
        <f>AA92-U92</f>
        <v/>
      </c>
      <c r="AC92" s="20" t="inlineStr">
        <is>
          <t>No</t>
        </is>
      </c>
      <c r="AD92" s="21" t="inlineStr">
        <is>
          <t>1 HBL</t>
        </is>
      </c>
      <c r="AE92" s="21" t="n"/>
      <c r="AF92" s="22" t="inlineStr">
        <is>
          <t>LW</t>
        </is>
      </c>
      <c r="AG92" s="23" t="inlineStr">
        <is>
          <t>NAC</t>
        </is>
      </c>
      <c r="AN92" s="24" t="n"/>
    </row>
    <row r="93" ht="12.75" customHeight="1">
      <c r="A93" s="15" t="n">
        <v>3254506</v>
      </c>
      <c r="B93" s="15" t="inlineStr">
        <is>
          <t>Flexport</t>
        </is>
      </c>
      <c r="C93" s="15" t="inlineStr">
        <is>
          <t>Colombo, LK</t>
        </is>
      </c>
      <c r="D93" s="15" t="inlineStr">
        <is>
          <t>New York, NY, US</t>
        </is>
      </c>
      <c r="E93" s="15" t="inlineStr">
        <is>
          <t>Mississauga, ON, CA</t>
        </is>
      </c>
      <c r="F93" s="15" t="inlineStr">
        <is>
          <t>OCEAN</t>
        </is>
      </c>
      <c r="G93" s="15" t="inlineStr">
        <is>
          <t>C. 1 x 40HC</t>
        </is>
      </c>
      <c r="H93" s="15" t="inlineStr">
        <is>
          <t>CFS/CY</t>
        </is>
      </c>
      <c r="I93" s="15" t="inlineStr">
        <is>
          <t>ONE</t>
        </is>
      </c>
      <c r="J93" s="15" t="inlineStr">
        <is>
          <t>EC3</t>
        </is>
      </c>
      <c r="K93" s="15" t="inlineStr">
        <is>
          <t>Bodyline Trading (Private) Limited</t>
        </is>
      </c>
      <c r="L93" s="16" t="inlineStr">
        <is>
          <t>Bodyline (Private) Limited</t>
        </is>
      </c>
      <c r="M93" s="15" t="inlineStr">
        <is>
          <t>N</t>
        </is>
      </c>
      <c r="N93" s="17" t="n">
        <v>452740193164</v>
      </c>
      <c r="O93" s="15" t="n">
        <v>19878609</v>
      </c>
      <c r="P93" s="18" t="inlineStr">
        <is>
          <t>LW2DQ0S</t>
        </is>
      </c>
      <c r="Q93" s="18" t="n">
        <v>4</v>
      </c>
      <c r="R93" s="18" t="n">
        <v>0.285</v>
      </c>
      <c r="S93" s="15" t="n">
        <v>18.641</v>
      </c>
      <c r="T93" s="16" t="n">
        <v>45824</v>
      </c>
      <c r="U93" s="19" t="n">
        <v>45883</v>
      </c>
      <c r="V93" s="16" t="n">
        <v>45824</v>
      </c>
      <c r="W93" s="16" t="n">
        <v>45826</v>
      </c>
      <c r="X93" s="57">
        <f>W93-1</f>
        <v/>
      </c>
      <c r="Y93" s="63" t="n">
        <v>45832</v>
      </c>
      <c r="Z93" s="67" t="n">
        <v>45861</v>
      </c>
      <c r="AA93" s="71">
        <f>Z93+13</f>
        <v/>
      </c>
      <c r="AB93" s="20">
        <f>AA93-U93</f>
        <v/>
      </c>
      <c r="AC93" s="20" t="inlineStr">
        <is>
          <t>No</t>
        </is>
      </c>
      <c r="AD93" s="21" t="inlineStr">
        <is>
          <t>1 HBL</t>
        </is>
      </c>
      <c r="AE93" s="21" t="n"/>
      <c r="AF93" s="22" t="inlineStr">
        <is>
          <t>LW</t>
        </is>
      </c>
      <c r="AG93" s="23" t="inlineStr">
        <is>
          <t>NAC</t>
        </is>
      </c>
      <c r="AN93" s="24" t="n"/>
    </row>
    <row r="94" ht="12.75" customHeight="1">
      <c r="A94" s="15" t="n">
        <v>3254506</v>
      </c>
      <c r="B94" s="15" t="inlineStr">
        <is>
          <t>Flexport</t>
        </is>
      </c>
      <c r="C94" s="15" t="inlineStr">
        <is>
          <t>Colombo, LK</t>
        </is>
      </c>
      <c r="D94" s="15" t="inlineStr">
        <is>
          <t>New York, NY, US</t>
        </is>
      </c>
      <c r="E94" s="15" t="inlineStr">
        <is>
          <t>Mississauga, ON, CA</t>
        </is>
      </c>
      <c r="F94" s="15" t="inlineStr">
        <is>
          <t>OCEAN</t>
        </is>
      </c>
      <c r="G94" s="15" t="inlineStr">
        <is>
          <t>C. 1 x 40HC</t>
        </is>
      </c>
      <c r="H94" s="15" t="inlineStr">
        <is>
          <t>CFS/CY</t>
        </is>
      </c>
      <c r="I94" s="15" t="inlineStr">
        <is>
          <t>ONE</t>
        </is>
      </c>
      <c r="J94" s="15" t="inlineStr">
        <is>
          <t>EC3</t>
        </is>
      </c>
      <c r="K94" s="15" t="inlineStr">
        <is>
          <t>Bodyline Trading (Private) Limited</t>
        </is>
      </c>
      <c r="L94" s="16" t="inlineStr">
        <is>
          <t>Bodyline (Private) Limited</t>
        </is>
      </c>
      <c r="M94" s="15" t="inlineStr">
        <is>
          <t>N</t>
        </is>
      </c>
      <c r="N94" s="17" t="n">
        <v>452741267767</v>
      </c>
      <c r="O94" s="15" t="n">
        <v>19878827</v>
      </c>
      <c r="P94" s="18" t="inlineStr">
        <is>
          <t>LW2DQ0S</t>
        </is>
      </c>
      <c r="Q94" s="18" t="n">
        <v>6</v>
      </c>
      <c r="R94" s="18" t="n">
        <v>0.447</v>
      </c>
      <c r="S94" s="15" t="n">
        <v>33.188</v>
      </c>
      <c r="T94" s="16" t="n">
        <v>45824</v>
      </c>
      <c r="U94" s="19" t="n">
        <v>45883</v>
      </c>
      <c r="V94" s="16" t="n">
        <v>45824</v>
      </c>
      <c r="W94" s="16" t="n">
        <v>45826</v>
      </c>
      <c r="X94" s="57">
        <f>W94-1</f>
        <v/>
      </c>
      <c r="Y94" s="63" t="n">
        <v>45832</v>
      </c>
      <c r="Z94" s="67" t="n">
        <v>45861</v>
      </c>
      <c r="AA94" s="71">
        <f>Z94+13</f>
        <v/>
      </c>
      <c r="AB94" s="20">
        <f>AA94-U94</f>
        <v/>
      </c>
      <c r="AC94" s="20" t="inlineStr">
        <is>
          <t>No</t>
        </is>
      </c>
      <c r="AD94" s="21" t="inlineStr">
        <is>
          <t>1 HBL</t>
        </is>
      </c>
      <c r="AE94" s="21" t="n"/>
      <c r="AF94" s="22" t="inlineStr">
        <is>
          <t>LW</t>
        </is>
      </c>
      <c r="AG94" s="23" t="inlineStr">
        <is>
          <t>NAC</t>
        </is>
      </c>
      <c r="AN94" s="24" t="n"/>
    </row>
    <row r="95" ht="12.75" customHeight="1">
      <c r="A95" s="15" t="n">
        <v>3254506</v>
      </c>
      <c r="B95" s="15" t="inlineStr">
        <is>
          <t>Flexport</t>
        </is>
      </c>
      <c r="C95" s="15" t="inlineStr">
        <is>
          <t>Colombo, LK</t>
        </is>
      </c>
      <c r="D95" s="15" t="inlineStr">
        <is>
          <t>New York, NY, US</t>
        </is>
      </c>
      <c r="E95" s="15" t="inlineStr">
        <is>
          <t>Mississauga, ON, CA</t>
        </is>
      </c>
      <c r="F95" s="15" t="inlineStr">
        <is>
          <t>OCEAN</t>
        </is>
      </c>
      <c r="G95" s="15" t="inlineStr">
        <is>
          <t>C. 1 x 40HC</t>
        </is>
      </c>
      <c r="H95" s="15" t="inlineStr">
        <is>
          <t>CFS/CY</t>
        </is>
      </c>
      <c r="I95" s="15" t="inlineStr">
        <is>
          <t>ONE</t>
        </is>
      </c>
      <c r="J95" s="15" t="inlineStr">
        <is>
          <t>EC3</t>
        </is>
      </c>
      <c r="K95" s="15" t="inlineStr">
        <is>
          <t>Bodyline Trading (Private) Limited</t>
        </is>
      </c>
      <c r="L95" s="16" t="inlineStr">
        <is>
          <t>Bodyline (Private) Limited</t>
        </is>
      </c>
      <c r="M95" s="15" t="inlineStr">
        <is>
          <t>N</t>
        </is>
      </c>
      <c r="N95" s="17" t="n">
        <v>452742081047</v>
      </c>
      <c r="O95" s="15" t="n">
        <v>19878360</v>
      </c>
      <c r="P95" s="18" t="inlineStr">
        <is>
          <t>LW2731S</t>
        </is>
      </c>
      <c r="Q95" s="18" t="n">
        <v>4</v>
      </c>
      <c r="R95" s="18" t="n">
        <v>0.322</v>
      </c>
      <c r="S95" s="15" t="n">
        <v>18.219</v>
      </c>
      <c r="T95" s="16" t="n">
        <v>45824</v>
      </c>
      <c r="U95" s="19" t="n">
        <v>45883</v>
      </c>
      <c r="V95" s="16" t="n">
        <v>45824</v>
      </c>
      <c r="W95" s="16" t="n">
        <v>45826</v>
      </c>
      <c r="X95" s="57">
        <f>W95-1</f>
        <v/>
      </c>
      <c r="Y95" s="63" t="n">
        <v>45832</v>
      </c>
      <c r="Z95" s="67" t="n">
        <v>45861</v>
      </c>
      <c r="AA95" s="71">
        <f>Z95+13</f>
        <v/>
      </c>
      <c r="AB95" s="20">
        <f>AA95-U95</f>
        <v/>
      </c>
      <c r="AC95" s="20" t="inlineStr">
        <is>
          <t>No</t>
        </is>
      </c>
      <c r="AD95" s="21" t="inlineStr">
        <is>
          <t>1 HBL</t>
        </is>
      </c>
      <c r="AE95" s="21" t="n"/>
      <c r="AF95" s="22" t="inlineStr">
        <is>
          <t>LW</t>
        </is>
      </c>
      <c r="AG95" s="23" t="inlineStr">
        <is>
          <t>NAC</t>
        </is>
      </c>
      <c r="AN95" s="24" t="n"/>
    </row>
    <row r="96" ht="12.75" customHeight="1">
      <c r="A96" s="15" t="n">
        <v>3254506</v>
      </c>
      <c r="B96" s="15" t="inlineStr">
        <is>
          <t>Flexport</t>
        </is>
      </c>
      <c r="C96" s="15" t="inlineStr">
        <is>
          <t>Colombo, LK</t>
        </is>
      </c>
      <c r="D96" s="15" t="inlineStr">
        <is>
          <t>New York, NY, US</t>
        </is>
      </c>
      <c r="E96" s="15" t="inlineStr">
        <is>
          <t>Mississauga, ON, CA</t>
        </is>
      </c>
      <c r="F96" s="15" t="inlineStr">
        <is>
          <t>OCEAN</t>
        </is>
      </c>
      <c r="G96" s="15" t="inlineStr">
        <is>
          <t>C. 1 x 40HC</t>
        </is>
      </c>
      <c r="H96" s="15" t="inlineStr">
        <is>
          <t>CFS/CY</t>
        </is>
      </c>
      <c r="I96" s="15" t="inlineStr">
        <is>
          <t>ONE</t>
        </is>
      </c>
      <c r="J96" s="15" t="inlineStr">
        <is>
          <t>EC3</t>
        </is>
      </c>
      <c r="K96" s="15" t="inlineStr">
        <is>
          <t>Bodyline Trading (Private) Limited</t>
        </is>
      </c>
      <c r="L96" s="16" t="inlineStr">
        <is>
          <t>Bodyline (Private) Limited</t>
        </is>
      </c>
      <c r="M96" s="15" t="inlineStr">
        <is>
          <t>N</t>
        </is>
      </c>
      <c r="N96" s="17" t="n">
        <v>452743736213</v>
      </c>
      <c r="O96" s="15" t="n">
        <v>19877462</v>
      </c>
      <c r="P96" s="18" t="inlineStr">
        <is>
          <t>LW9DC3S</t>
        </is>
      </c>
      <c r="Q96" s="18" t="n">
        <v>3</v>
      </c>
      <c r="R96" s="18" t="n">
        <v>0.132</v>
      </c>
      <c r="S96" s="15" t="n">
        <v>7.123</v>
      </c>
      <c r="T96" s="16" t="n">
        <v>45824</v>
      </c>
      <c r="U96" s="19" t="n">
        <v>45883</v>
      </c>
      <c r="V96" s="16" t="n">
        <v>45824</v>
      </c>
      <c r="W96" s="16" t="n">
        <v>45826</v>
      </c>
      <c r="X96" s="57">
        <f>W96-1</f>
        <v/>
      </c>
      <c r="Y96" s="63" t="n">
        <v>45832</v>
      </c>
      <c r="Z96" s="67" t="n">
        <v>45861</v>
      </c>
      <c r="AA96" s="71">
        <f>Z96+13</f>
        <v/>
      </c>
      <c r="AB96" s="20">
        <f>AA96-U96</f>
        <v/>
      </c>
      <c r="AC96" s="20" t="inlineStr">
        <is>
          <t>No</t>
        </is>
      </c>
      <c r="AD96" s="21" t="inlineStr">
        <is>
          <t>1 HBL</t>
        </is>
      </c>
      <c r="AE96" s="21" t="n"/>
      <c r="AF96" s="22" t="inlineStr">
        <is>
          <t>LW</t>
        </is>
      </c>
      <c r="AG96" s="23" t="inlineStr">
        <is>
          <t>NAC</t>
        </is>
      </c>
      <c r="AH96" s="24" t="n"/>
      <c r="AN96" s="24" t="n"/>
    </row>
    <row r="97" ht="12.75" customHeight="1">
      <c r="A97" s="15" t="n">
        <v>3254506</v>
      </c>
      <c r="B97" s="15" t="inlineStr">
        <is>
          <t>Flexport</t>
        </is>
      </c>
      <c r="C97" s="15" t="inlineStr">
        <is>
          <t>Colombo, LK</t>
        </is>
      </c>
      <c r="D97" s="15" t="inlineStr">
        <is>
          <t>New York, NY, US</t>
        </is>
      </c>
      <c r="E97" s="15" t="inlineStr">
        <is>
          <t>Mississauga, ON, CA</t>
        </is>
      </c>
      <c r="F97" s="15" t="inlineStr">
        <is>
          <t>OCEAN</t>
        </is>
      </c>
      <c r="G97" s="15" t="inlineStr">
        <is>
          <t>C. 1 x 40HC</t>
        </is>
      </c>
      <c r="H97" s="15" t="inlineStr">
        <is>
          <t>CFS/CY</t>
        </is>
      </c>
      <c r="I97" s="15" t="inlineStr">
        <is>
          <t>ONE</t>
        </is>
      </c>
      <c r="J97" s="15" t="inlineStr">
        <is>
          <t>EC3</t>
        </is>
      </c>
      <c r="K97" s="15" t="inlineStr">
        <is>
          <t>Bodyline Trading (Private) Limited</t>
        </is>
      </c>
      <c r="L97" s="16" t="inlineStr">
        <is>
          <t>Bodyline (Private) Limited</t>
        </is>
      </c>
      <c r="M97" s="15" t="inlineStr">
        <is>
          <t>N</t>
        </is>
      </c>
      <c r="N97" s="17" t="n">
        <v>452744235914</v>
      </c>
      <c r="O97" s="15" t="n">
        <v>19877730</v>
      </c>
      <c r="P97" s="18" t="inlineStr">
        <is>
          <t>LW9DC3S</t>
        </is>
      </c>
      <c r="Q97" s="18" t="n">
        <v>4</v>
      </c>
      <c r="R97" s="18" t="n">
        <v>0.176</v>
      </c>
      <c r="S97" s="15" t="n">
        <v>14.622</v>
      </c>
      <c r="T97" s="16" t="n">
        <v>45824</v>
      </c>
      <c r="U97" s="19" t="n">
        <v>45883</v>
      </c>
      <c r="V97" s="16" t="n">
        <v>45824</v>
      </c>
      <c r="W97" s="16" t="n">
        <v>45826</v>
      </c>
      <c r="X97" s="57">
        <f>W97-1</f>
        <v/>
      </c>
      <c r="Y97" s="63" t="n">
        <v>45832</v>
      </c>
      <c r="Z97" s="67" t="n">
        <v>45861</v>
      </c>
      <c r="AA97" s="71">
        <f>Z97+13</f>
        <v/>
      </c>
      <c r="AB97" s="20">
        <f>AA97-U97</f>
        <v/>
      </c>
      <c r="AC97" s="20" t="inlineStr">
        <is>
          <t>No</t>
        </is>
      </c>
      <c r="AD97" s="21" t="inlineStr">
        <is>
          <t>1 HBL</t>
        </is>
      </c>
      <c r="AE97" s="21" t="n"/>
      <c r="AF97" s="22" t="inlineStr">
        <is>
          <t>LW</t>
        </is>
      </c>
      <c r="AG97" s="23" t="inlineStr">
        <is>
          <t>NAC</t>
        </is>
      </c>
      <c r="AH97" s="24" t="n"/>
      <c r="AN97" s="24" t="n"/>
    </row>
    <row r="98" ht="12.75" customHeight="1">
      <c r="A98" s="15" t="n">
        <v>3254506</v>
      </c>
      <c r="B98" s="15" t="inlineStr">
        <is>
          <t>Flexport</t>
        </is>
      </c>
      <c r="C98" s="15" t="inlineStr">
        <is>
          <t>Colombo, LK</t>
        </is>
      </c>
      <c r="D98" s="15" t="inlineStr">
        <is>
          <t>New York, NY, US</t>
        </is>
      </c>
      <c r="E98" s="15" t="inlineStr">
        <is>
          <t>Mississauga, ON, CA</t>
        </is>
      </c>
      <c r="F98" s="15" t="inlineStr">
        <is>
          <t>OCEAN</t>
        </is>
      </c>
      <c r="G98" s="15" t="inlineStr">
        <is>
          <t>C. 1 x 40HC</t>
        </is>
      </c>
      <c r="H98" s="15" t="inlineStr">
        <is>
          <t>CFS/CY</t>
        </is>
      </c>
      <c r="I98" s="15" t="inlineStr">
        <is>
          <t>ONE</t>
        </is>
      </c>
      <c r="J98" s="15" t="inlineStr">
        <is>
          <t>EC3</t>
        </is>
      </c>
      <c r="K98" s="15" t="inlineStr">
        <is>
          <t>Bodyline Trading (Private) Limited</t>
        </is>
      </c>
      <c r="L98" s="16" t="inlineStr">
        <is>
          <t>Bodyline (Private) Limited</t>
        </is>
      </c>
      <c r="M98" s="15" t="inlineStr">
        <is>
          <t>N</t>
        </is>
      </c>
      <c r="N98" s="17" t="n">
        <v>452746746441</v>
      </c>
      <c r="O98" s="15" t="n">
        <v>19877700</v>
      </c>
      <c r="P98" s="18" t="inlineStr">
        <is>
          <t>LW9DC3S</t>
        </is>
      </c>
      <c r="Q98" s="18" t="n">
        <v>3</v>
      </c>
      <c r="R98" s="18" t="n">
        <v>0.132</v>
      </c>
      <c r="S98" s="15" t="n">
        <v>9.302</v>
      </c>
      <c r="T98" s="16" t="n">
        <v>45824</v>
      </c>
      <c r="U98" s="19" t="n">
        <v>45883</v>
      </c>
      <c r="V98" s="16" t="n">
        <v>45824</v>
      </c>
      <c r="W98" s="16" t="n">
        <v>45826</v>
      </c>
      <c r="X98" s="57">
        <f>W98-1</f>
        <v/>
      </c>
      <c r="Y98" s="63" t="n">
        <v>45832</v>
      </c>
      <c r="Z98" s="67" t="n">
        <v>45861</v>
      </c>
      <c r="AA98" s="71">
        <f>Z98+13</f>
        <v/>
      </c>
      <c r="AB98" s="20">
        <f>AA98-U98</f>
        <v/>
      </c>
      <c r="AC98" s="20" t="inlineStr">
        <is>
          <t>No</t>
        </is>
      </c>
      <c r="AD98" s="21" t="inlineStr">
        <is>
          <t>1 HBL</t>
        </is>
      </c>
      <c r="AE98" s="21" t="n"/>
      <c r="AF98" s="22" t="inlineStr">
        <is>
          <t>LW</t>
        </is>
      </c>
      <c r="AG98" s="23" t="inlineStr">
        <is>
          <t>NAC</t>
        </is>
      </c>
      <c r="AN98" s="24" t="n"/>
    </row>
    <row r="99" ht="12.75" customHeight="1">
      <c r="A99" s="15" t="n">
        <v>3254506</v>
      </c>
      <c r="B99" s="15" t="inlineStr">
        <is>
          <t>Flexport</t>
        </is>
      </c>
      <c r="C99" s="15" t="inlineStr">
        <is>
          <t>Colombo, LK</t>
        </is>
      </c>
      <c r="D99" s="15" t="inlineStr">
        <is>
          <t>New York, NY, US</t>
        </is>
      </c>
      <c r="E99" s="15" t="inlineStr">
        <is>
          <t>Mississauga, ON, CA</t>
        </is>
      </c>
      <c r="F99" s="15" t="inlineStr">
        <is>
          <t>OCEAN</t>
        </is>
      </c>
      <c r="G99" s="15" t="inlineStr">
        <is>
          <t>C. 1 x 40HC</t>
        </is>
      </c>
      <c r="H99" s="15" t="inlineStr">
        <is>
          <t>CFS/CY</t>
        </is>
      </c>
      <c r="I99" s="15" t="inlineStr">
        <is>
          <t>ONE</t>
        </is>
      </c>
      <c r="J99" s="15" t="inlineStr">
        <is>
          <t>EC3</t>
        </is>
      </c>
      <c r="K99" s="15" t="inlineStr">
        <is>
          <t>Bodyline Trading (Private) Limited</t>
        </is>
      </c>
      <c r="L99" s="16" t="inlineStr">
        <is>
          <t>Bodyline (Private) Limited</t>
        </is>
      </c>
      <c r="M99" s="15" t="inlineStr">
        <is>
          <t>N</t>
        </is>
      </c>
      <c r="N99" s="17" t="n">
        <v>452747570082</v>
      </c>
      <c r="O99" s="15" t="n">
        <v>19877518</v>
      </c>
      <c r="P99" s="18" t="inlineStr">
        <is>
          <t>LW9DCIS</t>
        </is>
      </c>
      <c r="Q99" s="18" t="n">
        <v>2</v>
      </c>
      <c r="R99" s="18" t="n">
        <v>0.08799999999999999</v>
      </c>
      <c r="S99" s="15" t="n">
        <v>7.436</v>
      </c>
      <c r="T99" s="16" t="n">
        <v>45824</v>
      </c>
      <c r="U99" s="19" t="n">
        <v>45883</v>
      </c>
      <c r="V99" s="16" t="n">
        <v>45824</v>
      </c>
      <c r="W99" s="16" t="n">
        <v>45826</v>
      </c>
      <c r="X99" s="57">
        <f>W99-1</f>
        <v/>
      </c>
      <c r="Y99" s="63" t="n">
        <v>45832</v>
      </c>
      <c r="Z99" s="67" t="n">
        <v>45861</v>
      </c>
      <c r="AA99" s="71">
        <f>Z99+13</f>
        <v/>
      </c>
      <c r="AB99" s="20">
        <f>AA99-U99</f>
        <v/>
      </c>
      <c r="AC99" s="20" t="inlineStr">
        <is>
          <t>No</t>
        </is>
      </c>
      <c r="AD99" s="21" t="inlineStr">
        <is>
          <t>1 HBL</t>
        </is>
      </c>
      <c r="AE99" s="21" t="n"/>
      <c r="AF99" s="22" t="inlineStr">
        <is>
          <t>LW</t>
        </is>
      </c>
      <c r="AG99" s="23" t="inlineStr">
        <is>
          <t>NAC</t>
        </is>
      </c>
      <c r="AH99" s="24" t="n"/>
      <c r="AN99" s="24" t="n"/>
    </row>
    <row r="100" ht="12.75" customHeight="1">
      <c r="A100" s="15" t="n">
        <v>3254506</v>
      </c>
      <c r="B100" s="15" t="inlineStr">
        <is>
          <t>Flexport</t>
        </is>
      </c>
      <c r="C100" s="15" t="inlineStr">
        <is>
          <t>Colombo, LK</t>
        </is>
      </c>
      <c r="D100" s="15" t="inlineStr">
        <is>
          <t>New York, NY, US</t>
        </is>
      </c>
      <c r="E100" s="15" t="inlineStr">
        <is>
          <t>Mississauga, ON, CA</t>
        </is>
      </c>
      <c r="F100" s="15" t="inlineStr">
        <is>
          <t>OCEAN</t>
        </is>
      </c>
      <c r="G100" s="15" t="inlineStr">
        <is>
          <t>C. 1 x 40HC</t>
        </is>
      </c>
      <c r="H100" s="15" t="inlineStr">
        <is>
          <t>CFS/CY</t>
        </is>
      </c>
      <c r="I100" s="15" t="inlineStr">
        <is>
          <t>ONE</t>
        </is>
      </c>
      <c r="J100" s="15" t="inlineStr">
        <is>
          <t>EC3</t>
        </is>
      </c>
      <c r="K100" s="15" t="inlineStr">
        <is>
          <t>Bodyline Trading (Private) Limited</t>
        </is>
      </c>
      <c r="L100" s="16" t="inlineStr">
        <is>
          <t>Bodyline (Private) Limited</t>
        </is>
      </c>
      <c r="M100" s="15" t="inlineStr">
        <is>
          <t>N</t>
        </is>
      </c>
      <c r="N100" s="17" t="n">
        <v>452748628444</v>
      </c>
      <c r="O100" s="15" t="n">
        <v>19877802</v>
      </c>
      <c r="P100" s="18" t="inlineStr">
        <is>
          <t>LW9DCIS</t>
        </is>
      </c>
      <c r="Q100" s="18" t="n">
        <v>4</v>
      </c>
      <c r="R100" s="18" t="n">
        <v>0.176</v>
      </c>
      <c r="S100" s="15" t="n">
        <v>13.729</v>
      </c>
      <c r="T100" s="16" t="n">
        <v>45824</v>
      </c>
      <c r="U100" s="19" t="n">
        <v>45883</v>
      </c>
      <c r="V100" s="16" t="n">
        <v>45824</v>
      </c>
      <c r="W100" s="16" t="n">
        <v>45826</v>
      </c>
      <c r="X100" s="57">
        <f>W100-1</f>
        <v/>
      </c>
      <c r="Y100" s="63" t="n">
        <v>45832</v>
      </c>
      <c r="Z100" s="67" t="n">
        <v>45861</v>
      </c>
      <c r="AA100" s="71">
        <f>Z100+13</f>
        <v/>
      </c>
      <c r="AB100" s="20">
        <f>AA100-U100</f>
        <v/>
      </c>
      <c r="AC100" s="20" t="inlineStr">
        <is>
          <t>No</t>
        </is>
      </c>
      <c r="AD100" s="21" t="inlineStr">
        <is>
          <t>1 HBL</t>
        </is>
      </c>
      <c r="AE100" s="21" t="n"/>
      <c r="AF100" s="22" t="inlineStr">
        <is>
          <t>LW</t>
        </is>
      </c>
      <c r="AG100" s="23" t="inlineStr">
        <is>
          <t>NAC</t>
        </is>
      </c>
      <c r="AH100" s="24" t="n"/>
      <c r="AN100" s="24" t="n"/>
    </row>
    <row r="101" ht="12.75" customHeight="1">
      <c r="A101" s="15" t="n">
        <v>3254506</v>
      </c>
      <c r="B101" s="15" t="inlineStr">
        <is>
          <t>Flexport</t>
        </is>
      </c>
      <c r="C101" s="15" t="inlineStr">
        <is>
          <t>Colombo, LK</t>
        </is>
      </c>
      <c r="D101" s="15" t="inlineStr">
        <is>
          <t>New York, NY, US</t>
        </is>
      </c>
      <c r="E101" s="15" t="inlineStr">
        <is>
          <t>Mississauga, ON, CA</t>
        </is>
      </c>
      <c r="F101" s="15" t="inlineStr">
        <is>
          <t>OCEAN</t>
        </is>
      </c>
      <c r="G101" s="15" t="inlineStr">
        <is>
          <t>C. 1 x 40HC</t>
        </is>
      </c>
      <c r="H101" s="15" t="inlineStr">
        <is>
          <t>CFS/CY</t>
        </is>
      </c>
      <c r="I101" s="15" t="inlineStr">
        <is>
          <t>ONE</t>
        </is>
      </c>
      <c r="J101" s="15" t="inlineStr">
        <is>
          <t>EC3</t>
        </is>
      </c>
      <c r="K101" s="15" t="inlineStr">
        <is>
          <t>Bodyline Trading (Private) Limited</t>
        </is>
      </c>
      <c r="L101" s="16" t="inlineStr">
        <is>
          <t>Bodyline (Private) Limited</t>
        </is>
      </c>
      <c r="M101" s="15" t="inlineStr">
        <is>
          <t>N</t>
        </is>
      </c>
      <c r="N101" s="17" t="n">
        <v>452749289399</v>
      </c>
      <c r="O101" s="15" t="n">
        <v>19877586</v>
      </c>
      <c r="P101" s="18" t="inlineStr">
        <is>
          <t>LW9DCIS</t>
        </is>
      </c>
      <c r="Q101" s="18" t="n">
        <v>2</v>
      </c>
      <c r="R101" s="18" t="n">
        <v>0.08799999999999999</v>
      </c>
      <c r="S101" s="15" t="n">
        <v>5.714</v>
      </c>
      <c r="T101" s="16" t="n">
        <v>45824</v>
      </c>
      <c r="U101" s="19" t="n">
        <v>45883</v>
      </c>
      <c r="V101" s="16" t="n">
        <v>45824</v>
      </c>
      <c r="W101" s="16" t="n">
        <v>45826</v>
      </c>
      <c r="X101" s="57">
        <f>W101-1</f>
        <v/>
      </c>
      <c r="Y101" s="63" t="n">
        <v>45832</v>
      </c>
      <c r="Z101" s="67" t="n">
        <v>45861</v>
      </c>
      <c r="AA101" s="71">
        <f>Z101+13</f>
        <v/>
      </c>
      <c r="AB101" s="20">
        <f>AA101-U101</f>
        <v/>
      </c>
      <c r="AC101" s="20" t="inlineStr">
        <is>
          <t>No</t>
        </is>
      </c>
      <c r="AD101" s="21" t="inlineStr">
        <is>
          <t>1 HBL</t>
        </is>
      </c>
      <c r="AE101" s="21" t="n"/>
      <c r="AF101" s="22" t="inlineStr">
        <is>
          <t>LW</t>
        </is>
      </c>
      <c r="AG101" s="23" t="inlineStr">
        <is>
          <t>NAC</t>
        </is>
      </c>
      <c r="AH101" s="24" t="n"/>
      <c r="AN101" s="24" t="n"/>
    </row>
    <row r="102" ht="12.75" customHeight="1">
      <c r="A102" s="15" t="n">
        <v>3254506</v>
      </c>
      <c r="B102" s="15" t="inlineStr">
        <is>
          <t>Flexport</t>
        </is>
      </c>
      <c r="C102" s="15" t="inlineStr">
        <is>
          <t>Colombo, LK</t>
        </is>
      </c>
      <c r="D102" s="15" t="inlineStr">
        <is>
          <t>New York, NY, US</t>
        </is>
      </c>
      <c r="E102" s="15" t="inlineStr">
        <is>
          <t>Mississauga, ON, CA</t>
        </is>
      </c>
      <c r="F102" s="15" t="inlineStr">
        <is>
          <t>OCEAN</t>
        </is>
      </c>
      <c r="G102" s="15" t="inlineStr">
        <is>
          <t>C. 1 x 40HC</t>
        </is>
      </c>
      <c r="H102" s="15" t="inlineStr">
        <is>
          <t>CFS/CY</t>
        </is>
      </c>
      <c r="I102" s="15" t="inlineStr">
        <is>
          <t>ONE</t>
        </is>
      </c>
      <c r="J102" s="15" t="inlineStr">
        <is>
          <t>EC3</t>
        </is>
      </c>
      <c r="K102" s="15" t="inlineStr">
        <is>
          <t>Bodyline Trading (Private) Limited</t>
        </is>
      </c>
      <c r="L102" s="16" t="inlineStr">
        <is>
          <t>Bodyline (Private) Limited</t>
        </is>
      </c>
      <c r="M102" s="15" t="inlineStr">
        <is>
          <t>N</t>
        </is>
      </c>
      <c r="N102" s="17" t="n">
        <v>452751542760</v>
      </c>
      <c r="O102" s="15" t="n">
        <v>19878305</v>
      </c>
      <c r="P102" s="18" t="inlineStr">
        <is>
          <t>LW9DCIS</t>
        </is>
      </c>
      <c r="Q102" s="18" t="n">
        <v>3</v>
      </c>
      <c r="R102" s="18" t="n">
        <v>0.132</v>
      </c>
      <c r="S102" s="15" t="n">
        <v>11.942</v>
      </c>
      <c r="T102" s="16" t="n">
        <v>45824</v>
      </c>
      <c r="U102" s="19" t="n">
        <v>45883</v>
      </c>
      <c r="V102" s="16" t="n">
        <v>45824</v>
      </c>
      <c r="W102" s="16" t="n">
        <v>45826</v>
      </c>
      <c r="X102" s="57">
        <f>W102-1</f>
        <v/>
      </c>
      <c r="Y102" s="63" t="n">
        <v>45832</v>
      </c>
      <c r="Z102" s="67" t="n">
        <v>45861</v>
      </c>
      <c r="AA102" s="71">
        <f>Z102+13</f>
        <v/>
      </c>
      <c r="AB102" s="20">
        <f>AA102-U102</f>
        <v/>
      </c>
      <c r="AC102" s="20" t="inlineStr">
        <is>
          <t>No</t>
        </is>
      </c>
      <c r="AD102" s="21" t="inlineStr">
        <is>
          <t>1 HBL</t>
        </is>
      </c>
      <c r="AE102" s="21" t="n"/>
      <c r="AF102" s="22" t="inlineStr">
        <is>
          <t>LW</t>
        </is>
      </c>
      <c r="AG102" s="23" t="inlineStr">
        <is>
          <t>NAC</t>
        </is>
      </c>
      <c r="AH102" s="24" t="n"/>
      <c r="AN102" s="24" t="n"/>
    </row>
    <row r="103" ht="12.75" customHeight="1">
      <c r="A103" s="15" t="n">
        <v>3254506</v>
      </c>
      <c r="B103" s="15" t="inlineStr">
        <is>
          <t>Flexport</t>
        </is>
      </c>
      <c r="C103" s="15" t="inlineStr">
        <is>
          <t>Colombo, LK</t>
        </is>
      </c>
      <c r="D103" s="15" t="inlineStr">
        <is>
          <t>New York, NY, US</t>
        </is>
      </c>
      <c r="E103" s="15" t="inlineStr">
        <is>
          <t>Mississauga, ON, CA</t>
        </is>
      </c>
      <c r="F103" s="15" t="inlineStr">
        <is>
          <t>OCEAN</t>
        </is>
      </c>
      <c r="G103" s="15" t="inlineStr">
        <is>
          <t>C. 1 x 40HC</t>
        </is>
      </c>
      <c r="H103" s="15" t="inlineStr">
        <is>
          <t>CFS/CY</t>
        </is>
      </c>
      <c r="I103" s="15" t="inlineStr">
        <is>
          <t>ONE</t>
        </is>
      </c>
      <c r="J103" s="15" t="inlineStr">
        <is>
          <t>EC3</t>
        </is>
      </c>
      <c r="K103" s="15" t="inlineStr">
        <is>
          <t>Bodyline Trading (Private) Limited</t>
        </is>
      </c>
      <c r="L103" s="16" t="inlineStr">
        <is>
          <t>Bodyline (Private) Limited</t>
        </is>
      </c>
      <c r="M103" s="15" t="inlineStr">
        <is>
          <t>N</t>
        </is>
      </c>
      <c r="N103" s="17" t="n">
        <v>452752403153</v>
      </c>
      <c r="O103" s="15" t="n">
        <v>19877633</v>
      </c>
      <c r="P103" s="18" t="inlineStr">
        <is>
          <t>LW9DCLS</t>
        </is>
      </c>
      <c r="Q103" s="18" t="n">
        <v>2</v>
      </c>
      <c r="R103" s="18" t="n">
        <v>0.08799999999999999</v>
      </c>
      <c r="S103" s="15" t="n">
        <v>9.157</v>
      </c>
      <c r="T103" s="16" t="n">
        <v>45824</v>
      </c>
      <c r="U103" s="19" t="n">
        <v>45883</v>
      </c>
      <c r="V103" s="16" t="n">
        <v>45824</v>
      </c>
      <c r="W103" s="16" t="n">
        <v>45826</v>
      </c>
      <c r="X103" s="57">
        <f>W103-1</f>
        <v/>
      </c>
      <c r="Y103" s="63" t="n">
        <v>45832</v>
      </c>
      <c r="Z103" s="67" t="n">
        <v>45861</v>
      </c>
      <c r="AA103" s="71">
        <f>Z103+13</f>
        <v/>
      </c>
      <c r="AB103" s="20">
        <f>AA103-U103</f>
        <v/>
      </c>
      <c r="AC103" s="20" t="inlineStr">
        <is>
          <t>No</t>
        </is>
      </c>
      <c r="AD103" s="21" t="inlineStr">
        <is>
          <t>1 HBL</t>
        </is>
      </c>
      <c r="AE103" s="21" t="n"/>
      <c r="AF103" s="22" t="inlineStr">
        <is>
          <t>LW</t>
        </is>
      </c>
      <c r="AG103" s="23" t="inlineStr">
        <is>
          <t>NAC</t>
        </is>
      </c>
      <c r="AH103" s="24" t="n"/>
      <c r="AN103" s="24" t="n"/>
    </row>
    <row r="104" ht="12.75" customHeight="1">
      <c r="A104" s="15" t="n">
        <v>3254506</v>
      </c>
      <c r="B104" s="15" t="inlineStr">
        <is>
          <t>Flexport</t>
        </is>
      </c>
      <c r="C104" s="15" t="inlineStr">
        <is>
          <t>Colombo, LK</t>
        </is>
      </c>
      <c r="D104" s="15" t="inlineStr">
        <is>
          <t>New York, NY, US</t>
        </is>
      </c>
      <c r="E104" s="15" t="inlineStr">
        <is>
          <t>Mississauga, ON, CA</t>
        </is>
      </c>
      <c r="F104" s="15" t="inlineStr">
        <is>
          <t>OCEAN</t>
        </is>
      </c>
      <c r="G104" s="15" t="inlineStr">
        <is>
          <t>C. 1 x 40HC</t>
        </is>
      </c>
      <c r="H104" s="15" t="inlineStr">
        <is>
          <t>CFS/CY</t>
        </is>
      </c>
      <c r="I104" s="15" t="inlineStr">
        <is>
          <t>ONE</t>
        </is>
      </c>
      <c r="J104" s="15" t="inlineStr">
        <is>
          <t>EC3</t>
        </is>
      </c>
      <c r="K104" s="15" t="inlineStr">
        <is>
          <t>Bodyline Trading (Private) Limited</t>
        </is>
      </c>
      <c r="L104" s="16" t="inlineStr">
        <is>
          <t>Bodyline (Private) Limited</t>
        </is>
      </c>
      <c r="M104" s="15" t="inlineStr">
        <is>
          <t>N</t>
        </is>
      </c>
      <c r="N104" s="17" t="n">
        <v>452757140834</v>
      </c>
      <c r="O104" s="15" t="n">
        <v>19877610</v>
      </c>
      <c r="P104" s="18" t="inlineStr">
        <is>
          <t>LW9DCLS</t>
        </is>
      </c>
      <c r="Q104" s="18" t="n">
        <v>2</v>
      </c>
      <c r="R104" s="18" t="n">
        <v>0.08799999999999999</v>
      </c>
      <c r="S104" s="15" t="n">
        <v>9.907</v>
      </c>
      <c r="T104" s="16" t="n">
        <v>45824</v>
      </c>
      <c r="U104" s="19" t="n">
        <v>45883</v>
      </c>
      <c r="V104" s="16" t="n">
        <v>45824</v>
      </c>
      <c r="W104" s="16" t="n">
        <v>45826</v>
      </c>
      <c r="X104" s="57">
        <f>W104-1</f>
        <v/>
      </c>
      <c r="Y104" s="63" t="n">
        <v>45832</v>
      </c>
      <c r="Z104" s="67" t="n">
        <v>45861</v>
      </c>
      <c r="AA104" s="71">
        <f>Z104+13</f>
        <v/>
      </c>
      <c r="AB104" s="20">
        <f>AA104-U104</f>
        <v/>
      </c>
      <c r="AC104" s="20" t="inlineStr">
        <is>
          <t>No</t>
        </is>
      </c>
      <c r="AD104" s="21" t="inlineStr">
        <is>
          <t>1 HBL</t>
        </is>
      </c>
      <c r="AE104" s="21" t="n"/>
      <c r="AF104" s="22" t="inlineStr">
        <is>
          <t>LW</t>
        </is>
      </c>
      <c r="AG104" s="23" t="inlineStr">
        <is>
          <t>NAC</t>
        </is>
      </c>
      <c r="AH104" s="24" t="n"/>
      <c r="AN104" s="24" t="n"/>
    </row>
    <row r="105" ht="12.75" customHeight="1">
      <c r="A105" s="15" t="n">
        <v>3254506</v>
      </c>
      <c r="B105" s="15" t="inlineStr">
        <is>
          <t>Flexport</t>
        </is>
      </c>
      <c r="C105" s="15" t="inlineStr">
        <is>
          <t>Colombo, LK</t>
        </is>
      </c>
      <c r="D105" s="15" t="inlineStr">
        <is>
          <t>New York, NY, US</t>
        </is>
      </c>
      <c r="E105" s="15" t="inlineStr">
        <is>
          <t>Mississauga, ON, CA</t>
        </is>
      </c>
      <c r="F105" s="15" t="inlineStr">
        <is>
          <t>OCEAN</t>
        </is>
      </c>
      <c r="G105" s="15" t="inlineStr">
        <is>
          <t>C. 1 x 40HC</t>
        </is>
      </c>
      <c r="H105" s="15" t="inlineStr">
        <is>
          <t>CFS/CY</t>
        </is>
      </c>
      <c r="I105" s="15" t="inlineStr">
        <is>
          <t>ONE</t>
        </is>
      </c>
      <c r="J105" s="15" t="inlineStr">
        <is>
          <t>EC3</t>
        </is>
      </c>
      <c r="K105" s="15" t="inlineStr">
        <is>
          <t>Bodyline Trading (Private) Limited</t>
        </is>
      </c>
      <c r="L105" s="16" t="inlineStr">
        <is>
          <t>Bodyline (Private) Limited</t>
        </is>
      </c>
      <c r="M105" s="15" t="inlineStr">
        <is>
          <t>N</t>
        </is>
      </c>
      <c r="N105" s="17" t="n">
        <v>452757659944</v>
      </c>
      <c r="O105" s="15" t="n">
        <v>19878331</v>
      </c>
      <c r="P105" s="18" t="inlineStr">
        <is>
          <t>LW9DCLS</t>
        </is>
      </c>
      <c r="Q105" s="18" t="n">
        <v>3</v>
      </c>
      <c r="R105" s="18" t="n">
        <v>0.132</v>
      </c>
      <c r="S105" s="15" t="n">
        <v>12.848</v>
      </c>
      <c r="T105" s="16" t="n">
        <v>45824</v>
      </c>
      <c r="U105" s="19" t="n">
        <v>45883</v>
      </c>
      <c r="V105" s="16" t="n">
        <v>45824</v>
      </c>
      <c r="W105" s="16" t="n">
        <v>45826</v>
      </c>
      <c r="X105" s="57">
        <f>W105-1</f>
        <v/>
      </c>
      <c r="Y105" s="63" t="n">
        <v>45832</v>
      </c>
      <c r="Z105" s="67" t="n">
        <v>45861</v>
      </c>
      <c r="AA105" s="71">
        <f>Z105+13</f>
        <v/>
      </c>
      <c r="AB105" s="20">
        <f>AA105-U105</f>
        <v/>
      </c>
      <c r="AC105" s="20" t="inlineStr">
        <is>
          <t>No</t>
        </is>
      </c>
      <c r="AD105" s="21" t="inlineStr">
        <is>
          <t>1 HBL</t>
        </is>
      </c>
      <c r="AE105" s="21" t="n"/>
      <c r="AF105" s="22" t="inlineStr">
        <is>
          <t>LW</t>
        </is>
      </c>
      <c r="AG105" s="23" t="inlineStr">
        <is>
          <t>NAC</t>
        </is>
      </c>
      <c r="AH105" s="24" t="n"/>
      <c r="AN105" s="24" t="n"/>
    </row>
    <row r="106" ht="12.75" customHeight="1">
      <c r="A106" s="15" t="n">
        <v>3254506</v>
      </c>
      <c r="B106" s="15" t="inlineStr">
        <is>
          <t>Flexport</t>
        </is>
      </c>
      <c r="C106" s="15" t="inlineStr">
        <is>
          <t>Colombo, LK</t>
        </is>
      </c>
      <c r="D106" s="15" t="inlineStr">
        <is>
          <t>New York, NY, US</t>
        </is>
      </c>
      <c r="E106" s="15" t="inlineStr">
        <is>
          <t>Mississauga, ON, CA</t>
        </is>
      </c>
      <c r="F106" s="15" t="inlineStr">
        <is>
          <t>OCEAN</t>
        </is>
      </c>
      <c r="G106" s="15" t="inlineStr">
        <is>
          <t>C. 1 x 40HC</t>
        </is>
      </c>
      <c r="H106" s="15" t="inlineStr">
        <is>
          <t>CFS/CY</t>
        </is>
      </c>
      <c r="I106" s="15" t="inlineStr">
        <is>
          <t>ONE</t>
        </is>
      </c>
      <c r="J106" s="15" t="inlineStr">
        <is>
          <t>EC3</t>
        </is>
      </c>
      <c r="K106" s="15" t="inlineStr">
        <is>
          <t>Bodyline Trading (Private) Limited</t>
        </is>
      </c>
      <c r="L106" s="16" t="inlineStr">
        <is>
          <t>Bodyline (Private) Limited</t>
        </is>
      </c>
      <c r="M106" s="15" t="inlineStr">
        <is>
          <t>N</t>
        </is>
      </c>
      <c r="N106" s="17" t="n">
        <v>452757662388</v>
      </c>
      <c r="O106" s="15" t="n">
        <v>19877767</v>
      </c>
      <c r="P106" s="18" t="inlineStr">
        <is>
          <t>LW9DTYS</t>
        </is>
      </c>
      <c r="Q106" s="18" t="n">
        <v>1</v>
      </c>
      <c r="R106" s="18" t="n">
        <v>0.044</v>
      </c>
      <c r="S106" s="15" t="n">
        <v>4.169</v>
      </c>
      <c r="T106" s="16" t="n">
        <v>45824</v>
      </c>
      <c r="U106" s="19" t="n">
        <v>45883</v>
      </c>
      <c r="V106" s="16" t="n">
        <v>45824</v>
      </c>
      <c r="W106" s="16" t="n">
        <v>45826</v>
      </c>
      <c r="X106" s="57">
        <f>W106-1</f>
        <v/>
      </c>
      <c r="Y106" s="63" t="n">
        <v>45832</v>
      </c>
      <c r="Z106" s="67" t="n">
        <v>45861</v>
      </c>
      <c r="AA106" s="71">
        <f>Z106+13</f>
        <v/>
      </c>
      <c r="AB106" s="20">
        <f>AA106-U106</f>
        <v/>
      </c>
      <c r="AC106" s="20" t="inlineStr">
        <is>
          <t>No</t>
        </is>
      </c>
      <c r="AD106" s="21" t="inlineStr">
        <is>
          <t>1 HBL</t>
        </is>
      </c>
      <c r="AE106" s="21" t="n"/>
      <c r="AF106" s="22" t="inlineStr">
        <is>
          <t>LW</t>
        </is>
      </c>
      <c r="AG106" s="23" t="inlineStr">
        <is>
          <t>NAC</t>
        </is>
      </c>
      <c r="AH106" s="24" t="n"/>
      <c r="AN106" s="24" t="n"/>
    </row>
    <row r="107" ht="12.75" customHeight="1">
      <c r="A107" s="15" t="n">
        <v>3254506</v>
      </c>
      <c r="B107" s="15" t="inlineStr">
        <is>
          <t>Flexport</t>
        </is>
      </c>
      <c r="C107" s="15" t="inlineStr">
        <is>
          <t>Colombo, LK</t>
        </is>
      </c>
      <c r="D107" s="15" t="inlineStr">
        <is>
          <t>New York, NY, US</t>
        </is>
      </c>
      <c r="E107" s="15" t="inlineStr">
        <is>
          <t>Mississauga, ON, CA</t>
        </is>
      </c>
      <c r="F107" s="15" t="inlineStr">
        <is>
          <t>OCEAN</t>
        </is>
      </c>
      <c r="G107" s="15" t="inlineStr">
        <is>
          <t>C. 1 x 40HC</t>
        </is>
      </c>
      <c r="H107" s="15" t="inlineStr">
        <is>
          <t>CFS/CY</t>
        </is>
      </c>
      <c r="I107" s="15" t="inlineStr">
        <is>
          <t>ONE</t>
        </is>
      </c>
      <c r="J107" s="15" t="inlineStr">
        <is>
          <t>EC3</t>
        </is>
      </c>
      <c r="K107" s="15" t="inlineStr">
        <is>
          <t>Bodyline Trading (Private) Limited</t>
        </is>
      </c>
      <c r="L107" s="16" t="inlineStr">
        <is>
          <t>Bodyline (Private) Limited</t>
        </is>
      </c>
      <c r="M107" s="15" t="inlineStr">
        <is>
          <t>N</t>
        </is>
      </c>
      <c r="N107" s="17" t="n">
        <v>452760763325</v>
      </c>
      <c r="O107" s="15" t="n">
        <v>19878470</v>
      </c>
      <c r="P107" s="18" t="inlineStr">
        <is>
          <t>LW9DTYS</t>
        </is>
      </c>
      <c r="Q107" s="18" t="n">
        <v>2</v>
      </c>
      <c r="R107" s="18" t="n">
        <v>0.08799999999999999</v>
      </c>
      <c r="S107" s="15" t="n">
        <v>7.22</v>
      </c>
      <c r="T107" s="16" t="n">
        <v>45824</v>
      </c>
      <c r="U107" s="19" t="n">
        <v>45883</v>
      </c>
      <c r="V107" s="16" t="n">
        <v>45824</v>
      </c>
      <c r="W107" s="16" t="n">
        <v>45826</v>
      </c>
      <c r="X107" s="57">
        <f>W107-1</f>
        <v/>
      </c>
      <c r="Y107" s="63" t="n">
        <v>45832</v>
      </c>
      <c r="Z107" s="67" t="n">
        <v>45861</v>
      </c>
      <c r="AA107" s="71">
        <f>Z107+13</f>
        <v/>
      </c>
      <c r="AB107" s="20">
        <f>AA107-U107</f>
        <v/>
      </c>
      <c r="AC107" s="20" t="inlineStr">
        <is>
          <t>No</t>
        </is>
      </c>
      <c r="AD107" s="21" t="inlineStr">
        <is>
          <t>1 HBL</t>
        </is>
      </c>
      <c r="AE107" s="21" t="n"/>
      <c r="AF107" s="22" t="inlineStr">
        <is>
          <t>LW</t>
        </is>
      </c>
      <c r="AG107" s="23" t="inlineStr">
        <is>
          <t>NAC</t>
        </is>
      </c>
      <c r="AH107" s="24" t="n"/>
      <c r="AN107" s="24" t="n"/>
    </row>
    <row r="108" ht="12.75" customHeight="1">
      <c r="A108" s="15" t="n">
        <v>3254506</v>
      </c>
      <c r="B108" s="15" t="inlineStr">
        <is>
          <t>Flexport</t>
        </is>
      </c>
      <c r="C108" s="15" t="inlineStr">
        <is>
          <t>Colombo, LK</t>
        </is>
      </c>
      <c r="D108" s="15" t="inlineStr">
        <is>
          <t>New York, NY, US</t>
        </is>
      </c>
      <c r="E108" s="15" t="inlineStr">
        <is>
          <t>Mississauga, ON, CA</t>
        </is>
      </c>
      <c r="F108" s="15" t="inlineStr">
        <is>
          <t>OCEAN</t>
        </is>
      </c>
      <c r="G108" s="15" t="inlineStr">
        <is>
          <t>C. 1 x 40HC</t>
        </is>
      </c>
      <c r="H108" s="15" t="inlineStr">
        <is>
          <t>CFS/CY</t>
        </is>
      </c>
      <c r="I108" s="15" t="inlineStr">
        <is>
          <t>ONE</t>
        </is>
      </c>
      <c r="J108" s="15" t="inlineStr">
        <is>
          <t>EC3</t>
        </is>
      </c>
      <c r="K108" s="15" t="inlineStr">
        <is>
          <t>Bodyline Trading (Private) Limited</t>
        </is>
      </c>
      <c r="L108" s="16" t="inlineStr">
        <is>
          <t>Bodyline (Private) Limited</t>
        </is>
      </c>
      <c r="M108" s="15" t="inlineStr">
        <is>
          <t>N</t>
        </is>
      </c>
      <c r="N108" s="17" t="n">
        <v>452761326073</v>
      </c>
      <c r="O108" s="15" t="n">
        <v>19877811</v>
      </c>
      <c r="P108" s="18" t="inlineStr">
        <is>
          <t>LW9DTZS</t>
        </is>
      </c>
      <c r="Q108" s="18" t="n">
        <v>2</v>
      </c>
      <c r="R108" s="18" t="n">
        <v>0.08799999999999999</v>
      </c>
      <c r="S108" s="15" t="n">
        <v>7.555</v>
      </c>
      <c r="T108" s="16" t="n">
        <v>45824</v>
      </c>
      <c r="U108" s="19" t="n">
        <v>45883</v>
      </c>
      <c r="V108" s="16" t="n">
        <v>45824</v>
      </c>
      <c r="W108" s="16" t="n">
        <v>45826</v>
      </c>
      <c r="X108" s="57">
        <f>W108-1</f>
        <v/>
      </c>
      <c r="Y108" s="63" t="n">
        <v>45832</v>
      </c>
      <c r="Z108" s="67" t="n">
        <v>45861</v>
      </c>
      <c r="AA108" s="71">
        <f>Z108+13</f>
        <v/>
      </c>
      <c r="AB108" s="20">
        <f>AA108-U108</f>
        <v/>
      </c>
      <c r="AC108" s="20" t="inlineStr">
        <is>
          <t>No</t>
        </is>
      </c>
      <c r="AD108" s="21" t="inlineStr">
        <is>
          <t>1 HBL</t>
        </is>
      </c>
      <c r="AE108" s="21" t="n"/>
      <c r="AF108" s="22" t="inlineStr">
        <is>
          <t>LW</t>
        </is>
      </c>
      <c r="AG108" s="23" t="inlineStr">
        <is>
          <t>NAC</t>
        </is>
      </c>
      <c r="AH108" s="24" t="n"/>
      <c r="AN108" s="24" t="n"/>
    </row>
    <row r="109" ht="12.75" customHeight="1">
      <c r="A109" s="15" t="n">
        <v>3254506</v>
      </c>
      <c r="B109" s="15" t="inlineStr">
        <is>
          <t>Flexport</t>
        </is>
      </c>
      <c r="C109" s="15" t="inlineStr">
        <is>
          <t>Colombo, LK</t>
        </is>
      </c>
      <c r="D109" s="15" t="inlineStr">
        <is>
          <t>New York, NY, US</t>
        </is>
      </c>
      <c r="E109" s="15" t="inlineStr">
        <is>
          <t>Mississauga, ON, CA</t>
        </is>
      </c>
      <c r="F109" s="15" t="inlineStr">
        <is>
          <t>OCEAN</t>
        </is>
      </c>
      <c r="G109" s="15" t="inlineStr">
        <is>
          <t>C. 1 x 40HC</t>
        </is>
      </c>
      <c r="H109" s="15" t="inlineStr">
        <is>
          <t>CFS/CY</t>
        </is>
      </c>
      <c r="I109" s="15" t="inlineStr">
        <is>
          <t>ONE</t>
        </is>
      </c>
      <c r="J109" s="15" t="inlineStr">
        <is>
          <t>EC3</t>
        </is>
      </c>
      <c r="K109" s="15" t="inlineStr">
        <is>
          <t>Bodyline Trading (Private) Limited</t>
        </is>
      </c>
      <c r="L109" s="16" t="inlineStr">
        <is>
          <t>Bodyline (Private) Limited</t>
        </is>
      </c>
      <c r="M109" s="15" t="inlineStr">
        <is>
          <t>N</t>
        </is>
      </c>
      <c r="N109" s="17" t="n">
        <v>452762125413</v>
      </c>
      <c r="O109" s="15" t="n">
        <v>19878445</v>
      </c>
      <c r="P109" s="18" t="inlineStr">
        <is>
          <t>LW9DTYS</t>
        </is>
      </c>
      <c r="Q109" s="18" t="n">
        <v>2</v>
      </c>
      <c r="R109" s="18" t="n">
        <v>0.08799999999999999</v>
      </c>
      <c r="S109" s="15" t="n">
        <v>11.348</v>
      </c>
      <c r="T109" s="16" t="n">
        <v>45824</v>
      </c>
      <c r="U109" s="19" t="n">
        <v>45883</v>
      </c>
      <c r="V109" s="16" t="n">
        <v>45824</v>
      </c>
      <c r="W109" s="16" t="n">
        <v>45826</v>
      </c>
      <c r="X109" s="57">
        <f>W109-1</f>
        <v/>
      </c>
      <c r="Y109" s="63" t="n">
        <v>45832</v>
      </c>
      <c r="Z109" s="67" t="n">
        <v>45861</v>
      </c>
      <c r="AA109" s="71">
        <f>Z109+13</f>
        <v/>
      </c>
      <c r="AB109" s="20">
        <f>AA109-U109</f>
        <v/>
      </c>
      <c r="AC109" s="20" t="inlineStr">
        <is>
          <t>No</t>
        </is>
      </c>
      <c r="AD109" s="21" t="inlineStr">
        <is>
          <t>1 HBL</t>
        </is>
      </c>
      <c r="AE109" s="21" t="n"/>
      <c r="AF109" s="22" t="inlineStr">
        <is>
          <t>LW</t>
        </is>
      </c>
      <c r="AG109" s="23" t="inlineStr">
        <is>
          <t>NAC</t>
        </is>
      </c>
      <c r="AH109" s="24" t="n"/>
      <c r="AN109" s="24" t="n"/>
    </row>
    <row r="110" ht="12.75" customHeight="1">
      <c r="A110" s="15" t="n">
        <v>3254506</v>
      </c>
      <c r="B110" s="15" t="inlineStr">
        <is>
          <t>Flexport</t>
        </is>
      </c>
      <c r="C110" s="15" t="inlineStr">
        <is>
          <t>Colombo, LK</t>
        </is>
      </c>
      <c r="D110" s="15" t="inlineStr">
        <is>
          <t>New York, NY, US</t>
        </is>
      </c>
      <c r="E110" s="15" t="inlineStr">
        <is>
          <t>Mississauga, ON, CA</t>
        </is>
      </c>
      <c r="F110" s="15" t="inlineStr">
        <is>
          <t>OCEAN</t>
        </is>
      </c>
      <c r="G110" s="15" t="inlineStr">
        <is>
          <t>C. 1 x 40HC</t>
        </is>
      </c>
      <c r="H110" s="15" t="inlineStr">
        <is>
          <t>CFS/CY</t>
        </is>
      </c>
      <c r="I110" s="15" t="inlineStr">
        <is>
          <t>ONE</t>
        </is>
      </c>
      <c r="J110" s="15" t="inlineStr">
        <is>
          <t>EC3</t>
        </is>
      </c>
      <c r="K110" s="15" t="inlineStr">
        <is>
          <t>Bodyline Trading (Private) Limited</t>
        </is>
      </c>
      <c r="L110" s="16" t="inlineStr">
        <is>
          <t>Bodyline (Private) Limited</t>
        </is>
      </c>
      <c r="M110" s="15" t="inlineStr">
        <is>
          <t>N</t>
        </is>
      </c>
      <c r="N110" s="17" t="n">
        <v>452765721497</v>
      </c>
      <c r="O110" s="15" t="n">
        <v>19878489</v>
      </c>
      <c r="P110" s="18" t="inlineStr">
        <is>
          <t>LW9DTZS</t>
        </is>
      </c>
      <c r="Q110" s="18" t="n">
        <v>3</v>
      </c>
      <c r="R110" s="18" t="n">
        <v>0.132</v>
      </c>
      <c r="S110" s="15" t="n">
        <v>13.285</v>
      </c>
      <c r="T110" s="16" t="n">
        <v>45824</v>
      </c>
      <c r="U110" s="19" t="n">
        <v>45883</v>
      </c>
      <c r="V110" s="16" t="n">
        <v>45824</v>
      </c>
      <c r="W110" s="16" t="n">
        <v>45826</v>
      </c>
      <c r="X110" s="57">
        <f>W110-1</f>
        <v/>
      </c>
      <c r="Y110" s="63" t="n">
        <v>45832</v>
      </c>
      <c r="Z110" s="67" t="n">
        <v>45861</v>
      </c>
      <c r="AA110" s="71">
        <f>Z110+13</f>
        <v/>
      </c>
      <c r="AB110" s="20">
        <f>AA110-U110</f>
        <v/>
      </c>
      <c r="AC110" s="20" t="inlineStr">
        <is>
          <t>No</t>
        </is>
      </c>
      <c r="AD110" s="21" t="inlineStr">
        <is>
          <t>1 HBL</t>
        </is>
      </c>
      <c r="AE110" s="21" t="n"/>
      <c r="AF110" s="22" t="inlineStr">
        <is>
          <t>LW</t>
        </is>
      </c>
      <c r="AG110" s="23" t="inlineStr">
        <is>
          <t>NAC</t>
        </is>
      </c>
      <c r="AH110" s="24" t="n"/>
      <c r="AN110" s="24" t="n"/>
    </row>
    <row r="111" ht="12.75" customHeight="1">
      <c r="A111" s="15" t="n">
        <v>3254506</v>
      </c>
      <c r="B111" s="15" t="inlineStr">
        <is>
          <t>Flexport</t>
        </is>
      </c>
      <c r="C111" s="15" t="inlineStr">
        <is>
          <t>Colombo, LK</t>
        </is>
      </c>
      <c r="D111" s="15" t="inlineStr">
        <is>
          <t>New York, NY, US</t>
        </is>
      </c>
      <c r="E111" s="15" t="inlineStr">
        <is>
          <t>Mississauga, ON, CA</t>
        </is>
      </c>
      <c r="F111" s="15" t="inlineStr">
        <is>
          <t>OCEAN</t>
        </is>
      </c>
      <c r="G111" s="15" t="inlineStr">
        <is>
          <t>C. 1 x 40HC</t>
        </is>
      </c>
      <c r="H111" s="15" t="inlineStr">
        <is>
          <t>CFS/CY</t>
        </is>
      </c>
      <c r="I111" s="15" t="inlineStr">
        <is>
          <t>ONE</t>
        </is>
      </c>
      <c r="J111" s="15" t="inlineStr">
        <is>
          <t>EC3</t>
        </is>
      </c>
      <c r="K111" s="15" t="inlineStr">
        <is>
          <t>Bodyline Trading (Private) Limited</t>
        </is>
      </c>
      <c r="L111" s="16" t="inlineStr">
        <is>
          <t>Bodyline (Private) Limited</t>
        </is>
      </c>
      <c r="M111" s="15" t="inlineStr">
        <is>
          <t>N</t>
        </is>
      </c>
      <c r="N111" s="17" t="n">
        <v>452765724226</v>
      </c>
      <c r="O111" s="15" t="n">
        <v>19877496</v>
      </c>
      <c r="P111" s="18" t="inlineStr">
        <is>
          <t>LW9DC4S</t>
        </is>
      </c>
      <c r="Q111" s="18" t="n">
        <v>2</v>
      </c>
      <c r="R111" s="18" t="n">
        <v>0.08799999999999999</v>
      </c>
      <c r="S111" s="15" t="n">
        <v>8.481</v>
      </c>
      <c r="T111" s="16" t="n">
        <v>45824</v>
      </c>
      <c r="U111" s="19" t="n">
        <v>45883</v>
      </c>
      <c r="V111" s="16" t="n">
        <v>45824</v>
      </c>
      <c r="W111" s="16" t="n">
        <v>45826</v>
      </c>
      <c r="X111" s="57">
        <f>W111-1</f>
        <v/>
      </c>
      <c r="Y111" s="63" t="n">
        <v>45832</v>
      </c>
      <c r="Z111" s="67" t="n">
        <v>45861</v>
      </c>
      <c r="AA111" s="71">
        <f>Z111+13</f>
        <v/>
      </c>
      <c r="AB111" s="20">
        <f>AA111-U111</f>
        <v/>
      </c>
      <c r="AC111" s="20" t="inlineStr">
        <is>
          <t>No</t>
        </is>
      </c>
      <c r="AD111" s="21" t="inlineStr">
        <is>
          <t>1 HBL</t>
        </is>
      </c>
      <c r="AE111" s="21" t="n"/>
      <c r="AF111" s="22" t="inlineStr">
        <is>
          <t>LW</t>
        </is>
      </c>
      <c r="AG111" s="23" t="inlineStr">
        <is>
          <t>NAC</t>
        </is>
      </c>
      <c r="AH111" s="24" t="n"/>
      <c r="AN111" s="24" t="n"/>
    </row>
    <row r="112" ht="12.75" customHeight="1">
      <c r="A112" s="15" t="n">
        <v>3254506</v>
      </c>
      <c r="B112" s="15" t="inlineStr">
        <is>
          <t>Flexport</t>
        </is>
      </c>
      <c r="C112" s="15" t="inlineStr">
        <is>
          <t>Colombo, LK</t>
        </is>
      </c>
      <c r="D112" s="15" t="inlineStr">
        <is>
          <t>New York, NY, US</t>
        </is>
      </c>
      <c r="E112" s="15" t="inlineStr">
        <is>
          <t>Mississauga, ON, CA</t>
        </is>
      </c>
      <c r="F112" s="15" t="inlineStr">
        <is>
          <t>OCEAN</t>
        </is>
      </c>
      <c r="G112" s="15" t="inlineStr">
        <is>
          <t>C. 1 x 40HC</t>
        </is>
      </c>
      <c r="H112" s="15" t="inlineStr">
        <is>
          <t>CFS/CY</t>
        </is>
      </c>
      <c r="I112" s="15" t="inlineStr">
        <is>
          <t>ONE</t>
        </is>
      </c>
      <c r="J112" s="15" t="inlineStr">
        <is>
          <t>EC3</t>
        </is>
      </c>
      <c r="K112" s="15" t="inlineStr">
        <is>
          <t>Bodyline Trading (Private) Limited</t>
        </is>
      </c>
      <c r="L112" s="16" t="inlineStr">
        <is>
          <t>Bodyline (Private) Limited</t>
        </is>
      </c>
      <c r="M112" s="15" t="inlineStr">
        <is>
          <t>N</t>
        </is>
      </c>
      <c r="N112" s="17" t="n">
        <v>452773631837</v>
      </c>
      <c r="O112" s="15" t="n">
        <v>19878318</v>
      </c>
      <c r="P112" s="18" t="inlineStr">
        <is>
          <t>LW9DCLS</t>
        </is>
      </c>
      <c r="Q112" s="18" t="n">
        <v>2</v>
      </c>
      <c r="R112" s="18" t="n">
        <v>0.08799999999999999</v>
      </c>
      <c r="S112" s="15" t="n">
        <v>14.053</v>
      </c>
      <c r="T112" s="16" t="n">
        <v>45824</v>
      </c>
      <c r="U112" s="19" t="n">
        <v>45883</v>
      </c>
      <c r="V112" s="16" t="n">
        <v>45824</v>
      </c>
      <c r="W112" s="16" t="n">
        <v>45826</v>
      </c>
      <c r="X112" s="57">
        <f>W112-1</f>
        <v/>
      </c>
      <c r="Y112" s="63" t="n">
        <v>45832</v>
      </c>
      <c r="Z112" s="67" t="n">
        <v>45861</v>
      </c>
      <c r="AA112" s="71">
        <f>Z112+13</f>
        <v/>
      </c>
      <c r="AB112" s="20">
        <f>AA112-U112</f>
        <v/>
      </c>
      <c r="AC112" s="20" t="inlineStr">
        <is>
          <t>No</t>
        </is>
      </c>
      <c r="AD112" s="21" t="inlineStr">
        <is>
          <t>1 HBL</t>
        </is>
      </c>
      <c r="AE112" s="21" t="n"/>
      <c r="AF112" s="22" t="inlineStr">
        <is>
          <t>LW</t>
        </is>
      </c>
      <c r="AG112" s="23" t="inlineStr">
        <is>
          <t>NAC</t>
        </is>
      </c>
      <c r="AH112" s="24" t="n"/>
      <c r="AN112" s="24" t="n"/>
    </row>
    <row r="113" ht="12.75" customHeight="1">
      <c r="A113" s="15" t="n">
        <v>3254506</v>
      </c>
      <c r="B113" s="15" t="inlineStr">
        <is>
          <t>Flexport</t>
        </is>
      </c>
      <c r="C113" s="15" t="inlineStr">
        <is>
          <t>Colombo, LK</t>
        </is>
      </c>
      <c r="D113" s="15" t="inlineStr">
        <is>
          <t>New York, NY, US</t>
        </is>
      </c>
      <c r="E113" s="15" t="inlineStr">
        <is>
          <t>Mississauga, ON, CA</t>
        </is>
      </c>
      <c r="F113" s="15" t="inlineStr">
        <is>
          <t>OCEAN</t>
        </is>
      </c>
      <c r="G113" s="15" t="inlineStr">
        <is>
          <t>C. 1 x 40HC</t>
        </is>
      </c>
      <c r="H113" s="15" t="inlineStr">
        <is>
          <t>CFS/CY</t>
        </is>
      </c>
      <c r="I113" s="15" t="inlineStr">
        <is>
          <t>ONE</t>
        </is>
      </c>
      <c r="J113" s="15" t="inlineStr">
        <is>
          <t>EC3</t>
        </is>
      </c>
      <c r="K113" s="15" t="inlineStr">
        <is>
          <t>Bodyline Trading (Private) Limited</t>
        </is>
      </c>
      <c r="L113" s="16" t="inlineStr">
        <is>
          <t>Bodyline (Private) Limited</t>
        </is>
      </c>
      <c r="M113" s="15" t="inlineStr">
        <is>
          <t>N</t>
        </is>
      </c>
      <c r="N113" s="17" t="n">
        <v>452774647331</v>
      </c>
      <c r="O113" s="15" t="n">
        <v>19877661</v>
      </c>
      <c r="P113" s="18" t="inlineStr">
        <is>
          <t>LW9DE9S</t>
        </is>
      </c>
      <c r="Q113" s="18" t="n">
        <v>4</v>
      </c>
      <c r="R113" s="18" t="n">
        <v>0.176</v>
      </c>
      <c r="S113" s="15" t="n">
        <v>12.536</v>
      </c>
      <c r="T113" s="16" t="n">
        <v>45824</v>
      </c>
      <c r="U113" s="19" t="n">
        <v>45883</v>
      </c>
      <c r="V113" s="16" t="n">
        <v>45824</v>
      </c>
      <c r="W113" s="16" t="n">
        <v>45826</v>
      </c>
      <c r="X113" s="57">
        <f>W113-1</f>
        <v/>
      </c>
      <c r="Y113" s="63" t="n">
        <v>45832</v>
      </c>
      <c r="Z113" s="67" t="n">
        <v>45861</v>
      </c>
      <c r="AA113" s="71">
        <f>Z113+13</f>
        <v/>
      </c>
      <c r="AB113" s="20">
        <f>AA113-U113</f>
        <v/>
      </c>
      <c r="AC113" s="20" t="inlineStr">
        <is>
          <t>No</t>
        </is>
      </c>
      <c r="AD113" s="21" t="inlineStr">
        <is>
          <t>1 HBL</t>
        </is>
      </c>
      <c r="AE113" s="21" t="n"/>
      <c r="AF113" s="22" t="inlineStr">
        <is>
          <t>LW</t>
        </is>
      </c>
      <c r="AG113" s="23" t="inlineStr">
        <is>
          <t>NAC</t>
        </is>
      </c>
      <c r="AH113" s="24" t="n"/>
      <c r="AN113" s="24" t="n"/>
    </row>
    <row r="114" ht="12.75" customHeight="1">
      <c r="A114" s="15" t="n">
        <v>3254506</v>
      </c>
      <c r="B114" s="15" t="inlineStr">
        <is>
          <t>Flexport</t>
        </is>
      </c>
      <c r="C114" s="15" t="inlineStr">
        <is>
          <t>Colombo, LK</t>
        </is>
      </c>
      <c r="D114" s="15" t="inlineStr">
        <is>
          <t>New York, NY, US</t>
        </is>
      </c>
      <c r="E114" s="15" t="inlineStr">
        <is>
          <t>Mississauga, ON, CA</t>
        </is>
      </c>
      <c r="F114" s="15" t="inlineStr">
        <is>
          <t>OCEAN</t>
        </is>
      </c>
      <c r="G114" s="15" t="inlineStr">
        <is>
          <t>C. 1 x 40HC</t>
        </is>
      </c>
      <c r="H114" s="15" t="inlineStr">
        <is>
          <t>CFS/CY</t>
        </is>
      </c>
      <c r="I114" s="15" t="inlineStr">
        <is>
          <t>ONE</t>
        </is>
      </c>
      <c r="J114" s="15" t="inlineStr">
        <is>
          <t>EC3</t>
        </is>
      </c>
      <c r="K114" s="15" t="inlineStr">
        <is>
          <t>Bodyline Trading (Private) Limited</t>
        </is>
      </c>
      <c r="L114" s="16" t="inlineStr">
        <is>
          <t>Bodyline (Private) Limited</t>
        </is>
      </c>
      <c r="M114" s="15" t="inlineStr">
        <is>
          <t>N</t>
        </is>
      </c>
      <c r="N114" s="17" t="n">
        <v>452775881517</v>
      </c>
      <c r="O114" s="15" t="n">
        <v>19878367</v>
      </c>
      <c r="P114" s="18" t="inlineStr">
        <is>
          <t>LW9DE9S</t>
        </is>
      </c>
      <c r="Q114" s="18" t="n">
        <v>6</v>
      </c>
      <c r="R114" s="18" t="n">
        <v>0.264</v>
      </c>
      <c r="S114" s="15" t="n">
        <v>21.001</v>
      </c>
      <c r="T114" s="16" t="n">
        <v>45824</v>
      </c>
      <c r="U114" s="19" t="n">
        <v>45883</v>
      </c>
      <c r="V114" s="16" t="n">
        <v>45824</v>
      </c>
      <c r="W114" s="16" t="n">
        <v>45826</v>
      </c>
      <c r="X114" s="57">
        <f>W114-1</f>
        <v/>
      </c>
      <c r="Y114" s="63" t="n">
        <v>45832</v>
      </c>
      <c r="Z114" s="67" t="n">
        <v>45861</v>
      </c>
      <c r="AA114" s="71">
        <f>Z114+13</f>
        <v/>
      </c>
      <c r="AB114" s="20">
        <f>AA114-U114</f>
        <v/>
      </c>
      <c r="AC114" s="20" t="inlineStr">
        <is>
          <t>No</t>
        </is>
      </c>
      <c r="AD114" s="21" t="inlineStr">
        <is>
          <t>1 HBL</t>
        </is>
      </c>
      <c r="AE114" s="21" t="n"/>
      <c r="AF114" s="22" t="inlineStr">
        <is>
          <t>LW</t>
        </is>
      </c>
      <c r="AG114" s="23" t="inlineStr">
        <is>
          <t>NAC</t>
        </is>
      </c>
      <c r="AH114" s="24" t="n"/>
      <c r="AN114" s="24" t="n"/>
    </row>
    <row r="115" ht="12.75" customHeight="1">
      <c r="A115" s="15" t="n">
        <v>3254506</v>
      </c>
      <c r="B115" s="15" t="inlineStr">
        <is>
          <t>Flexport</t>
        </is>
      </c>
      <c r="C115" s="15" t="inlineStr">
        <is>
          <t>Colombo, LK</t>
        </is>
      </c>
      <c r="D115" s="15" t="inlineStr">
        <is>
          <t>New York, NY, US</t>
        </is>
      </c>
      <c r="E115" s="15" t="inlineStr">
        <is>
          <t>Mississauga, ON, CA</t>
        </is>
      </c>
      <c r="F115" s="15" t="inlineStr">
        <is>
          <t>OCEAN</t>
        </is>
      </c>
      <c r="G115" s="15" t="inlineStr">
        <is>
          <t>C. 1 x 40HC</t>
        </is>
      </c>
      <c r="H115" s="15" t="inlineStr">
        <is>
          <t>CFS/CY</t>
        </is>
      </c>
      <c r="I115" s="15" t="inlineStr">
        <is>
          <t>ONE</t>
        </is>
      </c>
      <c r="J115" s="15" t="inlineStr">
        <is>
          <t>EC3</t>
        </is>
      </c>
      <c r="K115" s="15" t="inlineStr">
        <is>
          <t>Bodyline Trading (Private) Limited</t>
        </is>
      </c>
      <c r="L115" s="16" t="inlineStr">
        <is>
          <t>Bodyline (Private) Limited</t>
        </is>
      </c>
      <c r="M115" s="15" t="inlineStr">
        <is>
          <t>N</t>
        </is>
      </c>
      <c r="N115" s="17" t="n">
        <v>452776356218</v>
      </c>
      <c r="O115" s="15" t="n">
        <v>19877671</v>
      </c>
      <c r="P115" s="18" t="inlineStr">
        <is>
          <t>LW9DEAS</t>
        </is>
      </c>
      <c r="Q115" s="18" t="n">
        <v>4</v>
      </c>
      <c r="R115" s="18" t="n">
        <v>0.176</v>
      </c>
      <c r="S115" s="15" t="n">
        <v>12.264</v>
      </c>
      <c r="T115" s="16" t="n">
        <v>45824</v>
      </c>
      <c r="U115" s="19" t="n">
        <v>45883</v>
      </c>
      <c r="V115" s="16" t="n">
        <v>45824</v>
      </c>
      <c r="W115" s="16" t="n">
        <v>45826</v>
      </c>
      <c r="X115" s="57">
        <f>W115-1</f>
        <v/>
      </c>
      <c r="Y115" s="63" t="n">
        <v>45832</v>
      </c>
      <c r="Z115" s="67" t="n">
        <v>45861</v>
      </c>
      <c r="AA115" s="71">
        <f>Z115+13</f>
        <v/>
      </c>
      <c r="AB115" s="20">
        <f>AA115-U115</f>
        <v/>
      </c>
      <c r="AC115" s="20" t="inlineStr">
        <is>
          <t>No</t>
        </is>
      </c>
      <c r="AD115" s="21" t="inlineStr">
        <is>
          <t>1 HBL</t>
        </is>
      </c>
      <c r="AE115" s="21" t="n"/>
      <c r="AF115" s="22" t="inlineStr">
        <is>
          <t>LW</t>
        </is>
      </c>
      <c r="AG115" s="23" t="inlineStr">
        <is>
          <t>NAC</t>
        </is>
      </c>
      <c r="AH115" s="24" t="n"/>
      <c r="AN115" s="24" t="n"/>
    </row>
    <row r="116" ht="12.75" customHeight="1">
      <c r="A116" s="15" t="n">
        <v>3254506</v>
      </c>
      <c r="B116" s="15" t="inlineStr">
        <is>
          <t>Flexport</t>
        </is>
      </c>
      <c r="C116" s="15" t="inlineStr">
        <is>
          <t>Colombo, LK</t>
        </is>
      </c>
      <c r="D116" s="15" t="inlineStr">
        <is>
          <t>New York, NY, US</t>
        </is>
      </c>
      <c r="E116" s="15" t="inlineStr">
        <is>
          <t>Mississauga, ON, CA</t>
        </is>
      </c>
      <c r="F116" s="15" t="inlineStr">
        <is>
          <t>OCEAN</t>
        </is>
      </c>
      <c r="G116" s="15" t="inlineStr">
        <is>
          <t>C. 1 x 40HC</t>
        </is>
      </c>
      <c r="H116" s="15" t="inlineStr">
        <is>
          <t>CFS/CY</t>
        </is>
      </c>
      <c r="I116" s="15" t="inlineStr">
        <is>
          <t>ONE</t>
        </is>
      </c>
      <c r="J116" s="15" t="inlineStr">
        <is>
          <t>EC3</t>
        </is>
      </c>
      <c r="K116" s="15" t="inlineStr">
        <is>
          <t>Bodyline Trading (Private) Limited</t>
        </is>
      </c>
      <c r="L116" s="16" t="inlineStr">
        <is>
          <t>Bodyline (Private) Limited</t>
        </is>
      </c>
      <c r="M116" s="15" t="inlineStr">
        <is>
          <t>N</t>
        </is>
      </c>
      <c r="N116" s="17" t="n">
        <v>452777186932</v>
      </c>
      <c r="O116" s="15" t="n">
        <v>19877689</v>
      </c>
      <c r="P116" s="18" t="inlineStr">
        <is>
          <t>LW9DEKS</t>
        </is>
      </c>
      <c r="Q116" s="18" t="n">
        <v>4</v>
      </c>
      <c r="R116" s="18" t="n">
        <v>0.176</v>
      </c>
      <c r="S116" s="15" t="n">
        <v>17.351</v>
      </c>
      <c r="T116" s="16" t="n">
        <v>45824</v>
      </c>
      <c r="U116" s="19" t="n">
        <v>45883</v>
      </c>
      <c r="V116" s="16" t="n">
        <v>45824</v>
      </c>
      <c r="W116" s="16" t="n">
        <v>45826</v>
      </c>
      <c r="X116" s="57">
        <f>W116-1</f>
        <v/>
      </c>
      <c r="Y116" s="63" t="n">
        <v>45832</v>
      </c>
      <c r="Z116" s="67" t="n">
        <v>45861</v>
      </c>
      <c r="AA116" s="71">
        <f>Z116+13</f>
        <v/>
      </c>
      <c r="AB116" s="20">
        <f>AA116-U116</f>
        <v/>
      </c>
      <c r="AC116" s="20" t="inlineStr">
        <is>
          <t>No</t>
        </is>
      </c>
      <c r="AD116" s="21" t="inlineStr">
        <is>
          <t>1 HBL</t>
        </is>
      </c>
      <c r="AE116" s="21" t="n"/>
      <c r="AF116" s="22" t="inlineStr">
        <is>
          <t>LW</t>
        </is>
      </c>
      <c r="AG116" s="23" t="inlineStr">
        <is>
          <t>NAC</t>
        </is>
      </c>
      <c r="AH116" s="24" t="n"/>
      <c r="AN116" s="24" t="n"/>
    </row>
    <row r="117" ht="12.75" customHeight="1">
      <c r="A117" s="15" t="n">
        <v>3254506</v>
      </c>
      <c r="B117" s="15" t="inlineStr">
        <is>
          <t>Flexport</t>
        </is>
      </c>
      <c r="C117" s="15" t="inlineStr">
        <is>
          <t>Colombo, LK</t>
        </is>
      </c>
      <c r="D117" s="15" t="inlineStr">
        <is>
          <t>New York, NY, US</t>
        </is>
      </c>
      <c r="E117" s="15" t="inlineStr">
        <is>
          <t>Mississauga, ON, CA</t>
        </is>
      </c>
      <c r="F117" s="15" t="inlineStr">
        <is>
          <t>OCEAN</t>
        </is>
      </c>
      <c r="G117" s="15" t="inlineStr">
        <is>
          <t>C. 1 x 40HC</t>
        </is>
      </c>
      <c r="H117" s="15" t="inlineStr">
        <is>
          <t>CFS/CY</t>
        </is>
      </c>
      <c r="I117" s="15" t="inlineStr">
        <is>
          <t>ONE</t>
        </is>
      </c>
      <c r="J117" s="15" t="inlineStr">
        <is>
          <t>EC3</t>
        </is>
      </c>
      <c r="K117" s="15" t="inlineStr">
        <is>
          <t>Bodyline Trading (Private) Limited</t>
        </is>
      </c>
      <c r="L117" s="16" t="inlineStr">
        <is>
          <t>Bodyline (Private) Limited</t>
        </is>
      </c>
      <c r="M117" s="15" t="inlineStr">
        <is>
          <t>N</t>
        </is>
      </c>
      <c r="N117" s="17" t="n">
        <v>452778136068</v>
      </c>
      <c r="O117" s="15" t="n">
        <v>19878403</v>
      </c>
      <c r="P117" s="18" t="inlineStr">
        <is>
          <t>LW9DEKS</t>
        </is>
      </c>
      <c r="Q117" s="18" t="n">
        <v>6</v>
      </c>
      <c r="R117" s="18" t="n">
        <v>0.264</v>
      </c>
      <c r="S117" s="15" t="n">
        <v>29.095</v>
      </c>
      <c r="T117" s="16" t="n">
        <v>45824</v>
      </c>
      <c r="U117" s="19" t="n">
        <v>45883</v>
      </c>
      <c r="V117" s="16" t="n">
        <v>45824</v>
      </c>
      <c r="W117" s="16" t="n">
        <v>45826</v>
      </c>
      <c r="X117" s="57">
        <f>W117-1</f>
        <v/>
      </c>
      <c r="Y117" s="63" t="n">
        <v>45832</v>
      </c>
      <c r="Z117" s="67" t="n">
        <v>45861</v>
      </c>
      <c r="AA117" s="71">
        <f>Z117+13</f>
        <v/>
      </c>
      <c r="AB117" s="20">
        <f>AA117-U117</f>
        <v/>
      </c>
      <c r="AC117" s="20" t="inlineStr">
        <is>
          <t>No</t>
        </is>
      </c>
      <c r="AD117" s="21" t="inlineStr">
        <is>
          <t>1 HBL</t>
        </is>
      </c>
      <c r="AE117" s="21" t="n"/>
      <c r="AF117" s="22" t="inlineStr">
        <is>
          <t>LW</t>
        </is>
      </c>
      <c r="AG117" s="23" t="inlineStr">
        <is>
          <t>NAC</t>
        </is>
      </c>
      <c r="AH117" s="24" t="n"/>
      <c r="AN117" s="24" t="n"/>
    </row>
    <row r="118" ht="12.75" customHeight="1">
      <c r="A118" s="15" t="n">
        <v>3254506</v>
      </c>
      <c r="B118" s="15" t="inlineStr">
        <is>
          <t>Flexport</t>
        </is>
      </c>
      <c r="C118" s="15" t="inlineStr">
        <is>
          <t>Colombo, LK</t>
        </is>
      </c>
      <c r="D118" s="15" t="inlineStr">
        <is>
          <t>New York, NY, US</t>
        </is>
      </c>
      <c r="E118" s="15" t="inlineStr">
        <is>
          <t>Mississauga, ON, CA</t>
        </is>
      </c>
      <c r="F118" s="15" t="inlineStr">
        <is>
          <t>OCEAN</t>
        </is>
      </c>
      <c r="G118" s="15" t="inlineStr">
        <is>
          <t>C. 1 x 40HC</t>
        </is>
      </c>
      <c r="H118" s="15" t="inlineStr">
        <is>
          <t>CFS/CY</t>
        </is>
      </c>
      <c r="I118" s="15" t="inlineStr">
        <is>
          <t>ONE</t>
        </is>
      </c>
      <c r="J118" s="15" t="inlineStr">
        <is>
          <t>EC3</t>
        </is>
      </c>
      <c r="K118" s="15" t="inlineStr">
        <is>
          <t>Bodyline Trading (Private) Limited</t>
        </is>
      </c>
      <c r="L118" s="16" t="inlineStr">
        <is>
          <t>Bodyline (Private) Limited</t>
        </is>
      </c>
      <c r="M118" s="15" t="inlineStr">
        <is>
          <t>N</t>
        </is>
      </c>
      <c r="N118" s="17" t="n">
        <v>452778356716</v>
      </c>
      <c r="O118" s="15" t="n">
        <v>19878421</v>
      </c>
      <c r="P118" s="18" t="inlineStr">
        <is>
          <t>LW9DEOS</t>
        </is>
      </c>
      <c r="Q118" s="18" t="n">
        <v>7</v>
      </c>
      <c r="R118" s="18" t="n">
        <v>0.307</v>
      </c>
      <c r="S118" s="15" t="n">
        <v>38.019</v>
      </c>
      <c r="T118" s="16" t="n">
        <v>45824</v>
      </c>
      <c r="U118" s="19" t="n">
        <v>45883</v>
      </c>
      <c r="V118" s="16" t="n">
        <v>45824</v>
      </c>
      <c r="W118" s="16" t="n">
        <v>45826</v>
      </c>
      <c r="X118" s="57">
        <f>W118-1</f>
        <v/>
      </c>
      <c r="Y118" s="63" t="n">
        <v>45832</v>
      </c>
      <c r="Z118" s="67" t="n">
        <v>45861</v>
      </c>
      <c r="AA118" s="71">
        <f>Z118+13</f>
        <v/>
      </c>
      <c r="AB118" s="20">
        <f>AA118-U118</f>
        <v/>
      </c>
      <c r="AC118" s="20" t="inlineStr">
        <is>
          <t>No</t>
        </is>
      </c>
      <c r="AD118" s="21" t="inlineStr">
        <is>
          <t>1 HBL</t>
        </is>
      </c>
      <c r="AE118" s="21" t="n"/>
      <c r="AF118" s="22" t="inlineStr">
        <is>
          <t>LW</t>
        </is>
      </c>
      <c r="AG118" s="23" t="inlineStr">
        <is>
          <t>NAC</t>
        </is>
      </c>
      <c r="AH118" s="24" t="n"/>
      <c r="AN118" s="24" t="n"/>
    </row>
    <row r="119" ht="12.75" customHeight="1">
      <c r="A119" s="15" t="n">
        <v>3254506</v>
      </c>
      <c r="B119" s="15" t="inlineStr">
        <is>
          <t>Flexport</t>
        </is>
      </c>
      <c r="C119" s="15" t="inlineStr">
        <is>
          <t>Colombo, LK</t>
        </is>
      </c>
      <c r="D119" s="15" t="inlineStr">
        <is>
          <t>New York, NY, US</t>
        </is>
      </c>
      <c r="E119" s="15" t="inlineStr">
        <is>
          <t>Mississauga, ON, CA</t>
        </is>
      </c>
      <c r="F119" s="15" t="inlineStr">
        <is>
          <t>OCEAN</t>
        </is>
      </c>
      <c r="G119" s="15" t="inlineStr">
        <is>
          <t>C. 1 x 40HC</t>
        </is>
      </c>
      <c r="H119" s="15" t="inlineStr">
        <is>
          <t>CFS/CY</t>
        </is>
      </c>
      <c r="I119" s="15" t="inlineStr">
        <is>
          <t>ONE</t>
        </is>
      </c>
      <c r="J119" s="15" t="inlineStr">
        <is>
          <t>EC3</t>
        </is>
      </c>
      <c r="K119" s="15" t="inlineStr">
        <is>
          <t>Bodyline Trading (Private) Limited</t>
        </is>
      </c>
      <c r="L119" s="16" t="inlineStr">
        <is>
          <t>Bodyline (Private) Limited</t>
        </is>
      </c>
      <c r="M119" s="15" t="inlineStr">
        <is>
          <t>N</t>
        </is>
      </c>
      <c r="N119" s="17" t="n">
        <v>452778857948</v>
      </c>
      <c r="O119" s="15" t="n">
        <v>19877709</v>
      </c>
      <c r="P119" s="18" t="inlineStr">
        <is>
          <t>LW9DEOS</t>
        </is>
      </c>
      <c r="Q119" s="18" t="n">
        <v>4</v>
      </c>
      <c r="R119" s="18" t="n">
        <v>0.176</v>
      </c>
      <c r="S119" s="15" t="n">
        <v>21.761</v>
      </c>
      <c r="T119" s="16" t="n">
        <v>45824</v>
      </c>
      <c r="U119" s="19" t="n">
        <v>45883</v>
      </c>
      <c r="V119" s="16" t="n">
        <v>45824</v>
      </c>
      <c r="W119" s="16" t="n">
        <v>45826</v>
      </c>
      <c r="X119" s="57">
        <f>W119-1</f>
        <v/>
      </c>
      <c r="Y119" s="63" t="n">
        <v>45832</v>
      </c>
      <c r="Z119" s="67" t="n">
        <v>45861</v>
      </c>
      <c r="AA119" s="71">
        <f>Z119+13</f>
        <v/>
      </c>
      <c r="AB119" s="20">
        <f>AA119-U119</f>
        <v/>
      </c>
      <c r="AC119" s="20" t="inlineStr">
        <is>
          <t>No</t>
        </is>
      </c>
      <c r="AD119" s="21" t="inlineStr">
        <is>
          <t>1 HBL</t>
        </is>
      </c>
      <c r="AE119" s="21" t="n"/>
      <c r="AF119" s="22" t="inlineStr">
        <is>
          <t>LW</t>
        </is>
      </c>
      <c r="AG119" s="23" t="inlineStr">
        <is>
          <t>NAC</t>
        </is>
      </c>
      <c r="AH119" s="24" t="n"/>
      <c r="AN119" s="24" t="n"/>
    </row>
    <row r="120" ht="12.75" customHeight="1">
      <c r="A120" s="15" t="n">
        <v>3254506</v>
      </c>
      <c r="B120" s="15" t="inlineStr">
        <is>
          <t>Flexport</t>
        </is>
      </c>
      <c r="C120" s="15" t="inlineStr">
        <is>
          <t>Colombo, LK</t>
        </is>
      </c>
      <c r="D120" s="15" t="inlineStr">
        <is>
          <t>New York, NY, US</t>
        </is>
      </c>
      <c r="E120" s="15" t="inlineStr">
        <is>
          <t>Mississauga, ON, CA</t>
        </is>
      </c>
      <c r="F120" s="15" t="inlineStr">
        <is>
          <t>OCEAN</t>
        </is>
      </c>
      <c r="G120" s="15" t="inlineStr">
        <is>
          <t>C. 1 x 40HC</t>
        </is>
      </c>
      <c r="H120" s="15" t="inlineStr">
        <is>
          <t>CFS/CY</t>
        </is>
      </c>
      <c r="I120" s="15" t="inlineStr">
        <is>
          <t>ONE</t>
        </is>
      </c>
      <c r="J120" s="15" t="inlineStr">
        <is>
          <t>EC3</t>
        </is>
      </c>
      <c r="K120" s="15" t="inlineStr">
        <is>
          <t>Bodyline Trading (Private) Limited</t>
        </is>
      </c>
      <c r="L120" s="16" t="inlineStr">
        <is>
          <t>Bodyline (Private) Limited</t>
        </is>
      </c>
      <c r="M120" s="15" t="inlineStr">
        <is>
          <t>N</t>
        </is>
      </c>
      <c r="N120" s="17" t="n">
        <v>452782663921</v>
      </c>
      <c r="O120" s="15" t="n">
        <v>19843755</v>
      </c>
      <c r="P120" s="18" t="inlineStr">
        <is>
          <t>LW1FM7S</t>
        </is>
      </c>
      <c r="Q120" s="18" t="n">
        <v>4</v>
      </c>
      <c r="R120" s="18" t="n">
        <v>0.176</v>
      </c>
      <c r="S120" s="15" t="n">
        <v>19.554</v>
      </c>
      <c r="T120" s="16" t="n">
        <v>45824</v>
      </c>
      <c r="U120" s="19" t="n">
        <v>45883</v>
      </c>
      <c r="V120" s="16" t="n">
        <v>45824</v>
      </c>
      <c r="W120" s="16" t="n">
        <v>45826</v>
      </c>
      <c r="X120" s="57">
        <f>W120-1</f>
        <v/>
      </c>
      <c r="Y120" s="63" t="n">
        <v>45832</v>
      </c>
      <c r="Z120" s="67" t="n">
        <v>45861</v>
      </c>
      <c r="AA120" s="71">
        <f>Z120+13</f>
        <v/>
      </c>
      <c r="AB120" s="20">
        <f>AA120-U120</f>
        <v/>
      </c>
      <c r="AC120" s="20" t="inlineStr">
        <is>
          <t>No</t>
        </is>
      </c>
      <c r="AD120" s="21" t="inlineStr">
        <is>
          <t>1 HBL</t>
        </is>
      </c>
      <c r="AE120" s="21" t="n"/>
      <c r="AF120" s="22" t="inlineStr">
        <is>
          <t>LW</t>
        </is>
      </c>
      <c r="AG120" s="23" t="inlineStr">
        <is>
          <t>NAC</t>
        </is>
      </c>
      <c r="AH120" s="24" t="n"/>
      <c r="AN120" s="24" t="n"/>
    </row>
    <row r="121" ht="12.75" customHeight="1">
      <c r="A121" s="15" t="n">
        <v>3254506</v>
      </c>
      <c r="B121" s="15" t="inlineStr">
        <is>
          <t>Flexport</t>
        </is>
      </c>
      <c r="C121" s="15" t="inlineStr">
        <is>
          <t>Colombo, LK</t>
        </is>
      </c>
      <c r="D121" s="15" t="inlineStr">
        <is>
          <t>New York, NY, US</t>
        </is>
      </c>
      <c r="E121" s="15" t="inlineStr">
        <is>
          <t>Mississauga, ON, CA</t>
        </is>
      </c>
      <c r="F121" s="15" t="inlineStr">
        <is>
          <t>OCEAN</t>
        </is>
      </c>
      <c r="G121" s="15" t="inlineStr">
        <is>
          <t>C. 1 x 40HC</t>
        </is>
      </c>
      <c r="H121" s="15" t="inlineStr">
        <is>
          <t>CFS/CY</t>
        </is>
      </c>
      <c r="I121" s="15" t="inlineStr">
        <is>
          <t>ONE</t>
        </is>
      </c>
      <c r="J121" s="15" t="inlineStr">
        <is>
          <t>EC3</t>
        </is>
      </c>
      <c r="K121" s="15" t="inlineStr">
        <is>
          <t>Bodyline Trading (Private) Limited</t>
        </is>
      </c>
      <c r="L121" s="16" t="inlineStr">
        <is>
          <t>Bodyline (Private) Limited</t>
        </is>
      </c>
      <c r="M121" s="15" t="inlineStr">
        <is>
          <t>N</t>
        </is>
      </c>
      <c r="N121" s="17" t="n">
        <v>452848070482</v>
      </c>
      <c r="O121" s="15" t="n">
        <v>19843852</v>
      </c>
      <c r="P121" s="18" t="inlineStr">
        <is>
          <t>LW1FM7S</t>
        </is>
      </c>
      <c r="Q121" s="18" t="n">
        <v>16</v>
      </c>
      <c r="R121" s="18" t="n">
        <v>0.703</v>
      </c>
      <c r="S121" s="15" t="n">
        <v>97.51900000000001</v>
      </c>
      <c r="T121" s="16" t="n">
        <v>45824</v>
      </c>
      <c r="U121" s="19" t="n">
        <v>45883</v>
      </c>
      <c r="V121" s="16" t="n">
        <v>45824</v>
      </c>
      <c r="W121" s="16" t="n">
        <v>45826</v>
      </c>
      <c r="X121" s="57">
        <f>W121-1</f>
        <v/>
      </c>
      <c r="Y121" s="63" t="n">
        <v>45832</v>
      </c>
      <c r="Z121" s="67" t="n">
        <v>45861</v>
      </c>
      <c r="AA121" s="71">
        <f>Z121+13</f>
        <v/>
      </c>
      <c r="AB121" s="20">
        <f>AA121-U121</f>
        <v/>
      </c>
      <c r="AC121" s="20" t="inlineStr">
        <is>
          <t>No</t>
        </is>
      </c>
      <c r="AD121" s="21" t="inlineStr">
        <is>
          <t>1 HBL</t>
        </is>
      </c>
      <c r="AE121" s="21" t="n"/>
      <c r="AF121" s="22" t="inlineStr">
        <is>
          <t>LW</t>
        </is>
      </c>
      <c r="AG121" s="23" t="inlineStr">
        <is>
          <t>NAC</t>
        </is>
      </c>
      <c r="AH121" s="24" t="n"/>
      <c r="AN121" s="24" t="n"/>
    </row>
    <row r="122" ht="12.75" customHeight="1">
      <c r="A122" s="15" t="n">
        <v>3254506</v>
      </c>
      <c r="B122" s="15" t="inlineStr">
        <is>
          <t>Flexport</t>
        </is>
      </c>
      <c r="C122" s="15" t="inlineStr">
        <is>
          <t>Colombo, LK</t>
        </is>
      </c>
      <c r="D122" s="15" t="inlineStr">
        <is>
          <t>New York, NY, US</t>
        </is>
      </c>
      <c r="E122" s="15" t="inlineStr">
        <is>
          <t>Mississauga, ON, CA</t>
        </is>
      </c>
      <c r="F122" s="15" t="inlineStr">
        <is>
          <t>OCEAN</t>
        </is>
      </c>
      <c r="G122" s="15" t="inlineStr">
        <is>
          <t>C. 1 x 40HC</t>
        </is>
      </c>
      <c r="H122" s="15" t="inlineStr">
        <is>
          <t>CFS/CY</t>
        </is>
      </c>
      <c r="I122" s="15" t="inlineStr">
        <is>
          <t>ONE</t>
        </is>
      </c>
      <c r="J122" s="15" t="inlineStr">
        <is>
          <t>EC3</t>
        </is>
      </c>
      <c r="K122" s="15" t="inlineStr">
        <is>
          <t>Bodyline Trading (Private) Limited</t>
        </is>
      </c>
      <c r="L122" s="16" t="inlineStr">
        <is>
          <t>Bodyline (Private) Limited</t>
        </is>
      </c>
      <c r="M122" s="15" t="inlineStr">
        <is>
          <t>N</t>
        </is>
      </c>
      <c r="N122" s="17" t="n">
        <v>452848241196</v>
      </c>
      <c r="O122" s="15" t="n">
        <v>19878851</v>
      </c>
      <c r="P122" s="18" t="inlineStr">
        <is>
          <t>LW2DW4S</t>
        </is>
      </c>
      <c r="Q122" s="18" t="n">
        <v>1</v>
      </c>
      <c r="R122" s="18" t="n">
        <v>0.081</v>
      </c>
      <c r="S122" s="15" t="n">
        <v>8.368</v>
      </c>
      <c r="T122" s="16" t="n">
        <v>45824</v>
      </c>
      <c r="U122" s="19" t="n">
        <v>45883</v>
      </c>
      <c r="V122" s="16" t="n">
        <v>45824</v>
      </c>
      <c r="W122" s="16" t="n">
        <v>45826</v>
      </c>
      <c r="X122" s="57">
        <f>W122-1</f>
        <v/>
      </c>
      <c r="Y122" s="63" t="n">
        <v>45832</v>
      </c>
      <c r="Z122" s="67" t="n">
        <v>45861</v>
      </c>
      <c r="AA122" s="71">
        <f>Z122+13</f>
        <v/>
      </c>
      <c r="AB122" s="20">
        <f>AA122-U122</f>
        <v/>
      </c>
      <c r="AC122" s="20" t="inlineStr">
        <is>
          <t>No</t>
        </is>
      </c>
      <c r="AD122" s="21" t="inlineStr">
        <is>
          <t>1 HBL</t>
        </is>
      </c>
      <c r="AE122" s="21" t="n"/>
      <c r="AF122" s="22" t="inlineStr">
        <is>
          <t>LW</t>
        </is>
      </c>
      <c r="AG122" s="23" t="inlineStr">
        <is>
          <t>NAC</t>
        </is>
      </c>
      <c r="AH122" s="24" t="n"/>
      <c r="AN122" s="24" t="n"/>
    </row>
    <row r="123" ht="12.75" customHeight="1">
      <c r="A123" s="15" t="n">
        <v>3254506</v>
      </c>
      <c r="B123" s="15" t="inlineStr">
        <is>
          <t>Flexport</t>
        </is>
      </c>
      <c r="C123" s="15" t="inlineStr">
        <is>
          <t>Colombo, LK</t>
        </is>
      </c>
      <c r="D123" s="15" t="inlineStr">
        <is>
          <t>New York, NY, US</t>
        </is>
      </c>
      <c r="E123" s="15" t="inlineStr">
        <is>
          <t>Mississauga, ON, CA</t>
        </is>
      </c>
      <c r="F123" s="15" t="inlineStr">
        <is>
          <t>OCEAN</t>
        </is>
      </c>
      <c r="G123" s="15" t="inlineStr">
        <is>
          <t>C. 1 x 40HC</t>
        </is>
      </c>
      <c r="H123" s="15" t="inlineStr">
        <is>
          <t>CFS/CY</t>
        </is>
      </c>
      <c r="I123" s="15" t="inlineStr">
        <is>
          <t>ONE</t>
        </is>
      </c>
      <c r="J123" s="15" t="inlineStr">
        <is>
          <t>EC3</t>
        </is>
      </c>
      <c r="K123" s="15" t="inlineStr">
        <is>
          <t>Bodyline Trading (Private) Limited</t>
        </is>
      </c>
      <c r="L123" s="16" t="inlineStr">
        <is>
          <t>Bodyline (Private) Limited</t>
        </is>
      </c>
      <c r="M123" s="15" t="inlineStr">
        <is>
          <t>N</t>
        </is>
      </c>
      <c r="N123" s="17" t="n">
        <v>452849279925</v>
      </c>
      <c r="O123" s="15" t="n">
        <v>19877550</v>
      </c>
      <c r="P123" s="18" t="inlineStr">
        <is>
          <t>LW9DCIS</t>
        </is>
      </c>
      <c r="Q123" s="18" t="n">
        <v>3</v>
      </c>
      <c r="R123" s="18" t="n">
        <v>0.132</v>
      </c>
      <c r="S123" s="15" t="n">
        <v>8.359999999999999</v>
      </c>
      <c r="T123" s="16" t="n">
        <v>45824</v>
      </c>
      <c r="U123" s="19" t="n">
        <v>45883</v>
      </c>
      <c r="V123" s="16" t="n">
        <v>45824</v>
      </c>
      <c r="W123" s="16" t="n">
        <v>45826</v>
      </c>
      <c r="X123" s="57">
        <f>W123-1</f>
        <v/>
      </c>
      <c r="Y123" s="63" t="n">
        <v>45832</v>
      </c>
      <c r="Z123" s="67" t="n">
        <v>45861</v>
      </c>
      <c r="AA123" s="71">
        <f>Z123+13</f>
        <v/>
      </c>
      <c r="AB123" s="20">
        <f>AA123-U123</f>
        <v/>
      </c>
      <c r="AC123" s="20" t="inlineStr">
        <is>
          <t>No</t>
        </is>
      </c>
      <c r="AD123" s="21" t="inlineStr">
        <is>
          <t>1 HBL</t>
        </is>
      </c>
      <c r="AE123" s="21" t="n"/>
      <c r="AF123" s="22" t="inlineStr">
        <is>
          <t>LW</t>
        </is>
      </c>
      <c r="AG123" s="23" t="inlineStr">
        <is>
          <t>NAC</t>
        </is>
      </c>
      <c r="AH123" s="24" t="n"/>
      <c r="AN123" s="24" t="n"/>
    </row>
    <row r="124" ht="12.75" customHeight="1">
      <c r="A124" s="15" t="n">
        <v>3254506</v>
      </c>
      <c r="B124" s="15" t="inlineStr">
        <is>
          <t>Flexport</t>
        </is>
      </c>
      <c r="C124" s="15" t="inlineStr">
        <is>
          <t>Colombo, LK</t>
        </is>
      </c>
      <c r="D124" s="15" t="inlineStr">
        <is>
          <t>New York, NY, US</t>
        </is>
      </c>
      <c r="E124" s="15" t="inlineStr">
        <is>
          <t>Mississauga, ON, CA</t>
        </is>
      </c>
      <c r="F124" s="15" t="inlineStr">
        <is>
          <t>OCEAN</t>
        </is>
      </c>
      <c r="G124" s="15" t="inlineStr">
        <is>
          <t>C. 1 x 40HC</t>
        </is>
      </c>
      <c r="H124" s="15" t="inlineStr">
        <is>
          <t>CFS/CY</t>
        </is>
      </c>
      <c r="I124" s="15" t="inlineStr">
        <is>
          <t>ONE</t>
        </is>
      </c>
      <c r="J124" s="15" t="inlineStr">
        <is>
          <t>EC3</t>
        </is>
      </c>
      <c r="K124" s="15" t="inlineStr">
        <is>
          <t>Bodyline Trading (Private) Limited</t>
        </is>
      </c>
      <c r="L124" s="16" t="inlineStr">
        <is>
          <t>Bodyline (Private) Limited</t>
        </is>
      </c>
      <c r="M124" s="15" t="inlineStr">
        <is>
          <t>N</t>
        </is>
      </c>
      <c r="N124" s="17" t="n">
        <v>452850338711</v>
      </c>
      <c r="O124" s="15" t="n">
        <v>19878347</v>
      </c>
      <c r="P124" s="18" t="inlineStr">
        <is>
          <t>LW9DCLS</t>
        </is>
      </c>
      <c r="Q124" s="18" t="n">
        <v>4</v>
      </c>
      <c r="R124" s="18" t="n">
        <v>0.176</v>
      </c>
      <c r="S124" s="15" t="n">
        <v>20.668</v>
      </c>
      <c r="T124" s="16" t="n">
        <v>45824</v>
      </c>
      <c r="U124" s="19" t="n">
        <v>45883</v>
      </c>
      <c r="V124" s="16" t="n">
        <v>45824</v>
      </c>
      <c r="W124" s="16" t="n">
        <v>45826</v>
      </c>
      <c r="X124" s="57">
        <f>W124-1</f>
        <v/>
      </c>
      <c r="Y124" s="63" t="n">
        <v>45832</v>
      </c>
      <c r="Z124" s="67" t="n">
        <v>45861</v>
      </c>
      <c r="AA124" s="71">
        <f>Z124+13</f>
        <v/>
      </c>
      <c r="AB124" s="20">
        <f>AA124-U124</f>
        <v/>
      </c>
      <c r="AC124" s="20" t="inlineStr">
        <is>
          <t>No</t>
        </is>
      </c>
      <c r="AD124" s="21" t="inlineStr">
        <is>
          <t>1 HBL</t>
        </is>
      </c>
      <c r="AE124" s="21" t="n"/>
      <c r="AF124" s="22" t="inlineStr">
        <is>
          <t>LW</t>
        </is>
      </c>
      <c r="AG124" s="23" t="inlineStr">
        <is>
          <t>NAC</t>
        </is>
      </c>
      <c r="AH124" s="24" t="n"/>
      <c r="AN124" s="24" t="n"/>
    </row>
    <row r="125" ht="12.75" customHeight="1">
      <c r="A125" s="15" t="n">
        <v>3254506</v>
      </c>
      <c r="B125" s="15" t="inlineStr">
        <is>
          <t>Flexport</t>
        </is>
      </c>
      <c r="C125" s="15" t="inlineStr">
        <is>
          <t>Colombo, LK</t>
        </is>
      </c>
      <c r="D125" s="15" t="inlineStr">
        <is>
          <t>New York, NY, US</t>
        </is>
      </c>
      <c r="E125" s="15" t="inlineStr">
        <is>
          <t>Mississauga, ON, CA</t>
        </is>
      </c>
      <c r="F125" s="15" t="inlineStr">
        <is>
          <t>OCEAN</t>
        </is>
      </c>
      <c r="G125" s="15" t="inlineStr">
        <is>
          <t>C. 1 x 40HC</t>
        </is>
      </c>
      <c r="H125" s="15" t="inlineStr">
        <is>
          <t>CFS/CY</t>
        </is>
      </c>
      <c r="I125" s="15" t="inlineStr">
        <is>
          <t>ONE</t>
        </is>
      </c>
      <c r="J125" s="15" t="inlineStr">
        <is>
          <t>EC3</t>
        </is>
      </c>
      <c r="K125" s="15" t="inlineStr">
        <is>
          <t>Bodyline Trading (Private) Limited</t>
        </is>
      </c>
      <c r="L125" s="16" t="inlineStr">
        <is>
          <t>Bodyline (Private) Limited</t>
        </is>
      </c>
      <c r="M125" s="15" t="inlineStr">
        <is>
          <t>N</t>
        </is>
      </c>
      <c r="N125" s="17" t="n">
        <v>452851676008</v>
      </c>
      <c r="O125" s="15" t="n">
        <v>19877758</v>
      </c>
      <c r="P125" s="18" t="inlineStr">
        <is>
          <t>LW9DC4S</t>
        </is>
      </c>
      <c r="Q125" s="18" t="n">
        <v>4</v>
      </c>
      <c r="R125" s="18" t="n">
        <v>0.176</v>
      </c>
      <c r="S125" s="15" t="n">
        <v>19.691</v>
      </c>
      <c r="T125" s="16" t="n">
        <v>45824</v>
      </c>
      <c r="U125" s="19" t="n">
        <v>45883</v>
      </c>
      <c r="V125" s="16" t="n">
        <v>45824</v>
      </c>
      <c r="W125" s="16" t="n">
        <v>45826</v>
      </c>
      <c r="X125" s="57">
        <f>W125-1</f>
        <v/>
      </c>
      <c r="Y125" s="63" t="n">
        <v>45832</v>
      </c>
      <c r="Z125" s="67" t="n">
        <v>45861</v>
      </c>
      <c r="AA125" s="71">
        <f>Z125+13</f>
        <v/>
      </c>
      <c r="AB125" s="20">
        <f>AA125-U125</f>
        <v/>
      </c>
      <c r="AC125" s="20" t="inlineStr">
        <is>
          <t>No</t>
        </is>
      </c>
      <c r="AD125" s="21" t="inlineStr">
        <is>
          <t>1 HBL</t>
        </is>
      </c>
      <c r="AE125" s="21" t="n"/>
      <c r="AF125" s="22" t="inlineStr">
        <is>
          <t>LW</t>
        </is>
      </c>
      <c r="AG125" s="23" t="inlineStr">
        <is>
          <t>NAC</t>
        </is>
      </c>
      <c r="AH125" s="24" t="n"/>
      <c r="AN125" s="24" t="n"/>
    </row>
    <row r="126" ht="12.75" customHeight="1">
      <c r="A126" s="15" t="n">
        <v>3254506</v>
      </c>
      <c r="B126" s="15" t="inlineStr">
        <is>
          <t>Flexport</t>
        </is>
      </c>
      <c r="C126" s="15" t="inlineStr">
        <is>
          <t>Colombo, LK</t>
        </is>
      </c>
      <c r="D126" s="15" t="inlineStr">
        <is>
          <t>New York, NY, US</t>
        </is>
      </c>
      <c r="E126" s="15" t="inlineStr">
        <is>
          <t>Mississauga, ON, CA</t>
        </is>
      </c>
      <c r="F126" s="15" t="inlineStr">
        <is>
          <t>OCEAN</t>
        </is>
      </c>
      <c r="G126" s="15" t="inlineStr">
        <is>
          <t>C. 1 x 40HC</t>
        </is>
      </c>
      <c r="H126" s="15" t="inlineStr">
        <is>
          <t>CFS/CY</t>
        </is>
      </c>
      <c r="I126" s="15" t="inlineStr">
        <is>
          <t>ONE</t>
        </is>
      </c>
      <c r="J126" s="15" t="inlineStr">
        <is>
          <t>EC3</t>
        </is>
      </c>
      <c r="K126" s="15" t="inlineStr">
        <is>
          <t>Inqube Global (PVT) Ltd</t>
        </is>
      </c>
      <c r="L126" s="16" t="inlineStr">
        <is>
          <t>BRANDIX APPAREL SOLUTION LTD - GIRITALE</t>
        </is>
      </c>
      <c r="M126" s="15" t="inlineStr">
        <is>
          <t>N</t>
        </is>
      </c>
      <c r="N126" s="17" t="n">
        <v>451988861192</v>
      </c>
      <c r="O126" s="15" t="n">
        <v>19855622</v>
      </c>
      <c r="P126" s="18" t="inlineStr">
        <is>
          <t>LM5AO4S</t>
        </is>
      </c>
      <c r="Q126" s="18" t="n">
        <v>7</v>
      </c>
      <c r="R126" s="18" t="n">
        <v>0.458</v>
      </c>
      <c r="S126" s="15" t="n">
        <v>68.66</v>
      </c>
      <c r="T126" s="16" t="n">
        <v>45824</v>
      </c>
      <c r="U126" s="19" t="n">
        <v>45883</v>
      </c>
      <c r="V126" s="16" t="n">
        <v>45824</v>
      </c>
      <c r="W126" s="16" t="n">
        <v>45826</v>
      </c>
      <c r="X126" s="57">
        <f>W126-1</f>
        <v/>
      </c>
      <c r="Y126" s="63" t="n">
        <v>45832</v>
      </c>
      <c r="Z126" s="67" t="n">
        <v>45861</v>
      </c>
      <c r="AA126" s="71">
        <f>Z126+13</f>
        <v/>
      </c>
      <c r="AB126" s="20">
        <f>AA126-U126</f>
        <v/>
      </c>
      <c r="AC126" s="20" t="inlineStr">
        <is>
          <t>No</t>
        </is>
      </c>
      <c r="AD126" s="21" t="inlineStr">
        <is>
          <t>1 HBL</t>
        </is>
      </c>
      <c r="AE126" s="21" t="n"/>
      <c r="AF126" s="22" t="inlineStr">
        <is>
          <t>LW</t>
        </is>
      </c>
      <c r="AG126" s="23" t="inlineStr">
        <is>
          <t>NAC</t>
        </is>
      </c>
      <c r="AH126" s="24" t="n"/>
      <c r="AN126" s="24" t="n"/>
    </row>
    <row r="127" ht="12.75" customHeight="1">
      <c r="A127" s="15" t="n">
        <v>3254506</v>
      </c>
      <c r="B127" s="15" t="inlineStr">
        <is>
          <t>Flexport</t>
        </is>
      </c>
      <c r="C127" s="15" t="inlineStr">
        <is>
          <t>Colombo, LK</t>
        </is>
      </c>
      <c r="D127" s="15" t="inlineStr">
        <is>
          <t>New York, NY, US</t>
        </is>
      </c>
      <c r="E127" s="15" t="inlineStr">
        <is>
          <t>Mississauga, ON, CA</t>
        </is>
      </c>
      <c r="F127" s="15" t="inlineStr">
        <is>
          <t>OCEAN</t>
        </is>
      </c>
      <c r="G127" s="15" t="inlineStr">
        <is>
          <t>C. 1 x 40HC</t>
        </is>
      </c>
      <c r="H127" s="15" t="inlineStr">
        <is>
          <t>CFS/CY</t>
        </is>
      </c>
      <c r="I127" s="15" t="inlineStr">
        <is>
          <t>ONE</t>
        </is>
      </c>
      <c r="J127" s="15" t="inlineStr">
        <is>
          <t>EC3</t>
        </is>
      </c>
      <c r="K127" s="15" t="inlineStr">
        <is>
          <t>Inqube Global (PVT) Ltd</t>
        </is>
      </c>
      <c r="L127" s="16" t="inlineStr">
        <is>
          <t>BRANDIX APPAREL SOLUTION LTD - GIRITALE</t>
        </is>
      </c>
      <c r="M127" s="15" t="inlineStr">
        <is>
          <t>N</t>
        </is>
      </c>
      <c r="N127" s="17" t="n">
        <v>451989839084</v>
      </c>
      <c r="O127" s="15" t="n">
        <v>19856007</v>
      </c>
      <c r="P127" s="18" t="inlineStr">
        <is>
          <t>LM5AQGS</t>
        </is>
      </c>
      <c r="Q127" s="18" t="n">
        <v>4</v>
      </c>
      <c r="R127" s="18" t="n">
        <v>0.21</v>
      </c>
      <c r="S127" s="15" t="n">
        <v>31.39</v>
      </c>
      <c r="T127" s="16" t="n">
        <v>45824</v>
      </c>
      <c r="U127" s="19" t="n">
        <v>45883</v>
      </c>
      <c r="V127" s="16" t="n">
        <v>45824</v>
      </c>
      <c r="W127" s="16" t="n">
        <v>45826</v>
      </c>
      <c r="X127" s="57">
        <f>W127-1</f>
        <v/>
      </c>
      <c r="Y127" s="63" t="n">
        <v>45832</v>
      </c>
      <c r="Z127" s="67" t="n">
        <v>45861</v>
      </c>
      <c r="AA127" s="71">
        <f>Z127+13</f>
        <v/>
      </c>
      <c r="AB127" s="20">
        <f>AA127-U127</f>
        <v/>
      </c>
      <c r="AC127" s="20" t="inlineStr">
        <is>
          <t>No</t>
        </is>
      </c>
      <c r="AD127" s="21" t="inlineStr">
        <is>
          <t>1 HBL</t>
        </is>
      </c>
      <c r="AE127" s="21" t="n"/>
      <c r="AF127" s="22" t="inlineStr">
        <is>
          <t>LW</t>
        </is>
      </c>
      <c r="AG127" s="23" t="inlineStr">
        <is>
          <t>NAC</t>
        </is>
      </c>
      <c r="AH127" s="24" t="n"/>
      <c r="AN127" s="24" t="n"/>
    </row>
    <row r="128" ht="12.75" customHeight="1">
      <c r="A128" s="15" t="n">
        <v>3254506</v>
      </c>
      <c r="B128" s="15" t="inlineStr">
        <is>
          <t>Flexport</t>
        </is>
      </c>
      <c r="C128" s="15" t="inlineStr">
        <is>
          <t>Colombo, LK</t>
        </is>
      </c>
      <c r="D128" s="15" t="inlineStr">
        <is>
          <t>New York, NY, US</t>
        </is>
      </c>
      <c r="E128" s="15" t="inlineStr">
        <is>
          <t>Mississauga, ON, CA</t>
        </is>
      </c>
      <c r="F128" s="15" t="inlineStr">
        <is>
          <t>OCEAN</t>
        </is>
      </c>
      <c r="G128" s="15" t="inlineStr">
        <is>
          <t>C. 1 x 40HC</t>
        </is>
      </c>
      <c r="H128" s="15" t="inlineStr">
        <is>
          <t>CFS/CY</t>
        </is>
      </c>
      <c r="I128" s="15" t="inlineStr">
        <is>
          <t>ONE</t>
        </is>
      </c>
      <c r="J128" s="15" t="inlineStr">
        <is>
          <t>EC3</t>
        </is>
      </c>
      <c r="K128" s="15" t="inlineStr">
        <is>
          <t>Inqube Global (PVT) Ltd</t>
        </is>
      </c>
      <c r="L128" s="16" t="inlineStr">
        <is>
          <t>BRANDIX APPAREL SOLUTION LTD - GIRITALE</t>
        </is>
      </c>
      <c r="M128" s="15" t="inlineStr">
        <is>
          <t>N</t>
        </is>
      </c>
      <c r="N128" s="17" t="n">
        <v>451995535808</v>
      </c>
      <c r="O128" s="15" t="n">
        <v>19856119</v>
      </c>
      <c r="P128" s="18" t="inlineStr">
        <is>
          <t>LM5AQXS</t>
        </is>
      </c>
      <c r="Q128" s="18" t="n">
        <v>8</v>
      </c>
      <c r="R128" s="18" t="n">
        <v>0.54</v>
      </c>
      <c r="S128" s="15" t="n">
        <v>89.15000000000001</v>
      </c>
      <c r="T128" s="16" t="n">
        <v>45824</v>
      </c>
      <c r="U128" s="19" t="n">
        <v>45883</v>
      </c>
      <c r="V128" s="16" t="n">
        <v>45824</v>
      </c>
      <c r="W128" s="16" t="n">
        <v>45826</v>
      </c>
      <c r="X128" s="57">
        <f>W128-1</f>
        <v/>
      </c>
      <c r="Y128" s="63" t="n">
        <v>45832</v>
      </c>
      <c r="Z128" s="67" t="n">
        <v>45861</v>
      </c>
      <c r="AA128" s="71">
        <f>Z128+13</f>
        <v/>
      </c>
      <c r="AB128" s="20">
        <f>AA128-U128</f>
        <v/>
      </c>
      <c r="AC128" s="20" t="inlineStr">
        <is>
          <t>No</t>
        </is>
      </c>
      <c r="AD128" s="21" t="inlineStr">
        <is>
          <t>1 HBL</t>
        </is>
      </c>
      <c r="AE128" s="21" t="n"/>
      <c r="AF128" s="22" t="inlineStr">
        <is>
          <t>LW</t>
        </is>
      </c>
      <c r="AG128" s="23" t="inlineStr">
        <is>
          <t>NAC</t>
        </is>
      </c>
      <c r="AH128" s="24" t="n"/>
      <c r="AN128" s="24" t="n"/>
    </row>
    <row r="129" ht="12.75" customHeight="1">
      <c r="A129" s="15" t="n">
        <v>3254506</v>
      </c>
      <c r="B129" s="15" t="inlineStr">
        <is>
          <t>Flexport</t>
        </is>
      </c>
      <c r="C129" s="15" t="inlineStr">
        <is>
          <t>Colombo, LK</t>
        </is>
      </c>
      <c r="D129" s="15" t="inlineStr">
        <is>
          <t>New York, NY, US</t>
        </is>
      </c>
      <c r="E129" s="15" t="inlineStr">
        <is>
          <t>Mississauga, ON, CA</t>
        </is>
      </c>
      <c r="F129" s="15" t="inlineStr">
        <is>
          <t>OCEAN</t>
        </is>
      </c>
      <c r="G129" s="15" t="inlineStr">
        <is>
          <t>C. 1 x 40HC</t>
        </is>
      </c>
      <c r="H129" s="15" t="inlineStr">
        <is>
          <t>CFS/CY</t>
        </is>
      </c>
      <c r="I129" s="15" t="inlineStr">
        <is>
          <t>ONE</t>
        </is>
      </c>
      <c r="J129" s="15" t="inlineStr">
        <is>
          <t>EC3</t>
        </is>
      </c>
      <c r="K129" s="15" t="inlineStr">
        <is>
          <t>Inqube Global (PVT) Ltd</t>
        </is>
      </c>
      <c r="L129" s="16" t="inlineStr">
        <is>
          <t>BRANDIX APPAREL SOLUTION LTD - GIRITALE</t>
        </is>
      </c>
      <c r="M129" s="15" t="inlineStr">
        <is>
          <t>N</t>
        </is>
      </c>
      <c r="N129" s="17" t="n">
        <v>452504526441</v>
      </c>
      <c r="O129" s="15" t="n">
        <v>19855598</v>
      </c>
      <c r="P129" s="18" t="inlineStr">
        <is>
          <t>LM5AO1S</t>
        </is>
      </c>
      <c r="Q129" s="18" t="n">
        <v>4</v>
      </c>
      <c r="R129" s="18" t="n">
        <v>0.21</v>
      </c>
      <c r="S129" s="15" t="n">
        <v>35.31</v>
      </c>
      <c r="T129" s="16" t="n">
        <v>45824</v>
      </c>
      <c r="U129" s="19" t="n">
        <v>45883</v>
      </c>
      <c r="V129" s="16" t="n">
        <v>45824</v>
      </c>
      <c r="W129" s="16" t="n">
        <v>45826</v>
      </c>
      <c r="X129" s="57">
        <f>W129-1</f>
        <v/>
      </c>
      <c r="Y129" s="63" t="n">
        <v>45832</v>
      </c>
      <c r="Z129" s="67" t="n">
        <v>45861</v>
      </c>
      <c r="AA129" s="71">
        <f>Z129+13</f>
        <v/>
      </c>
      <c r="AB129" s="20">
        <f>AA129-U129</f>
        <v/>
      </c>
      <c r="AC129" s="20" t="inlineStr">
        <is>
          <t>No</t>
        </is>
      </c>
      <c r="AD129" s="21" t="inlineStr">
        <is>
          <t>1 HBL</t>
        </is>
      </c>
      <c r="AE129" s="21" t="n"/>
      <c r="AF129" s="22" t="inlineStr">
        <is>
          <t>LW</t>
        </is>
      </c>
      <c r="AG129" s="23" t="inlineStr">
        <is>
          <t>NAC</t>
        </is>
      </c>
      <c r="AH129" s="24" t="n"/>
      <c r="AN129" s="24" t="n"/>
    </row>
    <row r="130" ht="12.75" customHeight="1">
      <c r="A130" s="15" t="n">
        <v>3254506</v>
      </c>
      <c r="B130" s="15" t="inlineStr">
        <is>
          <t>Flexport</t>
        </is>
      </c>
      <c r="C130" s="15" t="inlineStr">
        <is>
          <t>Colombo, LK</t>
        </is>
      </c>
      <c r="D130" s="15" t="inlineStr">
        <is>
          <t>New York, NY, US</t>
        </is>
      </c>
      <c r="E130" s="15" t="inlineStr">
        <is>
          <t>Mississauga, ON, CA</t>
        </is>
      </c>
      <c r="F130" s="15" t="inlineStr">
        <is>
          <t>OCEAN</t>
        </is>
      </c>
      <c r="G130" s="15" t="inlineStr">
        <is>
          <t>C. 1 x 40HC</t>
        </is>
      </c>
      <c r="H130" s="15" t="inlineStr">
        <is>
          <t>CFS/CY</t>
        </is>
      </c>
      <c r="I130" s="15" t="inlineStr">
        <is>
          <t>ONE</t>
        </is>
      </c>
      <c r="J130" s="15" t="inlineStr">
        <is>
          <t>EC3</t>
        </is>
      </c>
      <c r="K130" s="15" t="inlineStr">
        <is>
          <t>Inqube Global (PVT) Ltd</t>
        </is>
      </c>
      <c r="L130" s="16" t="inlineStr">
        <is>
          <t>BRANDIX APPAREL SOLUTION LTD - GIRITALE</t>
        </is>
      </c>
      <c r="M130" s="15" t="inlineStr">
        <is>
          <t>N</t>
        </is>
      </c>
      <c r="N130" s="17" t="n">
        <v>452507248363</v>
      </c>
      <c r="O130" s="15" t="n">
        <v>19855867</v>
      </c>
      <c r="P130" s="18" t="inlineStr">
        <is>
          <t>LM5AO1S</t>
        </is>
      </c>
      <c r="Q130" s="18" t="n">
        <v>11</v>
      </c>
      <c r="R130" s="18" t="n">
        <v>0.828</v>
      </c>
      <c r="S130" s="15" t="n">
        <v>152.17</v>
      </c>
      <c r="T130" s="16" t="n">
        <v>45824</v>
      </c>
      <c r="U130" s="19" t="n">
        <v>45883</v>
      </c>
      <c r="V130" s="16" t="n">
        <v>45824</v>
      </c>
      <c r="W130" s="16" t="n">
        <v>45826</v>
      </c>
      <c r="X130" s="57">
        <f>W130-1</f>
        <v/>
      </c>
      <c r="Y130" s="63" t="n">
        <v>45832</v>
      </c>
      <c r="Z130" s="67" t="n">
        <v>45861</v>
      </c>
      <c r="AA130" s="71">
        <f>Z130+13</f>
        <v/>
      </c>
      <c r="AB130" s="20">
        <f>AA130-U130</f>
        <v/>
      </c>
      <c r="AC130" s="20" t="inlineStr">
        <is>
          <t>No</t>
        </is>
      </c>
      <c r="AD130" s="21" t="inlineStr">
        <is>
          <t>1 HBL</t>
        </is>
      </c>
      <c r="AE130" s="21" t="n"/>
      <c r="AF130" s="22" t="inlineStr">
        <is>
          <t>LW</t>
        </is>
      </c>
      <c r="AG130" s="23" t="inlineStr">
        <is>
          <t>NAC</t>
        </is>
      </c>
      <c r="AH130" s="24" t="n"/>
      <c r="AN130" s="24" t="n"/>
    </row>
    <row r="131" ht="12.75" customHeight="1">
      <c r="A131" s="15" t="n">
        <v>3254506</v>
      </c>
      <c r="B131" s="15" t="inlineStr">
        <is>
          <t>Flexport</t>
        </is>
      </c>
      <c r="C131" s="15" t="inlineStr">
        <is>
          <t>Colombo, LK</t>
        </is>
      </c>
      <c r="D131" s="15" t="inlineStr">
        <is>
          <t>New York, NY, US</t>
        </is>
      </c>
      <c r="E131" s="15" t="inlineStr">
        <is>
          <t>Mississauga, ON, CA</t>
        </is>
      </c>
      <c r="F131" s="15" t="inlineStr">
        <is>
          <t>OCEAN</t>
        </is>
      </c>
      <c r="G131" s="15" t="inlineStr">
        <is>
          <t>C. 1 x 40HC</t>
        </is>
      </c>
      <c r="H131" s="15" t="inlineStr">
        <is>
          <t>CFS/CY</t>
        </is>
      </c>
      <c r="I131" s="15" t="inlineStr">
        <is>
          <t>ONE</t>
        </is>
      </c>
      <c r="J131" s="15" t="inlineStr">
        <is>
          <t>EC3</t>
        </is>
      </c>
      <c r="K131" s="15" t="inlineStr">
        <is>
          <t>Inqube Global (PVT) Ltd</t>
        </is>
      </c>
      <c r="L131" s="16" t="inlineStr">
        <is>
          <t>BRANDIX APPAREL SOLUTION LTD - GIRITALE</t>
        </is>
      </c>
      <c r="M131" s="15" t="inlineStr">
        <is>
          <t>N</t>
        </is>
      </c>
      <c r="N131" s="17" t="n">
        <v>452510246609</v>
      </c>
      <c r="O131" s="15" t="n">
        <v>19855946</v>
      </c>
      <c r="P131" s="18" t="inlineStr">
        <is>
          <t>LM5AQ9S</t>
        </is>
      </c>
      <c r="Q131" s="18" t="n">
        <v>10</v>
      </c>
      <c r="R131" s="18" t="n">
        <v>0.665</v>
      </c>
      <c r="S131" s="15" t="n">
        <v>137.39</v>
      </c>
      <c r="T131" s="16" t="n">
        <v>45824</v>
      </c>
      <c r="U131" s="19" t="n">
        <v>45883</v>
      </c>
      <c r="V131" s="16" t="n">
        <v>45824</v>
      </c>
      <c r="W131" s="16" t="n">
        <v>45826</v>
      </c>
      <c r="X131" s="57">
        <f>W131-1</f>
        <v/>
      </c>
      <c r="Y131" s="63" t="n">
        <v>45832</v>
      </c>
      <c r="Z131" s="67" t="n">
        <v>45861</v>
      </c>
      <c r="AA131" s="71">
        <f>Z131+13</f>
        <v/>
      </c>
      <c r="AB131" s="20">
        <f>AA131-U131</f>
        <v/>
      </c>
      <c r="AC131" s="20" t="inlineStr">
        <is>
          <t>No</t>
        </is>
      </c>
      <c r="AD131" s="21" t="inlineStr">
        <is>
          <t>1 HBL</t>
        </is>
      </c>
      <c r="AE131" s="21" t="n"/>
      <c r="AF131" s="22" t="inlineStr">
        <is>
          <t>LW</t>
        </is>
      </c>
      <c r="AG131" s="23" t="inlineStr">
        <is>
          <t>NAC</t>
        </is>
      </c>
      <c r="AH131" s="24" t="n"/>
      <c r="AN131" s="24" t="n"/>
    </row>
    <row r="132" ht="12.75" customHeight="1">
      <c r="A132" s="15" t="n">
        <v>3254506</v>
      </c>
      <c r="B132" s="15" t="inlineStr">
        <is>
          <t>Flexport</t>
        </is>
      </c>
      <c r="C132" s="15" t="inlineStr">
        <is>
          <t>Colombo, LK</t>
        </is>
      </c>
      <c r="D132" s="15" t="inlineStr">
        <is>
          <t>New York, NY, US</t>
        </is>
      </c>
      <c r="E132" s="15" t="inlineStr">
        <is>
          <t>Mississauga, ON, CA</t>
        </is>
      </c>
      <c r="F132" s="15" t="inlineStr">
        <is>
          <t>OCEAN</t>
        </is>
      </c>
      <c r="G132" s="15" t="inlineStr">
        <is>
          <t>C. 1 x 40HC</t>
        </is>
      </c>
      <c r="H132" s="15" t="inlineStr">
        <is>
          <t>CFS/CY</t>
        </is>
      </c>
      <c r="I132" s="15" t="inlineStr">
        <is>
          <t>ONE</t>
        </is>
      </c>
      <c r="J132" s="15" t="inlineStr">
        <is>
          <t>EC3</t>
        </is>
      </c>
      <c r="K132" s="15" t="inlineStr">
        <is>
          <t>Inqube Global (PVT) Ltd</t>
        </is>
      </c>
      <c r="L132" s="16" t="inlineStr">
        <is>
          <t>BRANDIX APPAREL SOLUTION LTD - GIRITALE</t>
        </is>
      </c>
      <c r="M132" s="15" t="inlineStr">
        <is>
          <t>N</t>
        </is>
      </c>
      <c r="N132" s="17" t="n">
        <v>452510849438</v>
      </c>
      <c r="O132" s="15" t="n">
        <v>19855921</v>
      </c>
      <c r="P132" s="18" t="inlineStr">
        <is>
          <t>LM5AO4S</t>
        </is>
      </c>
      <c r="Q132" s="18" t="n">
        <v>20</v>
      </c>
      <c r="R132" s="18" t="n">
        <v>1.491</v>
      </c>
      <c r="S132" s="15" t="n">
        <v>296.66</v>
      </c>
      <c r="T132" s="16" t="n">
        <v>45824</v>
      </c>
      <c r="U132" s="19" t="n">
        <v>45883</v>
      </c>
      <c r="V132" s="16" t="n">
        <v>45824</v>
      </c>
      <c r="W132" s="16" t="n">
        <v>45826</v>
      </c>
      <c r="X132" s="57">
        <f>W132-1</f>
        <v/>
      </c>
      <c r="Y132" s="63" t="n">
        <v>45832</v>
      </c>
      <c r="Z132" s="67" t="n">
        <v>45861</v>
      </c>
      <c r="AA132" s="71">
        <f>Z132+13</f>
        <v/>
      </c>
      <c r="AB132" s="20">
        <f>AA132-U132</f>
        <v/>
      </c>
      <c r="AC132" s="20" t="inlineStr">
        <is>
          <t>No</t>
        </is>
      </c>
      <c r="AD132" s="21" t="inlineStr">
        <is>
          <t>1 HBL</t>
        </is>
      </c>
      <c r="AE132" s="21" t="n"/>
      <c r="AF132" s="22" t="inlineStr">
        <is>
          <t>LW</t>
        </is>
      </c>
      <c r="AG132" s="23" t="inlineStr">
        <is>
          <t>NAC</t>
        </is>
      </c>
      <c r="AH132" s="24" t="n"/>
      <c r="AN132" s="24" t="n"/>
    </row>
    <row r="133" ht="12.75" customHeight="1">
      <c r="A133" s="15" t="n">
        <v>3254506</v>
      </c>
      <c r="B133" s="15" t="inlineStr">
        <is>
          <t>Flexport</t>
        </is>
      </c>
      <c r="C133" s="15" t="inlineStr">
        <is>
          <t>Colombo, LK</t>
        </is>
      </c>
      <c r="D133" s="15" t="inlineStr">
        <is>
          <t>New York, NY, US</t>
        </is>
      </c>
      <c r="E133" s="15" t="inlineStr">
        <is>
          <t>Mississauga, ON, CA</t>
        </is>
      </c>
      <c r="F133" s="15" t="inlineStr">
        <is>
          <t>OCEAN</t>
        </is>
      </c>
      <c r="G133" s="15" t="inlineStr">
        <is>
          <t>C. 1 x 40HC</t>
        </is>
      </c>
      <c r="H133" s="15" t="inlineStr">
        <is>
          <t>CFS/CY</t>
        </is>
      </c>
      <c r="I133" s="15" t="inlineStr">
        <is>
          <t>ONE</t>
        </is>
      </c>
      <c r="J133" s="15" t="inlineStr">
        <is>
          <t>EC3</t>
        </is>
      </c>
      <c r="K133" s="15" t="inlineStr">
        <is>
          <t>Inqube Global (PVT) Ltd</t>
        </is>
      </c>
      <c r="L133" s="16" t="inlineStr">
        <is>
          <t>BRANDIX APPAREL SOLUTION LTD - GIRITALE</t>
        </is>
      </c>
      <c r="M133" s="15" t="inlineStr">
        <is>
          <t>N</t>
        </is>
      </c>
      <c r="N133" s="17" t="n">
        <v>452510849936</v>
      </c>
      <c r="O133" s="15" t="n">
        <v>19855628</v>
      </c>
      <c r="P133" s="18" t="inlineStr">
        <is>
          <t>LM5AQ9S</t>
        </is>
      </c>
      <c r="Q133" s="18" t="n">
        <v>3</v>
      </c>
      <c r="R133" s="18" t="n">
        <v>0.168</v>
      </c>
      <c r="S133" s="15" t="n">
        <v>32.31</v>
      </c>
      <c r="T133" s="16" t="n">
        <v>45824</v>
      </c>
      <c r="U133" s="19" t="n">
        <v>45883</v>
      </c>
      <c r="V133" s="16" t="n">
        <v>45824</v>
      </c>
      <c r="W133" s="16" t="n">
        <v>45826</v>
      </c>
      <c r="X133" s="57">
        <f>W133-1</f>
        <v/>
      </c>
      <c r="Y133" s="63" t="n">
        <v>45832</v>
      </c>
      <c r="Z133" s="67" t="n">
        <v>45861</v>
      </c>
      <c r="AA133" s="71">
        <f>Z133+13</f>
        <v/>
      </c>
      <c r="AB133" s="20">
        <f>AA133-U133</f>
        <v/>
      </c>
      <c r="AC133" s="20" t="inlineStr">
        <is>
          <t>No</t>
        </is>
      </c>
      <c r="AD133" s="21" t="inlineStr">
        <is>
          <t>1 HBL</t>
        </is>
      </c>
      <c r="AE133" s="21" t="n"/>
      <c r="AF133" s="22" t="inlineStr">
        <is>
          <t>LW</t>
        </is>
      </c>
      <c r="AG133" s="23" t="inlineStr">
        <is>
          <t>NAC</t>
        </is>
      </c>
      <c r="AH133" s="24" t="n"/>
      <c r="AN133" s="24" t="n"/>
    </row>
    <row r="134" ht="12.75" customHeight="1">
      <c r="A134" s="15" t="n">
        <v>3254506</v>
      </c>
      <c r="B134" s="15" t="inlineStr">
        <is>
          <t>Flexport</t>
        </is>
      </c>
      <c r="C134" s="15" t="inlineStr">
        <is>
          <t>Colombo, LK</t>
        </is>
      </c>
      <c r="D134" s="15" t="inlineStr">
        <is>
          <t>New York, NY, US</t>
        </is>
      </c>
      <c r="E134" s="15" t="inlineStr">
        <is>
          <t>Mississauga, ON, CA</t>
        </is>
      </c>
      <c r="F134" s="15" t="inlineStr">
        <is>
          <t>OCEAN</t>
        </is>
      </c>
      <c r="G134" s="15" t="inlineStr">
        <is>
          <t>C. 1 x 40HC</t>
        </is>
      </c>
      <c r="H134" s="15" t="inlineStr">
        <is>
          <t>CFS/CY</t>
        </is>
      </c>
      <c r="I134" s="15" t="inlineStr">
        <is>
          <t>ONE</t>
        </is>
      </c>
      <c r="J134" s="15" t="inlineStr">
        <is>
          <t>EC3</t>
        </is>
      </c>
      <c r="K134" s="15" t="inlineStr">
        <is>
          <t>Inqube Global (PVT) Ltd</t>
        </is>
      </c>
      <c r="L134" s="16" t="inlineStr">
        <is>
          <t>BRANDIX APPAREL SOLUTION LTD - GIRITALE</t>
        </is>
      </c>
      <c r="M134" s="15" t="inlineStr">
        <is>
          <t>N</t>
        </is>
      </c>
      <c r="N134" s="17" t="n">
        <v>452511203202</v>
      </c>
      <c r="O134" s="15" t="n">
        <v>19855632</v>
      </c>
      <c r="P134" s="18" t="inlineStr">
        <is>
          <t>LM5AQ9S</t>
        </is>
      </c>
      <c r="Q134" s="18" t="n">
        <v>5</v>
      </c>
      <c r="R134" s="18" t="n">
        <v>0.293</v>
      </c>
      <c r="S134" s="15" t="n">
        <v>49.83</v>
      </c>
      <c r="T134" s="16" t="n">
        <v>45824</v>
      </c>
      <c r="U134" s="19" t="n">
        <v>45883</v>
      </c>
      <c r="V134" s="16" t="n">
        <v>45824</v>
      </c>
      <c r="W134" s="16" t="n">
        <v>45826</v>
      </c>
      <c r="X134" s="57">
        <f>W134-1</f>
        <v/>
      </c>
      <c r="Y134" s="63" t="n">
        <v>45832</v>
      </c>
      <c r="Z134" s="67" t="n">
        <v>45861</v>
      </c>
      <c r="AA134" s="71">
        <f>Z134+13</f>
        <v/>
      </c>
      <c r="AB134" s="20">
        <f>AA134-U134</f>
        <v/>
      </c>
      <c r="AC134" s="20" t="inlineStr">
        <is>
          <t>No</t>
        </is>
      </c>
      <c r="AD134" s="21" t="inlineStr">
        <is>
          <t>1 HBL</t>
        </is>
      </c>
      <c r="AE134" s="21" t="n"/>
      <c r="AF134" s="22" t="inlineStr">
        <is>
          <t>LW</t>
        </is>
      </c>
      <c r="AG134" s="23" t="inlineStr">
        <is>
          <t>NAC</t>
        </is>
      </c>
      <c r="AH134" s="24" t="n"/>
      <c r="AN134" s="24" t="n"/>
    </row>
    <row r="135" ht="12.75" customHeight="1">
      <c r="A135" s="15" t="n">
        <v>3254506</v>
      </c>
      <c r="B135" s="15" t="inlineStr">
        <is>
          <t>Flexport</t>
        </is>
      </c>
      <c r="C135" s="15" t="inlineStr">
        <is>
          <t>Colombo, LK</t>
        </is>
      </c>
      <c r="D135" s="15" t="inlineStr">
        <is>
          <t>New York, NY, US</t>
        </is>
      </c>
      <c r="E135" s="15" t="inlineStr">
        <is>
          <t>Mississauga, ON, CA</t>
        </is>
      </c>
      <c r="F135" s="15" t="inlineStr">
        <is>
          <t>OCEAN</t>
        </is>
      </c>
      <c r="G135" s="15" t="inlineStr">
        <is>
          <t>C. 1 x 40HC</t>
        </is>
      </c>
      <c r="H135" s="15" t="inlineStr">
        <is>
          <t>CFS/CY</t>
        </is>
      </c>
      <c r="I135" s="15" t="inlineStr">
        <is>
          <t>ONE</t>
        </is>
      </c>
      <c r="J135" s="15" t="inlineStr">
        <is>
          <t>EC3</t>
        </is>
      </c>
      <c r="K135" s="15" t="inlineStr">
        <is>
          <t>Inqube Global (PVT) Ltd</t>
        </is>
      </c>
      <c r="L135" s="16" t="inlineStr">
        <is>
          <t>BRANDIX APPAREL SOLUTION LTD - GIRITALE</t>
        </is>
      </c>
      <c r="M135" s="15" t="inlineStr">
        <is>
          <t>N</t>
        </is>
      </c>
      <c r="N135" s="17" t="n">
        <v>452511415477</v>
      </c>
      <c r="O135" s="15" t="n">
        <v>19855934</v>
      </c>
      <c r="P135" s="18" t="inlineStr">
        <is>
          <t>LM5AQ9S</t>
        </is>
      </c>
      <c r="Q135" s="18" t="n">
        <v>7</v>
      </c>
      <c r="R135" s="18" t="n">
        <v>0.418</v>
      </c>
      <c r="S135" s="15" t="n">
        <v>88.51000000000001</v>
      </c>
      <c r="T135" s="16" t="n">
        <v>45824</v>
      </c>
      <c r="U135" s="19" t="n">
        <v>45883</v>
      </c>
      <c r="V135" s="16" t="n">
        <v>45824</v>
      </c>
      <c r="W135" s="16" t="n">
        <v>45826</v>
      </c>
      <c r="X135" s="57">
        <f>W135-1</f>
        <v/>
      </c>
      <c r="Y135" s="63" t="n">
        <v>45832</v>
      </c>
      <c r="Z135" s="67" t="n">
        <v>45861</v>
      </c>
      <c r="AA135" s="71">
        <f>Z135+13</f>
        <v/>
      </c>
      <c r="AB135" s="20">
        <f>AA135-U135</f>
        <v/>
      </c>
      <c r="AC135" s="20" t="inlineStr">
        <is>
          <t>No</t>
        </is>
      </c>
      <c r="AD135" s="21" t="inlineStr">
        <is>
          <t>1 HBL</t>
        </is>
      </c>
      <c r="AE135" s="21" t="n"/>
      <c r="AF135" s="22" t="inlineStr">
        <is>
          <t>LW</t>
        </is>
      </c>
      <c r="AG135" s="23" t="inlineStr">
        <is>
          <t>NAC</t>
        </is>
      </c>
      <c r="AH135" s="24" t="n"/>
      <c r="AN135" s="24" t="n"/>
    </row>
    <row r="136" ht="12.75" customHeight="1">
      <c r="A136" s="15" t="n">
        <v>3254506</v>
      </c>
      <c r="B136" s="15" t="inlineStr">
        <is>
          <t>Flexport</t>
        </is>
      </c>
      <c r="C136" s="15" t="inlineStr">
        <is>
          <t>Colombo, LK</t>
        </is>
      </c>
      <c r="D136" s="15" t="inlineStr">
        <is>
          <t>New York, NY, US</t>
        </is>
      </c>
      <c r="E136" s="15" t="inlineStr">
        <is>
          <t>Mississauga, ON, CA</t>
        </is>
      </c>
      <c r="F136" s="15" t="inlineStr">
        <is>
          <t>OCEAN</t>
        </is>
      </c>
      <c r="G136" s="15" t="inlineStr">
        <is>
          <t>C. 1 x 40HC</t>
        </is>
      </c>
      <c r="H136" s="15" t="inlineStr">
        <is>
          <t>CFS/CY</t>
        </is>
      </c>
      <c r="I136" s="15" t="inlineStr">
        <is>
          <t>ONE</t>
        </is>
      </c>
      <c r="J136" s="15" t="inlineStr">
        <is>
          <t>EC3</t>
        </is>
      </c>
      <c r="K136" s="15" t="inlineStr">
        <is>
          <t>Inqube Global (PVT) Ltd</t>
        </is>
      </c>
      <c r="L136" s="16" t="inlineStr">
        <is>
          <t>BRANDIX APPAREL SOLUTION LTD - GIRITALE</t>
        </is>
      </c>
      <c r="M136" s="15" t="inlineStr">
        <is>
          <t>N</t>
        </is>
      </c>
      <c r="N136" s="17" t="n">
        <v>452512005389</v>
      </c>
      <c r="O136" s="15" t="n">
        <v>19855959</v>
      </c>
      <c r="P136" s="18" t="inlineStr">
        <is>
          <t>LM5AQ9S</t>
        </is>
      </c>
      <c r="Q136" s="18" t="n">
        <v>9</v>
      </c>
      <c r="R136" s="18" t="n">
        <v>0.623</v>
      </c>
      <c r="S136" s="15" t="n">
        <v>119.49</v>
      </c>
      <c r="T136" s="16" t="n">
        <v>45824</v>
      </c>
      <c r="U136" s="19" t="n">
        <v>45883</v>
      </c>
      <c r="V136" s="16" t="n">
        <v>45824</v>
      </c>
      <c r="W136" s="16" t="n">
        <v>45826</v>
      </c>
      <c r="X136" s="57">
        <f>W136-1</f>
        <v/>
      </c>
      <c r="Y136" s="63" t="n">
        <v>45832</v>
      </c>
      <c r="Z136" s="67" t="n">
        <v>45861</v>
      </c>
      <c r="AA136" s="71">
        <f>Z136+13</f>
        <v/>
      </c>
      <c r="AB136" s="20">
        <f>AA136-U136</f>
        <v/>
      </c>
      <c r="AC136" s="20" t="inlineStr">
        <is>
          <t>No</t>
        </is>
      </c>
      <c r="AD136" s="21" t="inlineStr">
        <is>
          <t>1 HBL</t>
        </is>
      </c>
      <c r="AE136" s="21" t="n"/>
      <c r="AF136" s="22" t="inlineStr">
        <is>
          <t>LW</t>
        </is>
      </c>
      <c r="AG136" s="23" t="inlineStr">
        <is>
          <t>NAC</t>
        </is>
      </c>
      <c r="AH136" s="24" t="n"/>
      <c r="AN136" s="24" t="n"/>
    </row>
    <row r="137" ht="12.75" customHeight="1">
      <c r="A137" s="15" t="n">
        <v>3254506</v>
      </c>
      <c r="B137" s="15" t="inlineStr">
        <is>
          <t>Flexport</t>
        </is>
      </c>
      <c r="C137" s="15" t="inlineStr">
        <is>
          <t>Colombo, LK</t>
        </is>
      </c>
      <c r="D137" s="15" t="inlineStr">
        <is>
          <t>New York, NY, US</t>
        </is>
      </c>
      <c r="E137" s="15" t="inlineStr">
        <is>
          <t>Mississauga, ON, CA</t>
        </is>
      </c>
      <c r="F137" s="15" t="inlineStr">
        <is>
          <t>OCEAN</t>
        </is>
      </c>
      <c r="G137" s="15" t="inlineStr">
        <is>
          <t>C. 1 x 40HC</t>
        </is>
      </c>
      <c r="H137" s="15" t="inlineStr">
        <is>
          <t>CFS/CY</t>
        </is>
      </c>
      <c r="I137" s="15" t="inlineStr">
        <is>
          <t>ONE</t>
        </is>
      </c>
      <c r="J137" s="15" t="inlineStr">
        <is>
          <t>EC3</t>
        </is>
      </c>
      <c r="K137" s="15" t="inlineStr">
        <is>
          <t>Inqube Global (PVT) Ltd</t>
        </is>
      </c>
      <c r="L137" s="16" t="inlineStr">
        <is>
          <t>BRANDIX APPAREL SOLUTION LTD - GIRITALE</t>
        </is>
      </c>
      <c r="M137" s="15" t="inlineStr">
        <is>
          <t>N</t>
        </is>
      </c>
      <c r="N137" s="17" t="n">
        <v>452512384989</v>
      </c>
      <c r="O137" s="15" t="n">
        <v>19855984</v>
      </c>
      <c r="P137" s="18" t="inlineStr">
        <is>
          <t>LM5AQGS</t>
        </is>
      </c>
      <c r="Q137" s="18" t="n">
        <v>5</v>
      </c>
      <c r="R137" s="18" t="n">
        <v>0.253</v>
      </c>
      <c r="S137" s="15" t="n">
        <v>31.77</v>
      </c>
      <c r="T137" s="16" t="n">
        <v>45824</v>
      </c>
      <c r="U137" s="19" t="n">
        <v>45883</v>
      </c>
      <c r="V137" s="16" t="n">
        <v>45824</v>
      </c>
      <c r="W137" s="16" t="n">
        <v>45826</v>
      </c>
      <c r="X137" s="57">
        <f>W137-1</f>
        <v/>
      </c>
      <c r="Y137" s="63" t="n">
        <v>45832</v>
      </c>
      <c r="Z137" s="67" t="n">
        <v>45861</v>
      </c>
      <c r="AA137" s="71">
        <f>Z137+13</f>
        <v/>
      </c>
      <c r="AB137" s="20">
        <f>AA137-U137</f>
        <v/>
      </c>
      <c r="AC137" s="20" t="inlineStr">
        <is>
          <t>No</t>
        </is>
      </c>
      <c r="AD137" s="21" t="inlineStr">
        <is>
          <t>1 HBL</t>
        </is>
      </c>
      <c r="AE137" s="21" t="n"/>
      <c r="AF137" s="22" t="inlineStr">
        <is>
          <t>LW</t>
        </is>
      </c>
      <c r="AG137" s="23" t="inlineStr">
        <is>
          <t>NAC</t>
        </is>
      </c>
      <c r="AH137" s="24" t="n"/>
      <c r="AN137" s="24" t="n"/>
    </row>
    <row r="138" ht="12.75" customHeight="1">
      <c r="A138" s="15" t="n">
        <v>3254506</v>
      </c>
      <c r="B138" s="15" t="inlineStr">
        <is>
          <t>Flexport</t>
        </is>
      </c>
      <c r="C138" s="15" t="inlineStr">
        <is>
          <t>Colombo, LK</t>
        </is>
      </c>
      <c r="D138" s="15" t="inlineStr">
        <is>
          <t>New York, NY, US</t>
        </is>
      </c>
      <c r="E138" s="15" t="inlineStr">
        <is>
          <t>Mississauga, ON, CA</t>
        </is>
      </c>
      <c r="F138" s="15" t="inlineStr">
        <is>
          <t>OCEAN</t>
        </is>
      </c>
      <c r="G138" s="15" t="inlineStr">
        <is>
          <t>C. 1 x 40HC</t>
        </is>
      </c>
      <c r="H138" s="15" t="inlineStr">
        <is>
          <t>CFS/CY</t>
        </is>
      </c>
      <c r="I138" s="15" t="inlineStr">
        <is>
          <t>ONE</t>
        </is>
      </c>
      <c r="J138" s="15" t="inlineStr">
        <is>
          <t>EC3</t>
        </is>
      </c>
      <c r="K138" s="15" t="inlineStr">
        <is>
          <t>Inqube Global (PVT) Ltd</t>
        </is>
      </c>
      <c r="L138" s="16" t="inlineStr">
        <is>
          <t>BRANDIX APPAREL SOLUTION LTD - GIRITALE</t>
        </is>
      </c>
      <c r="M138" s="15" t="inlineStr">
        <is>
          <t>N</t>
        </is>
      </c>
      <c r="N138" s="17" t="n">
        <v>452513362362</v>
      </c>
      <c r="O138" s="15" t="n">
        <v>19855995</v>
      </c>
      <c r="P138" s="18" t="inlineStr">
        <is>
          <t>LM5AQGS</t>
        </is>
      </c>
      <c r="Q138" s="18" t="n">
        <v>5</v>
      </c>
      <c r="R138" s="18" t="n">
        <v>0.295</v>
      </c>
      <c r="S138" s="15" t="n">
        <v>38.61</v>
      </c>
      <c r="T138" s="16" t="n">
        <v>45824</v>
      </c>
      <c r="U138" s="19" t="n">
        <v>45883</v>
      </c>
      <c r="V138" s="16" t="n">
        <v>45824</v>
      </c>
      <c r="W138" s="16" t="n">
        <v>45826</v>
      </c>
      <c r="X138" s="57">
        <f>W138-1</f>
        <v/>
      </c>
      <c r="Y138" s="63" t="n">
        <v>45832</v>
      </c>
      <c r="Z138" s="67" t="n">
        <v>45861</v>
      </c>
      <c r="AA138" s="71">
        <f>Z138+13</f>
        <v/>
      </c>
      <c r="AB138" s="20">
        <f>AA138-U138</f>
        <v/>
      </c>
      <c r="AC138" s="20" t="inlineStr">
        <is>
          <t>No</t>
        </is>
      </c>
      <c r="AD138" s="21" t="inlineStr">
        <is>
          <t>1 HBL</t>
        </is>
      </c>
      <c r="AE138" s="21" t="n"/>
      <c r="AF138" s="22" t="inlineStr">
        <is>
          <t>LW</t>
        </is>
      </c>
      <c r="AG138" s="23" t="inlineStr">
        <is>
          <t>NAC</t>
        </is>
      </c>
      <c r="AH138" s="24" t="n"/>
      <c r="AN138" s="24" t="n"/>
    </row>
    <row r="139" ht="12.75" customHeight="1">
      <c r="A139" s="15" t="n">
        <v>3254506</v>
      </c>
      <c r="B139" s="15" t="inlineStr">
        <is>
          <t>Flexport</t>
        </is>
      </c>
      <c r="C139" s="15" t="inlineStr">
        <is>
          <t>Colombo, LK</t>
        </is>
      </c>
      <c r="D139" s="15" t="inlineStr">
        <is>
          <t>New York, NY, US</t>
        </is>
      </c>
      <c r="E139" s="15" t="inlineStr">
        <is>
          <t>Mississauga, ON, CA</t>
        </is>
      </c>
      <c r="F139" s="15" t="inlineStr">
        <is>
          <t>OCEAN</t>
        </is>
      </c>
      <c r="G139" s="15" t="inlineStr">
        <is>
          <t>C. 1 x 40HC</t>
        </is>
      </c>
      <c r="H139" s="15" t="inlineStr">
        <is>
          <t>CFS/CY</t>
        </is>
      </c>
      <c r="I139" s="15" t="inlineStr">
        <is>
          <t>ONE</t>
        </is>
      </c>
      <c r="J139" s="15" t="inlineStr">
        <is>
          <t>EC3</t>
        </is>
      </c>
      <c r="K139" s="15" t="inlineStr">
        <is>
          <t>Inqube Global (PVT) Ltd</t>
        </is>
      </c>
      <c r="L139" s="16" t="inlineStr">
        <is>
          <t>BRANDIX APPAREL SOLUTION LTD - GIRITALE</t>
        </is>
      </c>
      <c r="M139" s="15" t="inlineStr">
        <is>
          <t>N</t>
        </is>
      </c>
      <c r="N139" s="17" t="n">
        <v>452514184896</v>
      </c>
      <c r="O139" s="15" t="n">
        <v>19856019</v>
      </c>
      <c r="P139" s="18" t="inlineStr">
        <is>
          <t>LM5AQHS</t>
        </is>
      </c>
      <c r="Q139" s="18" t="n">
        <v>9</v>
      </c>
      <c r="R139" s="18" t="n">
        <v>0.663</v>
      </c>
      <c r="S139" s="15" t="n">
        <v>112.39</v>
      </c>
      <c r="T139" s="16" t="n">
        <v>45824</v>
      </c>
      <c r="U139" s="19" t="n">
        <v>45883</v>
      </c>
      <c r="V139" s="16" t="n">
        <v>45824</v>
      </c>
      <c r="W139" s="16" t="n">
        <v>45826</v>
      </c>
      <c r="X139" s="57">
        <f>W139-1</f>
        <v/>
      </c>
      <c r="Y139" s="63" t="n">
        <v>45832</v>
      </c>
      <c r="Z139" s="67" t="n">
        <v>45861</v>
      </c>
      <c r="AA139" s="71">
        <f>Z139+13</f>
        <v/>
      </c>
      <c r="AB139" s="20">
        <f>AA139-U139</f>
        <v/>
      </c>
      <c r="AC139" s="20" t="inlineStr">
        <is>
          <t>No</t>
        </is>
      </c>
      <c r="AD139" s="21" t="inlineStr">
        <is>
          <t>1 HBL</t>
        </is>
      </c>
      <c r="AE139" s="21" t="n"/>
      <c r="AF139" s="22" t="inlineStr">
        <is>
          <t>LW</t>
        </is>
      </c>
      <c r="AG139" s="23" t="inlineStr">
        <is>
          <t>NAC</t>
        </is>
      </c>
      <c r="AH139" s="24" t="n"/>
      <c r="AN139" s="24" t="n"/>
    </row>
    <row r="140" ht="12.75" customHeight="1">
      <c r="A140" s="15" t="n">
        <v>3254506</v>
      </c>
      <c r="B140" s="15" t="inlineStr">
        <is>
          <t>Flexport</t>
        </is>
      </c>
      <c r="C140" s="15" t="inlineStr">
        <is>
          <t>Colombo, LK</t>
        </is>
      </c>
      <c r="D140" s="15" t="inlineStr">
        <is>
          <t>New York, NY, US</t>
        </is>
      </c>
      <c r="E140" s="15" t="inlineStr">
        <is>
          <t>Mississauga, ON, CA</t>
        </is>
      </c>
      <c r="F140" s="15" t="inlineStr">
        <is>
          <t>OCEAN</t>
        </is>
      </c>
      <c r="G140" s="15" t="inlineStr">
        <is>
          <t>C. 1 x 40HC</t>
        </is>
      </c>
      <c r="H140" s="15" t="inlineStr">
        <is>
          <t>CFS/CY</t>
        </is>
      </c>
      <c r="I140" s="15" t="inlineStr">
        <is>
          <t>ONE</t>
        </is>
      </c>
      <c r="J140" s="15" t="inlineStr">
        <is>
          <t>EC3</t>
        </is>
      </c>
      <c r="K140" s="15" t="inlineStr">
        <is>
          <t>Inqube Global (PVT) Ltd</t>
        </is>
      </c>
      <c r="L140" s="16" t="inlineStr">
        <is>
          <t>BRANDIX APPAREL SOLUTION LTD - GIRITALE</t>
        </is>
      </c>
      <c r="M140" s="15" t="inlineStr">
        <is>
          <t>N</t>
        </is>
      </c>
      <c r="N140" s="17" t="n">
        <v>452514187247</v>
      </c>
      <c r="O140" s="15" t="n">
        <v>19856055</v>
      </c>
      <c r="P140" s="18" t="inlineStr">
        <is>
          <t>LM5AQMT</t>
        </is>
      </c>
      <c r="Q140" s="18" t="n">
        <v>4</v>
      </c>
      <c r="R140" s="18" t="n">
        <v>0.21</v>
      </c>
      <c r="S140" s="15" t="n">
        <v>37.48</v>
      </c>
      <c r="T140" s="16" t="n">
        <v>45824</v>
      </c>
      <c r="U140" s="19" t="n">
        <v>45883</v>
      </c>
      <c r="V140" s="16" t="n">
        <v>45824</v>
      </c>
      <c r="W140" s="16" t="n">
        <v>45826</v>
      </c>
      <c r="X140" s="57">
        <f>W140-1</f>
        <v/>
      </c>
      <c r="Y140" s="63" t="n">
        <v>45832</v>
      </c>
      <c r="Z140" s="67" t="n">
        <v>45861</v>
      </c>
      <c r="AA140" s="71">
        <f>Z140+13</f>
        <v/>
      </c>
      <c r="AB140" s="20">
        <f>AA140-U140</f>
        <v/>
      </c>
      <c r="AC140" s="20" t="inlineStr">
        <is>
          <t>No</t>
        </is>
      </c>
      <c r="AD140" s="21" t="inlineStr">
        <is>
          <t>1 HBL</t>
        </is>
      </c>
      <c r="AE140" s="21" t="n"/>
      <c r="AF140" s="22" t="inlineStr">
        <is>
          <t>LW</t>
        </is>
      </c>
      <c r="AG140" s="23" t="inlineStr">
        <is>
          <t>NAC</t>
        </is>
      </c>
      <c r="AH140" s="24" t="n"/>
      <c r="AN140" s="24" t="n"/>
    </row>
    <row r="141" ht="12.75" customHeight="1">
      <c r="A141" s="15" t="n">
        <v>3254506</v>
      </c>
      <c r="B141" s="15" t="inlineStr">
        <is>
          <t>Flexport</t>
        </is>
      </c>
      <c r="C141" s="15" t="inlineStr">
        <is>
          <t>Colombo, LK</t>
        </is>
      </c>
      <c r="D141" s="15" t="inlineStr">
        <is>
          <t>New York, NY, US</t>
        </is>
      </c>
      <c r="E141" s="15" t="inlineStr">
        <is>
          <t>Mississauga, ON, CA</t>
        </is>
      </c>
      <c r="F141" s="15" t="inlineStr">
        <is>
          <t>OCEAN</t>
        </is>
      </c>
      <c r="G141" s="15" t="inlineStr">
        <is>
          <t>C. 1 x 40HC</t>
        </is>
      </c>
      <c r="H141" s="15" t="inlineStr">
        <is>
          <t>CFS/CY</t>
        </is>
      </c>
      <c r="I141" s="15" t="inlineStr">
        <is>
          <t>ONE</t>
        </is>
      </c>
      <c r="J141" s="15" t="inlineStr">
        <is>
          <t>EC3</t>
        </is>
      </c>
      <c r="K141" s="15" t="inlineStr">
        <is>
          <t>Inqube Global (PVT) Ltd</t>
        </is>
      </c>
      <c r="L141" s="16" t="inlineStr">
        <is>
          <t>BRANDIX APPAREL SOLUTION LTD - GIRITALE</t>
        </is>
      </c>
      <c r="M141" s="15" t="inlineStr">
        <is>
          <t>N</t>
        </is>
      </c>
      <c r="N141" s="17" t="n">
        <v>452514909602</v>
      </c>
      <c r="O141" s="15" t="n">
        <v>19856067</v>
      </c>
      <c r="P141" s="18" t="inlineStr">
        <is>
          <t>LM5AQMT</t>
        </is>
      </c>
      <c r="Q141" s="18" t="n">
        <v>4</v>
      </c>
      <c r="R141" s="18" t="n">
        <v>0.21</v>
      </c>
      <c r="S141" s="15" t="n">
        <v>39.38</v>
      </c>
      <c r="T141" s="16" t="n">
        <v>45824</v>
      </c>
      <c r="U141" s="19" t="n">
        <v>45883</v>
      </c>
      <c r="V141" s="16" t="n">
        <v>45824</v>
      </c>
      <c r="W141" s="16" t="n">
        <v>45826</v>
      </c>
      <c r="X141" s="57">
        <f>W141-1</f>
        <v/>
      </c>
      <c r="Y141" s="63" t="n">
        <v>45832</v>
      </c>
      <c r="Z141" s="67" t="n">
        <v>45861</v>
      </c>
      <c r="AA141" s="71">
        <f>Z141+13</f>
        <v/>
      </c>
      <c r="AB141" s="20">
        <f>AA141-U141</f>
        <v/>
      </c>
      <c r="AC141" s="20" t="inlineStr">
        <is>
          <t>No</t>
        </is>
      </c>
      <c r="AD141" s="21" t="inlineStr">
        <is>
          <t>1 HBL</t>
        </is>
      </c>
      <c r="AE141" s="21" t="n"/>
      <c r="AF141" s="22" t="inlineStr">
        <is>
          <t>LW</t>
        </is>
      </c>
      <c r="AG141" s="23" t="inlineStr">
        <is>
          <t>NAC</t>
        </is>
      </c>
      <c r="AH141" s="24" t="n"/>
      <c r="AN141" s="24" t="n"/>
    </row>
    <row r="142" ht="12.75" customHeight="1">
      <c r="A142" s="15" t="n">
        <v>3254506</v>
      </c>
      <c r="B142" s="15" t="inlineStr">
        <is>
          <t>Flexport</t>
        </is>
      </c>
      <c r="C142" s="15" t="inlineStr">
        <is>
          <t>Colombo, LK</t>
        </is>
      </c>
      <c r="D142" s="15" t="inlineStr">
        <is>
          <t>New York, NY, US</t>
        </is>
      </c>
      <c r="E142" s="15" t="inlineStr">
        <is>
          <t>Mississauga, ON, CA</t>
        </is>
      </c>
      <c r="F142" s="15" t="inlineStr">
        <is>
          <t>OCEAN</t>
        </is>
      </c>
      <c r="G142" s="15" t="inlineStr">
        <is>
          <t>C. 1 x 40HC</t>
        </is>
      </c>
      <c r="H142" s="15" t="inlineStr">
        <is>
          <t>CFS/CY</t>
        </is>
      </c>
      <c r="I142" s="15" t="inlineStr">
        <is>
          <t>ONE</t>
        </is>
      </c>
      <c r="J142" s="15" t="inlineStr">
        <is>
          <t>EC3</t>
        </is>
      </c>
      <c r="K142" s="15" t="inlineStr">
        <is>
          <t>Inqube Global (PVT) Ltd</t>
        </is>
      </c>
      <c r="L142" s="16" t="inlineStr">
        <is>
          <t>BRANDIX APPAREL SOLUTION LTD - GIRITALE</t>
        </is>
      </c>
      <c r="M142" s="15" t="inlineStr">
        <is>
          <t>N</t>
        </is>
      </c>
      <c r="N142" s="17" t="n">
        <v>452665810522</v>
      </c>
      <c r="O142" s="15" t="n">
        <v>19856043</v>
      </c>
      <c r="P142" s="18" t="inlineStr">
        <is>
          <t>LM5AQMT</t>
        </is>
      </c>
      <c r="Q142" s="18" t="n">
        <v>4</v>
      </c>
      <c r="R142" s="18" t="n">
        <v>0.253</v>
      </c>
      <c r="S142" s="15" t="n">
        <v>43.62</v>
      </c>
      <c r="T142" s="16" t="n">
        <v>45824</v>
      </c>
      <c r="U142" s="19" t="n">
        <v>45883</v>
      </c>
      <c r="V142" s="16" t="n">
        <v>45824</v>
      </c>
      <c r="W142" s="16" t="n">
        <v>45826</v>
      </c>
      <c r="X142" s="57">
        <f>W142-1</f>
        <v/>
      </c>
      <c r="Y142" s="63" t="n">
        <v>45832</v>
      </c>
      <c r="Z142" s="67" t="n">
        <v>45861</v>
      </c>
      <c r="AA142" s="71">
        <f>Z142+13</f>
        <v/>
      </c>
      <c r="AB142" s="20">
        <f>AA142-U142</f>
        <v/>
      </c>
      <c r="AC142" s="20" t="inlineStr">
        <is>
          <t>No</t>
        </is>
      </c>
      <c r="AD142" s="21" t="inlineStr">
        <is>
          <t>1 HBL</t>
        </is>
      </c>
      <c r="AE142" s="21" t="n"/>
      <c r="AF142" s="22" t="inlineStr">
        <is>
          <t>LW</t>
        </is>
      </c>
      <c r="AG142" s="23" t="inlineStr">
        <is>
          <t>NAC</t>
        </is>
      </c>
      <c r="AH142" s="24" t="n"/>
      <c r="AN142" s="24" t="n"/>
    </row>
    <row r="143" ht="12.75" customHeight="1">
      <c r="A143" s="15" t="n">
        <v>3254506</v>
      </c>
      <c r="B143" s="15" t="inlineStr">
        <is>
          <t>Flexport</t>
        </is>
      </c>
      <c r="C143" s="15" t="inlineStr">
        <is>
          <t>Colombo, LK</t>
        </is>
      </c>
      <c r="D143" s="15" t="inlineStr">
        <is>
          <t>New York, NY, US</t>
        </is>
      </c>
      <c r="E143" s="15" t="inlineStr">
        <is>
          <t>Mississauga, ON, CA</t>
        </is>
      </c>
      <c r="F143" s="15" t="inlineStr">
        <is>
          <t>OCEAN</t>
        </is>
      </c>
      <c r="G143" s="15" t="inlineStr">
        <is>
          <t>C. 1 x 40HC</t>
        </is>
      </c>
      <c r="H143" s="15" t="inlineStr">
        <is>
          <t>CFS/CY</t>
        </is>
      </c>
      <c r="I143" s="15" t="inlineStr">
        <is>
          <t>ONE</t>
        </is>
      </c>
      <c r="J143" s="15" t="inlineStr">
        <is>
          <t>EC3</t>
        </is>
      </c>
      <c r="K143" s="15" t="inlineStr">
        <is>
          <t>Inqube Global (PVT) Ltd</t>
        </is>
      </c>
      <c r="L143" s="16" t="inlineStr">
        <is>
          <t>BRANDIX APPAREL SOLUTION LTD - GIRITALE</t>
        </is>
      </c>
      <c r="M143" s="15" t="inlineStr">
        <is>
          <t>N</t>
        </is>
      </c>
      <c r="N143" s="17" t="n">
        <v>452666085643</v>
      </c>
      <c r="O143" s="15" t="n">
        <v>19856610</v>
      </c>
      <c r="P143" s="18" t="inlineStr">
        <is>
          <t>LM7BSOS</t>
        </is>
      </c>
      <c r="Q143" s="18" t="n">
        <v>2</v>
      </c>
      <c r="R143" s="18" t="n">
        <v>0.125</v>
      </c>
      <c r="S143" s="15" t="n">
        <v>17.85</v>
      </c>
      <c r="T143" s="16" t="n">
        <v>45824</v>
      </c>
      <c r="U143" s="19" t="n">
        <v>45883</v>
      </c>
      <c r="V143" s="16" t="n">
        <v>45824</v>
      </c>
      <c r="W143" s="16" t="n">
        <v>45826</v>
      </c>
      <c r="X143" s="57">
        <f>W143-1</f>
        <v/>
      </c>
      <c r="Y143" s="63" t="n">
        <v>45832</v>
      </c>
      <c r="Z143" s="67" t="n">
        <v>45861</v>
      </c>
      <c r="AA143" s="71">
        <f>Z143+13</f>
        <v/>
      </c>
      <c r="AB143" s="20">
        <f>AA143-U143</f>
        <v/>
      </c>
      <c r="AC143" s="20" t="inlineStr">
        <is>
          <t>No</t>
        </is>
      </c>
      <c r="AD143" s="21" t="inlineStr">
        <is>
          <t>1 HBL</t>
        </is>
      </c>
      <c r="AE143" s="21" t="n"/>
      <c r="AF143" s="22" t="inlineStr">
        <is>
          <t>LW</t>
        </is>
      </c>
      <c r="AG143" s="23" t="inlineStr">
        <is>
          <t>NAC</t>
        </is>
      </c>
      <c r="AH143" s="24" t="n"/>
      <c r="AN143" s="24" t="n"/>
    </row>
    <row r="144" ht="12.75" customHeight="1">
      <c r="A144" s="15" t="n">
        <v>3254506</v>
      </c>
      <c r="B144" s="15" t="inlineStr">
        <is>
          <t>Flexport</t>
        </is>
      </c>
      <c r="C144" s="15" t="inlineStr">
        <is>
          <t>Colombo, LK</t>
        </is>
      </c>
      <c r="D144" s="15" t="inlineStr">
        <is>
          <t>New York, NY, US</t>
        </is>
      </c>
      <c r="E144" s="15" t="inlineStr">
        <is>
          <t>Mississauga, ON, CA</t>
        </is>
      </c>
      <c r="F144" s="15" t="inlineStr">
        <is>
          <t>OCEAN</t>
        </is>
      </c>
      <c r="G144" s="15" t="inlineStr">
        <is>
          <t>C. 1 x 40HC</t>
        </is>
      </c>
      <c r="H144" s="15" t="inlineStr">
        <is>
          <t>CFS/CY</t>
        </is>
      </c>
      <c r="I144" s="15" t="inlineStr">
        <is>
          <t>ONE</t>
        </is>
      </c>
      <c r="J144" s="15" t="inlineStr">
        <is>
          <t>EC3</t>
        </is>
      </c>
      <c r="K144" s="15" t="inlineStr">
        <is>
          <t>Inqube Global (PVT) Ltd</t>
        </is>
      </c>
      <c r="L144" s="16" t="inlineStr">
        <is>
          <t>Brandix Apparel Solutions Limited - Minuwangoda</t>
        </is>
      </c>
      <c r="M144" s="15" t="inlineStr">
        <is>
          <t>N</t>
        </is>
      </c>
      <c r="N144" s="17" t="n">
        <v>452020198265</v>
      </c>
      <c r="O144" s="15" t="n">
        <v>19910305</v>
      </c>
      <c r="P144" s="18" t="inlineStr">
        <is>
          <t>LW5GLNS</t>
        </is>
      </c>
      <c r="Q144" s="18" t="n">
        <v>14</v>
      </c>
      <c r="R144" s="18" t="n">
        <v>1.099</v>
      </c>
      <c r="S144" s="15" t="n">
        <v>142.26</v>
      </c>
      <c r="T144" s="16" t="n">
        <v>45824</v>
      </c>
      <c r="U144" s="19" t="n">
        <v>45883</v>
      </c>
      <c r="V144" s="16" t="n">
        <v>45824</v>
      </c>
      <c r="W144" s="16" t="n">
        <v>45826</v>
      </c>
      <c r="X144" s="57">
        <f>W144-1</f>
        <v/>
      </c>
      <c r="Y144" s="63" t="n">
        <v>45832</v>
      </c>
      <c r="Z144" s="67" t="n">
        <v>45861</v>
      </c>
      <c r="AA144" s="71">
        <f>Z144+13</f>
        <v/>
      </c>
      <c r="AB144" s="20">
        <f>AA144-U144</f>
        <v/>
      </c>
      <c r="AC144" s="20" t="inlineStr">
        <is>
          <t>No</t>
        </is>
      </c>
      <c r="AD144" s="21" t="inlineStr">
        <is>
          <t>1 HBL</t>
        </is>
      </c>
      <c r="AE144" s="21" t="n"/>
      <c r="AF144" s="22" t="inlineStr">
        <is>
          <t>LW</t>
        </is>
      </c>
      <c r="AG144" s="23" t="inlineStr">
        <is>
          <t>NAC</t>
        </is>
      </c>
      <c r="AH144" s="24" t="n"/>
      <c r="AN144" s="24" t="n"/>
    </row>
    <row r="145" ht="12.75" customHeight="1">
      <c r="A145" s="15" t="n">
        <v>3254506</v>
      </c>
      <c r="B145" s="15" t="inlineStr">
        <is>
          <t>Flexport</t>
        </is>
      </c>
      <c r="C145" s="15" t="inlineStr">
        <is>
          <t>Colombo, LK</t>
        </is>
      </c>
      <c r="D145" s="15" t="inlineStr">
        <is>
          <t>New York, NY, US</t>
        </is>
      </c>
      <c r="E145" s="15" t="inlineStr">
        <is>
          <t>Mississauga, ON, CA</t>
        </is>
      </c>
      <c r="F145" s="15" t="inlineStr">
        <is>
          <t>OCEAN</t>
        </is>
      </c>
      <c r="G145" s="15" t="inlineStr">
        <is>
          <t>C. 1 x 40HC</t>
        </is>
      </c>
      <c r="H145" s="15" t="inlineStr">
        <is>
          <t>CFS/CY</t>
        </is>
      </c>
      <c r="I145" s="15" t="inlineStr">
        <is>
          <t>ONE</t>
        </is>
      </c>
      <c r="J145" s="15" t="inlineStr">
        <is>
          <t>EC3</t>
        </is>
      </c>
      <c r="K145" s="15" t="inlineStr">
        <is>
          <t>Inqube Global (PVT) Ltd</t>
        </is>
      </c>
      <c r="L145" s="16" t="inlineStr">
        <is>
          <t>Brandix Apparel Solutions Limited - Minuwangoda</t>
        </is>
      </c>
      <c r="M145" s="15" t="inlineStr">
        <is>
          <t>N</t>
        </is>
      </c>
      <c r="N145" s="17" t="n">
        <v>452020642697</v>
      </c>
      <c r="O145" s="15" t="n">
        <v>19933127</v>
      </c>
      <c r="P145" s="18" t="inlineStr">
        <is>
          <t>LM3DK7S</t>
        </is>
      </c>
      <c r="Q145" s="18" t="n">
        <v>8</v>
      </c>
      <c r="R145" s="18" t="n">
        <v>0.628</v>
      </c>
      <c r="S145" s="15" t="n">
        <v>93.65000000000001</v>
      </c>
      <c r="T145" s="16" t="n">
        <v>45824</v>
      </c>
      <c r="U145" s="19" t="n">
        <v>45883</v>
      </c>
      <c r="V145" s="16" t="n">
        <v>45824</v>
      </c>
      <c r="W145" s="16" t="n">
        <v>45826</v>
      </c>
      <c r="X145" s="57">
        <f>W145-1</f>
        <v/>
      </c>
      <c r="Y145" s="63" t="n">
        <v>45832</v>
      </c>
      <c r="Z145" s="67" t="n">
        <v>45861</v>
      </c>
      <c r="AA145" s="71">
        <f>Z145+13</f>
        <v/>
      </c>
      <c r="AB145" s="20">
        <f>AA145-U145</f>
        <v/>
      </c>
      <c r="AC145" s="20" t="inlineStr">
        <is>
          <t>No</t>
        </is>
      </c>
      <c r="AD145" s="21" t="inlineStr">
        <is>
          <t>1 HBL</t>
        </is>
      </c>
      <c r="AE145" s="21" t="n"/>
      <c r="AF145" s="22" t="inlineStr">
        <is>
          <t>LW</t>
        </is>
      </c>
      <c r="AG145" s="23" t="inlineStr">
        <is>
          <t>NAC</t>
        </is>
      </c>
      <c r="AH145" s="24" t="n"/>
      <c r="AN145" s="24" t="n"/>
    </row>
    <row r="146" ht="12.75" customHeight="1">
      <c r="A146" s="15" t="n">
        <v>3254506</v>
      </c>
      <c r="B146" s="15" t="inlineStr">
        <is>
          <t>Flexport</t>
        </is>
      </c>
      <c r="C146" s="15" t="inlineStr">
        <is>
          <t>Colombo, LK</t>
        </is>
      </c>
      <c r="D146" s="15" t="inlineStr">
        <is>
          <t>New York, NY, US</t>
        </is>
      </c>
      <c r="E146" s="15" t="inlineStr">
        <is>
          <t>Mississauga, ON, CA</t>
        </is>
      </c>
      <c r="F146" s="15" t="inlineStr">
        <is>
          <t>OCEAN</t>
        </is>
      </c>
      <c r="G146" s="15" t="inlineStr">
        <is>
          <t>C. 1 x 40HC</t>
        </is>
      </c>
      <c r="H146" s="15" t="inlineStr">
        <is>
          <t>CFS/CY</t>
        </is>
      </c>
      <c r="I146" s="15" t="inlineStr">
        <is>
          <t>ONE</t>
        </is>
      </c>
      <c r="J146" s="15" t="inlineStr">
        <is>
          <t>EC3</t>
        </is>
      </c>
      <c r="K146" s="15" t="inlineStr">
        <is>
          <t>Inqube Global (PVT) Ltd</t>
        </is>
      </c>
      <c r="L146" s="16" t="inlineStr">
        <is>
          <t>Brandix Apparel Solutions Limited - Minuwangoda</t>
        </is>
      </c>
      <c r="M146" s="15" t="inlineStr">
        <is>
          <t>N</t>
        </is>
      </c>
      <c r="N146" s="17" t="n">
        <v>452021328446</v>
      </c>
      <c r="O146" s="15" t="n">
        <v>19933357</v>
      </c>
      <c r="P146" s="18" t="inlineStr">
        <is>
          <t>LM3DK7S</t>
        </is>
      </c>
      <c r="Q146" s="18" t="n">
        <v>6</v>
      </c>
      <c r="R146" s="18" t="n">
        <v>0.471</v>
      </c>
      <c r="S146" s="15" t="n">
        <v>76</v>
      </c>
      <c r="T146" s="16" t="n">
        <v>45824</v>
      </c>
      <c r="U146" s="19" t="n">
        <v>45883</v>
      </c>
      <c r="V146" s="16" t="n">
        <v>45824</v>
      </c>
      <c r="W146" s="16" t="n">
        <v>45826</v>
      </c>
      <c r="X146" s="57">
        <f>W146-1</f>
        <v/>
      </c>
      <c r="Y146" s="63" t="n">
        <v>45832</v>
      </c>
      <c r="Z146" s="67" t="n">
        <v>45861</v>
      </c>
      <c r="AA146" s="71">
        <f>Z146+13</f>
        <v/>
      </c>
      <c r="AB146" s="20">
        <f>AA146-U146</f>
        <v/>
      </c>
      <c r="AC146" s="20" t="inlineStr">
        <is>
          <t>No</t>
        </is>
      </c>
      <c r="AD146" s="21" t="inlineStr">
        <is>
          <t>1 HBL</t>
        </is>
      </c>
      <c r="AE146" s="21" t="n"/>
      <c r="AF146" s="22" t="inlineStr">
        <is>
          <t>LW</t>
        </is>
      </c>
      <c r="AG146" s="23" t="inlineStr">
        <is>
          <t>NAC</t>
        </is>
      </c>
      <c r="AH146" s="24" t="n"/>
      <c r="AN146" s="24" t="n"/>
    </row>
    <row r="147" ht="12.75" customHeight="1">
      <c r="A147" s="15" t="n">
        <v>3254506</v>
      </c>
      <c r="B147" s="15" t="inlineStr">
        <is>
          <t>Flexport</t>
        </is>
      </c>
      <c r="C147" s="15" t="inlineStr">
        <is>
          <t>Colombo, LK</t>
        </is>
      </c>
      <c r="D147" s="15" t="inlineStr">
        <is>
          <t>New York, NY, US</t>
        </is>
      </c>
      <c r="E147" s="15" t="inlineStr">
        <is>
          <t>Mississauga, ON, CA</t>
        </is>
      </c>
      <c r="F147" s="15" t="inlineStr">
        <is>
          <t>OCEAN</t>
        </is>
      </c>
      <c r="G147" s="15" t="inlineStr">
        <is>
          <t>C. 1 x 40HC</t>
        </is>
      </c>
      <c r="H147" s="15" t="inlineStr">
        <is>
          <t>CFS/CY</t>
        </is>
      </c>
      <c r="I147" s="15" t="inlineStr">
        <is>
          <t>ONE</t>
        </is>
      </c>
      <c r="J147" s="15" t="inlineStr">
        <is>
          <t>EC3</t>
        </is>
      </c>
      <c r="K147" s="15" t="inlineStr">
        <is>
          <t>Inqube Global (PVT) Ltd</t>
        </is>
      </c>
      <c r="L147" s="16" t="inlineStr">
        <is>
          <t>Brandix Apparel Solutions Limited - Minuwangoda</t>
        </is>
      </c>
      <c r="M147" s="15" t="inlineStr">
        <is>
          <t>N</t>
        </is>
      </c>
      <c r="N147" s="17" t="n">
        <v>452521848044</v>
      </c>
      <c r="O147" s="15" t="n">
        <v>19933297</v>
      </c>
      <c r="P147" s="18" t="inlineStr">
        <is>
          <t>LW5GLNS</t>
        </is>
      </c>
      <c r="Q147" s="18" t="n">
        <v>25</v>
      </c>
      <c r="R147" s="18" t="n">
        <v>1.963</v>
      </c>
      <c r="S147" s="15" t="n">
        <v>269.96</v>
      </c>
      <c r="T147" s="16" t="n">
        <v>45824</v>
      </c>
      <c r="U147" s="19" t="n">
        <v>45883</v>
      </c>
      <c r="V147" s="16" t="n">
        <v>45824</v>
      </c>
      <c r="W147" s="16" t="n">
        <v>45826</v>
      </c>
      <c r="X147" s="57">
        <f>W147-1</f>
        <v/>
      </c>
      <c r="Y147" s="63" t="n">
        <v>45832</v>
      </c>
      <c r="Z147" s="67" t="n">
        <v>45861</v>
      </c>
      <c r="AA147" s="71">
        <f>Z147+13</f>
        <v/>
      </c>
      <c r="AB147" s="20">
        <f>AA147-U147</f>
        <v/>
      </c>
      <c r="AC147" s="20" t="inlineStr">
        <is>
          <t>No</t>
        </is>
      </c>
      <c r="AD147" s="21" t="inlineStr">
        <is>
          <t>1 HBL</t>
        </is>
      </c>
      <c r="AE147" s="21" t="n"/>
      <c r="AF147" s="22" t="inlineStr">
        <is>
          <t>LW</t>
        </is>
      </c>
      <c r="AG147" s="23" t="inlineStr">
        <is>
          <t>NAC</t>
        </is>
      </c>
      <c r="AH147" s="24" t="n"/>
      <c r="AN147" s="24" t="n"/>
    </row>
    <row r="148" ht="12.75" customHeight="1">
      <c r="A148" s="15" t="n">
        <v>3254506</v>
      </c>
      <c r="B148" s="15" t="inlineStr">
        <is>
          <t>Flexport</t>
        </is>
      </c>
      <c r="C148" s="15" t="inlineStr">
        <is>
          <t>Colombo, LK</t>
        </is>
      </c>
      <c r="D148" s="15" t="inlineStr">
        <is>
          <t>New York, NY, US</t>
        </is>
      </c>
      <c r="E148" s="15" t="inlineStr">
        <is>
          <t>Mississauga, ON, CA</t>
        </is>
      </c>
      <c r="F148" s="15" t="inlineStr">
        <is>
          <t>OCEAN</t>
        </is>
      </c>
      <c r="G148" s="15" t="inlineStr">
        <is>
          <t>C. 1 x 40HC</t>
        </is>
      </c>
      <c r="H148" s="15" t="inlineStr">
        <is>
          <t>CFS/CY</t>
        </is>
      </c>
      <c r="I148" s="15" t="inlineStr">
        <is>
          <t>ONE</t>
        </is>
      </c>
      <c r="J148" s="15" t="inlineStr">
        <is>
          <t>EC3</t>
        </is>
      </c>
      <c r="K148" s="15" t="inlineStr">
        <is>
          <t>Inqube Global (PVT) Ltd</t>
        </is>
      </c>
      <c r="L148" s="16" t="inlineStr">
        <is>
          <t>Quantum Clothing Lanka (Pvt) Ltd</t>
        </is>
      </c>
      <c r="M148" s="15" t="inlineStr">
        <is>
          <t>N</t>
        </is>
      </c>
      <c r="N148" s="17" t="n">
        <v>452043834613</v>
      </c>
      <c r="O148" s="15" t="n">
        <v>19876732</v>
      </c>
      <c r="P148" s="18" t="inlineStr">
        <is>
          <t>LW2EDNS</t>
        </is>
      </c>
      <c r="Q148" s="18" t="n">
        <v>1</v>
      </c>
      <c r="R148" s="18" t="n">
        <v>0.04</v>
      </c>
      <c r="S148" s="15" t="n">
        <v>5.172</v>
      </c>
      <c r="T148" s="16" t="n">
        <v>45824</v>
      </c>
      <c r="U148" s="19" t="n">
        <v>45883</v>
      </c>
      <c r="V148" s="16" t="n">
        <v>45824</v>
      </c>
      <c r="W148" s="16" t="n">
        <v>45826</v>
      </c>
      <c r="X148" s="57">
        <f>W148-1</f>
        <v/>
      </c>
      <c r="Y148" s="63" t="n">
        <v>45832</v>
      </c>
      <c r="Z148" s="67" t="n">
        <v>45861</v>
      </c>
      <c r="AA148" s="71">
        <f>Z148+13</f>
        <v/>
      </c>
      <c r="AB148" s="20">
        <f>AA148-U148</f>
        <v/>
      </c>
      <c r="AC148" s="20" t="inlineStr">
        <is>
          <t>No</t>
        </is>
      </c>
      <c r="AD148" s="21" t="inlineStr">
        <is>
          <t>1 HBL</t>
        </is>
      </c>
      <c r="AE148" s="21" t="n"/>
      <c r="AF148" s="22" t="inlineStr">
        <is>
          <t>LW</t>
        </is>
      </c>
      <c r="AG148" s="23" t="inlineStr">
        <is>
          <t>NAC</t>
        </is>
      </c>
      <c r="AH148" s="24" t="n"/>
      <c r="AN148" s="24" t="n"/>
    </row>
    <row r="149" ht="12.75" customHeight="1">
      <c r="A149" s="15" t="n">
        <v>3254506</v>
      </c>
      <c r="B149" s="15" t="inlineStr">
        <is>
          <t>Flexport</t>
        </is>
      </c>
      <c r="C149" s="15" t="inlineStr">
        <is>
          <t>Colombo, LK</t>
        </is>
      </c>
      <c r="D149" s="15" t="inlineStr">
        <is>
          <t>New York, NY, US</t>
        </is>
      </c>
      <c r="E149" s="15" t="inlineStr">
        <is>
          <t>Mississauga, ON, CA</t>
        </is>
      </c>
      <c r="F149" s="15" t="inlineStr">
        <is>
          <t>OCEAN</t>
        </is>
      </c>
      <c r="G149" s="15" t="inlineStr">
        <is>
          <t>C. 1 x 40HC</t>
        </is>
      </c>
      <c r="H149" s="15" t="inlineStr">
        <is>
          <t>CFS/CY</t>
        </is>
      </c>
      <c r="I149" s="15" t="inlineStr">
        <is>
          <t>ONE</t>
        </is>
      </c>
      <c r="J149" s="15" t="inlineStr">
        <is>
          <t>EC3</t>
        </is>
      </c>
      <c r="K149" s="15" t="inlineStr">
        <is>
          <t>Inqube Global (PVT) Ltd</t>
        </is>
      </c>
      <c r="L149" s="16" t="inlineStr">
        <is>
          <t>Quantum Clothing Lanka (Pvt) Ltd</t>
        </is>
      </c>
      <c r="M149" s="15" t="inlineStr">
        <is>
          <t>N</t>
        </is>
      </c>
      <c r="N149" s="17" t="n">
        <v>452045547643</v>
      </c>
      <c r="O149" s="15" t="n">
        <v>19876487</v>
      </c>
      <c r="P149" s="18" t="inlineStr">
        <is>
          <t>LW2EDNS</t>
        </is>
      </c>
      <c r="Q149" s="18" t="n">
        <v>1</v>
      </c>
      <c r="R149" s="18" t="n">
        <v>0.04</v>
      </c>
      <c r="S149" s="15" t="n">
        <v>7.624</v>
      </c>
      <c r="T149" s="16" t="n">
        <v>45824</v>
      </c>
      <c r="U149" s="19" t="n">
        <v>45883</v>
      </c>
      <c r="V149" s="16" t="n">
        <v>45824</v>
      </c>
      <c r="W149" s="16" t="n">
        <v>45826</v>
      </c>
      <c r="X149" s="57">
        <f>W149-1</f>
        <v/>
      </c>
      <c r="Y149" s="63" t="n">
        <v>45832</v>
      </c>
      <c r="Z149" s="67" t="n">
        <v>45861</v>
      </c>
      <c r="AA149" s="71">
        <f>Z149+13</f>
        <v/>
      </c>
      <c r="AB149" s="20">
        <f>AA149-U149</f>
        <v/>
      </c>
      <c r="AC149" s="20" t="inlineStr">
        <is>
          <t>No</t>
        </is>
      </c>
      <c r="AD149" s="21" t="inlineStr">
        <is>
          <t>1 HBL</t>
        </is>
      </c>
      <c r="AE149" s="21" t="n"/>
      <c r="AF149" s="22" t="inlineStr">
        <is>
          <t>LW</t>
        </is>
      </c>
      <c r="AG149" s="23" t="inlineStr">
        <is>
          <t>NAC</t>
        </is>
      </c>
      <c r="AH149" s="24" t="n"/>
      <c r="AN149" s="24" t="n"/>
    </row>
    <row r="150" ht="12.75" customHeight="1">
      <c r="A150" s="15" t="n">
        <v>3254506</v>
      </c>
      <c r="B150" s="15" t="inlineStr">
        <is>
          <t>Flexport</t>
        </is>
      </c>
      <c r="C150" s="15" t="inlineStr">
        <is>
          <t>Colombo, LK</t>
        </is>
      </c>
      <c r="D150" s="15" t="inlineStr">
        <is>
          <t>New York, NY, US</t>
        </is>
      </c>
      <c r="E150" s="15" t="inlineStr">
        <is>
          <t>Mississauga, ON, CA</t>
        </is>
      </c>
      <c r="F150" s="15" t="inlineStr">
        <is>
          <t>OCEAN</t>
        </is>
      </c>
      <c r="G150" s="15" t="inlineStr">
        <is>
          <t>C. 1 x 40HC</t>
        </is>
      </c>
      <c r="H150" s="15" t="inlineStr">
        <is>
          <t>CFS/CY</t>
        </is>
      </c>
      <c r="I150" s="15" t="inlineStr">
        <is>
          <t>ONE</t>
        </is>
      </c>
      <c r="J150" s="15" t="inlineStr">
        <is>
          <t>EC3</t>
        </is>
      </c>
      <c r="K150" s="15" t="inlineStr">
        <is>
          <t>Inqube Global (PVT) Ltd</t>
        </is>
      </c>
      <c r="L150" s="16" t="inlineStr">
        <is>
          <t>Quantum Clothing Lanka (Pvt) Ltd</t>
        </is>
      </c>
      <c r="M150" s="15" t="inlineStr">
        <is>
          <t>N</t>
        </is>
      </c>
      <c r="N150" s="17" t="n">
        <v>452048141508</v>
      </c>
      <c r="O150" s="15" t="n">
        <v>19876518</v>
      </c>
      <c r="P150" s="18" t="inlineStr">
        <is>
          <t>LW2EDNS</t>
        </is>
      </c>
      <c r="Q150" s="18" t="n">
        <v>1</v>
      </c>
      <c r="R150" s="18" t="n">
        <v>0.04</v>
      </c>
      <c r="S150" s="15" t="n">
        <v>3.387</v>
      </c>
      <c r="T150" s="16" t="n">
        <v>45824</v>
      </c>
      <c r="U150" s="19" t="n">
        <v>45883</v>
      </c>
      <c r="V150" s="16" t="n">
        <v>45824</v>
      </c>
      <c r="W150" s="16" t="n">
        <v>45826</v>
      </c>
      <c r="X150" s="57">
        <f>W150-1</f>
        <v/>
      </c>
      <c r="Y150" s="63" t="n">
        <v>45832</v>
      </c>
      <c r="Z150" s="67" t="n">
        <v>45861</v>
      </c>
      <c r="AA150" s="71">
        <f>Z150+13</f>
        <v/>
      </c>
      <c r="AB150" s="20">
        <f>AA150-U150</f>
        <v/>
      </c>
      <c r="AC150" s="20" t="inlineStr">
        <is>
          <t>No</t>
        </is>
      </c>
      <c r="AD150" s="21" t="inlineStr">
        <is>
          <t>1 HBL</t>
        </is>
      </c>
      <c r="AE150" s="21" t="n"/>
      <c r="AF150" s="22" t="inlineStr">
        <is>
          <t>LW</t>
        </is>
      </c>
      <c r="AG150" s="23" t="inlineStr">
        <is>
          <t>NAC</t>
        </is>
      </c>
      <c r="AH150" s="24" t="n"/>
      <c r="AN150" s="24" t="n"/>
    </row>
    <row r="151" ht="12.75" customHeight="1">
      <c r="A151" s="15" t="n">
        <v>3254506</v>
      </c>
      <c r="B151" s="15" t="inlineStr">
        <is>
          <t>Flexport</t>
        </is>
      </c>
      <c r="C151" s="15" t="inlineStr">
        <is>
          <t>Colombo, LK</t>
        </is>
      </c>
      <c r="D151" s="15" t="inlineStr">
        <is>
          <t>New York, NY, US</t>
        </is>
      </c>
      <c r="E151" s="15" t="inlineStr">
        <is>
          <t>Mississauga, ON, CA</t>
        </is>
      </c>
      <c r="F151" s="15" t="inlineStr">
        <is>
          <t>OCEAN</t>
        </is>
      </c>
      <c r="G151" s="15" t="inlineStr">
        <is>
          <t>C. 1 x 40HC</t>
        </is>
      </c>
      <c r="H151" s="15" t="inlineStr">
        <is>
          <t>CFS/CY</t>
        </is>
      </c>
      <c r="I151" s="15" t="inlineStr">
        <is>
          <t>ONE</t>
        </is>
      </c>
      <c r="J151" s="15" t="inlineStr">
        <is>
          <t>EC3</t>
        </is>
      </c>
      <c r="K151" s="15" t="inlineStr">
        <is>
          <t>Inqube Global (PVT) Ltd</t>
        </is>
      </c>
      <c r="L151" s="16" t="inlineStr">
        <is>
          <t>Quantum Clothing Lanka (Pvt) Ltd</t>
        </is>
      </c>
      <c r="M151" s="15" t="inlineStr">
        <is>
          <t>N</t>
        </is>
      </c>
      <c r="N151" s="17" t="n">
        <v>452051223910</v>
      </c>
      <c r="O151" s="15" t="n">
        <v>19876108</v>
      </c>
      <c r="P151" s="18" t="inlineStr">
        <is>
          <t>LW9FMOS</t>
        </is>
      </c>
      <c r="Q151" s="18" t="n">
        <v>1</v>
      </c>
      <c r="R151" s="18" t="n">
        <v>0.04</v>
      </c>
      <c r="S151" s="15" t="n">
        <v>6.713</v>
      </c>
      <c r="T151" s="16" t="n">
        <v>45824</v>
      </c>
      <c r="U151" s="19" t="n">
        <v>45883</v>
      </c>
      <c r="V151" s="16" t="n">
        <v>45824</v>
      </c>
      <c r="W151" s="16" t="n">
        <v>45826</v>
      </c>
      <c r="X151" s="57">
        <f>W151-1</f>
        <v/>
      </c>
      <c r="Y151" s="63" t="n">
        <v>45832</v>
      </c>
      <c r="Z151" s="67" t="n">
        <v>45861</v>
      </c>
      <c r="AA151" s="71">
        <f>Z151+13</f>
        <v/>
      </c>
      <c r="AB151" s="20">
        <f>AA151-U151</f>
        <v/>
      </c>
      <c r="AC151" s="20" t="inlineStr">
        <is>
          <t>No</t>
        </is>
      </c>
      <c r="AD151" s="21" t="inlineStr">
        <is>
          <t>1 HBL</t>
        </is>
      </c>
      <c r="AE151" s="21" t="n"/>
      <c r="AF151" s="22" t="inlineStr">
        <is>
          <t>LW</t>
        </is>
      </c>
      <c r="AG151" s="23" t="inlineStr">
        <is>
          <t>NAC</t>
        </is>
      </c>
      <c r="AH151" s="24" t="n"/>
      <c r="AN151" s="24" t="n"/>
    </row>
    <row r="152" ht="12.75" customHeight="1">
      <c r="A152" s="15" t="n">
        <v>3254506</v>
      </c>
      <c r="B152" s="15" t="inlineStr">
        <is>
          <t>Flexport</t>
        </is>
      </c>
      <c r="C152" s="15" t="inlineStr">
        <is>
          <t>Colombo, LK</t>
        </is>
      </c>
      <c r="D152" s="15" t="inlineStr">
        <is>
          <t>New York, NY, US</t>
        </is>
      </c>
      <c r="E152" s="15" t="inlineStr">
        <is>
          <t>Mississauga, ON, CA</t>
        </is>
      </c>
      <c r="F152" s="15" t="inlineStr">
        <is>
          <t>OCEAN</t>
        </is>
      </c>
      <c r="G152" s="15" t="inlineStr">
        <is>
          <t>C. 1 x 40HC</t>
        </is>
      </c>
      <c r="H152" s="15" t="inlineStr">
        <is>
          <t>CFS/CY</t>
        </is>
      </c>
      <c r="I152" s="15" t="inlineStr">
        <is>
          <t>ONE</t>
        </is>
      </c>
      <c r="J152" s="15" t="inlineStr">
        <is>
          <t>EC3</t>
        </is>
      </c>
      <c r="K152" s="15" t="inlineStr">
        <is>
          <t>Inqube Global (PVT) Ltd</t>
        </is>
      </c>
      <c r="L152" s="16" t="inlineStr">
        <is>
          <t>Quantum Clothing Lanka (Pvt) Ltd</t>
        </is>
      </c>
      <c r="M152" s="15" t="inlineStr">
        <is>
          <t>N</t>
        </is>
      </c>
      <c r="N152" s="17" t="n">
        <v>452052829747</v>
      </c>
      <c r="O152" s="15" t="n">
        <v>19876875</v>
      </c>
      <c r="P152" s="18" t="inlineStr">
        <is>
          <t>LW9FMOS</t>
        </is>
      </c>
      <c r="Q152" s="18" t="n">
        <v>1</v>
      </c>
      <c r="R152" s="18" t="n">
        <v>0.08400000000000001</v>
      </c>
      <c r="S152" s="15" t="n">
        <v>18.76</v>
      </c>
      <c r="T152" s="16" t="n">
        <v>45824</v>
      </c>
      <c r="U152" s="19" t="n">
        <v>45883</v>
      </c>
      <c r="V152" s="16" t="n">
        <v>45824</v>
      </c>
      <c r="W152" s="16" t="n">
        <v>45826</v>
      </c>
      <c r="X152" s="57">
        <f>W152-1</f>
        <v/>
      </c>
      <c r="Y152" s="63" t="n">
        <v>45832</v>
      </c>
      <c r="Z152" s="67" t="n">
        <v>45861</v>
      </c>
      <c r="AA152" s="71">
        <f>Z152+13</f>
        <v/>
      </c>
      <c r="AB152" s="20">
        <f>AA152-U152</f>
        <v/>
      </c>
      <c r="AC152" s="20" t="inlineStr">
        <is>
          <t>No</t>
        </is>
      </c>
      <c r="AD152" s="21" t="inlineStr">
        <is>
          <t>1 HBL</t>
        </is>
      </c>
      <c r="AE152" s="21" t="n"/>
      <c r="AF152" s="22" t="inlineStr">
        <is>
          <t>LW</t>
        </is>
      </c>
      <c r="AG152" s="23" t="inlineStr">
        <is>
          <t>NAC</t>
        </is>
      </c>
      <c r="AH152" s="24" t="n"/>
      <c r="AN152" s="24" t="n"/>
    </row>
    <row r="153" ht="12.75" customHeight="1">
      <c r="A153" s="15" t="n">
        <v>3254506</v>
      </c>
      <c r="B153" s="15" t="inlineStr">
        <is>
          <t>Flexport</t>
        </is>
      </c>
      <c r="C153" s="15" t="inlineStr">
        <is>
          <t>Colombo, LK</t>
        </is>
      </c>
      <c r="D153" s="15" t="inlineStr">
        <is>
          <t>New York, NY, US</t>
        </is>
      </c>
      <c r="E153" s="15" t="inlineStr">
        <is>
          <t>Mississauga, ON, CA</t>
        </is>
      </c>
      <c r="F153" s="15" t="inlineStr">
        <is>
          <t>OCEAN</t>
        </is>
      </c>
      <c r="G153" s="15" t="inlineStr">
        <is>
          <t>C. 1 x 40HC</t>
        </is>
      </c>
      <c r="H153" s="15" t="inlineStr">
        <is>
          <t>CFS/CY</t>
        </is>
      </c>
      <c r="I153" s="15" t="inlineStr">
        <is>
          <t>ONE</t>
        </is>
      </c>
      <c r="J153" s="15" t="inlineStr">
        <is>
          <t>EC3</t>
        </is>
      </c>
      <c r="K153" s="15" t="inlineStr">
        <is>
          <t>Inqube Global (PVT) Ltd</t>
        </is>
      </c>
      <c r="L153" s="16" t="inlineStr">
        <is>
          <t>Quantum Clothing Lanka (Pvt) Ltd</t>
        </is>
      </c>
      <c r="M153" s="15" t="inlineStr">
        <is>
          <t>N</t>
        </is>
      </c>
      <c r="N153" s="17" t="n">
        <v>452052906569</v>
      </c>
      <c r="O153" s="15" t="n">
        <v>19876879</v>
      </c>
      <c r="P153" s="18" t="inlineStr">
        <is>
          <t>LW9FMOS</t>
        </is>
      </c>
      <c r="Q153" s="18" t="n">
        <v>1</v>
      </c>
      <c r="R153" s="18" t="n">
        <v>0.04</v>
      </c>
      <c r="S153" s="15" t="n">
        <v>10.425</v>
      </c>
      <c r="T153" s="16" t="n">
        <v>45824</v>
      </c>
      <c r="U153" s="19" t="n">
        <v>45883</v>
      </c>
      <c r="V153" s="16" t="n">
        <v>45824</v>
      </c>
      <c r="W153" s="16" t="n">
        <v>45826</v>
      </c>
      <c r="X153" s="57">
        <f>W153-1</f>
        <v/>
      </c>
      <c r="Y153" s="63" t="n">
        <v>45832</v>
      </c>
      <c r="Z153" s="67" t="n">
        <v>45861</v>
      </c>
      <c r="AA153" s="71">
        <f>Z153+13</f>
        <v/>
      </c>
      <c r="AB153" s="20">
        <f>AA153-U153</f>
        <v/>
      </c>
      <c r="AC153" s="20" t="inlineStr">
        <is>
          <t>No</t>
        </is>
      </c>
      <c r="AD153" s="21" t="inlineStr">
        <is>
          <t>1 HBL</t>
        </is>
      </c>
      <c r="AE153" s="21" t="n"/>
      <c r="AF153" s="22" t="inlineStr">
        <is>
          <t>LW</t>
        </is>
      </c>
      <c r="AG153" s="23" t="inlineStr">
        <is>
          <t>NAC</t>
        </is>
      </c>
      <c r="AH153" s="24" t="n"/>
      <c r="AN153" s="24" t="n"/>
    </row>
    <row r="154" ht="12.75" customHeight="1">
      <c r="A154" s="15" t="n">
        <v>3254506</v>
      </c>
      <c r="B154" s="15" t="inlineStr">
        <is>
          <t>Flexport</t>
        </is>
      </c>
      <c r="C154" s="15" t="inlineStr">
        <is>
          <t>Colombo, LK</t>
        </is>
      </c>
      <c r="D154" s="15" t="inlineStr">
        <is>
          <t>New York, NY, US</t>
        </is>
      </c>
      <c r="E154" s="15" t="inlineStr">
        <is>
          <t>Mississauga, ON, CA</t>
        </is>
      </c>
      <c r="F154" s="15" t="inlineStr">
        <is>
          <t>OCEAN</t>
        </is>
      </c>
      <c r="G154" s="15" t="inlineStr">
        <is>
          <t>C. 1 x 40HC</t>
        </is>
      </c>
      <c r="H154" s="15" t="inlineStr">
        <is>
          <t>CFS/CY</t>
        </is>
      </c>
      <c r="I154" s="15" t="inlineStr">
        <is>
          <t>ONE</t>
        </is>
      </c>
      <c r="J154" s="15" t="inlineStr">
        <is>
          <t>EC3</t>
        </is>
      </c>
      <c r="K154" s="15" t="inlineStr">
        <is>
          <t>Inqube Global (PVT) Ltd</t>
        </is>
      </c>
      <c r="L154" s="16" t="inlineStr">
        <is>
          <t>Quantum Clothing Lanka (Pvt) Ltd</t>
        </is>
      </c>
      <c r="M154" s="15" t="inlineStr">
        <is>
          <t>N</t>
        </is>
      </c>
      <c r="N154" s="17" t="n">
        <v>452057107390</v>
      </c>
      <c r="O154" s="15" t="n">
        <v>19876142</v>
      </c>
      <c r="P154" s="18" t="inlineStr">
        <is>
          <t>LW9FMOS</t>
        </is>
      </c>
      <c r="Q154" s="18" t="n">
        <v>1</v>
      </c>
      <c r="R154" s="18" t="n">
        <v>0.04</v>
      </c>
      <c r="S154" s="15" t="n">
        <v>3.292</v>
      </c>
      <c r="T154" s="16" t="n">
        <v>45824</v>
      </c>
      <c r="U154" s="19" t="n">
        <v>45883</v>
      </c>
      <c r="V154" s="16" t="n">
        <v>45824</v>
      </c>
      <c r="W154" s="16" t="n">
        <v>45826</v>
      </c>
      <c r="X154" s="57">
        <f>W154-1</f>
        <v/>
      </c>
      <c r="Y154" s="63" t="n">
        <v>45832</v>
      </c>
      <c r="Z154" s="67" t="n">
        <v>45861</v>
      </c>
      <c r="AA154" s="71">
        <f>Z154+13</f>
        <v/>
      </c>
      <c r="AB154" s="20">
        <f>AA154-U154</f>
        <v/>
      </c>
      <c r="AC154" s="20" t="inlineStr">
        <is>
          <t>No</t>
        </is>
      </c>
      <c r="AD154" s="21" t="inlineStr">
        <is>
          <t>1 HBL</t>
        </is>
      </c>
      <c r="AE154" s="21" t="n"/>
      <c r="AF154" s="22" t="inlineStr">
        <is>
          <t>LW</t>
        </is>
      </c>
      <c r="AG154" s="23" t="inlineStr">
        <is>
          <t>NAC</t>
        </is>
      </c>
      <c r="AH154" s="24" t="n"/>
      <c r="AN154" s="24" t="n"/>
    </row>
    <row r="155" ht="12.75" customHeight="1">
      <c r="A155" s="15" t="n">
        <v>3254506</v>
      </c>
      <c r="B155" s="15" t="inlineStr">
        <is>
          <t>Flexport</t>
        </is>
      </c>
      <c r="C155" s="15" t="inlineStr">
        <is>
          <t>Colombo, LK</t>
        </is>
      </c>
      <c r="D155" s="15" t="inlineStr">
        <is>
          <t>New York, NY, US</t>
        </is>
      </c>
      <c r="E155" s="15" t="inlineStr">
        <is>
          <t>Mississauga, ON, CA</t>
        </is>
      </c>
      <c r="F155" s="15" t="inlineStr">
        <is>
          <t>OCEAN</t>
        </is>
      </c>
      <c r="G155" s="15" t="inlineStr">
        <is>
          <t>C. 1 x 40HC</t>
        </is>
      </c>
      <c r="H155" s="15" t="inlineStr">
        <is>
          <t>CFS/CY</t>
        </is>
      </c>
      <c r="I155" s="15" t="inlineStr">
        <is>
          <t>ONE</t>
        </is>
      </c>
      <c r="J155" s="15" t="inlineStr">
        <is>
          <t>EC3</t>
        </is>
      </c>
      <c r="K155" s="15" t="inlineStr">
        <is>
          <t>Inqube Global (PVT) Ltd</t>
        </is>
      </c>
      <c r="L155" s="16" t="inlineStr">
        <is>
          <t>Quantum Clothing Lanka (Pvt) Ltd</t>
        </is>
      </c>
      <c r="M155" s="15" t="inlineStr">
        <is>
          <t>N</t>
        </is>
      </c>
      <c r="N155" s="17" t="n">
        <v>452057947068</v>
      </c>
      <c r="O155" s="15" t="n">
        <v>19876141</v>
      </c>
      <c r="P155" s="18" t="inlineStr">
        <is>
          <t>LW9FMOS</t>
        </is>
      </c>
      <c r="Q155" s="18" t="n">
        <v>1</v>
      </c>
      <c r="R155" s="18" t="n">
        <v>0.04</v>
      </c>
      <c r="S155" s="15" t="n">
        <v>4.647</v>
      </c>
      <c r="T155" s="16" t="n">
        <v>45824</v>
      </c>
      <c r="U155" s="19" t="n">
        <v>45883</v>
      </c>
      <c r="V155" s="16" t="n">
        <v>45824</v>
      </c>
      <c r="W155" s="16" t="n">
        <v>45826</v>
      </c>
      <c r="X155" s="57">
        <f>W155-1</f>
        <v/>
      </c>
      <c r="Y155" s="63" t="n">
        <v>45832</v>
      </c>
      <c r="Z155" s="67" t="n">
        <v>45861</v>
      </c>
      <c r="AA155" s="71">
        <f>Z155+13</f>
        <v/>
      </c>
      <c r="AB155" s="20">
        <f>AA155-U155</f>
        <v/>
      </c>
      <c r="AC155" s="20" t="inlineStr">
        <is>
          <t>No</t>
        </is>
      </c>
      <c r="AD155" s="21" t="inlineStr">
        <is>
          <t>1 HBL</t>
        </is>
      </c>
      <c r="AE155" s="21" t="n"/>
      <c r="AF155" s="22" t="inlineStr">
        <is>
          <t>LW</t>
        </is>
      </c>
      <c r="AG155" s="23" t="inlineStr">
        <is>
          <t>NAC</t>
        </is>
      </c>
      <c r="AH155" s="24" t="n"/>
      <c r="AN155" s="24" t="n"/>
    </row>
    <row r="156" ht="12.75" customHeight="1">
      <c r="A156" s="15" t="n">
        <v>3254506</v>
      </c>
      <c r="B156" s="15" t="inlineStr">
        <is>
          <t>Flexport</t>
        </is>
      </c>
      <c r="C156" s="15" t="inlineStr">
        <is>
          <t>Colombo, LK</t>
        </is>
      </c>
      <c r="D156" s="15" t="inlineStr">
        <is>
          <t>New York, NY, US</t>
        </is>
      </c>
      <c r="E156" s="15" t="inlineStr">
        <is>
          <t>Mississauga, ON, CA</t>
        </is>
      </c>
      <c r="F156" s="15" t="inlineStr">
        <is>
          <t>OCEAN</t>
        </is>
      </c>
      <c r="G156" s="15" t="inlineStr">
        <is>
          <t>C. 1 x 40HC</t>
        </is>
      </c>
      <c r="H156" s="15" t="inlineStr">
        <is>
          <t>CFS/CY</t>
        </is>
      </c>
      <c r="I156" s="15" t="inlineStr">
        <is>
          <t>ONE</t>
        </is>
      </c>
      <c r="J156" s="15" t="inlineStr">
        <is>
          <t>EC3</t>
        </is>
      </c>
      <c r="K156" s="15" t="inlineStr">
        <is>
          <t>Inqube Global (PVT) Ltd</t>
        </is>
      </c>
      <c r="L156" s="16" t="inlineStr">
        <is>
          <t>Quantum Clothing Lanka (Pvt) Ltd</t>
        </is>
      </c>
      <c r="M156" s="15" t="inlineStr">
        <is>
          <t>N</t>
        </is>
      </c>
      <c r="N156" s="17" t="n">
        <v>452058797576</v>
      </c>
      <c r="O156" s="15" t="n">
        <v>19876945</v>
      </c>
      <c r="P156" s="18" t="inlineStr">
        <is>
          <t>LW9FMOS</t>
        </is>
      </c>
      <c r="Q156" s="18" t="n">
        <v>1</v>
      </c>
      <c r="R156" s="18" t="n">
        <v>0.04</v>
      </c>
      <c r="S156" s="15" t="n">
        <v>8.797000000000001</v>
      </c>
      <c r="T156" s="16" t="n">
        <v>45824</v>
      </c>
      <c r="U156" s="19" t="n">
        <v>45883</v>
      </c>
      <c r="V156" s="16" t="n">
        <v>45824</v>
      </c>
      <c r="W156" s="16" t="n">
        <v>45826</v>
      </c>
      <c r="X156" s="57">
        <f>W156-1</f>
        <v/>
      </c>
      <c r="Y156" s="63" t="n">
        <v>45832</v>
      </c>
      <c r="Z156" s="67" t="n">
        <v>45861</v>
      </c>
      <c r="AA156" s="71">
        <f>Z156+13</f>
        <v/>
      </c>
      <c r="AB156" s="20">
        <f>AA156-U156</f>
        <v/>
      </c>
      <c r="AC156" s="20" t="inlineStr">
        <is>
          <t>No</t>
        </is>
      </c>
      <c r="AD156" s="21" t="inlineStr">
        <is>
          <t>1 HBL</t>
        </is>
      </c>
      <c r="AE156" s="21" t="n"/>
      <c r="AF156" s="22" t="inlineStr">
        <is>
          <t>LW</t>
        </is>
      </c>
      <c r="AG156" s="23" t="inlineStr">
        <is>
          <t>NAC</t>
        </is>
      </c>
      <c r="AH156" s="24" t="n"/>
      <c r="AN156" s="24" t="n"/>
    </row>
    <row r="157" ht="12.75" customHeight="1">
      <c r="A157" s="15" t="n">
        <v>3254506</v>
      </c>
      <c r="B157" s="15" t="inlineStr">
        <is>
          <t>Flexport</t>
        </is>
      </c>
      <c r="C157" s="15" t="inlineStr">
        <is>
          <t>Colombo, LK</t>
        </is>
      </c>
      <c r="D157" s="15" t="inlineStr">
        <is>
          <t>New York, NY, US</t>
        </is>
      </c>
      <c r="E157" s="15" t="inlineStr">
        <is>
          <t>Mississauga, ON, CA</t>
        </is>
      </c>
      <c r="F157" s="15" t="inlineStr">
        <is>
          <t>OCEAN</t>
        </is>
      </c>
      <c r="G157" s="15" t="inlineStr">
        <is>
          <t>C. 1 x 40HC</t>
        </is>
      </c>
      <c r="H157" s="15" t="inlineStr">
        <is>
          <t>CFS/CY</t>
        </is>
      </c>
      <c r="I157" s="15" t="inlineStr">
        <is>
          <t>ONE</t>
        </is>
      </c>
      <c r="J157" s="15" t="inlineStr">
        <is>
          <t>EC3</t>
        </is>
      </c>
      <c r="K157" s="15" t="inlineStr">
        <is>
          <t>Inqube Global (PVT) Ltd</t>
        </is>
      </c>
      <c r="L157" s="16" t="inlineStr">
        <is>
          <t>Quantum Clothing Lanka (Pvt) Ltd</t>
        </is>
      </c>
      <c r="M157" s="15" t="inlineStr">
        <is>
          <t>N</t>
        </is>
      </c>
      <c r="N157" s="17" t="n">
        <v>452059368323</v>
      </c>
      <c r="O157" s="15" t="n">
        <v>19876949</v>
      </c>
      <c r="P157" s="18" t="inlineStr">
        <is>
          <t>LW9FMOS</t>
        </is>
      </c>
      <c r="Q157" s="18" t="n">
        <v>1</v>
      </c>
      <c r="R157" s="18" t="n">
        <v>0.04</v>
      </c>
      <c r="S157" s="15" t="n">
        <v>5.65</v>
      </c>
      <c r="T157" s="16" t="n">
        <v>45824</v>
      </c>
      <c r="U157" s="19" t="n">
        <v>45883</v>
      </c>
      <c r="V157" s="16" t="n">
        <v>45824</v>
      </c>
      <c r="W157" s="16" t="n">
        <v>45826</v>
      </c>
      <c r="X157" s="57">
        <f>W157-1</f>
        <v/>
      </c>
      <c r="Y157" s="63" t="n">
        <v>45832</v>
      </c>
      <c r="Z157" s="67" t="n">
        <v>45861</v>
      </c>
      <c r="AA157" s="71">
        <f>Z157+13</f>
        <v/>
      </c>
      <c r="AB157" s="20">
        <f>AA157-U157</f>
        <v/>
      </c>
      <c r="AC157" s="20" t="inlineStr">
        <is>
          <t>No</t>
        </is>
      </c>
      <c r="AD157" s="21" t="inlineStr">
        <is>
          <t>1 HBL</t>
        </is>
      </c>
      <c r="AE157" s="21" t="n"/>
      <c r="AF157" s="22" t="inlineStr">
        <is>
          <t>LW</t>
        </is>
      </c>
      <c r="AG157" s="23" t="inlineStr">
        <is>
          <t>NAC</t>
        </is>
      </c>
      <c r="AH157" s="24" t="n"/>
      <c r="AN157" s="24" t="n"/>
    </row>
    <row r="158" ht="12.75" customHeight="1">
      <c r="A158" s="15" t="n">
        <v>3254506</v>
      </c>
      <c r="B158" s="15" t="inlineStr">
        <is>
          <t>Flexport</t>
        </is>
      </c>
      <c r="C158" s="15" t="inlineStr">
        <is>
          <t>Colombo, LK</t>
        </is>
      </c>
      <c r="D158" s="15" t="inlineStr">
        <is>
          <t>New York, NY, US</t>
        </is>
      </c>
      <c r="E158" s="15" t="inlineStr">
        <is>
          <t>Mississauga, ON, CA</t>
        </is>
      </c>
      <c r="F158" s="15" t="inlineStr">
        <is>
          <t>OCEAN</t>
        </is>
      </c>
      <c r="G158" s="15" t="inlineStr">
        <is>
          <t>C. 1 x 40HC</t>
        </is>
      </c>
      <c r="H158" s="15" t="inlineStr">
        <is>
          <t>CFS/CY</t>
        </is>
      </c>
      <c r="I158" s="15" t="inlineStr">
        <is>
          <t>ONE</t>
        </is>
      </c>
      <c r="J158" s="15" t="inlineStr">
        <is>
          <t>EC3</t>
        </is>
      </c>
      <c r="K158" s="15" t="inlineStr">
        <is>
          <t>Inqube Global (PVT) Ltd</t>
        </is>
      </c>
      <c r="L158" s="16" t="inlineStr">
        <is>
          <t>Quantum Clothing Lanka (Pvt) Ltd</t>
        </is>
      </c>
      <c r="M158" s="15" t="inlineStr">
        <is>
          <t>N</t>
        </is>
      </c>
      <c r="N158" s="17" t="n">
        <v>452063949367</v>
      </c>
      <c r="O158" s="15" t="n">
        <v>19876135</v>
      </c>
      <c r="P158" s="18" t="inlineStr">
        <is>
          <t>LW9FMOS</t>
        </is>
      </c>
      <c r="Q158" s="18" t="n">
        <v>1</v>
      </c>
      <c r="R158" s="18" t="n">
        <v>0.04</v>
      </c>
      <c r="S158" s="15" t="n">
        <v>5.925</v>
      </c>
      <c r="T158" s="16" t="n">
        <v>45824</v>
      </c>
      <c r="U158" s="19" t="n">
        <v>45883</v>
      </c>
      <c r="V158" s="16" t="n">
        <v>45824</v>
      </c>
      <c r="W158" s="16" t="n">
        <v>45826</v>
      </c>
      <c r="X158" s="57">
        <f>W158-1</f>
        <v/>
      </c>
      <c r="Y158" s="63" t="n">
        <v>45832</v>
      </c>
      <c r="Z158" s="67" t="n">
        <v>45861</v>
      </c>
      <c r="AA158" s="71">
        <f>Z158+13</f>
        <v/>
      </c>
      <c r="AB158" s="20">
        <f>AA158-U158</f>
        <v/>
      </c>
      <c r="AC158" s="20" t="inlineStr">
        <is>
          <t>No</t>
        </is>
      </c>
      <c r="AD158" s="21" t="inlineStr">
        <is>
          <t>1 HBL</t>
        </is>
      </c>
      <c r="AE158" s="21" t="n"/>
      <c r="AF158" s="22" t="inlineStr">
        <is>
          <t>LW</t>
        </is>
      </c>
      <c r="AG158" s="23" t="inlineStr">
        <is>
          <t>NAC</t>
        </is>
      </c>
      <c r="AH158" s="24" t="n"/>
      <c r="AN158" s="24" t="n"/>
    </row>
    <row r="159" ht="12.75" customHeight="1">
      <c r="A159" s="15" t="n">
        <v>3254506</v>
      </c>
      <c r="B159" s="15" t="inlineStr">
        <is>
          <t>Flexport</t>
        </is>
      </c>
      <c r="C159" s="15" t="inlineStr">
        <is>
          <t>Colombo, LK</t>
        </is>
      </c>
      <c r="D159" s="15" t="inlineStr">
        <is>
          <t>New York, NY, US</t>
        </is>
      </c>
      <c r="E159" s="15" t="inlineStr">
        <is>
          <t>Mississauga, ON, CA</t>
        </is>
      </c>
      <c r="F159" s="15" t="inlineStr">
        <is>
          <t>OCEAN</t>
        </is>
      </c>
      <c r="G159" s="15" t="inlineStr">
        <is>
          <t>C. 1 x 40HC</t>
        </is>
      </c>
      <c r="H159" s="15" t="inlineStr">
        <is>
          <t>CFS/CY</t>
        </is>
      </c>
      <c r="I159" s="15" t="inlineStr">
        <is>
          <t>ONE</t>
        </is>
      </c>
      <c r="J159" s="15" t="inlineStr">
        <is>
          <t>EC3</t>
        </is>
      </c>
      <c r="K159" s="15" t="inlineStr">
        <is>
          <t>Inqube Global (PVT) Ltd</t>
        </is>
      </c>
      <c r="L159" s="16" t="inlineStr">
        <is>
          <t>Quantum Clothing Lanka (Pvt) Ltd</t>
        </is>
      </c>
      <c r="M159" s="15" t="inlineStr">
        <is>
          <t>N</t>
        </is>
      </c>
      <c r="N159" s="17" t="n">
        <v>452064162091</v>
      </c>
      <c r="O159" s="15" t="n">
        <v>19876136</v>
      </c>
      <c r="P159" s="18" t="inlineStr">
        <is>
          <t>LW9FMOS</t>
        </is>
      </c>
      <c r="Q159" s="18" t="n">
        <v>1</v>
      </c>
      <c r="R159" s="18" t="n">
        <v>0.04</v>
      </c>
      <c r="S159" s="15" t="n">
        <v>5.144</v>
      </c>
      <c r="T159" s="16" t="n">
        <v>45824</v>
      </c>
      <c r="U159" s="19" t="n">
        <v>45883</v>
      </c>
      <c r="V159" s="16" t="n">
        <v>45824</v>
      </c>
      <c r="W159" s="16" t="n">
        <v>45826</v>
      </c>
      <c r="X159" s="57">
        <f>W159-1</f>
        <v/>
      </c>
      <c r="Y159" s="63" t="n">
        <v>45832</v>
      </c>
      <c r="Z159" s="67" t="n">
        <v>45861</v>
      </c>
      <c r="AA159" s="71">
        <f>Z159+13</f>
        <v/>
      </c>
      <c r="AB159" s="20">
        <f>AA159-U159</f>
        <v/>
      </c>
      <c r="AC159" s="20" t="inlineStr">
        <is>
          <t>No</t>
        </is>
      </c>
      <c r="AD159" s="21" t="inlineStr">
        <is>
          <t>1 HBL</t>
        </is>
      </c>
      <c r="AE159" s="21" t="n"/>
      <c r="AF159" s="22" t="inlineStr">
        <is>
          <t>LW</t>
        </is>
      </c>
      <c r="AG159" s="23" t="inlineStr">
        <is>
          <t>NAC</t>
        </is>
      </c>
      <c r="AH159" s="24" t="n"/>
      <c r="AN159" s="24" t="n"/>
    </row>
    <row r="160" ht="12.75" customHeight="1">
      <c r="A160" s="15" t="n">
        <v>3254506</v>
      </c>
      <c r="B160" s="15" t="inlineStr">
        <is>
          <t>Flexport</t>
        </is>
      </c>
      <c r="C160" s="15" t="inlineStr">
        <is>
          <t>Colombo, LK</t>
        </is>
      </c>
      <c r="D160" s="15" t="inlineStr">
        <is>
          <t>New York, NY, US</t>
        </is>
      </c>
      <c r="E160" s="15" t="inlineStr">
        <is>
          <t>Mississauga, ON, CA</t>
        </is>
      </c>
      <c r="F160" s="15" t="inlineStr">
        <is>
          <t>OCEAN</t>
        </is>
      </c>
      <c r="G160" s="15" t="inlineStr">
        <is>
          <t>C. 1 x 40HC</t>
        </is>
      </c>
      <c r="H160" s="15" t="inlineStr">
        <is>
          <t>CFS/CY</t>
        </is>
      </c>
      <c r="I160" s="15" t="inlineStr">
        <is>
          <t>ONE</t>
        </is>
      </c>
      <c r="J160" s="15" t="inlineStr">
        <is>
          <t>EC3</t>
        </is>
      </c>
      <c r="K160" s="15" t="inlineStr">
        <is>
          <t>Inqube Global (PVT) Ltd</t>
        </is>
      </c>
      <c r="L160" s="16" t="inlineStr">
        <is>
          <t>Quantum Clothing Lanka (Pvt) Ltd</t>
        </is>
      </c>
      <c r="M160" s="15" t="inlineStr">
        <is>
          <t>N</t>
        </is>
      </c>
      <c r="N160" s="17" t="n">
        <v>452065075476</v>
      </c>
      <c r="O160" s="15" t="n">
        <v>19876915</v>
      </c>
      <c r="P160" s="18" t="inlineStr">
        <is>
          <t>LW9FMOS</t>
        </is>
      </c>
      <c r="Q160" s="18" t="n">
        <v>1</v>
      </c>
      <c r="R160" s="18" t="n">
        <v>0.04</v>
      </c>
      <c r="S160" s="15" t="n">
        <v>9.07</v>
      </c>
      <c r="T160" s="16" t="n">
        <v>45824</v>
      </c>
      <c r="U160" s="19" t="n">
        <v>45883</v>
      </c>
      <c r="V160" s="16" t="n">
        <v>45824</v>
      </c>
      <c r="W160" s="16" t="n">
        <v>45826</v>
      </c>
      <c r="X160" s="57">
        <f>W160-1</f>
        <v/>
      </c>
      <c r="Y160" s="63" t="n">
        <v>45832</v>
      </c>
      <c r="Z160" s="67" t="n">
        <v>45861</v>
      </c>
      <c r="AA160" s="71">
        <f>Z160+13</f>
        <v/>
      </c>
      <c r="AB160" s="20">
        <f>AA160-U160</f>
        <v/>
      </c>
      <c r="AC160" s="20" t="inlineStr">
        <is>
          <t>No</t>
        </is>
      </c>
      <c r="AD160" s="21" t="inlineStr">
        <is>
          <t>1 HBL</t>
        </is>
      </c>
      <c r="AE160" s="21" t="n"/>
      <c r="AF160" s="22" t="inlineStr">
        <is>
          <t>LW</t>
        </is>
      </c>
      <c r="AG160" s="23" t="inlineStr">
        <is>
          <t>NAC</t>
        </is>
      </c>
      <c r="AH160" s="24" t="n"/>
      <c r="AN160" s="24" t="n"/>
    </row>
    <row r="161" ht="12.75" customHeight="1">
      <c r="A161" s="15" t="n">
        <v>3254506</v>
      </c>
      <c r="B161" s="15" t="inlineStr">
        <is>
          <t>Flexport</t>
        </is>
      </c>
      <c r="C161" s="15" t="inlineStr">
        <is>
          <t>Colombo, LK</t>
        </is>
      </c>
      <c r="D161" s="15" t="inlineStr">
        <is>
          <t>New York, NY, US</t>
        </is>
      </c>
      <c r="E161" s="15" t="inlineStr">
        <is>
          <t>Mississauga, ON, CA</t>
        </is>
      </c>
      <c r="F161" s="15" t="inlineStr">
        <is>
          <t>OCEAN</t>
        </is>
      </c>
      <c r="G161" s="15" t="inlineStr">
        <is>
          <t>C. 1 x 40HC</t>
        </is>
      </c>
      <c r="H161" s="15" t="inlineStr">
        <is>
          <t>CFS/CY</t>
        </is>
      </c>
      <c r="I161" s="15" t="inlineStr">
        <is>
          <t>ONE</t>
        </is>
      </c>
      <c r="J161" s="15" t="inlineStr">
        <is>
          <t>EC3</t>
        </is>
      </c>
      <c r="K161" s="15" t="inlineStr">
        <is>
          <t>Inqube Global (PVT) Ltd</t>
        </is>
      </c>
      <c r="L161" s="16" t="inlineStr">
        <is>
          <t>Quantum Clothing Lanka (Pvt) Ltd</t>
        </is>
      </c>
      <c r="M161" s="15" t="inlineStr">
        <is>
          <t>N</t>
        </is>
      </c>
      <c r="N161" s="17" t="n">
        <v>452065160070</v>
      </c>
      <c r="O161" s="15" t="n">
        <v>19876911</v>
      </c>
      <c r="P161" s="18" t="inlineStr">
        <is>
          <t>LW9FMOS</t>
        </is>
      </c>
      <c r="Q161" s="18" t="n">
        <v>1</v>
      </c>
      <c r="R161" s="18" t="n">
        <v>0.079</v>
      </c>
      <c r="S161" s="15" t="n">
        <v>16.149</v>
      </c>
      <c r="T161" s="16" t="n">
        <v>45824</v>
      </c>
      <c r="U161" s="19" t="n">
        <v>45883</v>
      </c>
      <c r="V161" s="16" t="n">
        <v>45824</v>
      </c>
      <c r="W161" s="16" t="n">
        <v>45826</v>
      </c>
      <c r="X161" s="57">
        <f>W161-1</f>
        <v/>
      </c>
      <c r="Y161" s="63" t="n">
        <v>45832</v>
      </c>
      <c r="Z161" s="67" t="n">
        <v>45861</v>
      </c>
      <c r="AA161" s="71">
        <f>Z161+13</f>
        <v/>
      </c>
      <c r="AB161" s="20">
        <f>AA161-U161</f>
        <v/>
      </c>
      <c r="AC161" s="20" t="inlineStr">
        <is>
          <t>No</t>
        </is>
      </c>
      <c r="AD161" s="21" t="inlineStr">
        <is>
          <t>1 HBL</t>
        </is>
      </c>
      <c r="AE161" s="21" t="n"/>
      <c r="AF161" s="22" t="inlineStr">
        <is>
          <t>LW</t>
        </is>
      </c>
      <c r="AG161" s="23" t="inlineStr">
        <is>
          <t>NAC</t>
        </is>
      </c>
      <c r="AH161" s="24" t="n"/>
      <c r="AN161" s="24" t="n"/>
    </row>
    <row r="162" ht="12.75" customHeight="1">
      <c r="A162" s="15" t="n">
        <v>3254506</v>
      </c>
      <c r="B162" s="15" t="inlineStr">
        <is>
          <t>Flexport</t>
        </is>
      </c>
      <c r="C162" s="15" t="inlineStr">
        <is>
          <t>Colombo, LK</t>
        </is>
      </c>
      <c r="D162" s="15" t="inlineStr">
        <is>
          <t>New York, NY, US</t>
        </is>
      </c>
      <c r="E162" s="15" t="inlineStr">
        <is>
          <t>Mississauga, ON, CA</t>
        </is>
      </c>
      <c r="F162" s="15" t="inlineStr">
        <is>
          <t>OCEAN</t>
        </is>
      </c>
      <c r="G162" s="15" t="inlineStr">
        <is>
          <t>C. 1 x 40HC</t>
        </is>
      </c>
      <c r="H162" s="15" t="inlineStr">
        <is>
          <t>CFS/CY</t>
        </is>
      </c>
      <c r="I162" s="15" t="inlineStr">
        <is>
          <t>ONE</t>
        </is>
      </c>
      <c r="J162" s="15" t="inlineStr">
        <is>
          <t>EC3</t>
        </is>
      </c>
      <c r="K162" s="15" t="inlineStr">
        <is>
          <t>Inqube Global (PVT) Ltd</t>
        </is>
      </c>
      <c r="L162" s="16" t="inlineStr">
        <is>
          <t>Quantum Clothing Lanka (Pvt) Ltd</t>
        </is>
      </c>
      <c r="M162" s="15" t="inlineStr">
        <is>
          <t>N</t>
        </is>
      </c>
      <c r="N162" s="17" t="n">
        <v>452090767696</v>
      </c>
      <c r="O162" s="15" t="n">
        <v>19876156</v>
      </c>
      <c r="P162" s="18" t="inlineStr">
        <is>
          <t>LW9FMPS</t>
        </is>
      </c>
      <c r="Q162" s="18" t="n">
        <v>1</v>
      </c>
      <c r="R162" s="18" t="n">
        <v>0.079</v>
      </c>
      <c r="S162" s="15" t="n">
        <v>4.251</v>
      </c>
      <c r="T162" s="16" t="n">
        <v>45824</v>
      </c>
      <c r="U162" s="19" t="n">
        <v>45883</v>
      </c>
      <c r="V162" s="16" t="n">
        <v>45824</v>
      </c>
      <c r="W162" s="16" t="n">
        <v>45826</v>
      </c>
      <c r="X162" s="57">
        <f>W162-1</f>
        <v/>
      </c>
      <c r="Y162" s="63" t="n">
        <v>45832</v>
      </c>
      <c r="Z162" s="67" t="n">
        <v>45861</v>
      </c>
      <c r="AA162" s="71">
        <f>Z162+13</f>
        <v/>
      </c>
      <c r="AB162" s="20">
        <f>AA162-U162</f>
        <v/>
      </c>
      <c r="AC162" s="20" t="inlineStr">
        <is>
          <t>No</t>
        </is>
      </c>
      <c r="AD162" s="21" t="inlineStr">
        <is>
          <t>1 HBL</t>
        </is>
      </c>
      <c r="AE162" s="21" t="n"/>
      <c r="AF162" s="22" t="inlineStr">
        <is>
          <t>LW</t>
        </is>
      </c>
      <c r="AG162" s="23" t="inlineStr">
        <is>
          <t>NAC</t>
        </is>
      </c>
      <c r="AH162" s="24" t="n"/>
      <c r="AN162" s="24" t="n"/>
    </row>
    <row r="163" ht="12.75" customHeight="1">
      <c r="A163" s="15" t="n">
        <v>3254506</v>
      </c>
      <c r="B163" s="15" t="inlineStr">
        <is>
          <t>Flexport</t>
        </is>
      </c>
      <c r="C163" s="15" t="inlineStr">
        <is>
          <t>Colombo, LK</t>
        </is>
      </c>
      <c r="D163" s="15" t="inlineStr">
        <is>
          <t>New York, NY, US</t>
        </is>
      </c>
      <c r="E163" s="15" t="inlineStr">
        <is>
          <t>Mississauga, ON, CA</t>
        </is>
      </c>
      <c r="F163" s="15" t="inlineStr">
        <is>
          <t>OCEAN</t>
        </is>
      </c>
      <c r="G163" s="15" t="inlineStr">
        <is>
          <t>C. 1 x 40HC</t>
        </is>
      </c>
      <c r="H163" s="15" t="inlineStr">
        <is>
          <t>CFS/CY</t>
        </is>
      </c>
      <c r="I163" s="15" t="inlineStr">
        <is>
          <t>ONE</t>
        </is>
      </c>
      <c r="J163" s="15" t="inlineStr">
        <is>
          <t>EC3</t>
        </is>
      </c>
      <c r="K163" s="15" t="inlineStr">
        <is>
          <t>Inqube Global (PVT) Ltd</t>
        </is>
      </c>
      <c r="L163" s="16" t="inlineStr">
        <is>
          <t>Quantum Clothing Lanka (Pvt) Ltd</t>
        </is>
      </c>
      <c r="M163" s="15" t="inlineStr">
        <is>
          <t>N</t>
        </is>
      </c>
      <c r="N163" s="17" t="n">
        <v>452091918889</v>
      </c>
      <c r="O163" s="15" t="n">
        <v>19876155</v>
      </c>
      <c r="P163" s="18" t="inlineStr">
        <is>
          <t>LW9FMPS</t>
        </is>
      </c>
      <c r="Q163" s="18" t="n">
        <v>1</v>
      </c>
      <c r="R163" s="18" t="n">
        <v>0.04</v>
      </c>
      <c r="S163" s="15" t="n">
        <v>4.232</v>
      </c>
      <c r="T163" s="16" t="n">
        <v>45824</v>
      </c>
      <c r="U163" s="19" t="n">
        <v>45883</v>
      </c>
      <c r="V163" s="16" t="n">
        <v>45824</v>
      </c>
      <c r="W163" s="16" t="n">
        <v>45826</v>
      </c>
      <c r="X163" s="57">
        <f>W163-1</f>
        <v/>
      </c>
      <c r="Y163" s="63" t="n">
        <v>45832</v>
      </c>
      <c r="Z163" s="67" t="n">
        <v>45861</v>
      </c>
      <c r="AA163" s="71">
        <f>Z163+13</f>
        <v/>
      </c>
      <c r="AB163" s="20">
        <f>AA163-U163</f>
        <v/>
      </c>
      <c r="AC163" s="20" t="inlineStr">
        <is>
          <t>No</t>
        </is>
      </c>
      <c r="AD163" s="21" t="inlineStr">
        <is>
          <t>1 HBL</t>
        </is>
      </c>
      <c r="AE163" s="21" t="n"/>
      <c r="AF163" s="22" t="inlineStr">
        <is>
          <t>LW</t>
        </is>
      </c>
      <c r="AG163" s="23" t="inlineStr">
        <is>
          <t>NAC</t>
        </is>
      </c>
      <c r="AH163" s="24" t="n"/>
      <c r="AN163" s="24" t="n"/>
    </row>
    <row r="164" ht="12.75" customHeight="1">
      <c r="A164" s="15" t="n">
        <v>3254506</v>
      </c>
      <c r="B164" s="15" t="inlineStr">
        <is>
          <t>Flexport</t>
        </is>
      </c>
      <c r="C164" s="15" t="inlineStr">
        <is>
          <t>Colombo, LK</t>
        </is>
      </c>
      <c r="D164" s="15" t="inlineStr">
        <is>
          <t>New York, NY, US</t>
        </is>
      </c>
      <c r="E164" s="15" t="inlineStr">
        <is>
          <t>Mississauga, ON, CA</t>
        </is>
      </c>
      <c r="F164" s="15" t="inlineStr">
        <is>
          <t>OCEAN</t>
        </is>
      </c>
      <c r="G164" s="15" t="inlineStr">
        <is>
          <t>C. 1 x 40HC</t>
        </is>
      </c>
      <c r="H164" s="15" t="inlineStr">
        <is>
          <t>CFS/CY</t>
        </is>
      </c>
      <c r="I164" s="15" t="inlineStr">
        <is>
          <t>ONE</t>
        </is>
      </c>
      <c r="J164" s="15" t="inlineStr">
        <is>
          <t>EC3</t>
        </is>
      </c>
      <c r="K164" s="15" t="inlineStr">
        <is>
          <t>Inqube Global (PVT) Ltd</t>
        </is>
      </c>
      <c r="L164" s="16" t="inlineStr">
        <is>
          <t>Quantum Clothing Lanka (Pvt) Ltd</t>
        </is>
      </c>
      <c r="M164" s="15" t="inlineStr">
        <is>
          <t>N</t>
        </is>
      </c>
      <c r="N164" s="17" t="n">
        <v>452329023254</v>
      </c>
      <c r="O164" s="15" t="n">
        <v>19876983</v>
      </c>
      <c r="P164" s="18" t="inlineStr">
        <is>
          <t>LW9FMPS</t>
        </is>
      </c>
      <c r="Q164" s="18" t="n">
        <v>1</v>
      </c>
      <c r="R164" s="18" t="n">
        <v>0.079</v>
      </c>
      <c r="S164" s="15" t="n">
        <v>9.51</v>
      </c>
      <c r="T164" s="16" t="n">
        <v>45824</v>
      </c>
      <c r="U164" s="19" t="n">
        <v>45883</v>
      </c>
      <c r="V164" s="16" t="n">
        <v>45824</v>
      </c>
      <c r="W164" s="16" t="n">
        <v>45826</v>
      </c>
      <c r="X164" s="57">
        <f>W164-1</f>
        <v/>
      </c>
      <c r="Y164" s="63" t="n">
        <v>45832</v>
      </c>
      <c r="Z164" s="67" t="n">
        <v>45861</v>
      </c>
      <c r="AA164" s="71">
        <f>Z164+13</f>
        <v/>
      </c>
      <c r="AB164" s="20">
        <f>AA164-U164</f>
        <v/>
      </c>
      <c r="AC164" s="20" t="inlineStr">
        <is>
          <t>No</t>
        </is>
      </c>
      <c r="AD164" s="21" t="inlineStr">
        <is>
          <t>1 HBL</t>
        </is>
      </c>
      <c r="AE164" s="21" t="n"/>
      <c r="AF164" s="22" t="inlineStr">
        <is>
          <t>LW</t>
        </is>
      </c>
      <c r="AG164" s="23" t="inlineStr">
        <is>
          <t>NAC</t>
        </is>
      </c>
      <c r="AH164" s="24" t="n"/>
      <c r="AN164" s="24" t="n"/>
    </row>
    <row r="165" ht="12.75" customHeight="1">
      <c r="A165" s="15" t="n">
        <v>3254506</v>
      </c>
      <c r="B165" s="15" t="inlineStr">
        <is>
          <t>Flexport</t>
        </is>
      </c>
      <c r="C165" s="15" t="inlineStr">
        <is>
          <t>Colombo, LK</t>
        </is>
      </c>
      <c r="D165" s="15" t="inlineStr">
        <is>
          <t>New York, NY, US</t>
        </is>
      </c>
      <c r="E165" s="15" t="inlineStr">
        <is>
          <t>Mississauga, ON, CA</t>
        </is>
      </c>
      <c r="F165" s="15" t="inlineStr">
        <is>
          <t>OCEAN</t>
        </is>
      </c>
      <c r="G165" s="15" t="inlineStr">
        <is>
          <t>C. 1 x 40HC</t>
        </is>
      </c>
      <c r="H165" s="15" t="inlineStr">
        <is>
          <t>CFS/CY</t>
        </is>
      </c>
      <c r="I165" s="15" t="inlineStr">
        <is>
          <t>ONE</t>
        </is>
      </c>
      <c r="J165" s="15" t="inlineStr">
        <is>
          <t>EC3</t>
        </is>
      </c>
      <c r="K165" s="15" t="inlineStr">
        <is>
          <t>Inqube Global (PVT) Ltd</t>
        </is>
      </c>
      <c r="L165" s="16" t="inlineStr">
        <is>
          <t>Quantum Clothing Lanka (Pvt) Ltd</t>
        </is>
      </c>
      <c r="M165" s="15" t="inlineStr">
        <is>
          <t>N</t>
        </is>
      </c>
      <c r="N165" s="17" t="n">
        <v>452329220808</v>
      </c>
      <c r="O165" s="15" t="n">
        <v>19876987</v>
      </c>
      <c r="P165" s="18" t="inlineStr">
        <is>
          <t>LW9FMPS</t>
        </is>
      </c>
      <c r="Q165" s="18" t="n">
        <v>1</v>
      </c>
      <c r="R165" s="18" t="n">
        <v>0.04</v>
      </c>
      <c r="S165" s="15" t="n">
        <v>5.155</v>
      </c>
      <c r="T165" s="16" t="n">
        <v>45824</v>
      </c>
      <c r="U165" s="19" t="n">
        <v>45883</v>
      </c>
      <c r="V165" s="16" t="n">
        <v>45824</v>
      </c>
      <c r="W165" s="16" t="n">
        <v>45826</v>
      </c>
      <c r="X165" s="57">
        <f>W165-1</f>
        <v/>
      </c>
      <c r="Y165" s="63" t="n">
        <v>45832</v>
      </c>
      <c r="Z165" s="67" t="n">
        <v>45861</v>
      </c>
      <c r="AA165" s="71">
        <f>Z165+13</f>
        <v/>
      </c>
      <c r="AB165" s="20">
        <f>AA165-U165</f>
        <v/>
      </c>
      <c r="AC165" s="20" t="inlineStr">
        <is>
          <t>No</t>
        </is>
      </c>
      <c r="AD165" s="21" t="inlineStr">
        <is>
          <t>1 HBL</t>
        </is>
      </c>
      <c r="AE165" s="21" t="n"/>
      <c r="AF165" s="22" t="inlineStr">
        <is>
          <t>LW</t>
        </is>
      </c>
      <c r="AG165" s="23" t="inlineStr">
        <is>
          <t>NAC</t>
        </is>
      </c>
      <c r="AH165" s="24" t="n"/>
      <c r="AN165" s="24" t="n"/>
    </row>
    <row r="166" ht="12.75" customHeight="1">
      <c r="A166" s="15" t="n">
        <v>3254506</v>
      </c>
      <c r="B166" s="15" t="inlineStr">
        <is>
          <t>Flexport</t>
        </is>
      </c>
      <c r="C166" s="15" t="inlineStr">
        <is>
          <t>Colombo, LK</t>
        </is>
      </c>
      <c r="D166" s="15" t="inlineStr">
        <is>
          <t>New York, NY, US</t>
        </is>
      </c>
      <c r="E166" s="15" t="inlineStr">
        <is>
          <t>Mississauga, ON, CA</t>
        </is>
      </c>
      <c r="F166" s="15" t="inlineStr">
        <is>
          <t>OCEAN</t>
        </is>
      </c>
      <c r="G166" s="15" t="inlineStr">
        <is>
          <t>C. 1 x 40HC</t>
        </is>
      </c>
      <c r="H166" s="15" t="inlineStr">
        <is>
          <t>CFS/CY</t>
        </is>
      </c>
      <c r="I166" s="15" t="inlineStr">
        <is>
          <t>ONE</t>
        </is>
      </c>
      <c r="J166" s="15" t="inlineStr">
        <is>
          <t>EC3</t>
        </is>
      </c>
      <c r="K166" s="15" t="inlineStr">
        <is>
          <t>Inqube Global (PVT) Ltd</t>
        </is>
      </c>
      <c r="L166" s="16" t="inlineStr">
        <is>
          <t>Quantum Clothing Lanka (Pvt) Ltd</t>
        </is>
      </c>
      <c r="M166" s="15" t="inlineStr">
        <is>
          <t>N</t>
        </is>
      </c>
      <c r="N166" s="17" t="n">
        <v>452331134230</v>
      </c>
      <c r="O166" s="15" t="n">
        <v>19876167</v>
      </c>
      <c r="P166" s="18" t="inlineStr">
        <is>
          <t>LW9FMPS</t>
        </is>
      </c>
      <c r="Q166" s="18" t="n">
        <v>1</v>
      </c>
      <c r="R166" s="18" t="n">
        <v>0.04</v>
      </c>
      <c r="S166" s="15" t="n">
        <v>2.714</v>
      </c>
      <c r="T166" s="16" t="n">
        <v>45824</v>
      </c>
      <c r="U166" s="19" t="n">
        <v>45883</v>
      </c>
      <c r="V166" s="16" t="n">
        <v>45824</v>
      </c>
      <c r="W166" s="16" t="n">
        <v>45826</v>
      </c>
      <c r="X166" s="57">
        <f>W166-1</f>
        <v/>
      </c>
      <c r="Y166" s="63" t="n">
        <v>45832</v>
      </c>
      <c r="Z166" s="67" t="n">
        <v>45861</v>
      </c>
      <c r="AA166" s="71">
        <f>Z166+13</f>
        <v/>
      </c>
      <c r="AB166" s="20">
        <f>AA166-U166</f>
        <v/>
      </c>
      <c r="AC166" s="20" t="inlineStr">
        <is>
          <t>No</t>
        </is>
      </c>
      <c r="AD166" s="21" t="inlineStr">
        <is>
          <t>1 HBL</t>
        </is>
      </c>
      <c r="AE166" s="21" t="n"/>
      <c r="AF166" s="22" t="inlineStr">
        <is>
          <t>LW</t>
        </is>
      </c>
      <c r="AG166" s="23" t="inlineStr">
        <is>
          <t>NAC</t>
        </is>
      </c>
      <c r="AH166" s="24" t="n"/>
      <c r="AN166" s="24" t="n"/>
    </row>
    <row r="167" ht="12.75" customHeight="1">
      <c r="A167" s="15" t="n">
        <v>3254506</v>
      </c>
      <c r="B167" s="15" t="inlineStr">
        <is>
          <t>Flexport</t>
        </is>
      </c>
      <c r="C167" s="15" t="inlineStr">
        <is>
          <t>Colombo, LK</t>
        </is>
      </c>
      <c r="D167" s="15" t="inlineStr">
        <is>
          <t>New York, NY, US</t>
        </is>
      </c>
      <c r="E167" s="15" t="inlineStr">
        <is>
          <t>Mississauga, ON, CA</t>
        </is>
      </c>
      <c r="F167" s="15" t="inlineStr">
        <is>
          <t>OCEAN</t>
        </is>
      </c>
      <c r="G167" s="15" t="inlineStr">
        <is>
          <t>C. 1 x 40HC</t>
        </is>
      </c>
      <c r="H167" s="15" t="inlineStr">
        <is>
          <t>CFS/CY</t>
        </is>
      </c>
      <c r="I167" s="15" t="inlineStr">
        <is>
          <t>ONE</t>
        </is>
      </c>
      <c r="J167" s="15" t="inlineStr">
        <is>
          <t>EC3</t>
        </is>
      </c>
      <c r="K167" s="15" t="inlineStr">
        <is>
          <t>Inqube Global (PVT) Ltd</t>
        </is>
      </c>
      <c r="L167" s="16" t="inlineStr">
        <is>
          <t>Quantum Clothing Lanka (Pvt) Ltd</t>
        </is>
      </c>
      <c r="M167" s="15" t="inlineStr">
        <is>
          <t>N</t>
        </is>
      </c>
      <c r="N167" s="17" t="n">
        <v>452333555853</v>
      </c>
      <c r="O167" s="15" t="n">
        <v>19876168</v>
      </c>
      <c r="P167" s="18" t="inlineStr">
        <is>
          <t>LW9FMPS</t>
        </is>
      </c>
      <c r="Q167" s="18" t="n">
        <v>1</v>
      </c>
      <c r="R167" s="18" t="n">
        <v>0.04</v>
      </c>
      <c r="S167" s="15" t="n">
        <v>2.789</v>
      </c>
      <c r="T167" s="16" t="n">
        <v>45824</v>
      </c>
      <c r="U167" s="19" t="n">
        <v>45883</v>
      </c>
      <c r="V167" s="16" t="n">
        <v>45824</v>
      </c>
      <c r="W167" s="16" t="n">
        <v>45826</v>
      </c>
      <c r="X167" s="57">
        <f>W167-1</f>
        <v/>
      </c>
      <c r="Y167" s="63" t="n">
        <v>45832</v>
      </c>
      <c r="Z167" s="67" t="n">
        <v>45861</v>
      </c>
      <c r="AA167" s="71">
        <f>Z167+13</f>
        <v/>
      </c>
      <c r="AB167" s="20">
        <f>AA167-U167</f>
        <v/>
      </c>
      <c r="AC167" s="20" t="inlineStr">
        <is>
          <t>No</t>
        </is>
      </c>
      <c r="AD167" s="21" t="inlineStr">
        <is>
          <t>1 HBL</t>
        </is>
      </c>
      <c r="AE167" s="21" t="n"/>
      <c r="AF167" s="22" t="inlineStr">
        <is>
          <t>LW</t>
        </is>
      </c>
      <c r="AG167" s="23" t="inlineStr">
        <is>
          <t>NAC</t>
        </is>
      </c>
      <c r="AH167" s="24" t="n"/>
      <c r="AN167" s="24" t="n"/>
    </row>
    <row r="168" ht="15" customHeight="1">
      <c r="A168" s="15" t="n">
        <v>3254506</v>
      </c>
      <c r="B168" s="15" t="inlineStr">
        <is>
          <t>Flexport</t>
        </is>
      </c>
      <c r="C168" s="15" t="inlineStr">
        <is>
          <t>Colombo, LK</t>
        </is>
      </c>
      <c r="D168" s="15" t="inlineStr">
        <is>
          <t>New York, NY, US</t>
        </is>
      </c>
      <c r="E168" s="15" t="inlineStr">
        <is>
          <t>Mississauga, ON, CA</t>
        </is>
      </c>
      <c r="F168" s="15" t="inlineStr">
        <is>
          <t>OCEAN</t>
        </is>
      </c>
      <c r="G168" s="15" t="inlineStr">
        <is>
          <t>C. 1 x 40HC</t>
        </is>
      </c>
      <c r="H168" s="15" t="inlineStr">
        <is>
          <t>CFS/CY</t>
        </is>
      </c>
      <c r="I168" s="15" t="inlineStr">
        <is>
          <t>ONE</t>
        </is>
      </c>
      <c r="J168" s="15" t="inlineStr">
        <is>
          <t>EC3</t>
        </is>
      </c>
      <c r="K168" s="15" t="inlineStr">
        <is>
          <t>Inqube Global (PVT) Ltd</t>
        </is>
      </c>
      <c r="L168" s="16" t="inlineStr">
        <is>
          <t>Quantum Clothing Lanka (Pvt) Ltd</t>
        </is>
      </c>
      <c r="M168" s="15" t="inlineStr">
        <is>
          <t>N</t>
        </is>
      </c>
      <c r="N168" s="17" t="n">
        <v>452334621428</v>
      </c>
      <c r="O168" s="15" t="n">
        <v>19877037</v>
      </c>
      <c r="P168" s="18" t="inlineStr">
        <is>
          <t>LW9FMPS</t>
        </is>
      </c>
      <c r="Q168" s="18" t="n">
        <v>1</v>
      </c>
      <c r="R168" s="18" t="n">
        <v>0.04</v>
      </c>
      <c r="S168" s="15" t="n">
        <v>4.602</v>
      </c>
      <c r="T168" s="16" t="n">
        <v>45824</v>
      </c>
      <c r="U168" s="19" t="n">
        <v>45883</v>
      </c>
      <c r="V168" s="16" t="n">
        <v>45824</v>
      </c>
      <c r="W168" s="16" t="n">
        <v>45826</v>
      </c>
      <c r="X168" s="57">
        <f>W168-1</f>
        <v/>
      </c>
      <c r="Y168" s="63" t="n">
        <v>45832</v>
      </c>
      <c r="Z168" s="67" t="n">
        <v>45861</v>
      </c>
      <c r="AA168" s="71">
        <f>Z168+13</f>
        <v/>
      </c>
      <c r="AB168" s="20">
        <f>AA168-U168</f>
        <v/>
      </c>
      <c r="AC168" s="20" t="inlineStr">
        <is>
          <t>No</t>
        </is>
      </c>
      <c r="AD168" s="21" t="inlineStr">
        <is>
          <t>1 HBL</t>
        </is>
      </c>
      <c r="AE168" s="21" t="n"/>
      <c r="AF168" s="22" t="inlineStr">
        <is>
          <t>LW</t>
        </is>
      </c>
      <c r="AG168" s="23" t="inlineStr">
        <is>
          <t>NAC</t>
        </is>
      </c>
      <c r="AH168" s="24" t="n"/>
      <c r="AN168" s="24" t="n"/>
    </row>
    <row r="169" ht="12.75" customHeight="1">
      <c r="A169" s="15" t="n">
        <v>3254506</v>
      </c>
      <c r="B169" s="15" t="inlineStr">
        <is>
          <t>Flexport</t>
        </is>
      </c>
      <c r="C169" s="15" t="inlineStr">
        <is>
          <t>Colombo, LK</t>
        </is>
      </c>
      <c r="D169" s="15" t="inlineStr">
        <is>
          <t>New York, NY, US</t>
        </is>
      </c>
      <c r="E169" s="15" t="inlineStr">
        <is>
          <t>Mississauga, ON, CA</t>
        </is>
      </c>
      <c r="F169" s="15" t="inlineStr">
        <is>
          <t>OCEAN</t>
        </is>
      </c>
      <c r="G169" s="15" t="inlineStr">
        <is>
          <t>C. 1 x 40HC</t>
        </is>
      </c>
      <c r="H169" s="15" t="inlineStr">
        <is>
          <t>CFS/CY</t>
        </is>
      </c>
      <c r="I169" s="15" t="inlineStr">
        <is>
          <t>ONE</t>
        </is>
      </c>
      <c r="J169" s="15" t="inlineStr">
        <is>
          <t>EC3</t>
        </is>
      </c>
      <c r="K169" s="15" t="inlineStr">
        <is>
          <t>Inqube Global (PVT) Ltd</t>
        </is>
      </c>
      <c r="L169" s="16" t="inlineStr">
        <is>
          <t>Quantum Clothing Lanka (Pvt) Ltd</t>
        </is>
      </c>
      <c r="M169" s="15" t="inlineStr">
        <is>
          <t>N</t>
        </is>
      </c>
      <c r="N169" s="17" t="n">
        <v>452334899638</v>
      </c>
      <c r="O169" s="15" t="n">
        <v>19877041</v>
      </c>
      <c r="P169" s="18" t="inlineStr">
        <is>
          <t>LW9FMPS</t>
        </is>
      </c>
      <c r="Q169" s="18" t="n">
        <v>1</v>
      </c>
      <c r="R169" s="18" t="n">
        <v>0.04</v>
      </c>
      <c r="S169" s="15" t="n">
        <v>3.157</v>
      </c>
      <c r="T169" s="16" t="n">
        <v>45824</v>
      </c>
      <c r="U169" s="19" t="n">
        <v>45883</v>
      </c>
      <c r="V169" s="16" t="n">
        <v>45824</v>
      </c>
      <c r="W169" s="16" t="n">
        <v>45826</v>
      </c>
      <c r="X169" s="57">
        <f>W169-1</f>
        <v/>
      </c>
      <c r="Y169" s="63" t="n">
        <v>45832</v>
      </c>
      <c r="Z169" s="67" t="n">
        <v>45861</v>
      </c>
      <c r="AA169" s="71">
        <f>Z169+13</f>
        <v/>
      </c>
      <c r="AB169" s="20">
        <f>AA169-U169</f>
        <v/>
      </c>
      <c r="AC169" s="20" t="inlineStr">
        <is>
          <t>No</t>
        </is>
      </c>
      <c r="AD169" s="21" t="inlineStr">
        <is>
          <t>1 HBL</t>
        </is>
      </c>
      <c r="AE169" s="21" t="n"/>
      <c r="AF169" s="22" t="inlineStr">
        <is>
          <t>LW</t>
        </is>
      </c>
      <c r="AG169" s="23" t="inlineStr">
        <is>
          <t>NAC</t>
        </is>
      </c>
      <c r="AH169" s="24" t="n"/>
      <c r="AN169" s="24" t="n"/>
    </row>
    <row r="170" ht="12.75" customHeight="1">
      <c r="A170" s="15" t="n">
        <v>3254506</v>
      </c>
      <c r="B170" s="15" t="inlineStr">
        <is>
          <t>Flexport</t>
        </is>
      </c>
      <c r="C170" s="15" t="inlineStr">
        <is>
          <t>Colombo, LK</t>
        </is>
      </c>
      <c r="D170" s="15" t="inlineStr">
        <is>
          <t>New York, NY, US</t>
        </is>
      </c>
      <c r="E170" s="15" t="inlineStr">
        <is>
          <t>Mississauga, ON, CA</t>
        </is>
      </c>
      <c r="F170" s="15" t="inlineStr">
        <is>
          <t>OCEAN</t>
        </is>
      </c>
      <c r="G170" s="15" t="inlineStr">
        <is>
          <t>C. 1 x 40HC</t>
        </is>
      </c>
      <c r="H170" s="15" t="inlineStr">
        <is>
          <t>CFS/CY</t>
        </is>
      </c>
      <c r="I170" s="15" t="inlineStr">
        <is>
          <t>ONE</t>
        </is>
      </c>
      <c r="J170" s="15" t="inlineStr">
        <is>
          <t>EC3</t>
        </is>
      </c>
      <c r="K170" s="15" t="inlineStr">
        <is>
          <t>Inqube Global (PVT) Ltd</t>
        </is>
      </c>
      <c r="L170" s="16" t="inlineStr">
        <is>
          <t>Quantum Clothing Lanka (Pvt) Ltd</t>
        </is>
      </c>
      <c r="M170" s="15" t="inlineStr">
        <is>
          <t>N</t>
        </is>
      </c>
      <c r="N170" s="17" t="n">
        <v>452336515351</v>
      </c>
      <c r="O170" s="15" t="n">
        <v>19876163</v>
      </c>
      <c r="P170" s="18" t="inlineStr">
        <is>
          <t>LW9FMPS</t>
        </is>
      </c>
      <c r="Q170" s="18" t="n">
        <v>1</v>
      </c>
      <c r="R170" s="18" t="n">
        <v>0.04</v>
      </c>
      <c r="S170" s="15" t="n">
        <v>2.304</v>
      </c>
      <c r="T170" s="16" t="n">
        <v>45824</v>
      </c>
      <c r="U170" s="19" t="n">
        <v>45883</v>
      </c>
      <c r="V170" s="16" t="n">
        <v>45824</v>
      </c>
      <c r="W170" s="16" t="n">
        <v>45826</v>
      </c>
      <c r="X170" s="57">
        <f>W170-1</f>
        <v/>
      </c>
      <c r="Y170" s="63" t="n">
        <v>45832</v>
      </c>
      <c r="Z170" s="67" t="n">
        <v>45861</v>
      </c>
      <c r="AA170" s="71">
        <f>Z170+13</f>
        <v/>
      </c>
      <c r="AB170" s="20">
        <f>AA170-U170</f>
        <v/>
      </c>
      <c r="AC170" s="20" t="inlineStr">
        <is>
          <t>No</t>
        </is>
      </c>
      <c r="AD170" s="21" t="inlineStr">
        <is>
          <t>1 HBL</t>
        </is>
      </c>
      <c r="AE170" s="21" t="n"/>
      <c r="AF170" s="22" t="inlineStr">
        <is>
          <t>LW</t>
        </is>
      </c>
      <c r="AG170" s="23" t="inlineStr">
        <is>
          <t>NAC</t>
        </is>
      </c>
      <c r="AH170" s="24" t="n"/>
      <c r="AN170" s="24" t="n"/>
    </row>
    <row r="171" ht="12.75" customHeight="1">
      <c r="A171" s="15" t="n">
        <v>3254506</v>
      </c>
      <c r="B171" s="15" t="inlineStr">
        <is>
          <t>Flexport</t>
        </is>
      </c>
      <c r="C171" s="15" t="inlineStr">
        <is>
          <t>Colombo, LK</t>
        </is>
      </c>
      <c r="D171" s="15" t="inlineStr">
        <is>
          <t>New York, NY, US</t>
        </is>
      </c>
      <c r="E171" s="15" t="inlineStr">
        <is>
          <t>Mississauga, ON, CA</t>
        </is>
      </c>
      <c r="F171" s="15" t="inlineStr">
        <is>
          <t>OCEAN</t>
        </is>
      </c>
      <c r="G171" s="15" t="inlineStr">
        <is>
          <t>C. 1 x 40HC</t>
        </is>
      </c>
      <c r="H171" s="15" t="inlineStr">
        <is>
          <t>CFS/CY</t>
        </is>
      </c>
      <c r="I171" s="15" t="inlineStr">
        <is>
          <t>ONE</t>
        </is>
      </c>
      <c r="J171" s="15" t="inlineStr">
        <is>
          <t>EC3</t>
        </is>
      </c>
      <c r="K171" s="15" t="inlineStr">
        <is>
          <t>Inqube Global (PVT) Ltd</t>
        </is>
      </c>
      <c r="L171" s="16" t="inlineStr">
        <is>
          <t>Quantum Clothing Lanka (Pvt) Ltd</t>
        </is>
      </c>
      <c r="M171" s="15" t="inlineStr">
        <is>
          <t>N</t>
        </is>
      </c>
      <c r="N171" s="17" t="n">
        <v>452337415724</v>
      </c>
      <c r="O171" s="15" t="n">
        <v>19877011</v>
      </c>
      <c r="P171" s="18" t="inlineStr">
        <is>
          <t>LW9FMPS</t>
        </is>
      </c>
      <c r="Q171" s="18" t="n">
        <v>1</v>
      </c>
      <c r="R171" s="18" t="n">
        <v>0.04</v>
      </c>
      <c r="S171" s="15" t="n">
        <v>4.711</v>
      </c>
      <c r="T171" s="16" t="n">
        <v>45824</v>
      </c>
      <c r="U171" s="19" t="n">
        <v>45883</v>
      </c>
      <c r="V171" s="16" t="n">
        <v>45824</v>
      </c>
      <c r="W171" s="16" t="n">
        <v>45826</v>
      </c>
      <c r="X171" s="57">
        <f>W171-1</f>
        <v/>
      </c>
      <c r="Y171" s="63" t="n">
        <v>45832</v>
      </c>
      <c r="Z171" s="67" t="n">
        <v>45861</v>
      </c>
      <c r="AA171" s="71">
        <f>Z171+13</f>
        <v/>
      </c>
      <c r="AB171" s="20">
        <f>AA171-U171</f>
        <v/>
      </c>
      <c r="AC171" s="20" t="inlineStr">
        <is>
          <t>No</t>
        </is>
      </c>
      <c r="AD171" s="21" t="inlineStr">
        <is>
          <t>1 HBL</t>
        </is>
      </c>
      <c r="AE171" s="21" t="n"/>
      <c r="AF171" s="22" t="inlineStr">
        <is>
          <t>LW</t>
        </is>
      </c>
      <c r="AG171" s="23" t="inlineStr">
        <is>
          <t>NAC</t>
        </is>
      </c>
      <c r="AH171" s="24" t="n"/>
      <c r="AN171" s="24" t="n"/>
    </row>
    <row r="172" ht="12.75" customHeight="1">
      <c r="A172" s="15" t="n">
        <v>3254506</v>
      </c>
      <c r="B172" s="15" t="inlineStr">
        <is>
          <t>Flexport</t>
        </is>
      </c>
      <c r="C172" s="15" t="inlineStr">
        <is>
          <t>Colombo, LK</t>
        </is>
      </c>
      <c r="D172" s="15" t="inlineStr">
        <is>
          <t>New York, NY, US</t>
        </is>
      </c>
      <c r="E172" s="15" t="inlineStr">
        <is>
          <t>Mississauga, ON, CA</t>
        </is>
      </c>
      <c r="F172" s="15" t="inlineStr">
        <is>
          <t>OCEAN</t>
        </is>
      </c>
      <c r="G172" s="15" t="inlineStr">
        <is>
          <t>C. 1 x 40HC</t>
        </is>
      </c>
      <c r="H172" s="15" t="inlineStr">
        <is>
          <t>CFS/CY</t>
        </is>
      </c>
      <c r="I172" s="15" t="inlineStr">
        <is>
          <t>ONE</t>
        </is>
      </c>
      <c r="J172" s="15" t="inlineStr">
        <is>
          <t>EC3</t>
        </is>
      </c>
      <c r="K172" s="15" t="inlineStr">
        <is>
          <t>Inqube Global (PVT) Ltd</t>
        </is>
      </c>
      <c r="L172" s="16" t="inlineStr">
        <is>
          <t>Quantum Clothing Lanka (Pvt) Ltd</t>
        </is>
      </c>
      <c r="M172" s="15" t="inlineStr">
        <is>
          <t>N</t>
        </is>
      </c>
      <c r="N172" s="17" t="n">
        <v>452337503304</v>
      </c>
      <c r="O172" s="15" t="n">
        <v>19877007</v>
      </c>
      <c r="P172" s="18" t="inlineStr">
        <is>
          <t>LW9FMPS</t>
        </is>
      </c>
      <c r="Q172" s="18" t="n">
        <v>1</v>
      </c>
      <c r="R172" s="18" t="n">
        <v>0.079</v>
      </c>
      <c r="S172" s="15" t="n">
        <v>8.731999999999999</v>
      </c>
      <c r="T172" s="16" t="n">
        <v>45824</v>
      </c>
      <c r="U172" s="19" t="n">
        <v>45883</v>
      </c>
      <c r="V172" s="16" t="n">
        <v>45824</v>
      </c>
      <c r="W172" s="16" t="n">
        <v>45826</v>
      </c>
      <c r="X172" s="57">
        <f>W172-1</f>
        <v/>
      </c>
      <c r="Y172" s="63" t="n">
        <v>45832</v>
      </c>
      <c r="Z172" s="67" t="n">
        <v>45861</v>
      </c>
      <c r="AA172" s="71">
        <f>Z172+13</f>
        <v/>
      </c>
      <c r="AB172" s="20">
        <f>AA172-U172</f>
        <v/>
      </c>
      <c r="AC172" s="20" t="inlineStr">
        <is>
          <t>No</t>
        </is>
      </c>
      <c r="AD172" s="21" t="inlineStr">
        <is>
          <t>1 HBL</t>
        </is>
      </c>
      <c r="AE172" s="21" t="n"/>
      <c r="AF172" s="22" t="inlineStr">
        <is>
          <t>LW</t>
        </is>
      </c>
      <c r="AG172" s="23" t="inlineStr">
        <is>
          <t>NAC</t>
        </is>
      </c>
      <c r="AH172" s="24" t="n"/>
      <c r="AN172" s="24" t="n"/>
    </row>
    <row r="173" ht="12.75" customHeight="1">
      <c r="A173" s="15" t="n">
        <v>3254506</v>
      </c>
      <c r="B173" s="15" t="inlineStr">
        <is>
          <t>Flexport</t>
        </is>
      </c>
      <c r="C173" s="15" t="inlineStr">
        <is>
          <t>Colombo, LK</t>
        </is>
      </c>
      <c r="D173" s="15" t="inlineStr">
        <is>
          <t>New York, NY, US</t>
        </is>
      </c>
      <c r="E173" s="15" t="inlineStr">
        <is>
          <t>Mississauga, ON, CA</t>
        </is>
      </c>
      <c r="F173" s="15" t="inlineStr">
        <is>
          <t>OCEAN</t>
        </is>
      </c>
      <c r="G173" s="15" t="inlineStr">
        <is>
          <t>C. 1 x 40HC</t>
        </is>
      </c>
      <c r="H173" s="15" t="inlineStr">
        <is>
          <t>CFS/CY</t>
        </is>
      </c>
      <c r="I173" s="15" t="inlineStr">
        <is>
          <t>ONE</t>
        </is>
      </c>
      <c r="J173" s="15" t="inlineStr">
        <is>
          <t>EC3</t>
        </is>
      </c>
      <c r="K173" s="15" t="inlineStr">
        <is>
          <t>Inqube Global (PVT) Ltd</t>
        </is>
      </c>
      <c r="L173" s="16" t="inlineStr">
        <is>
          <t>Quantum Clothing Lanka (Pvt) Ltd</t>
        </is>
      </c>
      <c r="M173" s="15" t="inlineStr">
        <is>
          <t>N</t>
        </is>
      </c>
      <c r="N173" s="17" t="n">
        <v>452338733738</v>
      </c>
      <c r="O173" s="15" t="n">
        <v>19876190</v>
      </c>
      <c r="P173" s="18" t="inlineStr">
        <is>
          <t>LW9FUES</t>
        </is>
      </c>
      <c r="Q173" s="18" t="n">
        <v>1</v>
      </c>
      <c r="R173" s="18" t="n">
        <v>0.04</v>
      </c>
      <c r="S173" s="15" t="n">
        <v>4.153</v>
      </c>
      <c r="T173" s="16" t="n">
        <v>45824</v>
      </c>
      <c r="U173" s="19" t="n">
        <v>45883</v>
      </c>
      <c r="V173" s="16" t="n">
        <v>45824</v>
      </c>
      <c r="W173" s="16" t="n">
        <v>45826</v>
      </c>
      <c r="X173" s="57">
        <f>W173-1</f>
        <v/>
      </c>
      <c r="Y173" s="63" t="n">
        <v>45832</v>
      </c>
      <c r="Z173" s="67" t="n">
        <v>45861</v>
      </c>
      <c r="AA173" s="71">
        <f>Z173+13</f>
        <v/>
      </c>
      <c r="AB173" s="20">
        <f>AA173-U173</f>
        <v/>
      </c>
      <c r="AC173" s="20" t="inlineStr">
        <is>
          <t>No</t>
        </is>
      </c>
      <c r="AD173" s="21" t="inlineStr">
        <is>
          <t>1 HBL</t>
        </is>
      </c>
      <c r="AE173" s="21" t="n"/>
      <c r="AF173" s="22" t="inlineStr">
        <is>
          <t>LW</t>
        </is>
      </c>
      <c r="AG173" s="23" t="inlineStr">
        <is>
          <t>NAC</t>
        </is>
      </c>
      <c r="AH173" s="24" t="n"/>
      <c r="AN173" s="24" t="n"/>
    </row>
    <row r="174" ht="12.75" customHeight="1">
      <c r="A174" s="15" t="n">
        <v>3254506</v>
      </c>
      <c r="B174" s="15" t="inlineStr">
        <is>
          <t>Flexport</t>
        </is>
      </c>
      <c r="C174" s="15" t="inlineStr">
        <is>
          <t>Colombo, LK</t>
        </is>
      </c>
      <c r="D174" s="15" t="inlineStr">
        <is>
          <t>New York, NY, US</t>
        </is>
      </c>
      <c r="E174" s="15" t="inlineStr">
        <is>
          <t>Mississauga, ON, CA</t>
        </is>
      </c>
      <c r="F174" s="15" t="inlineStr">
        <is>
          <t>OCEAN</t>
        </is>
      </c>
      <c r="G174" s="15" t="inlineStr">
        <is>
          <t>C. 1 x 40HC</t>
        </is>
      </c>
      <c r="H174" s="15" t="inlineStr">
        <is>
          <t>CFS/CY</t>
        </is>
      </c>
      <c r="I174" s="15" t="inlineStr">
        <is>
          <t>ONE</t>
        </is>
      </c>
      <c r="J174" s="15" t="inlineStr">
        <is>
          <t>EC3</t>
        </is>
      </c>
      <c r="K174" s="15" t="inlineStr">
        <is>
          <t>Inqube Global (PVT) Ltd</t>
        </is>
      </c>
      <c r="L174" s="16" t="inlineStr">
        <is>
          <t>Quantum Clothing Lanka (Pvt) Ltd</t>
        </is>
      </c>
      <c r="M174" s="15" t="inlineStr">
        <is>
          <t>N</t>
        </is>
      </c>
      <c r="N174" s="17" t="n">
        <v>452339268805</v>
      </c>
      <c r="O174" s="15" t="n">
        <v>19877071</v>
      </c>
      <c r="P174" s="18" t="inlineStr">
        <is>
          <t>LW9FUES</t>
        </is>
      </c>
      <c r="Q174" s="18" t="n">
        <v>1</v>
      </c>
      <c r="R174" s="18" t="n">
        <v>0.04</v>
      </c>
      <c r="S174" s="15" t="n">
        <v>10.143</v>
      </c>
      <c r="T174" s="16" t="n">
        <v>45824</v>
      </c>
      <c r="U174" s="19" t="n">
        <v>45883</v>
      </c>
      <c r="V174" s="16" t="n">
        <v>45824</v>
      </c>
      <c r="W174" s="16" t="n">
        <v>45826</v>
      </c>
      <c r="X174" s="57">
        <f>W174-1</f>
        <v/>
      </c>
      <c r="Y174" s="63" t="n">
        <v>45832</v>
      </c>
      <c r="Z174" s="67" t="n">
        <v>45861</v>
      </c>
      <c r="AA174" s="71">
        <f>Z174+13</f>
        <v/>
      </c>
      <c r="AB174" s="20">
        <f>AA174-U174</f>
        <v/>
      </c>
      <c r="AC174" s="20" t="inlineStr">
        <is>
          <t>No</t>
        </is>
      </c>
      <c r="AD174" s="21" t="inlineStr">
        <is>
          <t>1 HBL</t>
        </is>
      </c>
      <c r="AE174" s="21" t="n"/>
      <c r="AF174" s="22" t="inlineStr">
        <is>
          <t>LW</t>
        </is>
      </c>
      <c r="AG174" s="23" t="inlineStr">
        <is>
          <t>NAC</t>
        </is>
      </c>
      <c r="AH174" s="24" t="n"/>
      <c r="AN174" s="24" t="n"/>
    </row>
    <row r="175" ht="12.75" customHeight="1">
      <c r="A175" s="15" t="n">
        <v>3254506</v>
      </c>
      <c r="B175" s="15" t="inlineStr">
        <is>
          <t>Flexport</t>
        </is>
      </c>
      <c r="C175" s="15" t="inlineStr">
        <is>
          <t>Colombo, LK</t>
        </is>
      </c>
      <c r="D175" s="15" t="inlineStr">
        <is>
          <t>New York, NY, US</t>
        </is>
      </c>
      <c r="E175" s="15" t="inlineStr">
        <is>
          <t>Mississauga, ON, CA</t>
        </is>
      </c>
      <c r="F175" s="15" t="inlineStr">
        <is>
          <t>OCEAN</t>
        </is>
      </c>
      <c r="G175" s="15" t="inlineStr">
        <is>
          <t>C. 1 x 40HC</t>
        </is>
      </c>
      <c r="H175" s="15" t="inlineStr">
        <is>
          <t>CFS/CY</t>
        </is>
      </c>
      <c r="I175" s="15" t="inlineStr">
        <is>
          <t>ONE</t>
        </is>
      </c>
      <c r="J175" s="15" t="inlineStr">
        <is>
          <t>EC3</t>
        </is>
      </c>
      <c r="K175" s="15" t="inlineStr">
        <is>
          <t>Inqube Global (PVT) Ltd</t>
        </is>
      </c>
      <c r="L175" s="16" t="inlineStr">
        <is>
          <t>Quantum Clothing Lanka (Pvt) Ltd</t>
        </is>
      </c>
      <c r="M175" s="15" t="inlineStr">
        <is>
          <t>N</t>
        </is>
      </c>
      <c r="N175" s="17" t="n">
        <v>452340224599</v>
      </c>
      <c r="O175" s="15" t="n">
        <v>19877072</v>
      </c>
      <c r="P175" s="18" t="inlineStr">
        <is>
          <t>LW9FUES</t>
        </is>
      </c>
      <c r="Q175" s="18" t="n">
        <v>1</v>
      </c>
      <c r="R175" s="18" t="n">
        <v>0.04</v>
      </c>
      <c r="S175" s="15" t="n">
        <v>7</v>
      </c>
      <c r="T175" s="16" t="n">
        <v>45824</v>
      </c>
      <c r="U175" s="19" t="n">
        <v>45883</v>
      </c>
      <c r="V175" s="16" t="n">
        <v>45824</v>
      </c>
      <c r="W175" s="16" t="n">
        <v>45826</v>
      </c>
      <c r="X175" s="57">
        <f>W175-1</f>
        <v/>
      </c>
      <c r="Y175" s="63" t="n">
        <v>45832</v>
      </c>
      <c r="Z175" s="67" t="n">
        <v>45861</v>
      </c>
      <c r="AA175" s="71">
        <f>Z175+13</f>
        <v/>
      </c>
      <c r="AB175" s="20">
        <f>AA175-U175</f>
        <v/>
      </c>
      <c r="AC175" s="20" t="inlineStr">
        <is>
          <t>No</t>
        </is>
      </c>
      <c r="AD175" s="21" t="inlineStr">
        <is>
          <t>1 HBL</t>
        </is>
      </c>
      <c r="AE175" s="21" t="n"/>
      <c r="AF175" s="22" t="inlineStr">
        <is>
          <t>LW</t>
        </is>
      </c>
      <c r="AG175" s="23" t="inlineStr">
        <is>
          <t>NAC</t>
        </is>
      </c>
      <c r="AH175" s="24" t="n"/>
      <c r="AN175" s="24" t="n"/>
    </row>
    <row r="176" ht="12.75" customHeight="1">
      <c r="A176" s="15" t="n">
        <v>3254506</v>
      </c>
      <c r="B176" s="15" t="inlineStr">
        <is>
          <t>Flexport</t>
        </is>
      </c>
      <c r="C176" s="15" t="inlineStr">
        <is>
          <t>Colombo, LK</t>
        </is>
      </c>
      <c r="D176" s="15" t="inlineStr">
        <is>
          <t>New York, NY, US</t>
        </is>
      </c>
      <c r="E176" s="15" t="inlineStr">
        <is>
          <t>Mississauga, ON, CA</t>
        </is>
      </c>
      <c r="F176" s="15" t="inlineStr">
        <is>
          <t>OCEAN</t>
        </is>
      </c>
      <c r="G176" s="15" t="inlineStr">
        <is>
          <t>C. 1 x 40HC</t>
        </is>
      </c>
      <c r="H176" s="15" t="inlineStr">
        <is>
          <t>CFS/CY</t>
        </is>
      </c>
      <c r="I176" s="15" t="inlineStr">
        <is>
          <t>ONE</t>
        </is>
      </c>
      <c r="J176" s="15" t="inlineStr">
        <is>
          <t>EC3</t>
        </is>
      </c>
      <c r="K176" s="15" t="inlineStr">
        <is>
          <t>Inqube Global (PVT) Ltd</t>
        </is>
      </c>
      <c r="L176" s="16" t="inlineStr">
        <is>
          <t>Quantum Clothing Lanka (Pvt) Ltd</t>
        </is>
      </c>
      <c r="M176" s="15" t="inlineStr">
        <is>
          <t>N</t>
        </is>
      </c>
      <c r="N176" s="17" t="n">
        <v>452342044538</v>
      </c>
      <c r="O176" s="15" t="n">
        <v>19876212</v>
      </c>
      <c r="P176" s="18" t="inlineStr">
        <is>
          <t>LW9FUES</t>
        </is>
      </c>
      <c r="Q176" s="18" t="n">
        <v>1</v>
      </c>
      <c r="R176" s="18" t="n">
        <v>0.04</v>
      </c>
      <c r="S176" s="15" t="n">
        <v>4.789</v>
      </c>
      <c r="T176" s="16" t="n">
        <v>45824</v>
      </c>
      <c r="U176" s="19" t="n">
        <v>45883</v>
      </c>
      <c r="V176" s="16" t="n">
        <v>45824</v>
      </c>
      <c r="W176" s="16" t="n">
        <v>45826</v>
      </c>
      <c r="X176" s="57">
        <f>W176-1</f>
        <v/>
      </c>
      <c r="Y176" s="63" t="n">
        <v>45832</v>
      </c>
      <c r="Z176" s="67" t="n">
        <v>45861</v>
      </c>
      <c r="AA176" s="71">
        <f>Z176+13</f>
        <v/>
      </c>
      <c r="AB176" s="20">
        <f>AA176-U176</f>
        <v/>
      </c>
      <c r="AC176" s="20" t="inlineStr">
        <is>
          <t>No</t>
        </is>
      </c>
      <c r="AD176" s="21" t="inlineStr">
        <is>
          <t>1 HBL</t>
        </is>
      </c>
      <c r="AE176" s="21" t="n"/>
      <c r="AF176" s="22" t="inlineStr">
        <is>
          <t>LW</t>
        </is>
      </c>
      <c r="AG176" s="23" t="inlineStr">
        <is>
          <t>NAC</t>
        </is>
      </c>
      <c r="AH176" s="24" t="n"/>
      <c r="AN176" s="24" t="n"/>
    </row>
    <row r="177" ht="12.75" customHeight="1">
      <c r="A177" s="15" t="n">
        <v>3254506</v>
      </c>
      <c r="B177" s="15" t="inlineStr">
        <is>
          <t>Flexport</t>
        </is>
      </c>
      <c r="C177" s="15" t="inlineStr">
        <is>
          <t>Colombo, LK</t>
        </is>
      </c>
      <c r="D177" s="15" t="inlineStr">
        <is>
          <t>New York, NY, US</t>
        </is>
      </c>
      <c r="E177" s="15" t="inlineStr">
        <is>
          <t>Mississauga, ON, CA</t>
        </is>
      </c>
      <c r="F177" s="15" t="inlineStr">
        <is>
          <t>OCEAN</t>
        </is>
      </c>
      <c r="G177" s="15" t="inlineStr">
        <is>
          <t>C. 1 x 40HC</t>
        </is>
      </c>
      <c r="H177" s="15" t="inlineStr">
        <is>
          <t>CFS/CY</t>
        </is>
      </c>
      <c r="I177" s="15" t="inlineStr">
        <is>
          <t>ONE</t>
        </is>
      </c>
      <c r="J177" s="15" t="inlineStr">
        <is>
          <t>EC3</t>
        </is>
      </c>
      <c r="K177" s="15" t="inlineStr">
        <is>
          <t>Inqube Global (PVT) Ltd</t>
        </is>
      </c>
      <c r="L177" s="16" t="inlineStr">
        <is>
          <t>Quantum Clothing Lanka (Pvt) Ltd</t>
        </is>
      </c>
      <c r="M177" s="15" t="inlineStr">
        <is>
          <t>N</t>
        </is>
      </c>
      <c r="N177" s="17" t="n">
        <v>452342279624</v>
      </c>
      <c r="O177" s="15" t="n">
        <v>19876211</v>
      </c>
      <c r="P177" s="18" t="inlineStr">
        <is>
          <t>LW9FUES</t>
        </is>
      </c>
      <c r="Q177" s="18" t="n">
        <v>1</v>
      </c>
      <c r="R177" s="18" t="n">
        <v>0.04</v>
      </c>
      <c r="S177" s="15" t="n">
        <v>4.22</v>
      </c>
      <c r="T177" s="16" t="n">
        <v>45824</v>
      </c>
      <c r="U177" s="19" t="n">
        <v>45883</v>
      </c>
      <c r="V177" s="16" t="n">
        <v>45824</v>
      </c>
      <c r="W177" s="16" t="n">
        <v>45826</v>
      </c>
      <c r="X177" s="57">
        <f>W177-1</f>
        <v/>
      </c>
      <c r="Y177" s="63" t="n">
        <v>45832</v>
      </c>
      <c r="Z177" s="67" t="n">
        <v>45861</v>
      </c>
      <c r="AA177" s="71">
        <f>Z177+13</f>
        <v/>
      </c>
      <c r="AB177" s="20">
        <f>AA177-U177</f>
        <v/>
      </c>
      <c r="AC177" s="20" t="inlineStr">
        <is>
          <t>No</t>
        </is>
      </c>
      <c r="AD177" s="21" t="inlineStr">
        <is>
          <t>1 HBL</t>
        </is>
      </c>
      <c r="AE177" s="21" t="n"/>
      <c r="AF177" s="22" t="inlineStr">
        <is>
          <t>LW</t>
        </is>
      </c>
      <c r="AG177" s="23" t="inlineStr">
        <is>
          <t>NAC</t>
        </is>
      </c>
      <c r="AH177" s="24" t="n"/>
      <c r="AN177" s="24" t="n"/>
    </row>
    <row r="178" ht="12.75" customHeight="1">
      <c r="A178" s="15" t="n">
        <v>3254506</v>
      </c>
      <c r="B178" s="15" t="inlineStr">
        <is>
          <t>Flexport</t>
        </is>
      </c>
      <c r="C178" s="15" t="inlineStr">
        <is>
          <t>Colombo, LK</t>
        </is>
      </c>
      <c r="D178" s="15" t="inlineStr">
        <is>
          <t>New York, NY, US</t>
        </is>
      </c>
      <c r="E178" s="15" t="inlineStr">
        <is>
          <t>Mississauga, ON, CA</t>
        </is>
      </c>
      <c r="F178" s="15" t="inlineStr">
        <is>
          <t>OCEAN</t>
        </is>
      </c>
      <c r="G178" s="15" t="inlineStr">
        <is>
          <t>C. 1 x 40HC</t>
        </is>
      </c>
      <c r="H178" s="15" t="inlineStr">
        <is>
          <t>CFS/CY</t>
        </is>
      </c>
      <c r="I178" s="15" t="inlineStr">
        <is>
          <t>ONE</t>
        </is>
      </c>
      <c r="J178" s="15" t="inlineStr">
        <is>
          <t>EC3</t>
        </is>
      </c>
      <c r="K178" s="15" t="inlineStr">
        <is>
          <t>Inqube Global (PVT) Ltd</t>
        </is>
      </c>
      <c r="L178" s="16" t="inlineStr">
        <is>
          <t>Quantum Clothing Lanka (Pvt) Ltd</t>
        </is>
      </c>
      <c r="M178" s="15" t="inlineStr">
        <is>
          <t>N</t>
        </is>
      </c>
      <c r="N178" s="17" t="n">
        <v>452343218294</v>
      </c>
      <c r="O178" s="15" t="n">
        <v>19877131</v>
      </c>
      <c r="P178" s="18" t="inlineStr">
        <is>
          <t>LW9FUES</t>
        </is>
      </c>
      <c r="Q178" s="18" t="n">
        <v>1</v>
      </c>
      <c r="R178" s="18" t="n">
        <v>0.04</v>
      </c>
      <c r="S178" s="15" t="n">
        <v>4.926</v>
      </c>
      <c r="T178" s="16" t="n">
        <v>45824</v>
      </c>
      <c r="U178" s="19" t="n">
        <v>45883</v>
      </c>
      <c r="V178" s="16" t="n">
        <v>45824</v>
      </c>
      <c r="W178" s="16" t="n">
        <v>45826</v>
      </c>
      <c r="X178" s="57">
        <f>W178-1</f>
        <v/>
      </c>
      <c r="Y178" s="63" t="n">
        <v>45832</v>
      </c>
      <c r="Z178" s="67" t="n">
        <v>45861</v>
      </c>
      <c r="AA178" s="71">
        <f>Z178+13</f>
        <v/>
      </c>
      <c r="AB178" s="20">
        <f>AA178-U178</f>
        <v/>
      </c>
      <c r="AC178" s="20" t="inlineStr">
        <is>
          <t>No</t>
        </is>
      </c>
      <c r="AD178" s="21" t="inlineStr">
        <is>
          <t>1 HBL</t>
        </is>
      </c>
      <c r="AE178" s="21" t="n"/>
      <c r="AF178" s="22" t="inlineStr">
        <is>
          <t>LW</t>
        </is>
      </c>
      <c r="AG178" s="23" t="inlineStr">
        <is>
          <t>NAC</t>
        </is>
      </c>
      <c r="AH178" s="24" t="n"/>
      <c r="AN178" s="24" t="n"/>
    </row>
    <row r="179" ht="12.75" customHeight="1">
      <c r="A179" s="15" t="n">
        <v>3254506</v>
      </c>
      <c r="B179" s="15" t="inlineStr">
        <is>
          <t>Flexport</t>
        </is>
      </c>
      <c r="C179" s="15" t="inlineStr">
        <is>
          <t>Colombo, LK</t>
        </is>
      </c>
      <c r="D179" s="15" t="inlineStr">
        <is>
          <t>New York, NY, US</t>
        </is>
      </c>
      <c r="E179" s="15" t="inlineStr">
        <is>
          <t>Mississauga, ON, CA</t>
        </is>
      </c>
      <c r="F179" s="15" t="inlineStr">
        <is>
          <t>OCEAN</t>
        </is>
      </c>
      <c r="G179" s="15" t="inlineStr">
        <is>
          <t>C. 1 x 40HC</t>
        </is>
      </c>
      <c r="H179" s="15" t="inlineStr">
        <is>
          <t>CFS/CY</t>
        </is>
      </c>
      <c r="I179" s="15" t="inlineStr">
        <is>
          <t>ONE</t>
        </is>
      </c>
      <c r="J179" s="15" t="inlineStr">
        <is>
          <t>EC3</t>
        </is>
      </c>
      <c r="K179" s="15" t="inlineStr">
        <is>
          <t>Inqube Global (PVT) Ltd</t>
        </is>
      </c>
      <c r="L179" s="16" t="inlineStr">
        <is>
          <t>Quantum Clothing Lanka (Pvt) Ltd</t>
        </is>
      </c>
      <c r="M179" s="15" t="inlineStr">
        <is>
          <t>N</t>
        </is>
      </c>
      <c r="N179" s="17" t="n">
        <v>452343456868</v>
      </c>
      <c r="O179" s="15" t="n">
        <v>19877127</v>
      </c>
      <c r="P179" s="18" t="inlineStr">
        <is>
          <t>LW9FUES</t>
        </is>
      </c>
      <c r="Q179" s="18" t="n">
        <v>1</v>
      </c>
      <c r="R179" s="18" t="n">
        <v>0.04</v>
      </c>
      <c r="S179" s="15" t="n">
        <v>7.43</v>
      </c>
      <c r="T179" s="16" t="n">
        <v>45824</v>
      </c>
      <c r="U179" s="19" t="n">
        <v>45883</v>
      </c>
      <c r="V179" s="16" t="n">
        <v>45824</v>
      </c>
      <c r="W179" s="16" t="n">
        <v>45826</v>
      </c>
      <c r="X179" s="57">
        <f>W179-1</f>
        <v/>
      </c>
      <c r="Y179" s="63" t="n">
        <v>45832</v>
      </c>
      <c r="Z179" s="67" t="n">
        <v>45861</v>
      </c>
      <c r="AA179" s="71">
        <f>Z179+13</f>
        <v/>
      </c>
      <c r="AB179" s="20">
        <f>AA179-U179</f>
        <v/>
      </c>
      <c r="AC179" s="20" t="inlineStr">
        <is>
          <t>No</t>
        </is>
      </c>
      <c r="AD179" s="21" t="inlineStr">
        <is>
          <t>1 HBL</t>
        </is>
      </c>
      <c r="AE179" s="21" t="n"/>
      <c r="AF179" s="22" t="inlineStr">
        <is>
          <t>LW</t>
        </is>
      </c>
      <c r="AG179" s="23" t="inlineStr">
        <is>
          <t>NAC</t>
        </is>
      </c>
      <c r="AH179" s="24" t="n"/>
      <c r="AN179" s="24" t="n"/>
    </row>
    <row r="180" ht="12.75" customHeight="1">
      <c r="A180" s="15" t="n">
        <v>3254506</v>
      </c>
      <c r="B180" s="15" t="inlineStr">
        <is>
          <t>Flexport</t>
        </is>
      </c>
      <c r="C180" s="15" t="inlineStr">
        <is>
          <t>Colombo, LK</t>
        </is>
      </c>
      <c r="D180" s="15" t="inlineStr">
        <is>
          <t>New York, NY, US</t>
        </is>
      </c>
      <c r="E180" s="15" t="inlineStr">
        <is>
          <t>Mississauga, ON, CA</t>
        </is>
      </c>
      <c r="F180" s="15" t="inlineStr">
        <is>
          <t>OCEAN</t>
        </is>
      </c>
      <c r="G180" s="15" t="inlineStr">
        <is>
          <t>C. 1 x 40HC</t>
        </is>
      </c>
      <c r="H180" s="15" t="inlineStr">
        <is>
          <t>CFS/CY</t>
        </is>
      </c>
      <c r="I180" s="15" t="inlineStr">
        <is>
          <t>ONE</t>
        </is>
      </c>
      <c r="J180" s="15" t="inlineStr">
        <is>
          <t>EC3</t>
        </is>
      </c>
      <c r="K180" s="15" t="inlineStr">
        <is>
          <t>Inqube Global (PVT) Ltd</t>
        </is>
      </c>
      <c r="L180" s="16" t="inlineStr">
        <is>
          <t>Quantum Clothing Lanka (Pvt) Ltd</t>
        </is>
      </c>
      <c r="M180" s="15" t="inlineStr">
        <is>
          <t>N</t>
        </is>
      </c>
      <c r="N180" s="17" t="n">
        <v>452345792788</v>
      </c>
      <c r="O180" s="15" t="n">
        <v>19876195</v>
      </c>
      <c r="P180" s="18" t="inlineStr">
        <is>
          <t>LW9FUES</t>
        </is>
      </c>
      <c r="Q180" s="18" t="n">
        <v>1</v>
      </c>
      <c r="R180" s="18" t="n">
        <v>0.04</v>
      </c>
      <c r="S180" s="15" t="n">
        <v>3.071</v>
      </c>
      <c r="T180" s="16" t="n">
        <v>45824</v>
      </c>
      <c r="U180" s="19" t="n">
        <v>45883</v>
      </c>
      <c r="V180" s="16" t="n">
        <v>45824</v>
      </c>
      <c r="W180" s="16" t="n">
        <v>45826</v>
      </c>
      <c r="X180" s="57">
        <f>W180-1</f>
        <v/>
      </c>
      <c r="Y180" s="63" t="n">
        <v>45832</v>
      </c>
      <c r="Z180" s="67" t="n">
        <v>45861</v>
      </c>
      <c r="AA180" s="71">
        <f>Z180+13</f>
        <v/>
      </c>
      <c r="AB180" s="20">
        <f>AA180-U180</f>
        <v/>
      </c>
      <c r="AC180" s="20" t="inlineStr">
        <is>
          <t>No</t>
        </is>
      </c>
      <c r="AD180" s="21" t="inlineStr">
        <is>
          <t>1 HBL</t>
        </is>
      </c>
      <c r="AE180" s="21" t="n"/>
      <c r="AF180" s="22" t="inlineStr">
        <is>
          <t>LW</t>
        </is>
      </c>
      <c r="AG180" s="23" t="inlineStr">
        <is>
          <t>NAC</t>
        </is>
      </c>
      <c r="AH180" s="24" t="n"/>
      <c r="AN180" s="24" t="n"/>
    </row>
    <row r="181" ht="12.75" customHeight="1">
      <c r="A181" s="15" t="n">
        <v>3254506</v>
      </c>
      <c r="B181" s="15" t="inlineStr">
        <is>
          <t>Flexport</t>
        </is>
      </c>
      <c r="C181" s="15" t="inlineStr">
        <is>
          <t>Colombo, LK</t>
        </is>
      </c>
      <c r="D181" s="15" t="inlineStr">
        <is>
          <t>New York, NY, US</t>
        </is>
      </c>
      <c r="E181" s="15" t="inlineStr">
        <is>
          <t>Mississauga, ON, CA</t>
        </is>
      </c>
      <c r="F181" s="15" t="inlineStr">
        <is>
          <t>OCEAN</t>
        </is>
      </c>
      <c r="G181" s="15" t="inlineStr">
        <is>
          <t>C. 1 x 40HC</t>
        </is>
      </c>
      <c r="H181" s="15" t="inlineStr">
        <is>
          <t>CFS/CY</t>
        </is>
      </c>
      <c r="I181" s="15" t="inlineStr">
        <is>
          <t>ONE</t>
        </is>
      </c>
      <c r="J181" s="15" t="inlineStr">
        <is>
          <t>EC3</t>
        </is>
      </c>
      <c r="K181" s="15" t="inlineStr">
        <is>
          <t>Inqube Global (PVT) Ltd</t>
        </is>
      </c>
      <c r="L181" s="16" t="inlineStr">
        <is>
          <t>Quantum Clothing Lanka (Pvt) Ltd</t>
        </is>
      </c>
      <c r="M181" s="15" t="inlineStr">
        <is>
          <t>N</t>
        </is>
      </c>
      <c r="N181" s="17" t="n">
        <v>452347475679</v>
      </c>
      <c r="O181" s="15" t="n">
        <v>19877091</v>
      </c>
      <c r="P181" s="18" t="inlineStr">
        <is>
          <t>LW9FUES</t>
        </is>
      </c>
      <c r="Q181" s="18" t="n">
        <v>1</v>
      </c>
      <c r="R181" s="18" t="n">
        <v>0.04</v>
      </c>
      <c r="S181" s="15" t="n">
        <v>10.364</v>
      </c>
      <c r="T181" s="16" t="n">
        <v>45824</v>
      </c>
      <c r="U181" s="19" t="n">
        <v>45883</v>
      </c>
      <c r="V181" s="16" t="n">
        <v>45824</v>
      </c>
      <c r="W181" s="16" t="n">
        <v>45826</v>
      </c>
      <c r="X181" s="57">
        <f>W181-1</f>
        <v/>
      </c>
      <c r="Y181" s="63" t="n">
        <v>45832</v>
      </c>
      <c r="Z181" s="67" t="n">
        <v>45861</v>
      </c>
      <c r="AA181" s="71">
        <f>Z181+13</f>
        <v/>
      </c>
      <c r="AB181" s="20">
        <f>AA181-U181</f>
        <v/>
      </c>
      <c r="AC181" s="20" t="inlineStr">
        <is>
          <t>No</t>
        </is>
      </c>
      <c r="AD181" s="21" t="inlineStr">
        <is>
          <t>1 HBL</t>
        </is>
      </c>
      <c r="AE181" s="21" t="n"/>
      <c r="AF181" s="22" t="inlineStr">
        <is>
          <t>LW</t>
        </is>
      </c>
      <c r="AG181" s="23" t="inlineStr">
        <is>
          <t>NAC</t>
        </is>
      </c>
      <c r="AH181" s="24" t="n"/>
      <c r="AN181" s="24" t="n"/>
    </row>
    <row r="182" ht="12.75" customHeight="1">
      <c r="A182" s="15" t="n">
        <v>3254506</v>
      </c>
      <c r="B182" s="15" t="inlineStr">
        <is>
          <t>Flexport</t>
        </is>
      </c>
      <c r="C182" s="15" t="inlineStr">
        <is>
          <t>Colombo, LK</t>
        </is>
      </c>
      <c r="D182" s="15" t="inlineStr">
        <is>
          <t>New York, NY, US</t>
        </is>
      </c>
      <c r="E182" s="15" t="inlineStr">
        <is>
          <t>Mississauga, ON, CA</t>
        </is>
      </c>
      <c r="F182" s="15" t="inlineStr">
        <is>
          <t>OCEAN</t>
        </is>
      </c>
      <c r="G182" s="15" t="inlineStr">
        <is>
          <t>C. 1 x 40HC</t>
        </is>
      </c>
      <c r="H182" s="15" t="inlineStr">
        <is>
          <t>CFS/CY</t>
        </is>
      </c>
      <c r="I182" s="15" t="inlineStr">
        <is>
          <t>ONE</t>
        </is>
      </c>
      <c r="J182" s="15" t="inlineStr">
        <is>
          <t>EC3</t>
        </is>
      </c>
      <c r="K182" s="15" t="inlineStr">
        <is>
          <t>MAS AMITY PTE LTD</t>
        </is>
      </c>
      <c r="L182" s="16" t="inlineStr">
        <is>
          <t>MAS Active (Pvt) Ltd – Sleekline</t>
        </is>
      </c>
      <c r="M182" s="15" t="inlineStr">
        <is>
          <t>N</t>
        </is>
      </c>
      <c r="N182" s="17" t="n">
        <v>452842141320</v>
      </c>
      <c r="O182" s="15" t="n">
        <v>19913214</v>
      </c>
      <c r="P182" s="18" t="inlineStr">
        <is>
          <t>LM9AMTS</t>
        </is>
      </c>
      <c r="Q182" s="18" t="n">
        <v>3</v>
      </c>
      <c r="R182" s="18" t="n">
        <v>0.238</v>
      </c>
      <c r="S182" s="15" t="n">
        <v>35.58</v>
      </c>
      <c r="T182" s="16" t="n">
        <v>45824</v>
      </c>
      <c r="U182" s="19" t="n">
        <v>45883</v>
      </c>
      <c r="V182" s="16" t="n">
        <v>45824</v>
      </c>
      <c r="W182" s="16" t="n">
        <v>45826</v>
      </c>
      <c r="X182" s="57">
        <f>W182-1</f>
        <v/>
      </c>
      <c r="Y182" s="63" t="n">
        <v>45832</v>
      </c>
      <c r="Z182" s="67" t="n">
        <v>45861</v>
      </c>
      <c r="AA182" s="71">
        <f>Z182+13</f>
        <v/>
      </c>
      <c r="AB182" s="20">
        <f>AA182-U182</f>
        <v/>
      </c>
      <c r="AC182" s="20" t="inlineStr">
        <is>
          <t>No</t>
        </is>
      </c>
      <c r="AD182" s="21" t="inlineStr">
        <is>
          <t>1 HBL</t>
        </is>
      </c>
      <c r="AE182" s="21" t="n"/>
      <c r="AF182" s="22" t="inlineStr">
        <is>
          <t>LW</t>
        </is>
      </c>
      <c r="AG182" s="23" t="inlineStr">
        <is>
          <t>NAC</t>
        </is>
      </c>
      <c r="AH182" s="24" t="n"/>
      <c r="AN182" s="24" t="n"/>
    </row>
    <row r="183" ht="12.75" customHeight="1">
      <c r="A183" s="15" t="n">
        <v>3254506</v>
      </c>
      <c r="B183" s="15" t="inlineStr">
        <is>
          <t>Flexport</t>
        </is>
      </c>
      <c r="C183" s="15" t="inlineStr">
        <is>
          <t>Colombo, LK</t>
        </is>
      </c>
      <c r="D183" s="15" t="inlineStr">
        <is>
          <t>New York, NY, US</t>
        </is>
      </c>
      <c r="E183" s="15" t="inlineStr">
        <is>
          <t>Mississauga, ON, CA</t>
        </is>
      </c>
      <c r="F183" s="15" t="inlineStr">
        <is>
          <t>OCEAN</t>
        </is>
      </c>
      <c r="G183" s="15" t="inlineStr">
        <is>
          <t>C. 1 x 40HC</t>
        </is>
      </c>
      <c r="H183" s="15" t="inlineStr">
        <is>
          <t>CFS/CY</t>
        </is>
      </c>
      <c r="I183" s="15" t="inlineStr">
        <is>
          <t>ONE</t>
        </is>
      </c>
      <c r="J183" s="15" t="inlineStr">
        <is>
          <t>EC3</t>
        </is>
      </c>
      <c r="K183" s="15" t="inlineStr">
        <is>
          <t>MAS AMITY PTE LTD</t>
        </is>
      </c>
      <c r="L183" s="16" t="inlineStr">
        <is>
          <t>MAS Active (Pvt) Ltd – Sleekline</t>
        </is>
      </c>
      <c r="M183" s="15" t="inlineStr">
        <is>
          <t>N</t>
        </is>
      </c>
      <c r="N183" s="17" t="n">
        <v>452843102834</v>
      </c>
      <c r="O183" s="15" t="n">
        <v>19913391</v>
      </c>
      <c r="P183" s="18" t="inlineStr">
        <is>
          <t>LM9AQWS</t>
        </is>
      </c>
      <c r="Q183" s="18" t="n">
        <v>3</v>
      </c>
      <c r="R183" s="18" t="n">
        <v>0.238</v>
      </c>
      <c r="S183" s="15" t="n">
        <v>33.63</v>
      </c>
      <c r="T183" s="16" t="n">
        <v>45824</v>
      </c>
      <c r="U183" s="19" t="n">
        <v>45883</v>
      </c>
      <c r="V183" s="16" t="n">
        <v>45824</v>
      </c>
      <c r="W183" s="16" t="n">
        <v>45826</v>
      </c>
      <c r="X183" s="57">
        <f>W183-1</f>
        <v/>
      </c>
      <c r="Y183" s="63" t="n">
        <v>45832</v>
      </c>
      <c r="Z183" s="67" t="n">
        <v>45861</v>
      </c>
      <c r="AA183" s="71">
        <f>Z183+13</f>
        <v/>
      </c>
      <c r="AB183" s="20">
        <f>AA183-U183</f>
        <v/>
      </c>
      <c r="AC183" s="20" t="inlineStr">
        <is>
          <t>No</t>
        </is>
      </c>
      <c r="AD183" s="21" t="inlineStr">
        <is>
          <t>1 HBL</t>
        </is>
      </c>
      <c r="AE183" s="21" t="n"/>
      <c r="AF183" s="22" t="inlineStr">
        <is>
          <t>LW</t>
        </is>
      </c>
      <c r="AG183" s="23" t="inlineStr">
        <is>
          <t>NAC</t>
        </is>
      </c>
      <c r="AH183" s="24" t="n"/>
      <c r="AN183" s="24" t="n"/>
    </row>
    <row r="184" ht="12.75" customHeight="1">
      <c r="A184" s="15" t="n">
        <v>3254506</v>
      </c>
      <c r="B184" s="15" t="inlineStr">
        <is>
          <t>Flexport</t>
        </is>
      </c>
      <c r="C184" s="15" t="inlineStr">
        <is>
          <t>Colombo, LK</t>
        </is>
      </c>
      <c r="D184" s="15" t="inlineStr">
        <is>
          <t>New York, NY, US</t>
        </is>
      </c>
      <c r="E184" s="15" t="inlineStr">
        <is>
          <t>Mississauga, ON, CA</t>
        </is>
      </c>
      <c r="F184" s="15" t="inlineStr">
        <is>
          <t>OCEAN</t>
        </is>
      </c>
      <c r="G184" s="15" t="inlineStr">
        <is>
          <t>C. 1 x 40HC</t>
        </is>
      </c>
      <c r="H184" s="15" t="inlineStr">
        <is>
          <t>CFS/CY</t>
        </is>
      </c>
      <c r="I184" s="15" t="inlineStr">
        <is>
          <t>ONE</t>
        </is>
      </c>
      <c r="J184" s="15" t="inlineStr">
        <is>
          <t>EC3</t>
        </is>
      </c>
      <c r="K184" s="15" t="inlineStr">
        <is>
          <t>MAS AMITY PTE LTD</t>
        </is>
      </c>
      <c r="L184" s="16" t="inlineStr">
        <is>
          <t>MAS Active (Pvt) Ltd – Sleekline</t>
        </is>
      </c>
      <c r="M184" s="15" t="inlineStr">
        <is>
          <t>N</t>
        </is>
      </c>
      <c r="N184" s="17" t="n">
        <v>452843168146</v>
      </c>
      <c r="O184" s="15" t="n">
        <v>19913384</v>
      </c>
      <c r="P184" s="18" t="inlineStr">
        <is>
          <t>LM9AN5S</t>
        </is>
      </c>
      <c r="Q184" s="18" t="n">
        <v>4</v>
      </c>
      <c r="R184" s="18" t="n">
        <v>0.317</v>
      </c>
      <c r="S184" s="15" t="n">
        <v>52.1</v>
      </c>
      <c r="T184" s="16" t="n">
        <v>45824</v>
      </c>
      <c r="U184" s="19" t="n">
        <v>45883</v>
      </c>
      <c r="V184" s="16" t="n">
        <v>45824</v>
      </c>
      <c r="W184" s="16" t="n">
        <v>45826</v>
      </c>
      <c r="X184" s="57">
        <f>W184-1</f>
        <v/>
      </c>
      <c r="Y184" s="63" t="n">
        <v>45832</v>
      </c>
      <c r="Z184" s="67" t="n">
        <v>45861</v>
      </c>
      <c r="AA184" s="71">
        <f>Z184+13</f>
        <v/>
      </c>
      <c r="AB184" s="20">
        <f>AA184-U184</f>
        <v/>
      </c>
      <c r="AC184" s="20" t="inlineStr">
        <is>
          <t>No</t>
        </is>
      </c>
      <c r="AD184" s="21" t="inlineStr">
        <is>
          <t>1 HBL</t>
        </is>
      </c>
      <c r="AE184" s="21" t="n"/>
      <c r="AF184" s="22" t="inlineStr">
        <is>
          <t>LW</t>
        </is>
      </c>
      <c r="AG184" s="23" t="inlineStr">
        <is>
          <t>NAC</t>
        </is>
      </c>
      <c r="AH184" s="24" t="n"/>
      <c r="AN184" s="24" t="n"/>
    </row>
    <row r="185" ht="12.75" customHeight="1">
      <c r="A185" s="15" t="n">
        <v>3254506</v>
      </c>
      <c r="B185" s="15" t="inlineStr">
        <is>
          <t>Flexport</t>
        </is>
      </c>
      <c r="C185" s="15" t="inlineStr">
        <is>
          <t>Colombo, LK</t>
        </is>
      </c>
      <c r="D185" s="15" t="inlineStr">
        <is>
          <t>New York, NY, US</t>
        </is>
      </c>
      <c r="E185" s="15" t="inlineStr">
        <is>
          <t>Mississauga, ON, CA</t>
        </is>
      </c>
      <c r="F185" s="15" t="inlineStr">
        <is>
          <t>OCEAN</t>
        </is>
      </c>
      <c r="G185" s="15" t="inlineStr">
        <is>
          <t>C. 1 x 40HC</t>
        </is>
      </c>
      <c r="H185" s="15" t="inlineStr">
        <is>
          <t>CFS/CY</t>
        </is>
      </c>
      <c r="I185" s="15" t="inlineStr">
        <is>
          <t>ONE</t>
        </is>
      </c>
      <c r="J185" s="15" t="inlineStr">
        <is>
          <t>EC3</t>
        </is>
      </c>
      <c r="K185" s="15" t="inlineStr">
        <is>
          <t>MAS AMITY PTE LTD</t>
        </is>
      </c>
      <c r="L185" s="16" t="inlineStr">
        <is>
          <t>MAS Active (Pvt) Ltd – Sleekline</t>
        </is>
      </c>
      <c r="M185" s="15" t="inlineStr">
        <is>
          <t>N</t>
        </is>
      </c>
      <c r="N185" s="17" t="n">
        <v>452844569188</v>
      </c>
      <c r="O185" s="15" t="n">
        <v>19913422</v>
      </c>
      <c r="P185" s="18" t="inlineStr">
        <is>
          <t>LM9AUNS</t>
        </is>
      </c>
      <c r="Q185" s="18" t="n">
        <v>3</v>
      </c>
      <c r="R185" s="18" t="n">
        <v>0.198</v>
      </c>
      <c r="S185" s="15" t="n">
        <v>26.03</v>
      </c>
      <c r="T185" s="16" t="n">
        <v>45824</v>
      </c>
      <c r="U185" s="19" t="n">
        <v>45883</v>
      </c>
      <c r="V185" s="16" t="n">
        <v>45824</v>
      </c>
      <c r="W185" s="16" t="n">
        <v>45826</v>
      </c>
      <c r="X185" s="57">
        <f>W185-1</f>
        <v/>
      </c>
      <c r="Y185" s="63" t="n">
        <v>45832</v>
      </c>
      <c r="Z185" s="67" t="n">
        <v>45861</v>
      </c>
      <c r="AA185" s="71">
        <f>Z185+13</f>
        <v/>
      </c>
      <c r="AB185" s="20">
        <f>AA185-U185</f>
        <v/>
      </c>
      <c r="AC185" s="20" t="inlineStr">
        <is>
          <t>No</t>
        </is>
      </c>
      <c r="AD185" s="21" t="inlineStr">
        <is>
          <t>1 HBL</t>
        </is>
      </c>
      <c r="AE185" s="21" t="n"/>
      <c r="AF185" s="22" t="inlineStr">
        <is>
          <t>LW</t>
        </is>
      </c>
      <c r="AG185" s="23" t="inlineStr">
        <is>
          <t>NAC</t>
        </is>
      </c>
      <c r="AH185" s="24" t="n"/>
      <c r="AN185" s="24" t="n"/>
    </row>
    <row r="186" ht="12.75" customHeight="1">
      <c r="A186" s="15" t="n">
        <v>3254506</v>
      </c>
      <c r="B186" s="15" t="inlineStr">
        <is>
          <t>Flexport</t>
        </is>
      </c>
      <c r="C186" s="15" t="inlineStr">
        <is>
          <t>Colombo, LK</t>
        </is>
      </c>
      <c r="D186" s="15" t="inlineStr">
        <is>
          <t>New York, NY, US</t>
        </is>
      </c>
      <c r="E186" s="15" t="inlineStr">
        <is>
          <t>Mississauga, ON, CA</t>
        </is>
      </c>
      <c r="F186" s="15" t="inlineStr">
        <is>
          <t>OCEAN</t>
        </is>
      </c>
      <c r="G186" s="15" t="inlineStr">
        <is>
          <t>C. 1 x 40HC</t>
        </is>
      </c>
      <c r="H186" s="15" t="inlineStr">
        <is>
          <t>CFS/CY</t>
        </is>
      </c>
      <c r="I186" s="15" t="inlineStr">
        <is>
          <t>ONE</t>
        </is>
      </c>
      <c r="J186" s="15" t="inlineStr">
        <is>
          <t>EC3</t>
        </is>
      </c>
      <c r="K186" s="15" t="inlineStr">
        <is>
          <t>MAS AMITY PTE LTD</t>
        </is>
      </c>
      <c r="L186" s="16" t="inlineStr">
        <is>
          <t>MAS Active (Pvt) Ltd – Sleekline</t>
        </is>
      </c>
      <c r="M186" s="15" t="inlineStr">
        <is>
          <t>N</t>
        </is>
      </c>
      <c r="N186" s="17" t="n">
        <v>452845689511</v>
      </c>
      <c r="O186" s="15" t="n">
        <v>19922420</v>
      </c>
      <c r="P186" s="18" t="inlineStr">
        <is>
          <t>LM9AN5S</t>
        </is>
      </c>
      <c r="Q186" s="18" t="n">
        <v>11</v>
      </c>
      <c r="R186" s="18" t="n">
        <v>0.872</v>
      </c>
      <c r="S186" s="15" t="n">
        <v>149.32</v>
      </c>
      <c r="T186" s="16" t="n">
        <v>45824</v>
      </c>
      <c r="U186" s="19" t="n">
        <v>45883</v>
      </c>
      <c r="V186" s="16" t="n">
        <v>45824</v>
      </c>
      <c r="W186" s="16" t="n">
        <v>45826</v>
      </c>
      <c r="X186" s="57">
        <f>W186-1</f>
        <v/>
      </c>
      <c r="Y186" s="63" t="n">
        <v>45832</v>
      </c>
      <c r="Z186" s="67" t="n">
        <v>45861</v>
      </c>
      <c r="AA186" s="71">
        <f>Z186+13</f>
        <v/>
      </c>
      <c r="AB186" s="20">
        <f>AA186-U186</f>
        <v/>
      </c>
      <c r="AC186" s="20" t="inlineStr">
        <is>
          <t>No</t>
        </is>
      </c>
      <c r="AD186" s="21" t="inlineStr">
        <is>
          <t>1 HBL</t>
        </is>
      </c>
      <c r="AE186" s="21" t="n"/>
      <c r="AF186" s="22" t="inlineStr">
        <is>
          <t>LW</t>
        </is>
      </c>
      <c r="AG186" s="23" t="inlineStr">
        <is>
          <t>NAC</t>
        </is>
      </c>
      <c r="AH186" s="24" t="n"/>
      <c r="AN186" s="24" t="n"/>
    </row>
    <row r="187" ht="12.75" customHeight="1">
      <c r="A187" s="15" t="n">
        <v>3254506</v>
      </c>
      <c r="B187" s="15" t="inlineStr">
        <is>
          <t>Flexport</t>
        </is>
      </c>
      <c r="C187" s="15" t="inlineStr">
        <is>
          <t>Colombo, LK</t>
        </is>
      </c>
      <c r="D187" s="15" t="inlineStr">
        <is>
          <t>New York, NY, US</t>
        </is>
      </c>
      <c r="E187" s="15" t="inlineStr">
        <is>
          <t>Mississauga, ON, CA</t>
        </is>
      </c>
      <c r="F187" s="15" t="inlineStr">
        <is>
          <t>OCEAN</t>
        </is>
      </c>
      <c r="G187" s="15" t="inlineStr">
        <is>
          <t>C. 1 x 40HC</t>
        </is>
      </c>
      <c r="H187" s="15" t="inlineStr">
        <is>
          <t>CFS/CY</t>
        </is>
      </c>
      <c r="I187" s="15" t="inlineStr">
        <is>
          <t>ONE</t>
        </is>
      </c>
      <c r="J187" s="15" t="inlineStr">
        <is>
          <t>EC3</t>
        </is>
      </c>
      <c r="K187" s="15" t="inlineStr">
        <is>
          <t>MAS AMITY PTE LTD</t>
        </is>
      </c>
      <c r="L187" s="16" t="inlineStr">
        <is>
          <t>MAS Active (Pvt) Ltd – Sleekline</t>
        </is>
      </c>
      <c r="M187" s="15" t="inlineStr">
        <is>
          <t>N</t>
        </is>
      </c>
      <c r="N187" s="17" t="n">
        <v>452846239219</v>
      </c>
      <c r="O187" s="15" t="n">
        <v>19922455</v>
      </c>
      <c r="P187" s="18" t="inlineStr">
        <is>
          <t>LM9AUNS</t>
        </is>
      </c>
      <c r="Q187" s="18" t="n">
        <v>5</v>
      </c>
      <c r="R187" s="18" t="n">
        <v>0.397</v>
      </c>
      <c r="S187" s="15" t="n">
        <v>50.301</v>
      </c>
      <c r="T187" s="16" t="n">
        <v>45824</v>
      </c>
      <c r="U187" s="19" t="n">
        <v>45883</v>
      </c>
      <c r="V187" s="16" t="n">
        <v>45824</v>
      </c>
      <c r="W187" s="16" t="n">
        <v>45826</v>
      </c>
      <c r="X187" s="57">
        <f>W187-1</f>
        <v/>
      </c>
      <c r="Y187" s="63" t="n">
        <v>45832</v>
      </c>
      <c r="Z187" s="67" t="n">
        <v>45861</v>
      </c>
      <c r="AA187" s="71">
        <f>Z187+13</f>
        <v/>
      </c>
      <c r="AB187" s="20">
        <f>AA187-U187</f>
        <v/>
      </c>
      <c r="AC187" s="20" t="inlineStr">
        <is>
          <t>No</t>
        </is>
      </c>
      <c r="AD187" s="21" t="inlineStr">
        <is>
          <t>1 HBL</t>
        </is>
      </c>
      <c r="AE187" s="21" t="n"/>
      <c r="AF187" s="22" t="inlineStr">
        <is>
          <t>LW</t>
        </is>
      </c>
      <c r="AG187" s="23" t="inlineStr">
        <is>
          <t>NAC</t>
        </is>
      </c>
      <c r="AH187" s="24" t="n"/>
      <c r="AN187" s="24" t="n"/>
    </row>
    <row r="188" ht="12.75" customHeight="1">
      <c r="A188" s="15" t="n">
        <v>3254506</v>
      </c>
      <c r="B188" s="15" t="inlineStr">
        <is>
          <t>Flexport</t>
        </is>
      </c>
      <c r="C188" s="15" t="inlineStr">
        <is>
          <t>Colombo, LK</t>
        </is>
      </c>
      <c r="D188" s="15" t="inlineStr">
        <is>
          <t>New York, NY, US</t>
        </is>
      </c>
      <c r="E188" s="15" t="inlineStr">
        <is>
          <t>Mississauga, ON, CA</t>
        </is>
      </c>
      <c r="F188" s="15" t="inlineStr">
        <is>
          <t>OCEAN</t>
        </is>
      </c>
      <c r="G188" s="15" t="inlineStr">
        <is>
          <t>C. 1 x 40HC</t>
        </is>
      </c>
      <c r="H188" s="15" t="inlineStr">
        <is>
          <t>CFS/CY</t>
        </is>
      </c>
      <c r="I188" s="15" t="inlineStr">
        <is>
          <t>ONE</t>
        </is>
      </c>
      <c r="J188" s="15" t="inlineStr">
        <is>
          <t>EC3</t>
        </is>
      </c>
      <c r="K188" s="15" t="inlineStr">
        <is>
          <t>MAS AMITY PTE LTD</t>
        </is>
      </c>
      <c r="L188" s="16" t="inlineStr">
        <is>
          <t>MAS Active (Pvt) Ltd – Sleekline</t>
        </is>
      </c>
      <c r="M188" s="15" t="inlineStr">
        <is>
          <t>N</t>
        </is>
      </c>
      <c r="N188" s="17" t="n">
        <v>452847739796</v>
      </c>
      <c r="O188" s="15" t="n">
        <v>19922466</v>
      </c>
      <c r="P188" s="18" t="inlineStr">
        <is>
          <t>LM9AY5S</t>
        </is>
      </c>
      <c r="Q188" s="18" t="n">
        <v>1</v>
      </c>
      <c r="R188" s="18" t="n">
        <v>0.079</v>
      </c>
      <c r="S188" s="15" t="n">
        <v>14.81</v>
      </c>
      <c r="T188" s="16" t="n">
        <v>45824</v>
      </c>
      <c r="U188" s="19" t="n">
        <v>45883</v>
      </c>
      <c r="V188" s="16" t="n">
        <v>45824</v>
      </c>
      <c r="W188" s="16" t="n">
        <v>45826</v>
      </c>
      <c r="X188" s="57">
        <f>W188-1</f>
        <v/>
      </c>
      <c r="Y188" s="63" t="n">
        <v>45832</v>
      </c>
      <c r="Z188" s="67" t="n">
        <v>45861</v>
      </c>
      <c r="AA188" s="71">
        <f>Z188+13</f>
        <v/>
      </c>
      <c r="AB188" s="20">
        <f>AA188-U188</f>
        <v/>
      </c>
      <c r="AC188" s="20" t="inlineStr">
        <is>
          <t>No</t>
        </is>
      </c>
      <c r="AD188" s="21" t="inlineStr">
        <is>
          <t>1 HBL</t>
        </is>
      </c>
      <c r="AE188" s="21" t="n"/>
      <c r="AF188" s="22" t="inlineStr">
        <is>
          <t>LW</t>
        </is>
      </c>
      <c r="AG188" s="23" t="inlineStr">
        <is>
          <t>NAC</t>
        </is>
      </c>
      <c r="AH188" s="24" t="n"/>
      <c r="AN188" s="24" t="n"/>
    </row>
    <row r="189" ht="12.75" customHeight="1">
      <c r="A189" s="15" t="n">
        <v>3254506</v>
      </c>
      <c r="B189" s="15" t="inlineStr">
        <is>
          <t>Flexport</t>
        </is>
      </c>
      <c r="C189" s="15" t="inlineStr">
        <is>
          <t>Colombo, LK</t>
        </is>
      </c>
      <c r="D189" s="15" t="inlineStr">
        <is>
          <t>New York, NY, US</t>
        </is>
      </c>
      <c r="E189" s="15" t="inlineStr">
        <is>
          <t>Mississauga, ON, CA</t>
        </is>
      </c>
      <c r="F189" s="15" t="inlineStr">
        <is>
          <t>OCEAN</t>
        </is>
      </c>
      <c r="G189" s="15" t="inlineStr">
        <is>
          <t>C. 1 x 40HC</t>
        </is>
      </c>
      <c r="H189" s="15" t="inlineStr">
        <is>
          <t>CFS/CY</t>
        </is>
      </c>
      <c r="I189" s="15" t="inlineStr">
        <is>
          <t>ONE</t>
        </is>
      </c>
      <c r="J189" s="15" t="inlineStr">
        <is>
          <t>EC3</t>
        </is>
      </c>
      <c r="K189" s="15" t="inlineStr">
        <is>
          <t>MAS AMITY PTE LTD</t>
        </is>
      </c>
      <c r="L189" s="16" t="inlineStr">
        <is>
          <t>MAS Active (Pvt) Ltd – Sleekline</t>
        </is>
      </c>
      <c r="M189" s="15" t="inlineStr">
        <is>
          <t>N</t>
        </is>
      </c>
      <c r="N189" s="17" t="n">
        <v>452852455212</v>
      </c>
      <c r="O189" s="15" t="n">
        <v>19922488</v>
      </c>
      <c r="P189" s="18" t="inlineStr">
        <is>
          <t>LM9AYLS</t>
        </is>
      </c>
      <c r="Q189" s="18" t="n">
        <v>2</v>
      </c>
      <c r="R189" s="18" t="n">
        <v>0.119</v>
      </c>
      <c r="S189" s="15" t="n">
        <v>14.43</v>
      </c>
      <c r="T189" s="16" t="n">
        <v>45824</v>
      </c>
      <c r="U189" s="19" t="n">
        <v>45883</v>
      </c>
      <c r="V189" s="16" t="n">
        <v>45824</v>
      </c>
      <c r="W189" s="16" t="n">
        <v>45826</v>
      </c>
      <c r="X189" s="57">
        <f>W189-1</f>
        <v/>
      </c>
      <c r="Y189" s="63" t="n">
        <v>45832</v>
      </c>
      <c r="Z189" s="67" t="n">
        <v>45861</v>
      </c>
      <c r="AA189" s="71">
        <f>Z189+13</f>
        <v/>
      </c>
      <c r="AB189" s="20">
        <f>AA189-U189</f>
        <v/>
      </c>
      <c r="AC189" s="20" t="inlineStr">
        <is>
          <t>No</t>
        </is>
      </c>
      <c r="AD189" s="21" t="inlineStr">
        <is>
          <t>1 HBL</t>
        </is>
      </c>
      <c r="AE189" s="21" t="n"/>
      <c r="AF189" s="22" t="inlineStr">
        <is>
          <t>LW</t>
        </is>
      </c>
      <c r="AG189" s="23" t="inlineStr">
        <is>
          <t>NAC</t>
        </is>
      </c>
      <c r="AH189" s="24" t="n"/>
      <c r="AN189" s="24" t="n"/>
    </row>
    <row r="190" ht="12.75" customHeight="1">
      <c r="A190" s="15" t="n">
        <v>3254506</v>
      </c>
      <c r="B190" s="15" t="inlineStr">
        <is>
          <t>Flexport</t>
        </is>
      </c>
      <c r="C190" s="15" t="inlineStr">
        <is>
          <t>Colombo, LK</t>
        </is>
      </c>
      <c r="D190" s="15" t="inlineStr">
        <is>
          <t>New York, NY, US</t>
        </is>
      </c>
      <c r="E190" s="15" t="inlineStr">
        <is>
          <t>Mississauga, ON, CA</t>
        </is>
      </c>
      <c r="F190" s="15" t="inlineStr">
        <is>
          <t>OCEAN</t>
        </is>
      </c>
      <c r="G190" s="15" t="inlineStr">
        <is>
          <t>C. 1 x 40HC</t>
        </is>
      </c>
      <c r="H190" s="15" t="inlineStr">
        <is>
          <t>CFS/CY</t>
        </is>
      </c>
      <c r="I190" s="15" t="inlineStr">
        <is>
          <t>ONE</t>
        </is>
      </c>
      <c r="J190" s="15" t="inlineStr">
        <is>
          <t>EC3</t>
        </is>
      </c>
      <c r="K190" s="15" t="inlineStr">
        <is>
          <t>MAS AMITY PTE LTD</t>
        </is>
      </c>
      <c r="L190" s="16" t="inlineStr">
        <is>
          <t>MAS Active (Pvt) Ltd – Sleekline</t>
        </is>
      </c>
      <c r="M190" s="15" t="inlineStr">
        <is>
          <t>N</t>
        </is>
      </c>
      <c r="N190" s="17" t="n">
        <v>452853430838</v>
      </c>
      <c r="O190" s="15" t="n">
        <v>19922489</v>
      </c>
      <c r="P190" s="18" t="inlineStr">
        <is>
          <t>LM9AYLS</t>
        </is>
      </c>
      <c r="Q190" s="18" t="n">
        <v>1</v>
      </c>
      <c r="R190" s="18" t="n">
        <v>0.079</v>
      </c>
      <c r="S190" s="15" t="n">
        <v>8.35</v>
      </c>
      <c r="T190" s="16" t="n">
        <v>45824</v>
      </c>
      <c r="U190" s="19" t="n">
        <v>45883</v>
      </c>
      <c r="V190" s="16" t="n">
        <v>45824</v>
      </c>
      <c r="W190" s="16" t="n">
        <v>45826</v>
      </c>
      <c r="X190" s="57">
        <f>W190-1</f>
        <v/>
      </c>
      <c r="Y190" s="63" t="n">
        <v>45832</v>
      </c>
      <c r="Z190" s="67" t="n">
        <v>45861</v>
      </c>
      <c r="AA190" s="71">
        <f>Z190+13</f>
        <v/>
      </c>
      <c r="AB190" s="20">
        <f>AA190-U190</f>
        <v/>
      </c>
      <c r="AC190" s="20" t="inlineStr">
        <is>
          <t>No</t>
        </is>
      </c>
      <c r="AD190" s="21" t="inlineStr">
        <is>
          <t>1 HBL</t>
        </is>
      </c>
      <c r="AE190" s="21" t="n"/>
      <c r="AF190" s="22" t="inlineStr">
        <is>
          <t>LW</t>
        </is>
      </c>
      <c r="AG190" s="23" t="inlineStr">
        <is>
          <t>NAC</t>
        </is>
      </c>
      <c r="AH190" s="24" t="n"/>
      <c r="AN190" s="24" t="n"/>
    </row>
    <row r="191" ht="12.75" customHeight="1">
      <c r="A191" s="15" t="n">
        <v>3254506</v>
      </c>
      <c r="B191" s="15" t="inlineStr">
        <is>
          <t>Flexport</t>
        </is>
      </c>
      <c r="C191" s="15" t="inlineStr">
        <is>
          <t>Colombo, LK</t>
        </is>
      </c>
      <c r="D191" s="15" t="inlineStr">
        <is>
          <t>New York, NY, US</t>
        </is>
      </c>
      <c r="E191" s="15" t="inlineStr">
        <is>
          <t>Mississauga, ON, CA</t>
        </is>
      </c>
      <c r="F191" s="15" t="inlineStr">
        <is>
          <t>OCEAN</t>
        </is>
      </c>
      <c r="G191" s="15" t="inlineStr">
        <is>
          <t>C. 1 x 40HC</t>
        </is>
      </c>
      <c r="H191" s="15" t="inlineStr">
        <is>
          <t>CFS/CY</t>
        </is>
      </c>
      <c r="I191" s="15" t="inlineStr">
        <is>
          <t>ONE</t>
        </is>
      </c>
      <c r="J191" s="15" t="inlineStr">
        <is>
          <t>EC3</t>
        </is>
      </c>
      <c r="K191" s="15" t="inlineStr">
        <is>
          <t>MAS AMITY PTE LTD</t>
        </is>
      </c>
      <c r="L191" s="16" t="inlineStr">
        <is>
          <t>MAS Active (Pvt) Ltd – Sleekline</t>
        </is>
      </c>
      <c r="M191" s="15" t="inlineStr">
        <is>
          <t>N</t>
        </is>
      </c>
      <c r="N191" s="17" t="n">
        <v>452853541122</v>
      </c>
      <c r="O191" s="15" t="n">
        <v>19926806</v>
      </c>
      <c r="P191" s="18" t="inlineStr">
        <is>
          <t>LM9AY9S</t>
        </is>
      </c>
      <c r="Q191" s="18" t="n">
        <v>2</v>
      </c>
      <c r="R191" s="18" t="n">
        <v>0.159</v>
      </c>
      <c r="S191" s="15" t="n">
        <v>21.71</v>
      </c>
      <c r="T191" s="16" t="n">
        <v>45824</v>
      </c>
      <c r="U191" s="19" t="n">
        <v>45883</v>
      </c>
      <c r="V191" s="16" t="n">
        <v>45824</v>
      </c>
      <c r="W191" s="16" t="n">
        <v>45826</v>
      </c>
      <c r="X191" s="57">
        <f>W191-1</f>
        <v/>
      </c>
      <c r="Y191" s="63" t="n">
        <v>45832</v>
      </c>
      <c r="Z191" s="67" t="n">
        <v>45861</v>
      </c>
      <c r="AA191" s="71">
        <f>Z191+13</f>
        <v/>
      </c>
      <c r="AB191" s="20">
        <f>AA191-U191</f>
        <v/>
      </c>
      <c r="AC191" s="20" t="inlineStr">
        <is>
          <t>No</t>
        </is>
      </c>
      <c r="AD191" s="21" t="inlineStr">
        <is>
          <t>1 HBL</t>
        </is>
      </c>
      <c r="AE191" s="21" t="n"/>
      <c r="AF191" s="22" t="inlineStr">
        <is>
          <t>LW</t>
        </is>
      </c>
      <c r="AG191" s="23" t="inlineStr">
        <is>
          <t>NAC</t>
        </is>
      </c>
      <c r="AH191" s="24" t="n"/>
      <c r="AN191" s="24" t="n"/>
    </row>
    <row r="192" ht="12.75" customHeight="1">
      <c r="A192" s="15" t="n">
        <v>3254506</v>
      </c>
      <c r="B192" s="15" t="inlineStr">
        <is>
          <t>Flexport</t>
        </is>
      </c>
      <c r="C192" s="15" t="inlineStr">
        <is>
          <t>Colombo, LK</t>
        </is>
      </c>
      <c r="D192" s="15" t="inlineStr">
        <is>
          <t>New York, NY, US</t>
        </is>
      </c>
      <c r="E192" s="15" t="inlineStr">
        <is>
          <t>Mississauga, ON, CA</t>
        </is>
      </c>
      <c r="F192" s="15" t="inlineStr">
        <is>
          <t>OCEAN</t>
        </is>
      </c>
      <c r="G192" s="15" t="inlineStr">
        <is>
          <t>C. 1 x 40HC</t>
        </is>
      </c>
      <c r="H192" s="15" t="inlineStr">
        <is>
          <t>CFS/CY</t>
        </is>
      </c>
      <c r="I192" s="15" t="inlineStr">
        <is>
          <t>ONE</t>
        </is>
      </c>
      <c r="J192" s="15" t="inlineStr">
        <is>
          <t>EC3</t>
        </is>
      </c>
      <c r="K192" s="15" t="inlineStr">
        <is>
          <t>MAS AMITY PTE LTD</t>
        </is>
      </c>
      <c r="L192" s="16" t="inlineStr">
        <is>
          <t>MAS Active (Pvt) Ltd – Sleekline</t>
        </is>
      </c>
      <c r="M192" s="15" t="inlineStr">
        <is>
          <t>N</t>
        </is>
      </c>
      <c r="N192" s="17" t="n">
        <v>452854030967</v>
      </c>
      <c r="O192" s="15" t="n">
        <v>19926805</v>
      </c>
      <c r="P192" s="18" t="inlineStr">
        <is>
          <t>LM9AY9S</t>
        </is>
      </c>
      <c r="Q192" s="18" t="n">
        <v>3</v>
      </c>
      <c r="R192" s="18" t="n">
        <v>0.238</v>
      </c>
      <c r="S192" s="15" t="n">
        <v>43.12</v>
      </c>
      <c r="T192" s="16" t="n">
        <v>45824</v>
      </c>
      <c r="U192" s="19" t="n">
        <v>45883</v>
      </c>
      <c r="V192" s="16" t="n">
        <v>45824</v>
      </c>
      <c r="W192" s="16" t="n">
        <v>45826</v>
      </c>
      <c r="X192" s="57">
        <f>W192-1</f>
        <v/>
      </c>
      <c r="Y192" s="63" t="n">
        <v>45832</v>
      </c>
      <c r="Z192" s="67" t="n">
        <v>45861</v>
      </c>
      <c r="AA192" s="71">
        <f>Z192+13</f>
        <v/>
      </c>
      <c r="AB192" s="20">
        <f>AA192-U192</f>
        <v/>
      </c>
      <c r="AC192" s="20" t="inlineStr">
        <is>
          <t>No</t>
        </is>
      </c>
      <c r="AD192" s="21" t="inlineStr">
        <is>
          <t>1 HBL</t>
        </is>
      </c>
      <c r="AE192" s="21" t="n"/>
      <c r="AF192" s="22" t="inlineStr">
        <is>
          <t>LW</t>
        </is>
      </c>
      <c r="AG192" s="23" t="inlineStr">
        <is>
          <t>NAC</t>
        </is>
      </c>
      <c r="AH192" s="24" t="n"/>
      <c r="AN192" s="24" t="n"/>
    </row>
    <row r="193" ht="12.75" customHeight="1">
      <c r="A193" s="15" t="n">
        <v>3254506</v>
      </c>
      <c r="B193" s="15" t="inlineStr">
        <is>
          <t>Flexport</t>
        </is>
      </c>
      <c r="C193" s="15" t="inlineStr">
        <is>
          <t>Colombo, LK</t>
        </is>
      </c>
      <c r="D193" s="15" t="inlineStr">
        <is>
          <t>New York, NY, US</t>
        </is>
      </c>
      <c r="E193" s="15" t="inlineStr">
        <is>
          <t>Mississauga, ON, CA</t>
        </is>
      </c>
      <c r="F193" s="15" t="inlineStr">
        <is>
          <t>OCEAN</t>
        </is>
      </c>
      <c r="G193" s="15" t="inlineStr">
        <is>
          <t>C. 1 x 40HC</t>
        </is>
      </c>
      <c r="H193" s="15" t="inlineStr">
        <is>
          <t>CFS/CY</t>
        </is>
      </c>
      <c r="I193" s="15" t="inlineStr">
        <is>
          <t>ONE</t>
        </is>
      </c>
      <c r="J193" s="15" t="inlineStr">
        <is>
          <t>EC3</t>
        </is>
      </c>
      <c r="K193" s="15" t="inlineStr">
        <is>
          <t>MAS AMITY PTE LTD</t>
        </is>
      </c>
      <c r="L193" s="16" t="inlineStr">
        <is>
          <t>MAS Active (Pvt) Ltd – Sleekline</t>
        </is>
      </c>
      <c r="M193" s="15" t="inlineStr">
        <is>
          <t>N</t>
        </is>
      </c>
      <c r="N193" s="17" t="n">
        <v>452856319907</v>
      </c>
      <c r="O193" s="15" t="n">
        <v>19926822</v>
      </c>
      <c r="P193" s="18" t="inlineStr">
        <is>
          <t>LM9AYES</t>
        </is>
      </c>
      <c r="Q193" s="18" t="n">
        <v>6</v>
      </c>
      <c r="R193" s="18" t="n">
        <v>0.436</v>
      </c>
      <c r="S193" s="15" t="n">
        <v>54.42</v>
      </c>
      <c r="T193" s="16" t="n">
        <v>45824</v>
      </c>
      <c r="U193" s="19" t="n">
        <v>45883</v>
      </c>
      <c r="V193" s="16" t="n">
        <v>45824</v>
      </c>
      <c r="W193" s="16" t="n">
        <v>45826</v>
      </c>
      <c r="X193" s="57">
        <f>W193-1</f>
        <v/>
      </c>
      <c r="Y193" s="63" t="n">
        <v>45832</v>
      </c>
      <c r="Z193" s="67" t="n">
        <v>45861</v>
      </c>
      <c r="AA193" s="71">
        <f>Z193+13</f>
        <v/>
      </c>
      <c r="AB193" s="20">
        <f>AA193-U193</f>
        <v/>
      </c>
      <c r="AC193" s="20" t="inlineStr">
        <is>
          <t>No</t>
        </is>
      </c>
      <c r="AD193" s="21" t="inlineStr">
        <is>
          <t>1 HBL</t>
        </is>
      </c>
      <c r="AE193" s="21" t="n"/>
      <c r="AF193" s="22" t="inlineStr">
        <is>
          <t>LW</t>
        </is>
      </c>
      <c r="AG193" s="23" t="inlineStr">
        <is>
          <t>NAC</t>
        </is>
      </c>
      <c r="AH193" s="24" t="n"/>
      <c r="AN193" s="24" t="n"/>
    </row>
    <row r="194" ht="12.75" customHeight="1">
      <c r="A194" s="15" t="n">
        <v>3254506</v>
      </c>
      <c r="B194" s="15" t="inlineStr">
        <is>
          <t>Flexport</t>
        </is>
      </c>
      <c r="C194" s="15" t="inlineStr">
        <is>
          <t>Colombo, LK</t>
        </is>
      </c>
      <c r="D194" s="15" t="inlineStr">
        <is>
          <t>New York, NY, US</t>
        </is>
      </c>
      <c r="E194" s="15" t="inlineStr">
        <is>
          <t>Mississauga, ON, CA</t>
        </is>
      </c>
      <c r="F194" s="15" t="inlineStr">
        <is>
          <t>OCEAN</t>
        </is>
      </c>
      <c r="G194" s="15" t="inlineStr">
        <is>
          <t>C. 1 x 40HC</t>
        </is>
      </c>
      <c r="H194" s="15" t="inlineStr">
        <is>
          <t>CFS/CY</t>
        </is>
      </c>
      <c r="I194" s="15" t="inlineStr">
        <is>
          <t>ONE</t>
        </is>
      </c>
      <c r="J194" s="15" t="inlineStr">
        <is>
          <t>EC3</t>
        </is>
      </c>
      <c r="K194" s="15" t="inlineStr">
        <is>
          <t>MAS AMITY PTE LTD</t>
        </is>
      </c>
      <c r="L194" s="16" t="inlineStr">
        <is>
          <t>MAS Active (Pvt) Ltd – Sleekline</t>
        </is>
      </c>
      <c r="M194" s="15" t="inlineStr">
        <is>
          <t>N</t>
        </is>
      </c>
      <c r="N194" s="17" t="n">
        <v>452858135232</v>
      </c>
      <c r="O194" s="15" t="n">
        <v>19926952</v>
      </c>
      <c r="P194" s="18" t="inlineStr">
        <is>
          <t>LM9AMVS</t>
        </is>
      </c>
      <c r="Q194" s="18" t="n">
        <v>4</v>
      </c>
      <c r="R194" s="18" t="n">
        <v>0.317</v>
      </c>
      <c r="S194" s="15" t="n">
        <v>49.6</v>
      </c>
      <c r="T194" s="16" t="n">
        <v>45824</v>
      </c>
      <c r="U194" s="19" t="n">
        <v>45883</v>
      </c>
      <c r="V194" s="16" t="n">
        <v>45824</v>
      </c>
      <c r="W194" s="16" t="n">
        <v>45826</v>
      </c>
      <c r="X194" s="57">
        <f>W194-1</f>
        <v/>
      </c>
      <c r="Y194" s="63" t="n">
        <v>45832</v>
      </c>
      <c r="Z194" s="67" t="n">
        <v>45861</v>
      </c>
      <c r="AA194" s="71">
        <f>Z194+13</f>
        <v/>
      </c>
      <c r="AB194" s="20">
        <f>AA194-U194</f>
        <v/>
      </c>
      <c r="AC194" s="20" t="inlineStr">
        <is>
          <t>No</t>
        </is>
      </c>
      <c r="AD194" s="21" t="inlineStr">
        <is>
          <t>1 HBL</t>
        </is>
      </c>
      <c r="AE194" s="21" t="n"/>
      <c r="AF194" s="22" t="inlineStr">
        <is>
          <t>LW</t>
        </is>
      </c>
      <c r="AG194" s="23" t="inlineStr">
        <is>
          <t>NAC</t>
        </is>
      </c>
      <c r="AH194" s="24" t="n"/>
      <c r="AN194" s="24" t="n"/>
    </row>
    <row r="195" ht="12.75" customHeight="1">
      <c r="A195" s="15" t="n">
        <v>3254506</v>
      </c>
      <c r="B195" s="15" t="inlineStr">
        <is>
          <t>Flexport</t>
        </is>
      </c>
      <c r="C195" s="15" t="inlineStr">
        <is>
          <t>Colombo, LK</t>
        </is>
      </c>
      <c r="D195" s="15" t="inlineStr">
        <is>
          <t>New York, NY, US</t>
        </is>
      </c>
      <c r="E195" s="15" t="inlineStr">
        <is>
          <t>Mississauga, ON, CA</t>
        </is>
      </c>
      <c r="F195" s="15" t="inlineStr">
        <is>
          <t>OCEAN</t>
        </is>
      </c>
      <c r="G195" s="15" t="inlineStr">
        <is>
          <t>C. 1 x 40HC</t>
        </is>
      </c>
      <c r="H195" s="15" t="inlineStr">
        <is>
          <t>CFS/CY</t>
        </is>
      </c>
      <c r="I195" s="15" t="inlineStr">
        <is>
          <t>ONE</t>
        </is>
      </c>
      <c r="J195" s="15" t="inlineStr">
        <is>
          <t>EC3</t>
        </is>
      </c>
      <c r="K195" s="15" t="inlineStr">
        <is>
          <t>MAS AMITY PTE LTD</t>
        </is>
      </c>
      <c r="L195" s="16" t="inlineStr">
        <is>
          <t>MAS Active (Pvt) Ltd – Sleekline</t>
        </is>
      </c>
      <c r="M195" s="15" t="inlineStr">
        <is>
          <t>N</t>
        </is>
      </c>
      <c r="N195" s="17" t="n">
        <v>452859992323</v>
      </c>
      <c r="O195" s="15" t="n">
        <v>19927038</v>
      </c>
      <c r="P195" s="18" t="inlineStr">
        <is>
          <t>LM9AN5S</t>
        </is>
      </c>
      <c r="Q195" s="18" t="n">
        <v>7</v>
      </c>
      <c r="R195" s="18" t="n">
        <v>0.555</v>
      </c>
      <c r="S195" s="15" t="n">
        <v>95.01000000000001</v>
      </c>
      <c r="T195" s="16" t="n">
        <v>45824</v>
      </c>
      <c r="U195" s="19" t="n">
        <v>45883</v>
      </c>
      <c r="V195" s="16" t="n">
        <v>45824</v>
      </c>
      <c r="W195" s="16" t="n">
        <v>45826</v>
      </c>
      <c r="X195" s="57">
        <f>W195-1</f>
        <v/>
      </c>
      <c r="Y195" s="63" t="n">
        <v>45832</v>
      </c>
      <c r="Z195" s="67" t="n">
        <v>45861</v>
      </c>
      <c r="AA195" s="71">
        <f>Z195+13</f>
        <v/>
      </c>
      <c r="AB195" s="20">
        <f>AA195-U195</f>
        <v/>
      </c>
      <c r="AC195" s="20" t="inlineStr">
        <is>
          <t>No</t>
        </is>
      </c>
      <c r="AD195" s="21" t="inlineStr">
        <is>
          <t>1 HBL</t>
        </is>
      </c>
      <c r="AE195" s="21" t="n"/>
      <c r="AF195" s="22" t="inlineStr">
        <is>
          <t>LW</t>
        </is>
      </c>
      <c r="AG195" s="23" t="inlineStr">
        <is>
          <t>NAC</t>
        </is>
      </c>
      <c r="AH195" s="24" t="n"/>
      <c r="AN195" s="24" t="n"/>
    </row>
    <row r="196" ht="12.75" customHeight="1">
      <c r="A196" s="15" t="n">
        <v>3254506</v>
      </c>
      <c r="B196" s="15" t="inlineStr">
        <is>
          <t>Flexport</t>
        </is>
      </c>
      <c r="C196" s="15" t="inlineStr">
        <is>
          <t>Colombo, LK</t>
        </is>
      </c>
      <c r="D196" s="15" t="inlineStr">
        <is>
          <t>New York, NY, US</t>
        </is>
      </c>
      <c r="E196" s="15" t="inlineStr">
        <is>
          <t>Mississauga, ON, CA</t>
        </is>
      </c>
      <c r="F196" s="15" t="inlineStr">
        <is>
          <t>OCEAN</t>
        </is>
      </c>
      <c r="G196" s="15" t="inlineStr">
        <is>
          <t>C. 1 x 40HC</t>
        </is>
      </c>
      <c r="H196" s="15" t="inlineStr">
        <is>
          <t>CFS/CY</t>
        </is>
      </c>
      <c r="I196" s="15" t="inlineStr">
        <is>
          <t>ONE</t>
        </is>
      </c>
      <c r="J196" s="15" t="inlineStr">
        <is>
          <t>EC3</t>
        </is>
      </c>
      <c r="K196" s="15" t="inlineStr">
        <is>
          <t>MAS AMITY PTE LTD</t>
        </is>
      </c>
      <c r="L196" s="16" t="inlineStr">
        <is>
          <t>MAS Active (Pvt) Ltd – Sleekline</t>
        </is>
      </c>
      <c r="M196" s="15" t="inlineStr">
        <is>
          <t>N</t>
        </is>
      </c>
      <c r="N196" s="17" t="n">
        <v>452862804612</v>
      </c>
      <c r="O196" s="15" t="n">
        <v>19927068</v>
      </c>
      <c r="P196" s="18" t="inlineStr">
        <is>
          <t>LM9AN8S</t>
        </is>
      </c>
      <c r="Q196" s="18" t="n">
        <v>4</v>
      </c>
      <c r="R196" s="18" t="n">
        <v>0.317</v>
      </c>
      <c r="S196" s="15" t="n">
        <v>49.04</v>
      </c>
      <c r="T196" s="16" t="n">
        <v>45824</v>
      </c>
      <c r="U196" s="19" t="n">
        <v>45883</v>
      </c>
      <c r="V196" s="16" t="n">
        <v>45824</v>
      </c>
      <c r="W196" s="16" t="n">
        <v>45826</v>
      </c>
      <c r="X196" s="57">
        <f>W196-1</f>
        <v/>
      </c>
      <c r="Y196" s="63" t="n">
        <v>45832</v>
      </c>
      <c r="Z196" s="67" t="n">
        <v>45861</v>
      </c>
      <c r="AA196" s="71">
        <f>Z196+13</f>
        <v/>
      </c>
      <c r="AB196" s="20">
        <f>AA196-U196</f>
        <v/>
      </c>
      <c r="AC196" s="20" t="inlineStr">
        <is>
          <t>No</t>
        </is>
      </c>
      <c r="AD196" s="21" t="inlineStr">
        <is>
          <t>1 HBL</t>
        </is>
      </c>
      <c r="AE196" s="21" t="n"/>
      <c r="AF196" s="22" t="inlineStr">
        <is>
          <t>LW</t>
        </is>
      </c>
      <c r="AG196" s="23" t="inlineStr">
        <is>
          <t>NAC</t>
        </is>
      </c>
      <c r="AH196" s="24" t="n"/>
      <c r="AN196" s="24" t="n"/>
    </row>
    <row r="197" ht="12.75" customHeight="1">
      <c r="A197" s="15" t="n">
        <v>3254506</v>
      </c>
      <c r="B197" s="15" t="inlineStr">
        <is>
          <t>Flexport</t>
        </is>
      </c>
      <c r="C197" s="15" t="inlineStr">
        <is>
          <t>Colombo, LK</t>
        </is>
      </c>
      <c r="D197" s="15" t="inlineStr">
        <is>
          <t>New York, NY, US</t>
        </is>
      </c>
      <c r="E197" s="15" t="inlineStr">
        <is>
          <t>Mississauga, ON, CA</t>
        </is>
      </c>
      <c r="F197" s="15" t="inlineStr">
        <is>
          <t>OCEAN</t>
        </is>
      </c>
      <c r="G197" s="15" t="inlineStr">
        <is>
          <t>C. 1 x 40HC</t>
        </is>
      </c>
      <c r="H197" s="15" t="inlineStr">
        <is>
          <t>CFS/CY</t>
        </is>
      </c>
      <c r="I197" s="15" t="inlineStr">
        <is>
          <t>ONE</t>
        </is>
      </c>
      <c r="J197" s="15" t="inlineStr">
        <is>
          <t>EC3</t>
        </is>
      </c>
      <c r="K197" s="15" t="inlineStr">
        <is>
          <t>MAS AMITY PTE LTD</t>
        </is>
      </c>
      <c r="L197" s="16" t="inlineStr">
        <is>
          <t>MAS Active (Pvt) Ltd – Sleekline</t>
        </is>
      </c>
      <c r="M197" s="15" t="inlineStr">
        <is>
          <t>N</t>
        </is>
      </c>
      <c r="N197" s="17" t="n">
        <v>452865421049</v>
      </c>
      <c r="O197" s="15" t="n">
        <v>19935878</v>
      </c>
      <c r="P197" s="18" t="inlineStr">
        <is>
          <t>LM9AUNS</t>
        </is>
      </c>
      <c r="Q197" s="18" t="n">
        <v>2</v>
      </c>
      <c r="R197" s="18" t="n">
        <v>0.159</v>
      </c>
      <c r="S197" s="15" t="n">
        <v>18.98</v>
      </c>
      <c r="T197" s="16" t="n">
        <v>45824</v>
      </c>
      <c r="U197" s="19" t="n">
        <v>45883</v>
      </c>
      <c r="V197" s="16" t="n">
        <v>45824</v>
      </c>
      <c r="W197" s="16" t="n">
        <v>45826</v>
      </c>
      <c r="X197" s="57">
        <f>W197-1</f>
        <v/>
      </c>
      <c r="Y197" s="63" t="n">
        <v>45832</v>
      </c>
      <c r="Z197" s="67" t="n">
        <v>45861</v>
      </c>
      <c r="AA197" s="71">
        <f>Z197+13</f>
        <v/>
      </c>
      <c r="AB197" s="20">
        <f>AA197-U197</f>
        <v/>
      </c>
      <c r="AC197" s="20" t="inlineStr">
        <is>
          <t>No</t>
        </is>
      </c>
      <c r="AD197" s="21" t="inlineStr">
        <is>
          <t>1 HBL</t>
        </is>
      </c>
      <c r="AE197" s="21" t="n"/>
      <c r="AF197" s="22" t="inlineStr">
        <is>
          <t>LW</t>
        </is>
      </c>
      <c r="AG197" s="23" t="inlineStr">
        <is>
          <t>NAC</t>
        </is>
      </c>
      <c r="AH197" s="24" t="n"/>
      <c r="AN197" s="24" t="n"/>
    </row>
    <row r="198" ht="12.75" customHeight="1">
      <c r="A198" s="15" t="n">
        <v>3254506</v>
      </c>
      <c r="B198" s="15" t="inlineStr">
        <is>
          <t>Flexport</t>
        </is>
      </c>
      <c r="C198" s="15" t="inlineStr">
        <is>
          <t>Colombo, LK</t>
        </is>
      </c>
      <c r="D198" s="15" t="inlineStr">
        <is>
          <t>New York, NY, US</t>
        </is>
      </c>
      <c r="E198" s="15" t="inlineStr">
        <is>
          <t>Mississauga, ON, CA</t>
        </is>
      </c>
      <c r="F198" s="15" t="inlineStr">
        <is>
          <t>OCEAN</t>
        </is>
      </c>
      <c r="G198" s="15" t="inlineStr">
        <is>
          <t>C. 1 x 40HC</t>
        </is>
      </c>
      <c r="H198" s="15" t="inlineStr">
        <is>
          <t>CFS/CY</t>
        </is>
      </c>
      <c r="I198" s="15" t="inlineStr">
        <is>
          <t>ONE</t>
        </is>
      </c>
      <c r="J198" s="15" t="inlineStr">
        <is>
          <t>EC3</t>
        </is>
      </c>
      <c r="K198" s="15" t="inlineStr">
        <is>
          <t>MAS AMITY PTE LTD</t>
        </is>
      </c>
      <c r="L198" s="16" t="inlineStr">
        <is>
          <t>MAS Active (Pvt) Ltd – Sleekline</t>
        </is>
      </c>
      <c r="M198" s="15" t="inlineStr">
        <is>
          <t>N</t>
        </is>
      </c>
      <c r="N198" s="17" t="n">
        <v>452866507552</v>
      </c>
      <c r="O198" s="15" t="n">
        <v>19927133</v>
      </c>
      <c r="P198" s="18" t="inlineStr">
        <is>
          <t>LM9AY9S</t>
        </is>
      </c>
      <c r="Q198" s="18" t="n">
        <v>3</v>
      </c>
      <c r="R198" s="18" t="n">
        <v>0.238</v>
      </c>
      <c r="S198" s="15" t="n">
        <v>40.36</v>
      </c>
      <c r="T198" s="16" t="n">
        <v>45824</v>
      </c>
      <c r="U198" s="19" t="n">
        <v>45883</v>
      </c>
      <c r="V198" s="16" t="n">
        <v>45824</v>
      </c>
      <c r="W198" s="16" t="n">
        <v>45826</v>
      </c>
      <c r="X198" s="57">
        <f>W198-1</f>
        <v/>
      </c>
      <c r="Y198" s="63" t="n">
        <v>45832</v>
      </c>
      <c r="Z198" s="67" t="n">
        <v>45861</v>
      </c>
      <c r="AA198" s="71">
        <f>Z198+13</f>
        <v/>
      </c>
      <c r="AB198" s="20">
        <f>AA198-U198</f>
        <v/>
      </c>
      <c r="AC198" s="20" t="inlineStr">
        <is>
          <t>No</t>
        </is>
      </c>
      <c r="AD198" s="21" t="inlineStr">
        <is>
          <t>1 HBL</t>
        </is>
      </c>
      <c r="AE198" s="21" t="n"/>
      <c r="AF198" s="22" t="inlineStr">
        <is>
          <t>LW</t>
        </is>
      </c>
      <c r="AG198" s="23" t="inlineStr">
        <is>
          <t>NAC</t>
        </is>
      </c>
      <c r="AH198" s="24" t="n"/>
      <c r="AN198" s="24" t="n"/>
    </row>
    <row r="199" ht="12.75" customHeight="1">
      <c r="A199" s="15" t="n">
        <v>3254506</v>
      </c>
      <c r="B199" s="15" t="inlineStr">
        <is>
          <t>Flexport</t>
        </is>
      </c>
      <c r="C199" s="15" t="inlineStr">
        <is>
          <t>Colombo, LK</t>
        </is>
      </c>
      <c r="D199" s="15" t="inlineStr">
        <is>
          <t>New York, NY, US</t>
        </is>
      </c>
      <c r="E199" s="15" t="inlineStr">
        <is>
          <t>Mississauga, ON, CA</t>
        </is>
      </c>
      <c r="F199" s="15" t="inlineStr">
        <is>
          <t>OCEAN</t>
        </is>
      </c>
      <c r="G199" s="15" t="inlineStr">
        <is>
          <t>C. 1 x 40HC</t>
        </is>
      </c>
      <c r="H199" s="15" t="inlineStr">
        <is>
          <t>CFS/CY</t>
        </is>
      </c>
      <c r="I199" s="15" t="inlineStr">
        <is>
          <t>ONE</t>
        </is>
      </c>
      <c r="J199" s="15" t="inlineStr">
        <is>
          <t>EC3</t>
        </is>
      </c>
      <c r="K199" s="15" t="inlineStr">
        <is>
          <t>MAS AMITY PTE LTD</t>
        </is>
      </c>
      <c r="L199" s="16" t="inlineStr">
        <is>
          <t>MAS Active (Pvt) Ltd – Sleekline</t>
        </is>
      </c>
      <c r="M199" s="15" t="inlineStr">
        <is>
          <t>N</t>
        </is>
      </c>
      <c r="N199" s="17" t="n">
        <v>452869779430</v>
      </c>
      <c r="O199" s="15" t="n">
        <v>19927158</v>
      </c>
      <c r="P199" s="18" t="inlineStr">
        <is>
          <t>LM9AZ0S</t>
        </is>
      </c>
      <c r="Q199" s="18" t="n">
        <v>1</v>
      </c>
      <c r="R199" s="18" t="n">
        <v>0.079</v>
      </c>
      <c r="S199" s="15" t="n">
        <v>11.51</v>
      </c>
      <c r="T199" s="16" t="n">
        <v>45824</v>
      </c>
      <c r="U199" s="19" t="n">
        <v>45883</v>
      </c>
      <c r="V199" s="16" t="n">
        <v>45824</v>
      </c>
      <c r="W199" s="16" t="n">
        <v>45826</v>
      </c>
      <c r="X199" s="57">
        <f>W199-1</f>
        <v/>
      </c>
      <c r="Y199" s="63" t="n">
        <v>45832</v>
      </c>
      <c r="Z199" s="67" t="n">
        <v>45861</v>
      </c>
      <c r="AA199" s="71">
        <f>Z199+13</f>
        <v/>
      </c>
      <c r="AB199" s="20">
        <f>AA199-U199</f>
        <v/>
      </c>
      <c r="AC199" s="20" t="inlineStr">
        <is>
          <t>No</t>
        </is>
      </c>
      <c r="AD199" s="21" t="inlineStr">
        <is>
          <t>1 HBL</t>
        </is>
      </c>
      <c r="AE199" s="21" t="n"/>
      <c r="AF199" s="22" t="inlineStr">
        <is>
          <t>LW</t>
        </is>
      </c>
      <c r="AG199" s="23" t="inlineStr">
        <is>
          <t>NAC</t>
        </is>
      </c>
      <c r="AH199" s="24" t="n"/>
      <c r="AN199" s="24" t="n"/>
    </row>
    <row r="200" ht="12.75" customHeight="1">
      <c r="A200" s="15" t="n">
        <v>3254506</v>
      </c>
      <c r="B200" s="15" t="inlineStr">
        <is>
          <t>Flexport</t>
        </is>
      </c>
      <c r="C200" s="15" t="inlineStr">
        <is>
          <t>Colombo, LK</t>
        </is>
      </c>
      <c r="D200" s="15" t="inlineStr">
        <is>
          <t>New York, NY, US</t>
        </is>
      </c>
      <c r="E200" s="15" t="inlineStr">
        <is>
          <t>Mississauga, ON, CA</t>
        </is>
      </c>
      <c r="F200" s="15" t="inlineStr">
        <is>
          <t>OCEAN</t>
        </is>
      </c>
      <c r="G200" s="15" t="inlineStr">
        <is>
          <t>C. 1 x 40HC</t>
        </is>
      </c>
      <c r="H200" s="15" t="inlineStr">
        <is>
          <t>CFS/CY</t>
        </is>
      </c>
      <c r="I200" s="15" t="inlineStr">
        <is>
          <t>ONE</t>
        </is>
      </c>
      <c r="J200" s="15" t="inlineStr">
        <is>
          <t>EC3</t>
        </is>
      </c>
      <c r="K200" s="15" t="inlineStr">
        <is>
          <t>MAS AMITY PTE LTD</t>
        </is>
      </c>
      <c r="L200" s="16" t="inlineStr">
        <is>
          <t>MAS Active (Pvt) Ltd – Sleekline</t>
        </is>
      </c>
      <c r="M200" s="15" t="inlineStr">
        <is>
          <t>N</t>
        </is>
      </c>
      <c r="N200" s="17" t="n">
        <v>452870408857</v>
      </c>
      <c r="O200" s="15" t="n">
        <v>19927159</v>
      </c>
      <c r="P200" s="18" t="inlineStr">
        <is>
          <t>LM9AZ0S</t>
        </is>
      </c>
      <c r="Q200" s="18" t="n">
        <v>1</v>
      </c>
      <c r="R200" s="18" t="n">
        <v>0.079</v>
      </c>
      <c r="S200" s="15" t="n">
        <v>8.69</v>
      </c>
      <c r="T200" s="16" t="n">
        <v>45824</v>
      </c>
      <c r="U200" s="19" t="n">
        <v>45883</v>
      </c>
      <c r="V200" s="16" t="n">
        <v>45824</v>
      </c>
      <c r="W200" s="16" t="n">
        <v>45826</v>
      </c>
      <c r="X200" s="57">
        <f>W200-1</f>
        <v/>
      </c>
      <c r="Y200" s="63" t="n">
        <v>45832</v>
      </c>
      <c r="Z200" s="67" t="n">
        <v>45861</v>
      </c>
      <c r="AA200" s="71">
        <f>Z200+13</f>
        <v/>
      </c>
      <c r="AB200" s="20">
        <f>AA200-U200</f>
        <v/>
      </c>
      <c r="AC200" s="20" t="inlineStr">
        <is>
          <t>No</t>
        </is>
      </c>
      <c r="AD200" s="21" t="inlineStr">
        <is>
          <t>1 HBL</t>
        </is>
      </c>
      <c r="AE200" s="21" t="n"/>
      <c r="AF200" s="22" t="inlineStr">
        <is>
          <t>LW</t>
        </is>
      </c>
      <c r="AG200" s="23" t="inlineStr">
        <is>
          <t>NAC</t>
        </is>
      </c>
      <c r="AH200" s="24" t="n"/>
      <c r="AN200" s="24" t="n"/>
    </row>
    <row r="201" ht="12.75" customHeight="1">
      <c r="A201" s="15" t="n">
        <v>3254506</v>
      </c>
      <c r="B201" s="15" t="inlineStr">
        <is>
          <t>Flexport</t>
        </is>
      </c>
      <c r="C201" s="15" t="inlineStr">
        <is>
          <t>Colombo, LK</t>
        </is>
      </c>
      <c r="D201" s="15" t="inlineStr">
        <is>
          <t>New York, NY, US</t>
        </is>
      </c>
      <c r="E201" s="15" t="inlineStr">
        <is>
          <t>Mississauga, ON, CA</t>
        </is>
      </c>
      <c r="F201" s="15" t="inlineStr">
        <is>
          <t>OCEAN</t>
        </is>
      </c>
      <c r="G201" s="15" t="inlineStr">
        <is>
          <t>C. 1 x 40HC</t>
        </is>
      </c>
      <c r="H201" s="15" t="inlineStr">
        <is>
          <t>CFS/CY</t>
        </is>
      </c>
      <c r="I201" s="15" t="inlineStr">
        <is>
          <t>ONE</t>
        </is>
      </c>
      <c r="J201" s="15" t="inlineStr">
        <is>
          <t>EC3</t>
        </is>
      </c>
      <c r="K201" s="15" t="inlineStr">
        <is>
          <t>MAS AMITY PTE LTD</t>
        </is>
      </c>
      <c r="L201" s="16" t="inlineStr">
        <is>
          <t>MAS Active (Pvt) Ltd – Sleekline</t>
        </is>
      </c>
      <c r="M201" s="15" t="inlineStr">
        <is>
          <t>N</t>
        </is>
      </c>
      <c r="N201" s="17" t="n">
        <v>452871646110</v>
      </c>
      <c r="O201" s="15" t="n">
        <v>19935859</v>
      </c>
      <c r="P201" s="18" t="inlineStr">
        <is>
          <t>LM9AN6S</t>
        </is>
      </c>
      <c r="Q201" s="18" t="n">
        <v>1</v>
      </c>
      <c r="R201" s="18" t="n">
        <v>0.079</v>
      </c>
      <c r="S201" s="15" t="n">
        <v>10.21</v>
      </c>
      <c r="T201" s="16" t="n">
        <v>45824</v>
      </c>
      <c r="U201" s="19" t="n">
        <v>45883</v>
      </c>
      <c r="V201" s="16" t="n">
        <v>45824</v>
      </c>
      <c r="W201" s="16" t="n">
        <v>45826</v>
      </c>
      <c r="X201" s="57">
        <f>W201-1</f>
        <v/>
      </c>
      <c r="Y201" s="63" t="n">
        <v>45832</v>
      </c>
      <c r="Z201" s="67" t="n">
        <v>45861</v>
      </c>
      <c r="AA201" s="71">
        <f>Z201+13</f>
        <v/>
      </c>
      <c r="AB201" s="20">
        <f>AA201-U201</f>
        <v/>
      </c>
      <c r="AC201" s="20" t="inlineStr">
        <is>
          <t>No</t>
        </is>
      </c>
      <c r="AD201" s="21" t="inlineStr">
        <is>
          <t>1 HBL</t>
        </is>
      </c>
      <c r="AE201" s="21" t="n"/>
      <c r="AF201" s="22" t="inlineStr">
        <is>
          <t>LW</t>
        </is>
      </c>
      <c r="AG201" s="23" t="inlineStr">
        <is>
          <t>NAC</t>
        </is>
      </c>
      <c r="AH201" s="24" t="n"/>
      <c r="AN201" s="24" t="n"/>
    </row>
    <row r="202" ht="12.75" customHeight="1">
      <c r="A202" s="15" t="n">
        <v>3254506</v>
      </c>
      <c r="B202" s="15" t="inlineStr">
        <is>
          <t>Flexport</t>
        </is>
      </c>
      <c r="C202" s="15" t="inlineStr">
        <is>
          <t>Colombo, LK</t>
        </is>
      </c>
      <c r="D202" s="15" t="inlineStr">
        <is>
          <t>New York, NY, US</t>
        </is>
      </c>
      <c r="E202" s="15" t="inlineStr">
        <is>
          <t>Mississauga, ON, CA</t>
        </is>
      </c>
      <c r="F202" s="15" t="inlineStr">
        <is>
          <t>OCEAN</t>
        </is>
      </c>
      <c r="G202" s="15" t="inlineStr">
        <is>
          <t>C. 1 x 40HC</t>
        </is>
      </c>
      <c r="H202" s="15" t="inlineStr">
        <is>
          <t>CFS/CY</t>
        </is>
      </c>
      <c r="I202" s="15" t="inlineStr">
        <is>
          <t>ONE</t>
        </is>
      </c>
      <c r="J202" s="15" t="inlineStr">
        <is>
          <t>EC3</t>
        </is>
      </c>
      <c r="K202" s="15" t="inlineStr">
        <is>
          <t>MAS AMITY PTE LTD</t>
        </is>
      </c>
      <c r="L202" s="16" t="inlineStr">
        <is>
          <t>MAS Active (Pvt) Ltd – Sleekline</t>
        </is>
      </c>
      <c r="M202" s="15" t="inlineStr">
        <is>
          <t>N</t>
        </is>
      </c>
      <c r="N202" s="17" t="n">
        <v>452873627359</v>
      </c>
      <c r="O202" s="15" t="n">
        <v>19935996</v>
      </c>
      <c r="P202" s="18" t="inlineStr">
        <is>
          <t>LM9AQWS</t>
        </is>
      </c>
      <c r="Q202" s="18" t="n">
        <v>4</v>
      </c>
      <c r="R202" s="18" t="n">
        <v>0.317</v>
      </c>
      <c r="S202" s="15" t="n">
        <v>49.66</v>
      </c>
      <c r="T202" s="16" t="n">
        <v>45824</v>
      </c>
      <c r="U202" s="19" t="n">
        <v>45883</v>
      </c>
      <c r="V202" s="16" t="n">
        <v>45824</v>
      </c>
      <c r="W202" s="16" t="n">
        <v>45826</v>
      </c>
      <c r="X202" s="57">
        <f>W202-1</f>
        <v/>
      </c>
      <c r="Y202" s="63" t="n">
        <v>45832</v>
      </c>
      <c r="Z202" s="67" t="n">
        <v>45861</v>
      </c>
      <c r="AA202" s="71">
        <f>Z202+13</f>
        <v/>
      </c>
      <c r="AB202" s="20">
        <f>AA202-U202</f>
        <v/>
      </c>
      <c r="AC202" s="20" t="inlineStr">
        <is>
          <t>No</t>
        </is>
      </c>
      <c r="AD202" s="21" t="inlineStr">
        <is>
          <t>1 HBL</t>
        </is>
      </c>
      <c r="AE202" s="21" t="n"/>
      <c r="AF202" s="22" t="inlineStr">
        <is>
          <t>LW</t>
        </is>
      </c>
      <c r="AG202" s="23" t="inlineStr">
        <is>
          <t>NAC</t>
        </is>
      </c>
      <c r="AH202" s="24" t="n"/>
      <c r="AN202" s="24" t="n"/>
    </row>
    <row r="203" ht="12.75" customHeight="1">
      <c r="A203" s="15" t="n">
        <v>3254506</v>
      </c>
      <c r="B203" s="15" t="inlineStr">
        <is>
          <t>Flexport</t>
        </is>
      </c>
      <c r="C203" s="15" t="inlineStr">
        <is>
          <t>Colombo, LK</t>
        </is>
      </c>
      <c r="D203" s="15" t="inlineStr">
        <is>
          <t>New York, NY, US</t>
        </is>
      </c>
      <c r="E203" s="15" t="inlineStr">
        <is>
          <t>Mississauga, ON, CA</t>
        </is>
      </c>
      <c r="F203" s="15" t="inlineStr">
        <is>
          <t>OCEAN</t>
        </is>
      </c>
      <c r="G203" s="15" t="inlineStr">
        <is>
          <t>C. 1 x 40HC</t>
        </is>
      </c>
      <c r="H203" s="15" t="inlineStr">
        <is>
          <t>CFS/CY</t>
        </is>
      </c>
      <c r="I203" s="15" t="inlineStr">
        <is>
          <t>ONE</t>
        </is>
      </c>
      <c r="J203" s="15" t="inlineStr">
        <is>
          <t>EC3</t>
        </is>
      </c>
      <c r="K203" s="15" t="inlineStr">
        <is>
          <t>MAS AMITY PTE LTD</t>
        </is>
      </c>
      <c r="L203" s="16" t="inlineStr">
        <is>
          <t>MAS Active (Pvt) Ltd – Sleekline</t>
        </is>
      </c>
      <c r="M203" s="15" t="inlineStr">
        <is>
          <t>N</t>
        </is>
      </c>
      <c r="N203" s="17" t="n">
        <v>452874553770</v>
      </c>
      <c r="O203" s="15" t="n">
        <v>19936035</v>
      </c>
      <c r="P203" s="18" t="inlineStr">
        <is>
          <t>LM9AUNS</t>
        </is>
      </c>
      <c r="Q203" s="18" t="n">
        <v>4</v>
      </c>
      <c r="R203" s="18" t="n">
        <v>0.278</v>
      </c>
      <c r="S203" s="15" t="n">
        <v>44.52</v>
      </c>
      <c r="T203" s="16" t="n">
        <v>45824</v>
      </c>
      <c r="U203" s="19" t="n">
        <v>45883</v>
      </c>
      <c r="V203" s="16" t="n">
        <v>45824</v>
      </c>
      <c r="W203" s="16" t="n">
        <v>45826</v>
      </c>
      <c r="X203" s="57">
        <f>W203-1</f>
        <v/>
      </c>
      <c r="Y203" s="63" t="n">
        <v>45832</v>
      </c>
      <c r="Z203" s="67" t="n">
        <v>45861</v>
      </c>
      <c r="AA203" s="71">
        <f>Z203+13</f>
        <v/>
      </c>
      <c r="AB203" s="20">
        <f>AA203-U203</f>
        <v/>
      </c>
      <c r="AC203" s="20" t="inlineStr">
        <is>
          <t>No</t>
        </is>
      </c>
      <c r="AD203" s="21" t="inlineStr">
        <is>
          <t>1 HBL</t>
        </is>
      </c>
      <c r="AE203" s="21" t="n"/>
      <c r="AF203" s="22" t="inlineStr">
        <is>
          <t>LW</t>
        </is>
      </c>
      <c r="AG203" s="23" t="inlineStr">
        <is>
          <t>NAC</t>
        </is>
      </c>
      <c r="AH203" s="24" t="n"/>
      <c r="AN203" s="24" t="n"/>
    </row>
    <row r="204" ht="12.75" customHeight="1">
      <c r="A204" s="15" t="n">
        <v>3254506</v>
      </c>
      <c r="B204" s="15" t="inlineStr">
        <is>
          <t>Flexport</t>
        </is>
      </c>
      <c r="C204" s="15" t="inlineStr">
        <is>
          <t>Colombo, LK</t>
        </is>
      </c>
      <c r="D204" s="15" t="inlineStr">
        <is>
          <t>New York, NY, US</t>
        </is>
      </c>
      <c r="E204" s="15" t="inlineStr">
        <is>
          <t>Mississauga, ON, CA</t>
        </is>
      </c>
      <c r="F204" s="15" t="inlineStr">
        <is>
          <t>OCEAN</t>
        </is>
      </c>
      <c r="G204" s="15" t="inlineStr">
        <is>
          <t>C. 1 x 40HC</t>
        </is>
      </c>
      <c r="H204" s="15" t="inlineStr">
        <is>
          <t>CFS/CY</t>
        </is>
      </c>
      <c r="I204" s="15" t="inlineStr">
        <is>
          <t>ONE</t>
        </is>
      </c>
      <c r="J204" s="15" t="inlineStr">
        <is>
          <t>EC3</t>
        </is>
      </c>
      <c r="K204" s="15" t="inlineStr">
        <is>
          <t>MAS AMITY PTE LTD</t>
        </is>
      </c>
      <c r="L204" s="16" t="inlineStr">
        <is>
          <t>MAS Active (Pvt) Ltd – Sleekline</t>
        </is>
      </c>
      <c r="M204" s="15" t="inlineStr">
        <is>
          <t>N</t>
        </is>
      </c>
      <c r="N204" s="17" t="n">
        <v>452874603824</v>
      </c>
      <c r="O204" s="15" t="n">
        <v>19935997</v>
      </c>
      <c r="P204" s="18" t="inlineStr">
        <is>
          <t>LM9AQWS</t>
        </is>
      </c>
      <c r="Q204" s="18" t="n">
        <v>3</v>
      </c>
      <c r="R204" s="18" t="n">
        <v>0.238</v>
      </c>
      <c r="S204" s="15" t="n">
        <v>28.31</v>
      </c>
      <c r="T204" s="16" t="n">
        <v>45824</v>
      </c>
      <c r="U204" s="19" t="n">
        <v>45883</v>
      </c>
      <c r="V204" s="16" t="n">
        <v>45824</v>
      </c>
      <c r="W204" s="16" t="n">
        <v>45826</v>
      </c>
      <c r="X204" s="57">
        <f>W204-1</f>
        <v/>
      </c>
      <c r="Y204" s="63" t="n">
        <v>45832</v>
      </c>
      <c r="Z204" s="67" t="n">
        <v>45861</v>
      </c>
      <c r="AA204" s="71">
        <f>Z204+13</f>
        <v/>
      </c>
      <c r="AB204" s="20">
        <f>AA204-U204</f>
        <v/>
      </c>
      <c r="AC204" s="20" t="inlineStr">
        <is>
          <t>No</t>
        </is>
      </c>
      <c r="AD204" s="21" t="inlineStr">
        <is>
          <t>1 HBL</t>
        </is>
      </c>
      <c r="AE204" s="21" t="n"/>
      <c r="AF204" s="22" t="inlineStr">
        <is>
          <t>LW</t>
        </is>
      </c>
      <c r="AG204" s="23" t="inlineStr">
        <is>
          <t>NAC</t>
        </is>
      </c>
      <c r="AH204" s="24" t="n"/>
      <c r="AN204" s="24" t="n"/>
    </row>
    <row r="205" ht="12.75" customHeight="1">
      <c r="A205" s="15" t="n">
        <v>3254506</v>
      </c>
      <c r="B205" s="15" t="inlineStr">
        <is>
          <t>Flexport</t>
        </is>
      </c>
      <c r="C205" s="15" t="inlineStr">
        <is>
          <t>Colombo, LK</t>
        </is>
      </c>
      <c r="D205" s="15" t="inlineStr">
        <is>
          <t>New York, NY, US</t>
        </is>
      </c>
      <c r="E205" s="15" t="inlineStr">
        <is>
          <t>Mississauga, ON, CA</t>
        </is>
      </c>
      <c r="F205" s="15" t="inlineStr">
        <is>
          <t>OCEAN</t>
        </is>
      </c>
      <c r="G205" s="15" t="inlineStr">
        <is>
          <t>C. 1 x 40HC</t>
        </is>
      </c>
      <c r="H205" s="15" t="inlineStr">
        <is>
          <t>CFS/CY</t>
        </is>
      </c>
      <c r="I205" s="15" t="inlineStr">
        <is>
          <t>ONE</t>
        </is>
      </c>
      <c r="J205" s="15" t="inlineStr">
        <is>
          <t>EC3</t>
        </is>
      </c>
      <c r="K205" s="15" t="inlineStr">
        <is>
          <t>MAS AMITY PTE LTD</t>
        </is>
      </c>
      <c r="L205" s="16" t="inlineStr">
        <is>
          <t>MAS Active (Pvt) Ltd – Sleekline</t>
        </is>
      </c>
      <c r="M205" s="15" t="inlineStr">
        <is>
          <t>N</t>
        </is>
      </c>
      <c r="N205" s="17" t="n">
        <v>452879674993</v>
      </c>
      <c r="O205" s="15" t="n">
        <v>19936140</v>
      </c>
      <c r="P205" s="18" t="inlineStr">
        <is>
          <t>LM9AYLS</t>
        </is>
      </c>
      <c r="Q205" s="18" t="n">
        <v>1</v>
      </c>
      <c r="R205" s="18" t="n">
        <v>0.079</v>
      </c>
      <c r="S205" s="15" t="n">
        <v>12.16</v>
      </c>
      <c r="T205" s="16" t="n">
        <v>45824</v>
      </c>
      <c r="U205" s="19" t="n">
        <v>45883</v>
      </c>
      <c r="V205" s="16" t="n">
        <v>45824</v>
      </c>
      <c r="W205" s="16" t="n">
        <v>45826</v>
      </c>
      <c r="X205" s="57">
        <f>W205-1</f>
        <v/>
      </c>
      <c r="Y205" s="63" t="n">
        <v>45832</v>
      </c>
      <c r="Z205" s="67" t="n">
        <v>45861</v>
      </c>
      <c r="AA205" s="71">
        <f>Z205+13</f>
        <v/>
      </c>
      <c r="AB205" s="20">
        <f>AA205-U205</f>
        <v/>
      </c>
      <c r="AC205" s="20" t="inlineStr">
        <is>
          <t>No</t>
        </is>
      </c>
      <c r="AD205" s="21" t="inlineStr">
        <is>
          <t>1 HBL</t>
        </is>
      </c>
      <c r="AE205" s="21" t="n"/>
      <c r="AF205" s="22" t="inlineStr">
        <is>
          <t>LW</t>
        </is>
      </c>
      <c r="AG205" s="23" t="inlineStr">
        <is>
          <t>NAC</t>
        </is>
      </c>
      <c r="AH205" s="24" t="n"/>
      <c r="AN205" s="24" t="n"/>
    </row>
    <row r="206" ht="12.75" customHeight="1">
      <c r="A206" s="15" t="n">
        <v>3254506</v>
      </c>
      <c r="B206" s="15" t="inlineStr">
        <is>
          <t>Flexport</t>
        </is>
      </c>
      <c r="C206" s="15" t="inlineStr">
        <is>
          <t>Colombo, LK</t>
        </is>
      </c>
      <c r="D206" s="15" t="inlineStr">
        <is>
          <t>New York, NY, US</t>
        </is>
      </c>
      <c r="E206" s="15" t="inlineStr">
        <is>
          <t>Mississauga, ON, CA</t>
        </is>
      </c>
      <c r="F206" s="15" t="inlineStr">
        <is>
          <t>OCEAN</t>
        </is>
      </c>
      <c r="G206" s="15" t="inlineStr">
        <is>
          <t>C. 1 x 40HC</t>
        </is>
      </c>
      <c r="H206" s="15" t="inlineStr">
        <is>
          <t>CFS/CY</t>
        </is>
      </c>
      <c r="I206" s="15" t="inlineStr">
        <is>
          <t>ONE</t>
        </is>
      </c>
      <c r="J206" s="15" t="inlineStr">
        <is>
          <t>EC3</t>
        </is>
      </c>
      <c r="K206" s="15" t="inlineStr">
        <is>
          <t>MAS AMITY PTE LTD</t>
        </is>
      </c>
      <c r="L206" s="16" t="inlineStr">
        <is>
          <t>MAS Active (Pvt) Ltd – Sleekline</t>
        </is>
      </c>
      <c r="M206" s="15" t="inlineStr">
        <is>
          <t>N</t>
        </is>
      </c>
      <c r="N206" s="17" t="n">
        <v>452880378218</v>
      </c>
      <c r="O206" s="15" t="n">
        <v>19936141</v>
      </c>
      <c r="P206" s="18" t="inlineStr">
        <is>
          <t>LM9AYLS</t>
        </is>
      </c>
      <c r="Q206" s="18" t="n">
        <v>1</v>
      </c>
      <c r="R206" s="18" t="n">
        <v>0.079</v>
      </c>
      <c r="S206" s="15" t="n">
        <v>9.779999999999999</v>
      </c>
      <c r="T206" s="16" t="n">
        <v>45824</v>
      </c>
      <c r="U206" s="19" t="n">
        <v>45883</v>
      </c>
      <c r="V206" s="16" t="n">
        <v>45824</v>
      </c>
      <c r="W206" s="16" t="n">
        <v>45826</v>
      </c>
      <c r="X206" s="57">
        <f>W206-1</f>
        <v/>
      </c>
      <c r="Y206" s="63" t="n">
        <v>45832</v>
      </c>
      <c r="Z206" s="67" t="n">
        <v>45861</v>
      </c>
      <c r="AA206" s="71">
        <f>Z206+13</f>
        <v/>
      </c>
      <c r="AB206" s="20">
        <f>AA206-U206</f>
        <v/>
      </c>
      <c r="AC206" s="20" t="inlineStr">
        <is>
          <t>No</t>
        </is>
      </c>
      <c r="AD206" s="21" t="inlineStr">
        <is>
          <t>1 HBL</t>
        </is>
      </c>
      <c r="AE206" s="21" t="n"/>
      <c r="AF206" s="22" t="inlineStr">
        <is>
          <t>LW</t>
        </is>
      </c>
      <c r="AG206" s="23" t="inlineStr">
        <is>
          <t>NAC</t>
        </is>
      </c>
      <c r="AH206" s="24" t="n"/>
      <c r="AN206" s="24" t="n"/>
    </row>
    <row r="207" ht="12.75" customHeight="1">
      <c r="A207" s="15" t="n">
        <v>3254506</v>
      </c>
      <c r="B207" s="15" t="inlineStr">
        <is>
          <t>Flexport</t>
        </is>
      </c>
      <c r="C207" s="15" t="inlineStr">
        <is>
          <t>Colombo, LK</t>
        </is>
      </c>
      <c r="D207" s="15" t="inlineStr">
        <is>
          <t>New York, NY, US</t>
        </is>
      </c>
      <c r="E207" s="15" t="inlineStr">
        <is>
          <t>Mississauga, ON, CA</t>
        </is>
      </c>
      <c r="F207" s="15" t="inlineStr">
        <is>
          <t>OCEAN</t>
        </is>
      </c>
      <c r="G207" s="15" t="inlineStr">
        <is>
          <t>C. 1 x 40HC</t>
        </is>
      </c>
      <c r="H207" s="15" t="inlineStr">
        <is>
          <t>CFS/CY</t>
        </is>
      </c>
      <c r="I207" s="15" t="inlineStr">
        <is>
          <t>ONE</t>
        </is>
      </c>
      <c r="J207" s="15" t="inlineStr">
        <is>
          <t>EC3</t>
        </is>
      </c>
      <c r="K207" s="15" t="inlineStr">
        <is>
          <t>MAS AMITY PTE LTD</t>
        </is>
      </c>
      <c r="L207" s="16" t="inlineStr">
        <is>
          <t>MAS Active (Pvt) Ltd – Sleekline</t>
        </is>
      </c>
      <c r="M207" s="15" t="inlineStr">
        <is>
          <t>N</t>
        </is>
      </c>
      <c r="N207" s="17" t="n">
        <v>452880990382</v>
      </c>
      <c r="O207" s="15" t="n">
        <v>19938303</v>
      </c>
      <c r="P207" s="18" t="inlineStr">
        <is>
          <t>LM9AMTS</t>
        </is>
      </c>
      <c r="Q207" s="18" t="n">
        <v>9</v>
      </c>
      <c r="R207" s="18" t="n">
        <v>0.634</v>
      </c>
      <c r="S207" s="15" t="n">
        <v>111.25</v>
      </c>
      <c r="T207" s="16" t="n">
        <v>45824</v>
      </c>
      <c r="U207" s="19" t="n">
        <v>45883</v>
      </c>
      <c r="V207" s="16" t="n">
        <v>45824</v>
      </c>
      <c r="W207" s="16" t="n">
        <v>45826</v>
      </c>
      <c r="X207" s="57">
        <f>W207-1</f>
        <v/>
      </c>
      <c r="Y207" s="63" t="n">
        <v>45832</v>
      </c>
      <c r="Z207" s="67" t="n">
        <v>45861</v>
      </c>
      <c r="AA207" s="71">
        <f>Z207+13</f>
        <v/>
      </c>
      <c r="AB207" s="20">
        <f>AA207-U207</f>
        <v/>
      </c>
      <c r="AC207" s="20" t="inlineStr">
        <is>
          <t>No</t>
        </is>
      </c>
      <c r="AD207" s="21" t="inlineStr">
        <is>
          <t>1 HBL</t>
        </is>
      </c>
      <c r="AE207" s="21" t="n"/>
      <c r="AF207" s="22" t="inlineStr">
        <is>
          <t>LW</t>
        </is>
      </c>
      <c r="AG207" s="23" t="inlineStr">
        <is>
          <t>NAC</t>
        </is>
      </c>
      <c r="AH207" s="24" t="n"/>
      <c r="AN207" s="24" t="n"/>
    </row>
    <row r="208" ht="12.75" customHeight="1">
      <c r="A208" s="15" t="n">
        <v>3254506</v>
      </c>
      <c r="B208" s="15" t="inlineStr">
        <is>
          <t>Flexport</t>
        </is>
      </c>
      <c r="C208" s="15" t="inlineStr">
        <is>
          <t>Colombo, LK</t>
        </is>
      </c>
      <c r="D208" s="15" t="inlineStr">
        <is>
          <t>New York, NY, US</t>
        </is>
      </c>
      <c r="E208" s="15" t="inlineStr">
        <is>
          <t>Mississauga, ON, CA</t>
        </is>
      </c>
      <c r="F208" s="15" t="inlineStr">
        <is>
          <t>OCEAN</t>
        </is>
      </c>
      <c r="G208" s="15" t="inlineStr">
        <is>
          <t>C. 1 x 40HC</t>
        </is>
      </c>
      <c r="H208" s="15" t="inlineStr">
        <is>
          <t>CFS/CY</t>
        </is>
      </c>
      <c r="I208" s="15" t="inlineStr">
        <is>
          <t>ONE</t>
        </is>
      </c>
      <c r="J208" s="15" t="inlineStr">
        <is>
          <t>EC3</t>
        </is>
      </c>
      <c r="K208" s="15" t="inlineStr">
        <is>
          <t>MAS AMITY PTE LTD</t>
        </is>
      </c>
      <c r="L208" s="16" t="inlineStr">
        <is>
          <t>MAS Active (Pvt) Ltd – Sleekline</t>
        </is>
      </c>
      <c r="M208" s="15" t="inlineStr">
        <is>
          <t>N</t>
        </is>
      </c>
      <c r="N208" s="17" t="n">
        <v>452883062691</v>
      </c>
      <c r="O208" s="15" t="n">
        <v>19940639</v>
      </c>
      <c r="P208" s="18" t="inlineStr">
        <is>
          <t>LM9AN6S</t>
        </is>
      </c>
      <c r="Q208" s="18" t="n">
        <v>1</v>
      </c>
      <c r="R208" s="18" t="n">
        <v>0.079</v>
      </c>
      <c r="S208" s="15" t="n">
        <v>13.29</v>
      </c>
      <c r="T208" s="16" t="n">
        <v>45824</v>
      </c>
      <c r="U208" s="19" t="n">
        <v>45883</v>
      </c>
      <c r="V208" s="16" t="n">
        <v>45824</v>
      </c>
      <c r="W208" s="16" t="n">
        <v>45826</v>
      </c>
      <c r="X208" s="57">
        <f>W208-1</f>
        <v/>
      </c>
      <c r="Y208" s="63" t="n">
        <v>45832</v>
      </c>
      <c r="Z208" s="67" t="n">
        <v>45861</v>
      </c>
      <c r="AA208" s="71">
        <f>Z208+13</f>
        <v/>
      </c>
      <c r="AB208" s="20">
        <f>AA208-U208</f>
        <v/>
      </c>
      <c r="AC208" s="20" t="inlineStr">
        <is>
          <t>No</t>
        </is>
      </c>
      <c r="AD208" s="21" t="inlineStr">
        <is>
          <t>1 HBL</t>
        </is>
      </c>
      <c r="AE208" s="21" t="n"/>
      <c r="AF208" s="22" t="inlineStr">
        <is>
          <t>LW</t>
        </is>
      </c>
      <c r="AG208" s="23" t="inlineStr">
        <is>
          <t>NAC</t>
        </is>
      </c>
      <c r="AH208" s="24" t="n"/>
      <c r="AN208" s="24" t="n"/>
    </row>
    <row r="209" ht="12.75" customHeight="1">
      <c r="A209" s="15" t="n">
        <v>3254506</v>
      </c>
      <c r="B209" s="15" t="inlineStr">
        <is>
          <t>Flexport</t>
        </is>
      </c>
      <c r="C209" s="15" t="inlineStr">
        <is>
          <t>Colombo, LK</t>
        </is>
      </c>
      <c r="D209" s="15" t="inlineStr">
        <is>
          <t>New York, NY, US</t>
        </is>
      </c>
      <c r="E209" s="15" t="inlineStr">
        <is>
          <t>Mississauga, ON, CA</t>
        </is>
      </c>
      <c r="F209" s="15" t="inlineStr">
        <is>
          <t>OCEAN</t>
        </is>
      </c>
      <c r="G209" s="15" t="inlineStr">
        <is>
          <t>C. 1 x 40HC</t>
        </is>
      </c>
      <c r="H209" s="15" t="inlineStr">
        <is>
          <t>CFS/CY</t>
        </is>
      </c>
      <c r="I209" s="15" t="inlineStr">
        <is>
          <t>ONE</t>
        </is>
      </c>
      <c r="J209" s="15" t="inlineStr">
        <is>
          <t>EC3</t>
        </is>
      </c>
      <c r="K209" s="15" t="inlineStr">
        <is>
          <t>MAS AMITY PTE LTD</t>
        </is>
      </c>
      <c r="L209" s="16" t="inlineStr">
        <is>
          <t>MAS Active (Pvt) Ltd – Sleekline</t>
        </is>
      </c>
      <c r="M209" s="15" t="inlineStr">
        <is>
          <t>N</t>
        </is>
      </c>
      <c r="N209" s="17" t="n">
        <v>452883659582</v>
      </c>
      <c r="O209" s="15" t="n">
        <v>19940638</v>
      </c>
      <c r="P209" s="18" t="inlineStr">
        <is>
          <t>LM9AN6S</t>
        </is>
      </c>
      <c r="Q209" s="18" t="n">
        <v>2</v>
      </c>
      <c r="R209" s="18" t="n">
        <v>0.119</v>
      </c>
      <c r="S209" s="15" t="n">
        <v>17.835</v>
      </c>
      <c r="T209" s="16" t="n">
        <v>45824</v>
      </c>
      <c r="U209" s="19" t="n">
        <v>45883</v>
      </c>
      <c r="V209" s="16" t="n">
        <v>45824</v>
      </c>
      <c r="W209" s="16" t="n">
        <v>45826</v>
      </c>
      <c r="X209" s="57">
        <f>W209-1</f>
        <v/>
      </c>
      <c r="Y209" s="63" t="n">
        <v>45832</v>
      </c>
      <c r="Z209" s="67" t="n">
        <v>45861</v>
      </c>
      <c r="AA209" s="71">
        <f>Z209+13</f>
        <v/>
      </c>
      <c r="AB209" s="20">
        <f>AA209-U209</f>
        <v/>
      </c>
      <c r="AC209" s="20" t="inlineStr">
        <is>
          <t>No</t>
        </is>
      </c>
      <c r="AD209" s="21" t="inlineStr">
        <is>
          <t>1 HBL</t>
        </is>
      </c>
      <c r="AE209" s="21" t="n"/>
      <c r="AF209" s="22" t="inlineStr">
        <is>
          <t>LW</t>
        </is>
      </c>
      <c r="AG209" s="23" t="inlineStr">
        <is>
          <t>NAC</t>
        </is>
      </c>
      <c r="AH209" s="24" t="n"/>
      <c r="AN209" s="24" t="n"/>
    </row>
    <row r="210" ht="12.75" customHeight="1">
      <c r="A210" s="15" t="n">
        <v>3254506</v>
      </c>
      <c r="B210" s="15" t="inlineStr">
        <is>
          <t>Flexport</t>
        </is>
      </c>
      <c r="C210" s="15" t="inlineStr">
        <is>
          <t>Colombo, LK</t>
        </is>
      </c>
      <c r="D210" s="15" t="inlineStr">
        <is>
          <t>New York, NY, US</t>
        </is>
      </c>
      <c r="E210" s="15" t="inlineStr">
        <is>
          <t>Mississauga, ON, CA</t>
        </is>
      </c>
      <c r="F210" s="15" t="inlineStr">
        <is>
          <t>OCEAN</t>
        </is>
      </c>
      <c r="G210" s="15" t="inlineStr">
        <is>
          <t>C. 1 x 40HC</t>
        </is>
      </c>
      <c r="H210" s="15" t="inlineStr">
        <is>
          <t>CFS/CY</t>
        </is>
      </c>
      <c r="I210" s="15" t="inlineStr">
        <is>
          <t>ONE</t>
        </is>
      </c>
      <c r="J210" s="15" t="inlineStr">
        <is>
          <t>EC3</t>
        </is>
      </c>
      <c r="K210" s="15" t="inlineStr">
        <is>
          <t>MAS AMITY PTE LTD</t>
        </is>
      </c>
      <c r="L210" s="16" t="inlineStr">
        <is>
          <t>MAS Active (Pvt) Ltd – Sleekline</t>
        </is>
      </c>
      <c r="M210" s="15" t="inlineStr">
        <is>
          <t>N</t>
        </is>
      </c>
      <c r="N210" s="17" t="n">
        <v>452884014566</v>
      </c>
      <c r="O210" s="15" t="n">
        <v>19940694</v>
      </c>
      <c r="P210" s="18" t="inlineStr">
        <is>
          <t>LM9AY9S</t>
        </is>
      </c>
      <c r="Q210" s="18" t="n">
        <v>5</v>
      </c>
      <c r="R210" s="18" t="n">
        <v>0.357</v>
      </c>
      <c r="S210" s="15" t="n">
        <v>59.09</v>
      </c>
      <c r="T210" s="16" t="n">
        <v>45824</v>
      </c>
      <c r="U210" s="19" t="n">
        <v>45883</v>
      </c>
      <c r="V210" s="16" t="n">
        <v>45824</v>
      </c>
      <c r="W210" s="16" t="n">
        <v>45826</v>
      </c>
      <c r="X210" s="57">
        <f>W210-1</f>
        <v/>
      </c>
      <c r="Y210" s="63" t="n">
        <v>45832</v>
      </c>
      <c r="Z210" s="67" t="n">
        <v>45861</v>
      </c>
      <c r="AA210" s="71">
        <f>Z210+13</f>
        <v/>
      </c>
      <c r="AB210" s="20">
        <f>AA210-U210</f>
        <v/>
      </c>
      <c r="AC210" s="20" t="inlineStr">
        <is>
          <t>No</t>
        </is>
      </c>
      <c r="AD210" s="21" t="inlineStr">
        <is>
          <t>1 HBL</t>
        </is>
      </c>
      <c r="AE210" s="21" t="n"/>
      <c r="AF210" s="22" t="inlineStr">
        <is>
          <t>LW</t>
        </is>
      </c>
      <c r="AG210" s="23" t="inlineStr">
        <is>
          <t>NAC</t>
        </is>
      </c>
      <c r="AH210" s="24" t="n"/>
      <c r="AN210" s="24" t="n"/>
    </row>
    <row r="211" ht="12.75" customHeight="1">
      <c r="A211" s="15" t="n">
        <v>3254506</v>
      </c>
      <c r="B211" s="15" t="inlineStr">
        <is>
          <t>Flexport</t>
        </is>
      </c>
      <c r="C211" s="15" t="inlineStr">
        <is>
          <t>Colombo, LK</t>
        </is>
      </c>
      <c r="D211" s="15" t="inlineStr">
        <is>
          <t>New York, NY, US</t>
        </is>
      </c>
      <c r="E211" s="15" t="inlineStr">
        <is>
          <t>Mississauga, ON, CA</t>
        </is>
      </c>
      <c r="F211" s="15" t="inlineStr">
        <is>
          <t>OCEAN</t>
        </is>
      </c>
      <c r="G211" s="15" t="inlineStr">
        <is>
          <t>C. 1 x 40HC</t>
        </is>
      </c>
      <c r="H211" s="15" t="inlineStr">
        <is>
          <t>CFS/CY</t>
        </is>
      </c>
      <c r="I211" s="15" t="inlineStr">
        <is>
          <t>ONE</t>
        </is>
      </c>
      <c r="J211" s="15" t="inlineStr">
        <is>
          <t>EC3</t>
        </is>
      </c>
      <c r="K211" s="15" t="inlineStr">
        <is>
          <t>MAS AMITY PTE LTD</t>
        </is>
      </c>
      <c r="L211" s="16" t="inlineStr">
        <is>
          <t>MAS Active (Pvt) Ltd – Sleekline</t>
        </is>
      </c>
      <c r="M211" s="15" t="inlineStr">
        <is>
          <t>N</t>
        </is>
      </c>
      <c r="N211" s="17" t="n">
        <v>452885455014</v>
      </c>
      <c r="O211" s="15" t="n">
        <v>19940754</v>
      </c>
      <c r="P211" s="18" t="inlineStr">
        <is>
          <t>LM9AYLS</t>
        </is>
      </c>
      <c r="Q211" s="18" t="n">
        <v>1</v>
      </c>
      <c r="R211" s="18" t="n">
        <v>0.079</v>
      </c>
      <c r="S211" s="15" t="n">
        <v>11.917</v>
      </c>
      <c r="T211" s="16" t="n">
        <v>45824</v>
      </c>
      <c r="U211" s="19" t="n">
        <v>45883</v>
      </c>
      <c r="V211" s="16" t="n">
        <v>45824</v>
      </c>
      <c r="W211" s="16" t="n">
        <v>45826</v>
      </c>
      <c r="X211" s="57">
        <f>W211-1</f>
        <v/>
      </c>
      <c r="Y211" s="63" t="n">
        <v>45832</v>
      </c>
      <c r="Z211" s="67" t="n">
        <v>45861</v>
      </c>
      <c r="AA211" s="71">
        <f>Z211+13</f>
        <v/>
      </c>
      <c r="AB211" s="20">
        <f>AA211-U211</f>
        <v/>
      </c>
      <c r="AC211" s="20" t="inlineStr">
        <is>
          <t>No</t>
        </is>
      </c>
      <c r="AD211" s="21" t="inlineStr">
        <is>
          <t>1 HBL</t>
        </is>
      </c>
      <c r="AE211" s="21" t="n"/>
      <c r="AF211" s="22" t="inlineStr">
        <is>
          <t>LW</t>
        </is>
      </c>
      <c r="AG211" s="23" t="inlineStr">
        <is>
          <t>NAC</t>
        </is>
      </c>
      <c r="AH211" s="24" t="n"/>
      <c r="AN211" s="24" t="n"/>
    </row>
    <row r="212" ht="12.75" customHeight="1">
      <c r="A212" s="15" t="n">
        <v>3254506</v>
      </c>
      <c r="B212" s="15" t="inlineStr">
        <is>
          <t>Flexport</t>
        </is>
      </c>
      <c r="C212" s="15" t="inlineStr">
        <is>
          <t>Colombo, LK</t>
        </is>
      </c>
      <c r="D212" s="15" t="inlineStr">
        <is>
          <t>New York, NY, US</t>
        </is>
      </c>
      <c r="E212" s="15" t="inlineStr">
        <is>
          <t>Mississauga, ON, CA</t>
        </is>
      </c>
      <c r="F212" s="15" t="inlineStr">
        <is>
          <t>OCEAN</t>
        </is>
      </c>
      <c r="G212" s="15" t="inlineStr">
        <is>
          <t>C. 1 x 40HC</t>
        </is>
      </c>
      <c r="H212" s="15" t="inlineStr">
        <is>
          <t>CFS/CY</t>
        </is>
      </c>
      <c r="I212" s="15" t="inlineStr">
        <is>
          <t>ONE</t>
        </is>
      </c>
      <c r="J212" s="15" t="inlineStr">
        <is>
          <t>EC3</t>
        </is>
      </c>
      <c r="K212" s="15" t="inlineStr">
        <is>
          <t>MAS AMITY PTE LTD</t>
        </is>
      </c>
      <c r="L212" s="16" t="inlineStr">
        <is>
          <t>MAS Active (Pvt) Ltd – Sleekline</t>
        </is>
      </c>
      <c r="M212" s="15" t="inlineStr">
        <is>
          <t>N</t>
        </is>
      </c>
      <c r="N212" s="17" t="n">
        <v>452886840225</v>
      </c>
      <c r="O212" s="15" t="n">
        <v>19940778</v>
      </c>
      <c r="P212" s="18" t="inlineStr">
        <is>
          <t>LM9AZ0S</t>
        </is>
      </c>
      <c r="Q212" s="18" t="n">
        <v>1</v>
      </c>
      <c r="R212" s="18" t="n">
        <v>0.079</v>
      </c>
      <c r="S212" s="15" t="n">
        <v>10.53</v>
      </c>
      <c r="T212" s="16" t="n">
        <v>45824</v>
      </c>
      <c r="U212" s="19" t="n">
        <v>45883</v>
      </c>
      <c r="V212" s="16" t="n">
        <v>45824</v>
      </c>
      <c r="W212" s="16" t="n">
        <v>45826</v>
      </c>
      <c r="X212" s="57">
        <f>W212-1</f>
        <v/>
      </c>
      <c r="Y212" s="63" t="n">
        <v>45832</v>
      </c>
      <c r="Z212" s="67" t="n">
        <v>45861</v>
      </c>
      <c r="AA212" s="71">
        <f>Z212+13</f>
        <v/>
      </c>
      <c r="AB212" s="20">
        <f>AA212-U212</f>
        <v/>
      </c>
      <c r="AC212" s="20" t="inlineStr">
        <is>
          <t>No</t>
        </is>
      </c>
      <c r="AD212" s="21" t="inlineStr">
        <is>
          <t>1 HBL</t>
        </is>
      </c>
      <c r="AE212" s="21" t="n"/>
      <c r="AF212" s="22" t="inlineStr">
        <is>
          <t>LW</t>
        </is>
      </c>
      <c r="AG212" s="23" t="inlineStr">
        <is>
          <t>NAC</t>
        </is>
      </c>
      <c r="AH212" s="24" t="n"/>
      <c r="AN212" s="24" t="n"/>
    </row>
    <row r="213" ht="12.75" customHeight="1">
      <c r="A213" s="15" t="n">
        <v>3254506</v>
      </c>
      <c r="B213" s="15" t="inlineStr">
        <is>
          <t>Flexport</t>
        </is>
      </c>
      <c r="C213" s="15" t="inlineStr">
        <is>
          <t>Colombo, LK</t>
        </is>
      </c>
      <c r="D213" s="15" t="inlineStr">
        <is>
          <t>New York, NY, US</t>
        </is>
      </c>
      <c r="E213" s="15" t="inlineStr">
        <is>
          <t>Mississauga, ON, CA</t>
        </is>
      </c>
      <c r="F213" s="15" t="inlineStr">
        <is>
          <t>OCEAN</t>
        </is>
      </c>
      <c r="G213" s="15" t="inlineStr">
        <is>
          <t>C. 1 x 40HC</t>
        </is>
      </c>
      <c r="H213" s="15" t="inlineStr">
        <is>
          <t>CFS/CY</t>
        </is>
      </c>
      <c r="I213" s="15" t="inlineStr">
        <is>
          <t>ONE</t>
        </is>
      </c>
      <c r="J213" s="15" t="inlineStr">
        <is>
          <t>EC3</t>
        </is>
      </c>
      <c r="K213" s="15" t="inlineStr">
        <is>
          <t>MAS AMITY PTE LTD</t>
        </is>
      </c>
      <c r="L213" s="16" t="inlineStr">
        <is>
          <t>MAS Active (Pvt) Ltd – Sleekline</t>
        </is>
      </c>
      <c r="M213" s="15" t="inlineStr">
        <is>
          <t>N</t>
        </is>
      </c>
      <c r="N213" s="17" t="n">
        <v>452887033412</v>
      </c>
      <c r="O213" s="15" t="n">
        <v>19940655</v>
      </c>
      <c r="P213" s="18" t="inlineStr">
        <is>
          <t>LM9AN8S</t>
        </is>
      </c>
      <c r="Q213" s="18" t="n">
        <v>3</v>
      </c>
      <c r="R213" s="18" t="n">
        <v>0.238</v>
      </c>
      <c r="S213" s="15" t="n">
        <v>33.41</v>
      </c>
      <c r="T213" s="16" t="n">
        <v>45824</v>
      </c>
      <c r="U213" s="19" t="n">
        <v>45883</v>
      </c>
      <c r="V213" s="16" t="n">
        <v>45824</v>
      </c>
      <c r="W213" s="16" t="n">
        <v>45826</v>
      </c>
      <c r="X213" s="57">
        <f>W213-1</f>
        <v/>
      </c>
      <c r="Y213" s="63" t="n">
        <v>45832</v>
      </c>
      <c r="Z213" s="67" t="n">
        <v>45861</v>
      </c>
      <c r="AA213" s="71">
        <f>Z213+13</f>
        <v/>
      </c>
      <c r="AB213" s="20">
        <f>AA213-U213</f>
        <v/>
      </c>
      <c r="AC213" s="20" t="inlineStr">
        <is>
          <t>No</t>
        </is>
      </c>
      <c r="AD213" s="21" t="inlineStr">
        <is>
          <t>1 HBL</t>
        </is>
      </c>
      <c r="AE213" s="21" t="n"/>
      <c r="AF213" s="22" t="inlineStr">
        <is>
          <t>LW</t>
        </is>
      </c>
      <c r="AG213" s="23" t="inlineStr">
        <is>
          <t>NAC</t>
        </is>
      </c>
      <c r="AH213" s="24" t="n"/>
      <c r="AN213" s="24" t="n"/>
    </row>
    <row r="214" ht="12.75" customHeight="1">
      <c r="A214" s="15" t="n">
        <v>3254506</v>
      </c>
      <c r="B214" s="15" t="inlineStr">
        <is>
          <t>Flexport</t>
        </is>
      </c>
      <c r="C214" s="15" t="inlineStr">
        <is>
          <t>Colombo, LK</t>
        </is>
      </c>
      <c r="D214" s="15" t="inlineStr">
        <is>
          <t>New York, NY, US</t>
        </is>
      </c>
      <c r="E214" s="15" t="inlineStr">
        <is>
          <t>Mississauga, ON, CA</t>
        </is>
      </c>
      <c r="F214" s="15" t="inlineStr">
        <is>
          <t>OCEAN</t>
        </is>
      </c>
      <c r="G214" s="15" t="inlineStr">
        <is>
          <t>C. 1 x 40HC</t>
        </is>
      </c>
      <c r="H214" s="15" t="inlineStr">
        <is>
          <t>CFS/CY</t>
        </is>
      </c>
      <c r="I214" s="15" t="inlineStr">
        <is>
          <t>ONE</t>
        </is>
      </c>
      <c r="J214" s="15" t="inlineStr">
        <is>
          <t>EC3</t>
        </is>
      </c>
      <c r="K214" s="15" t="inlineStr">
        <is>
          <t>MAS AMITY PTE LTD</t>
        </is>
      </c>
      <c r="L214" s="16" t="inlineStr">
        <is>
          <t>MAS Active (Pvt) Ltd – Sleekline</t>
        </is>
      </c>
      <c r="M214" s="15" t="inlineStr">
        <is>
          <t>N</t>
        </is>
      </c>
      <c r="N214" s="17" t="n">
        <v>452887538870</v>
      </c>
      <c r="O214" s="15" t="n">
        <v>19940706</v>
      </c>
      <c r="P214" s="18" t="inlineStr">
        <is>
          <t>LM9AYES</t>
        </is>
      </c>
      <c r="Q214" s="18" t="n">
        <v>10</v>
      </c>
      <c r="R214" s="18" t="n">
        <v>0.793</v>
      </c>
      <c r="S214" s="15" t="n">
        <v>121.12</v>
      </c>
      <c r="T214" s="16" t="n">
        <v>45824</v>
      </c>
      <c r="U214" s="19" t="n">
        <v>45883</v>
      </c>
      <c r="V214" s="16" t="n">
        <v>45824</v>
      </c>
      <c r="W214" s="16" t="n">
        <v>45826</v>
      </c>
      <c r="X214" s="57">
        <f>W214-1</f>
        <v/>
      </c>
      <c r="Y214" s="63" t="n">
        <v>45832</v>
      </c>
      <c r="Z214" s="67" t="n">
        <v>45861</v>
      </c>
      <c r="AA214" s="71">
        <f>Z214+13</f>
        <v/>
      </c>
      <c r="AB214" s="20">
        <f>AA214-U214</f>
        <v/>
      </c>
      <c r="AC214" s="20" t="inlineStr">
        <is>
          <t>No</t>
        </is>
      </c>
      <c r="AD214" s="21" t="inlineStr">
        <is>
          <t>1 HBL</t>
        </is>
      </c>
      <c r="AE214" s="21" t="n"/>
      <c r="AF214" s="22" t="inlineStr">
        <is>
          <t>LW</t>
        </is>
      </c>
      <c r="AG214" s="23" t="inlineStr">
        <is>
          <t>NAC</t>
        </is>
      </c>
      <c r="AH214" s="24" t="n"/>
      <c r="AN214" s="24" t="n"/>
    </row>
    <row r="215" ht="12.75" customHeight="1">
      <c r="A215" s="15" t="n">
        <v>3254506</v>
      </c>
      <c r="B215" s="15" t="inlineStr">
        <is>
          <t>Flexport</t>
        </is>
      </c>
      <c r="C215" s="15" t="inlineStr">
        <is>
          <t>Colombo, LK</t>
        </is>
      </c>
      <c r="D215" s="15" t="inlineStr">
        <is>
          <t>New York, NY, US</t>
        </is>
      </c>
      <c r="E215" s="15" t="inlineStr">
        <is>
          <t>Mississauga, ON, CA</t>
        </is>
      </c>
      <c r="F215" s="15" t="inlineStr">
        <is>
          <t>OCEAN</t>
        </is>
      </c>
      <c r="G215" s="15" t="inlineStr">
        <is>
          <t>C. 1 x 40HC</t>
        </is>
      </c>
      <c r="H215" s="15" t="inlineStr">
        <is>
          <t>CFS/CY</t>
        </is>
      </c>
      <c r="I215" s="15" t="inlineStr">
        <is>
          <t>ONE</t>
        </is>
      </c>
      <c r="J215" s="15" t="inlineStr">
        <is>
          <t>EC3</t>
        </is>
      </c>
      <c r="K215" s="15" t="inlineStr">
        <is>
          <t>MAS AMITY PTE LTD</t>
        </is>
      </c>
      <c r="L215" s="16" t="inlineStr">
        <is>
          <t>MAS Active (Pvt) Ltd – Sleekline</t>
        </is>
      </c>
      <c r="M215" s="15" t="inlineStr">
        <is>
          <t>N</t>
        </is>
      </c>
      <c r="N215" s="17" t="n">
        <v>452888470781</v>
      </c>
      <c r="O215" s="15" t="n">
        <v>19940734</v>
      </c>
      <c r="P215" s="18" t="inlineStr">
        <is>
          <t>LM9AYLS</t>
        </is>
      </c>
      <c r="Q215" s="18" t="n">
        <v>1</v>
      </c>
      <c r="R215" s="18" t="n">
        <v>0.079</v>
      </c>
      <c r="S215" s="15" t="n">
        <v>10.14</v>
      </c>
      <c r="T215" s="16" t="n">
        <v>45824</v>
      </c>
      <c r="U215" s="19" t="n">
        <v>45883</v>
      </c>
      <c r="V215" s="16" t="n">
        <v>45824</v>
      </c>
      <c r="W215" s="16" t="n">
        <v>45826</v>
      </c>
      <c r="X215" s="57">
        <f>W215-1</f>
        <v/>
      </c>
      <c r="Y215" s="63" t="n">
        <v>45832</v>
      </c>
      <c r="Z215" s="67" t="n">
        <v>45861</v>
      </c>
      <c r="AA215" s="71">
        <f>Z215+13</f>
        <v/>
      </c>
      <c r="AB215" s="20">
        <f>AA215-U215</f>
        <v/>
      </c>
      <c r="AC215" s="20" t="inlineStr">
        <is>
          <t>No</t>
        </is>
      </c>
      <c r="AD215" s="21" t="inlineStr">
        <is>
          <t>1 HBL</t>
        </is>
      </c>
      <c r="AE215" s="21" t="n"/>
      <c r="AF215" s="22" t="inlineStr">
        <is>
          <t>LW</t>
        </is>
      </c>
      <c r="AG215" s="23" t="inlineStr">
        <is>
          <t>NAC</t>
        </is>
      </c>
      <c r="AH215" s="24" t="n"/>
      <c r="AN215" s="24" t="n"/>
    </row>
    <row r="216" ht="12.75" customHeight="1">
      <c r="A216" s="15" t="n">
        <v>3254506</v>
      </c>
      <c r="B216" s="15" t="inlineStr">
        <is>
          <t>Flexport</t>
        </is>
      </c>
      <c r="C216" s="15" t="inlineStr">
        <is>
          <t>Colombo, LK</t>
        </is>
      </c>
      <c r="D216" s="15" t="inlineStr">
        <is>
          <t>New York, NY, US</t>
        </is>
      </c>
      <c r="E216" s="15" t="inlineStr">
        <is>
          <t>Mississauga, ON, CA</t>
        </is>
      </c>
      <c r="F216" s="15" t="inlineStr">
        <is>
          <t>OCEAN</t>
        </is>
      </c>
      <c r="G216" s="15" t="inlineStr">
        <is>
          <t>C. 1 x 40HC</t>
        </is>
      </c>
      <c r="H216" s="15" t="inlineStr">
        <is>
          <t>CFS/CY</t>
        </is>
      </c>
      <c r="I216" s="15" t="inlineStr">
        <is>
          <t>ONE</t>
        </is>
      </c>
      <c r="J216" s="15" t="inlineStr">
        <is>
          <t>EC3</t>
        </is>
      </c>
      <c r="K216" s="15" t="inlineStr">
        <is>
          <t>MAS AMITY PTE LTD</t>
        </is>
      </c>
      <c r="L216" s="16" t="inlineStr">
        <is>
          <t>MAS Active (Pvt) Ltd – Sleekline</t>
        </is>
      </c>
      <c r="M216" s="15" t="inlineStr">
        <is>
          <t>N</t>
        </is>
      </c>
      <c r="N216" s="17" t="n">
        <v>452890794023</v>
      </c>
      <c r="O216" s="15" t="n">
        <v>19940777</v>
      </c>
      <c r="P216" s="18" t="inlineStr">
        <is>
          <t>LM9AZ0S</t>
        </is>
      </c>
      <c r="Q216" s="18" t="n">
        <v>1</v>
      </c>
      <c r="R216" s="18" t="n">
        <v>0.079</v>
      </c>
      <c r="S216" s="15" t="n">
        <v>12.99</v>
      </c>
      <c r="T216" s="16" t="n">
        <v>45824</v>
      </c>
      <c r="U216" s="19" t="n">
        <v>45883</v>
      </c>
      <c r="V216" s="16" t="n">
        <v>45824</v>
      </c>
      <c r="W216" s="16" t="n">
        <v>45826</v>
      </c>
      <c r="X216" s="57">
        <f>W216-1</f>
        <v/>
      </c>
      <c r="Y216" s="63" t="n">
        <v>45832</v>
      </c>
      <c r="Z216" s="67" t="n">
        <v>45861</v>
      </c>
      <c r="AA216" s="71">
        <f>Z216+13</f>
        <v/>
      </c>
      <c r="AB216" s="20">
        <f>AA216-U216</f>
        <v/>
      </c>
      <c r="AC216" s="20" t="inlineStr">
        <is>
          <t>No</t>
        </is>
      </c>
      <c r="AD216" s="21" t="inlineStr">
        <is>
          <t>1 HBL</t>
        </is>
      </c>
      <c r="AE216" s="21" t="n"/>
      <c r="AF216" s="22" t="inlineStr">
        <is>
          <t>LW</t>
        </is>
      </c>
      <c r="AG216" s="23" t="inlineStr">
        <is>
          <t>NAC</t>
        </is>
      </c>
      <c r="AH216" s="24" t="n"/>
      <c r="AN216" s="24" t="n"/>
    </row>
    <row r="217" ht="12.75" customHeight="1">
      <c r="A217" s="15" t="n">
        <v>3254506</v>
      </c>
      <c r="B217" s="15" t="inlineStr">
        <is>
          <t>Flexport</t>
        </is>
      </c>
      <c r="C217" s="15" t="inlineStr">
        <is>
          <t>Colombo, LK</t>
        </is>
      </c>
      <c r="D217" s="15" t="inlineStr">
        <is>
          <t>New York, NY, US</t>
        </is>
      </c>
      <c r="E217" s="15" t="inlineStr">
        <is>
          <t>Mississauga, ON, CA</t>
        </is>
      </c>
      <c r="F217" s="15" t="inlineStr">
        <is>
          <t>OCEAN</t>
        </is>
      </c>
      <c r="G217" s="15" t="inlineStr">
        <is>
          <t>C. 1 x 40HC</t>
        </is>
      </c>
      <c r="H217" s="15" t="inlineStr">
        <is>
          <t>CFS/CY</t>
        </is>
      </c>
      <c r="I217" s="15" t="inlineStr">
        <is>
          <t>ONE</t>
        </is>
      </c>
      <c r="J217" s="15" t="inlineStr">
        <is>
          <t>EC3</t>
        </is>
      </c>
      <c r="K217" s="15" t="inlineStr">
        <is>
          <t>MAS AMITY PTE LTD</t>
        </is>
      </c>
      <c r="L217" s="16" t="inlineStr">
        <is>
          <t>MAS Active(Pvt) Ltd – CONTOURLINE</t>
        </is>
      </c>
      <c r="M217" s="15" t="inlineStr">
        <is>
          <t>N</t>
        </is>
      </c>
      <c r="N217" s="17" t="n">
        <v>452892261132</v>
      </c>
      <c r="O217" s="15" t="n">
        <v>19890779</v>
      </c>
      <c r="P217" s="18" t="inlineStr">
        <is>
          <t>LW7CPPS</t>
        </is>
      </c>
      <c r="Q217" s="18" t="n">
        <v>1</v>
      </c>
      <c r="R217" s="18" t="n">
        <v>0.079</v>
      </c>
      <c r="S217" s="15" t="n">
        <v>12.695</v>
      </c>
      <c r="T217" s="16" t="n">
        <v>45824</v>
      </c>
      <c r="U217" s="19" t="n">
        <v>45883</v>
      </c>
      <c r="V217" s="16" t="n">
        <v>45824</v>
      </c>
      <c r="W217" s="16" t="n">
        <v>45826</v>
      </c>
      <c r="X217" s="57">
        <f>W217-1</f>
        <v/>
      </c>
      <c r="Y217" s="63" t="n">
        <v>45832</v>
      </c>
      <c r="Z217" s="67" t="n">
        <v>45861</v>
      </c>
      <c r="AA217" s="71">
        <f>Z217+13</f>
        <v/>
      </c>
      <c r="AB217" s="20">
        <f>AA217-U217</f>
        <v/>
      </c>
      <c r="AC217" s="20" t="inlineStr">
        <is>
          <t>No</t>
        </is>
      </c>
      <c r="AD217" s="21" t="inlineStr">
        <is>
          <t>1 HBL</t>
        </is>
      </c>
      <c r="AE217" s="21" t="n"/>
      <c r="AF217" s="22" t="inlineStr">
        <is>
          <t>LW</t>
        </is>
      </c>
      <c r="AG217" s="23" t="inlineStr">
        <is>
          <t>NAC</t>
        </is>
      </c>
      <c r="AH217" s="24" t="n"/>
      <c r="AN217" s="24" t="n"/>
    </row>
    <row r="218" ht="12.75" customHeight="1">
      <c r="A218" s="15" t="n">
        <v>3254506</v>
      </c>
      <c r="B218" s="15" t="inlineStr">
        <is>
          <t>Flexport</t>
        </is>
      </c>
      <c r="C218" s="15" t="inlineStr">
        <is>
          <t>Colombo, LK</t>
        </is>
      </c>
      <c r="D218" s="15" t="inlineStr">
        <is>
          <t>New York, NY, US</t>
        </is>
      </c>
      <c r="E218" s="15" t="inlineStr">
        <is>
          <t>Mississauga, ON, CA</t>
        </is>
      </c>
      <c r="F218" s="15" t="inlineStr">
        <is>
          <t>OCEAN</t>
        </is>
      </c>
      <c r="G218" s="15" t="inlineStr">
        <is>
          <t>C. 1 x 40HC</t>
        </is>
      </c>
      <c r="H218" s="15" t="inlineStr">
        <is>
          <t>CFS/CY</t>
        </is>
      </c>
      <c r="I218" s="15" t="inlineStr">
        <is>
          <t>ONE</t>
        </is>
      </c>
      <c r="J218" s="15" t="inlineStr">
        <is>
          <t>EC3</t>
        </is>
      </c>
      <c r="K218" s="15" t="inlineStr">
        <is>
          <t>MAS AMITY PTE LTD</t>
        </is>
      </c>
      <c r="L218" s="16" t="inlineStr">
        <is>
          <t>MAS Active(Pvt) Ltd – CONTOURLINE</t>
        </is>
      </c>
      <c r="M218" s="15" t="inlineStr">
        <is>
          <t>N</t>
        </is>
      </c>
      <c r="N218" s="17" t="n">
        <v>452893010230</v>
      </c>
      <c r="O218" s="15" t="n">
        <v>19890515</v>
      </c>
      <c r="P218" s="18" t="inlineStr">
        <is>
          <t>LW7CNIS</t>
        </is>
      </c>
      <c r="Q218" s="18" t="n">
        <v>4</v>
      </c>
      <c r="R218" s="18" t="n">
        <v>0.316</v>
      </c>
      <c r="S218" s="15" t="n">
        <v>48.994</v>
      </c>
      <c r="T218" s="16" t="n">
        <v>45824</v>
      </c>
      <c r="U218" s="19" t="n">
        <v>45883</v>
      </c>
      <c r="V218" s="16" t="n">
        <v>45824</v>
      </c>
      <c r="W218" s="16" t="n">
        <v>45826</v>
      </c>
      <c r="X218" s="57">
        <f>W218-1</f>
        <v/>
      </c>
      <c r="Y218" s="63" t="n">
        <v>45832</v>
      </c>
      <c r="Z218" s="67" t="n">
        <v>45861</v>
      </c>
      <c r="AA218" s="71">
        <f>Z218+13</f>
        <v/>
      </c>
      <c r="AB218" s="20">
        <f>AA218-U218</f>
        <v/>
      </c>
      <c r="AC218" s="20" t="inlineStr">
        <is>
          <t>No</t>
        </is>
      </c>
      <c r="AD218" s="21" t="inlineStr">
        <is>
          <t>1 HBL</t>
        </is>
      </c>
      <c r="AE218" s="21" t="n"/>
      <c r="AF218" s="22" t="inlineStr">
        <is>
          <t>LW</t>
        </is>
      </c>
      <c r="AG218" s="23" t="inlineStr">
        <is>
          <t>NAC</t>
        </is>
      </c>
      <c r="AH218" s="24" t="n"/>
      <c r="AN218" s="24" t="n"/>
    </row>
    <row r="219" ht="12.75" customHeight="1">
      <c r="A219" s="15" t="n">
        <v>3254506</v>
      </c>
      <c r="B219" s="15" t="inlineStr">
        <is>
          <t>Flexport</t>
        </is>
      </c>
      <c r="C219" s="15" t="inlineStr">
        <is>
          <t>Colombo, LK</t>
        </is>
      </c>
      <c r="D219" s="15" t="inlineStr">
        <is>
          <t>New York, NY, US</t>
        </is>
      </c>
      <c r="E219" s="15" t="inlineStr">
        <is>
          <t>Mississauga, ON, CA</t>
        </is>
      </c>
      <c r="F219" s="15" t="inlineStr">
        <is>
          <t>OCEAN</t>
        </is>
      </c>
      <c r="G219" s="15" t="inlineStr">
        <is>
          <t>C. 1 x 40HC</t>
        </is>
      </c>
      <c r="H219" s="15" t="inlineStr">
        <is>
          <t>CFS/CY</t>
        </is>
      </c>
      <c r="I219" s="15" t="inlineStr">
        <is>
          <t>ONE</t>
        </is>
      </c>
      <c r="J219" s="15" t="inlineStr">
        <is>
          <t>EC3</t>
        </is>
      </c>
      <c r="K219" s="15" t="inlineStr">
        <is>
          <t>MAS AMITY PTE LTD</t>
        </is>
      </c>
      <c r="L219" s="16" t="inlineStr">
        <is>
          <t>MAS Active(Pvt) Ltd – CONTOURLINE</t>
        </is>
      </c>
      <c r="M219" s="15" t="inlineStr">
        <is>
          <t>N</t>
        </is>
      </c>
      <c r="N219" s="17" t="n">
        <v>452893191541</v>
      </c>
      <c r="O219" s="15" t="n">
        <v>19890516</v>
      </c>
      <c r="P219" s="18" t="inlineStr">
        <is>
          <t>LW7CNIS</t>
        </is>
      </c>
      <c r="Q219" s="18" t="n">
        <v>3</v>
      </c>
      <c r="R219" s="18" t="n">
        <v>0.158</v>
      </c>
      <c r="S219" s="15" t="n">
        <v>23.272</v>
      </c>
      <c r="T219" s="16" t="n">
        <v>45824</v>
      </c>
      <c r="U219" s="19" t="n">
        <v>45883</v>
      </c>
      <c r="V219" s="16" t="n">
        <v>45824</v>
      </c>
      <c r="W219" s="16" t="n">
        <v>45826</v>
      </c>
      <c r="X219" s="57">
        <f>W219-1</f>
        <v/>
      </c>
      <c r="Y219" s="63" t="n">
        <v>45832</v>
      </c>
      <c r="Z219" s="67" t="n">
        <v>45861</v>
      </c>
      <c r="AA219" s="71">
        <f>Z219+13</f>
        <v/>
      </c>
      <c r="AB219" s="20">
        <f>AA219-U219</f>
        <v/>
      </c>
      <c r="AC219" s="20" t="inlineStr">
        <is>
          <t>No</t>
        </is>
      </c>
      <c r="AD219" s="21" t="inlineStr">
        <is>
          <t>1 HBL</t>
        </is>
      </c>
      <c r="AE219" s="21" t="n"/>
      <c r="AF219" s="22" t="inlineStr">
        <is>
          <t>LW</t>
        </is>
      </c>
      <c r="AG219" s="23" t="inlineStr">
        <is>
          <t>NAC</t>
        </is>
      </c>
      <c r="AH219" s="24" t="n"/>
      <c r="AN219" s="24" t="n"/>
    </row>
    <row r="220" ht="12.75" customHeight="1">
      <c r="A220" s="15" t="n">
        <v>3254506</v>
      </c>
      <c r="B220" s="15" t="inlineStr">
        <is>
          <t>Flexport</t>
        </is>
      </c>
      <c r="C220" s="15" t="inlineStr">
        <is>
          <t>Colombo, LK</t>
        </is>
      </c>
      <c r="D220" s="15" t="inlineStr">
        <is>
          <t>New York, NY, US</t>
        </is>
      </c>
      <c r="E220" s="15" t="inlineStr">
        <is>
          <t>Mississauga, ON, CA</t>
        </is>
      </c>
      <c r="F220" s="15" t="inlineStr">
        <is>
          <t>OCEAN</t>
        </is>
      </c>
      <c r="G220" s="15" t="inlineStr">
        <is>
          <t>C. 1 x 40HC</t>
        </is>
      </c>
      <c r="H220" s="15" t="inlineStr">
        <is>
          <t>CFS/CY</t>
        </is>
      </c>
      <c r="I220" s="15" t="inlineStr">
        <is>
          <t>ONE</t>
        </is>
      </c>
      <c r="J220" s="15" t="inlineStr">
        <is>
          <t>EC3</t>
        </is>
      </c>
      <c r="K220" s="15" t="inlineStr">
        <is>
          <t>MAS AMITY PTE LTD</t>
        </is>
      </c>
      <c r="L220" s="16" t="inlineStr">
        <is>
          <t>MAS Active(Pvt) Ltd – CONTOURLINE</t>
        </is>
      </c>
      <c r="M220" s="15" t="inlineStr">
        <is>
          <t>N</t>
        </is>
      </c>
      <c r="N220" s="17" t="n">
        <v>452893711589</v>
      </c>
      <c r="O220" s="15" t="n">
        <v>19890682</v>
      </c>
      <c r="P220" s="18" t="inlineStr">
        <is>
          <t>LW7CNIS</t>
        </is>
      </c>
      <c r="Q220" s="18" t="n">
        <v>4</v>
      </c>
      <c r="R220" s="18" t="n">
        <v>0.276</v>
      </c>
      <c r="S220" s="15" t="n">
        <v>44.304</v>
      </c>
      <c r="T220" s="16" t="n">
        <v>45824</v>
      </c>
      <c r="U220" s="19" t="n">
        <v>45883</v>
      </c>
      <c r="V220" s="16" t="n">
        <v>45824</v>
      </c>
      <c r="W220" s="16" t="n">
        <v>45826</v>
      </c>
      <c r="X220" s="57">
        <f>W220-1</f>
        <v/>
      </c>
      <c r="Y220" s="63" t="n">
        <v>45832</v>
      </c>
      <c r="Z220" s="67" t="n">
        <v>45861</v>
      </c>
      <c r="AA220" s="71">
        <f>Z220+13</f>
        <v/>
      </c>
      <c r="AB220" s="20">
        <f>AA220-U220</f>
        <v/>
      </c>
      <c r="AC220" s="20" t="inlineStr">
        <is>
          <t>No</t>
        </is>
      </c>
      <c r="AD220" s="21" t="inlineStr">
        <is>
          <t>1 HBL</t>
        </is>
      </c>
      <c r="AE220" s="21" t="n"/>
      <c r="AF220" s="22" t="inlineStr">
        <is>
          <t>LW</t>
        </is>
      </c>
      <c r="AG220" s="23" t="inlineStr">
        <is>
          <t>NAC</t>
        </is>
      </c>
      <c r="AH220" s="24" t="n"/>
      <c r="AN220" s="24" t="n"/>
    </row>
    <row r="221" ht="12.75" customHeight="1">
      <c r="A221" s="15" t="n">
        <v>3254506</v>
      </c>
      <c r="B221" s="15" t="inlineStr">
        <is>
          <t>Flexport</t>
        </is>
      </c>
      <c r="C221" s="15" t="inlineStr">
        <is>
          <t>Colombo, LK</t>
        </is>
      </c>
      <c r="D221" s="15" t="inlineStr">
        <is>
          <t>New York, NY, US</t>
        </is>
      </c>
      <c r="E221" s="15" t="inlineStr">
        <is>
          <t>Mississauga, ON, CA</t>
        </is>
      </c>
      <c r="F221" s="15" t="inlineStr">
        <is>
          <t>OCEAN</t>
        </is>
      </c>
      <c r="G221" s="15" t="inlineStr">
        <is>
          <t>C. 1 x 40HC</t>
        </is>
      </c>
      <c r="H221" s="15" t="inlineStr">
        <is>
          <t>CFS/CY</t>
        </is>
      </c>
      <c r="I221" s="15" t="inlineStr">
        <is>
          <t>ONE</t>
        </is>
      </c>
      <c r="J221" s="15" t="inlineStr">
        <is>
          <t>EC3</t>
        </is>
      </c>
      <c r="K221" s="15" t="inlineStr">
        <is>
          <t>MAS AMITY PTE LTD</t>
        </is>
      </c>
      <c r="L221" s="16" t="inlineStr">
        <is>
          <t>MAS Active(Pvt) Ltd – CONTOURLINE</t>
        </is>
      </c>
      <c r="M221" s="15" t="inlineStr">
        <is>
          <t>N</t>
        </is>
      </c>
      <c r="N221" s="17" t="n">
        <v>452893711674</v>
      </c>
      <c r="O221" s="15" t="n">
        <v>19890717</v>
      </c>
      <c r="P221" s="18" t="inlineStr">
        <is>
          <t>LW7CPPS</t>
        </is>
      </c>
      <c r="Q221" s="18" t="n">
        <v>6</v>
      </c>
      <c r="R221" s="18" t="n">
        <v>0.474</v>
      </c>
      <c r="S221" s="15" t="n">
        <v>58.933</v>
      </c>
      <c r="T221" s="16" t="n">
        <v>45824</v>
      </c>
      <c r="U221" s="19" t="n">
        <v>45883</v>
      </c>
      <c r="V221" s="16" t="n">
        <v>45824</v>
      </c>
      <c r="W221" s="16" t="n">
        <v>45826</v>
      </c>
      <c r="X221" s="57">
        <f>W221-1</f>
        <v/>
      </c>
      <c r="Y221" s="63" t="n">
        <v>45832</v>
      </c>
      <c r="Z221" s="67" t="n">
        <v>45861</v>
      </c>
      <c r="AA221" s="71">
        <f>Z221+13</f>
        <v/>
      </c>
      <c r="AB221" s="20">
        <f>AA221-U221</f>
        <v/>
      </c>
      <c r="AC221" s="20" t="inlineStr">
        <is>
          <t>No</t>
        </is>
      </c>
      <c r="AD221" s="21" t="inlineStr">
        <is>
          <t>1 HBL</t>
        </is>
      </c>
      <c r="AE221" s="21" t="n"/>
      <c r="AF221" s="22" t="inlineStr">
        <is>
          <t>LW</t>
        </is>
      </c>
      <c r="AG221" s="23" t="inlineStr">
        <is>
          <t>NAC</t>
        </is>
      </c>
      <c r="AH221" s="24" t="n"/>
      <c r="AN221" s="24" t="n"/>
    </row>
    <row r="222" ht="12.75" customHeight="1">
      <c r="A222" s="15" t="n">
        <v>3254506</v>
      </c>
      <c r="B222" s="15" t="inlineStr">
        <is>
          <t>Flexport</t>
        </is>
      </c>
      <c r="C222" s="15" t="inlineStr">
        <is>
          <t>Colombo, LK</t>
        </is>
      </c>
      <c r="D222" s="15" t="inlineStr">
        <is>
          <t>New York, NY, US</t>
        </is>
      </c>
      <c r="E222" s="15" t="inlineStr">
        <is>
          <t>Mississauga, ON, CA</t>
        </is>
      </c>
      <c r="F222" s="15" t="inlineStr">
        <is>
          <t>OCEAN</t>
        </is>
      </c>
      <c r="G222" s="15" t="inlineStr">
        <is>
          <t>C. 1 x 40HC</t>
        </is>
      </c>
      <c r="H222" s="15" t="inlineStr">
        <is>
          <t>CFS/CY</t>
        </is>
      </c>
      <c r="I222" s="15" t="inlineStr">
        <is>
          <t>ONE</t>
        </is>
      </c>
      <c r="J222" s="15" t="inlineStr">
        <is>
          <t>EC3</t>
        </is>
      </c>
      <c r="K222" s="15" t="inlineStr">
        <is>
          <t>MAS AMITY PTE LTD</t>
        </is>
      </c>
      <c r="L222" s="16" t="inlineStr">
        <is>
          <t>MAS Active(Pvt) Ltd – CONTOURLINE</t>
        </is>
      </c>
      <c r="M222" s="15" t="inlineStr">
        <is>
          <t>N</t>
        </is>
      </c>
      <c r="N222" s="17" t="n">
        <v>452897061954</v>
      </c>
      <c r="O222" s="15" t="n">
        <v>19890781</v>
      </c>
      <c r="P222" s="18" t="inlineStr">
        <is>
          <t>LW7CPPS</t>
        </is>
      </c>
      <c r="Q222" s="18" t="n">
        <v>2</v>
      </c>
      <c r="R222" s="18" t="n">
        <v>0.118</v>
      </c>
      <c r="S222" s="15" t="n">
        <v>17.856</v>
      </c>
      <c r="T222" s="16" t="n">
        <v>45824</v>
      </c>
      <c r="U222" s="19" t="n">
        <v>45883</v>
      </c>
      <c r="V222" s="16" t="n">
        <v>45824</v>
      </c>
      <c r="W222" s="16" t="n">
        <v>45826</v>
      </c>
      <c r="X222" s="57">
        <f>W222-1</f>
        <v/>
      </c>
      <c r="Y222" s="63" t="n">
        <v>45832</v>
      </c>
      <c r="Z222" s="67" t="n">
        <v>45861</v>
      </c>
      <c r="AA222" s="71">
        <f>Z222+13</f>
        <v/>
      </c>
      <c r="AB222" s="20">
        <f>AA222-U222</f>
        <v/>
      </c>
      <c r="AC222" s="20" t="inlineStr">
        <is>
          <t>No</t>
        </is>
      </c>
      <c r="AD222" s="21" t="inlineStr">
        <is>
          <t>1 HBL</t>
        </is>
      </c>
      <c r="AE222" s="21" t="n"/>
      <c r="AF222" s="22" t="inlineStr">
        <is>
          <t>LW</t>
        </is>
      </c>
      <c r="AG222" s="23" t="inlineStr">
        <is>
          <t>NAC</t>
        </is>
      </c>
      <c r="AH222" s="24" t="n"/>
      <c r="AN222" s="24" t="n"/>
    </row>
    <row r="223" ht="12.75" customHeight="1">
      <c r="A223" s="15" t="n">
        <v>3254506</v>
      </c>
      <c r="B223" s="15" t="inlineStr">
        <is>
          <t>Flexport</t>
        </is>
      </c>
      <c r="C223" s="15" t="inlineStr">
        <is>
          <t>Colombo, LK</t>
        </is>
      </c>
      <c r="D223" s="15" t="inlineStr">
        <is>
          <t>New York, NY, US</t>
        </is>
      </c>
      <c r="E223" s="15" t="inlineStr">
        <is>
          <t>Mississauga, ON, CA</t>
        </is>
      </c>
      <c r="F223" s="15" t="inlineStr">
        <is>
          <t>OCEAN</t>
        </is>
      </c>
      <c r="G223" s="15" t="inlineStr">
        <is>
          <t>C. 1 x 40HC</t>
        </is>
      </c>
      <c r="H223" s="15" t="inlineStr">
        <is>
          <t>CFS/CY</t>
        </is>
      </c>
      <c r="I223" s="15" t="inlineStr">
        <is>
          <t>ONE</t>
        </is>
      </c>
      <c r="J223" s="15" t="inlineStr">
        <is>
          <t>EC3</t>
        </is>
      </c>
      <c r="K223" s="15" t="inlineStr">
        <is>
          <t>MAS AMITY PTE LTD</t>
        </is>
      </c>
      <c r="L223" s="16" t="inlineStr">
        <is>
          <t>MAS Active(Pvt) Ltd – CONTOURLINE</t>
        </is>
      </c>
      <c r="M223" s="15" t="inlineStr">
        <is>
          <t>N</t>
        </is>
      </c>
      <c r="N223" s="17" t="n">
        <v>452897736645</v>
      </c>
      <c r="O223" s="15" t="n">
        <v>19890836</v>
      </c>
      <c r="P223" s="18" t="inlineStr">
        <is>
          <t>LW2EB3S</t>
        </is>
      </c>
      <c r="Q223" s="18" t="n">
        <v>3</v>
      </c>
      <c r="R223" s="18" t="n">
        <v>0.158</v>
      </c>
      <c r="S223" s="15" t="n">
        <v>22.451</v>
      </c>
      <c r="T223" s="16" t="n">
        <v>45824</v>
      </c>
      <c r="U223" s="19" t="n">
        <v>45883</v>
      </c>
      <c r="V223" s="16" t="n">
        <v>45824</v>
      </c>
      <c r="W223" s="16" t="n">
        <v>45826</v>
      </c>
      <c r="X223" s="57">
        <f>W223-1</f>
        <v/>
      </c>
      <c r="Y223" s="63" t="n">
        <v>45832</v>
      </c>
      <c r="Z223" s="67" t="n">
        <v>45861</v>
      </c>
      <c r="AA223" s="71">
        <f>Z223+13</f>
        <v/>
      </c>
      <c r="AB223" s="20">
        <f>AA223-U223</f>
        <v/>
      </c>
      <c r="AC223" s="20" t="inlineStr">
        <is>
          <t>No</t>
        </is>
      </c>
      <c r="AD223" s="21" t="inlineStr">
        <is>
          <t>1 HBL</t>
        </is>
      </c>
      <c r="AE223" s="21" t="n"/>
      <c r="AF223" s="22" t="inlineStr">
        <is>
          <t>LW</t>
        </is>
      </c>
      <c r="AG223" s="23" t="inlineStr">
        <is>
          <t>NAC</t>
        </is>
      </c>
      <c r="AH223" s="24" t="n"/>
      <c r="AN223" s="24" t="n"/>
    </row>
    <row r="224" ht="12.75" customHeight="1">
      <c r="A224" s="15" t="n">
        <v>3254506</v>
      </c>
      <c r="B224" s="15" t="inlineStr">
        <is>
          <t>Flexport</t>
        </is>
      </c>
      <c r="C224" s="15" t="inlineStr">
        <is>
          <t>Colombo, LK</t>
        </is>
      </c>
      <c r="D224" s="15" t="inlineStr">
        <is>
          <t>New York, NY, US</t>
        </is>
      </c>
      <c r="E224" s="15" t="inlineStr">
        <is>
          <t>Mississauga, ON, CA</t>
        </is>
      </c>
      <c r="F224" s="15" t="inlineStr">
        <is>
          <t>OCEAN</t>
        </is>
      </c>
      <c r="G224" s="15" t="inlineStr">
        <is>
          <t>C. 1 x 40HC</t>
        </is>
      </c>
      <c r="H224" s="15" t="inlineStr">
        <is>
          <t>CFS/CY</t>
        </is>
      </c>
      <c r="I224" s="15" t="inlineStr">
        <is>
          <t>ONE</t>
        </is>
      </c>
      <c r="J224" s="15" t="inlineStr">
        <is>
          <t>EC3</t>
        </is>
      </c>
      <c r="K224" s="15" t="inlineStr">
        <is>
          <t>MAS AMITY PTE LTD</t>
        </is>
      </c>
      <c r="L224" s="16" t="inlineStr">
        <is>
          <t>MAS Active(Pvt) Ltd – CONTOURLINE</t>
        </is>
      </c>
      <c r="M224" s="15" t="inlineStr">
        <is>
          <t>N</t>
        </is>
      </c>
      <c r="N224" s="17" t="n">
        <v>452898265551</v>
      </c>
      <c r="O224" s="15" t="n">
        <v>19890842</v>
      </c>
      <c r="P224" s="18" t="inlineStr">
        <is>
          <t>LW2EB3S</t>
        </is>
      </c>
      <c r="Q224" s="18" t="n">
        <v>4</v>
      </c>
      <c r="R224" s="18" t="n">
        <v>0.316</v>
      </c>
      <c r="S224" s="15" t="n">
        <v>39.108</v>
      </c>
      <c r="T224" s="16" t="n">
        <v>45824</v>
      </c>
      <c r="U224" s="19" t="n">
        <v>45883</v>
      </c>
      <c r="V224" s="16" t="n">
        <v>45824</v>
      </c>
      <c r="W224" s="16" t="n">
        <v>45826</v>
      </c>
      <c r="X224" s="57">
        <f>W224-1</f>
        <v/>
      </c>
      <c r="Y224" s="63" t="n">
        <v>45832</v>
      </c>
      <c r="Z224" s="67" t="n">
        <v>45861</v>
      </c>
      <c r="AA224" s="71">
        <f>Z224+13</f>
        <v/>
      </c>
      <c r="AB224" s="20">
        <f>AA224-U224</f>
        <v/>
      </c>
      <c r="AC224" s="20" t="inlineStr">
        <is>
          <t>No</t>
        </is>
      </c>
      <c r="AD224" s="21" t="inlineStr">
        <is>
          <t>1 HBL</t>
        </is>
      </c>
      <c r="AE224" s="21" t="n"/>
      <c r="AF224" s="22" t="inlineStr">
        <is>
          <t>LW</t>
        </is>
      </c>
      <c r="AG224" s="23" t="inlineStr">
        <is>
          <t>NAC</t>
        </is>
      </c>
      <c r="AH224" s="24" t="n"/>
      <c r="AN224" s="24" t="n"/>
    </row>
    <row r="225" ht="12.75" customHeight="1">
      <c r="A225" s="15" t="n">
        <v>3254506</v>
      </c>
      <c r="B225" s="15" t="inlineStr">
        <is>
          <t>Flexport</t>
        </is>
      </c>
      <c r="C225" s="15" t="inlineStr">
        <is>
          <t>Colombo, LK</t>
        </is>
      </c>
      <c r="D225" s="15" t="inlineStr">
        <is>
          <t>New York, NY, US</t>
        </is>
      </c>
      <c r="E225" s="15" t="inlineStr">
        <is>
          <t>Mississauga, ON, CA</t>
        </is>
      </c>
      <c r="F225" s="15" t="inlineStr">
        <is>
          <t>OCEAN</t>
        </is>
      </c>
      <c r="G225" s="15" t="inlineStr">
        <is>
          <t>C. 1 x 40HC</t>
        </is>
      </c>
      <c r="H225" s="15" t="inlineStr">
        <is>
          <t>CFS/CY</t>
        </is>
      </c>
      <c r="I225" s="15" t="inlineStr">
        <is>
          <t>ONE</t>
        </is>
      </c>
      <c r="J225" s="15" t="inlineStr">
        <is>
          <t>EC3</t>
        </is>
      </c>
      <c r="K225" s="15" t="inlineStr">
        <is>
          <t>MAS AMITY PTE LTD</t>
        </is>
      </c>
      <c r="L225" s="16" t="inlineStr">
        <is>
          <t>MAS Active(Pvt) Ltd – CONTOURLINE</t>
        </is>
      </c>
      <c r="M225" s="15" t="inlineStr">
        <is>
          <t>N</t>
        </is>
      </c>
      <c r="N225" s="17" t="n">
        <v>452901003671</v>
      </c>
      <c r="O225" s="15" t="n">
        <v>19920744</v>
      </c>
      <c r="P225" s="18" t="inlineStr">
        <is>
          <t>LW5EYKS</t>
        </is>
      </c>
      <c r="Q225" s="18" t="n">
        <v>1</v>
      </c>
      <c r="R225" s="18" t="n">
        <v>0.079</v>
      </c>
      <c r="S225" s="15" t="n">
        <v>15.014</v>
      </c>
      <c r="T225" s="16" t="n">
        <v>45824</v>
      </c>
      <c r="U225" s="19" t="n">
        <v>45883</v>
      </c>
      <c r="V225" s="16" t="n">
        <v>45824</v>
      </c>
      <c r="W225" s="16" t="n">
        <v>45826</v>
      </c>
      <c r="X225" s="57">
        <f>W225-1</f>
        <v/>
      </c>
      <c r="Y225" s="63" t="n">
        <v>45832</v>
      </c>
      <c r="Z225" s="67" t="n">
        <v>45861</v>
      </c>
      <c r="AA225" s="71">
        <f>Z225+13</f>
        <v/>
      </c>
      <c r="AB225" s="20">
        <f>AA225-U225</f>
        <v/>
      </c>
      <c r="AC225" s="20" t="inlineStr">
        <is>
          <t>No</t>
        </is>
      </c>
      <c r="AD225" s="21" t="inlineStr">
        <is>
          <t>1 HBL</t>
        </is>
      </c>
      <c r="AE225" s="21" t="n"/>
      <c r="AF225" s="22" t="inlineStr">
        <is>
          <t>LW</t>
        </is>
      </c>
      <c r="AG225" s="23" t="inlineStr">
        <is>
          <t>NAC</t>
        </is>
      </c>
      <c r="AH225" s="24" t="n"/>
      <c r="AN225" s="24" t="n"/>
    </row>
    <row r="226" ht="12.75" customHeight="1">
      <c r="A226" s="15" t="n">
        <v>3254506</v>
      </c>
      <c r="B226" s="15" t="inlineStr">
        <is>
          <t>Flexport</t>
        </is>
      </c>
      <c r="C226" s="15" t="inlineStr">
        <is>
          <t>Colombo, LK</t>
        </is>
      </c>
      <c r="D226" s="15" t="inlineStr">
        <is>
          <t>New York, NY, US</t>
        </is>
      </c>
      <c r="E226" s="15" t="inlineStr">
        <is>
          <t>Mississauga, ON, CA</t>
        </is>
      </c>
      <c r="F226" s="15" t="inlineStr">
        <is>
          <t>OCEAN</t>
        </is>
      </c>
      <c r="G226" s="15" t="inlineStr">
        <is>
          <t>C. 1 x 40HC</t>
        </is>
      </c>
      <c r="H226" s="15" t="inlineStr">
        <is>
          <t>CFS/CY</t>
        </is>
      </c>
      <c r="I226" s="15" t="inlineStr">
        <is>
          <t>ONE</t>
        </is>
      </c>
      <c r="J226" s="15" t="inlineStr">
        <is>
          <t>EC3</t>
        </is>
      </c>
      <c r="K226" s="15" t="inlineStr">
        <is>
          <t>MAS AMITY PTE LTD</t>
        </is>
      </c>
      <c r="L226" s="16" t="inlineStr">
        <is>
          <t>MAS Active(Pvt) Ltd – CONTOURLINE</t>
        </is>
      </c>
      <c r="M226" s="15" t="inlineStr">
        <is>
          <t>N</t>
        </is>
      </c>
      <c r="N226" s="17" t="n">
        <v>452901487847</v>
      </c>
      <c r="O226" s="15" t="n">
        <v>19920846</v>
      </c>
      <c r="P226" s="18" t="inlineStr">
        <is>
          <t>LW5FARS</t>
        </is>
      </c>
      <c r="Q226" s="18" t="n">
        <v>9</v>
      </c>
      <c r="R226" s="18" t="n">
        <v>0.671</v>
      </c>
      <c r="S226" s="15" t="n">
        <v>124.319</v>
      </c>
      <c r="T226" s="16" t="n">
        <v>45824</v>
      </c>
      <c r="U226" s="19" t="n">
        <v>45883</v>
      </c>
      <c r="V226" s="16" t="n">
        <v>45824</v>
      </c>
      <c r="W226" s="16" t="n">
        <v>45826</v>
      </c>
      <c r="X226" s="57">
        <f>W226-1</f>
        <v/>
      </c>
      <c r="Y226" s="63" t="n">
        <v>45832</v>
      </c>
      <c r="Z226" s="67" t="n">
        <v>45861</v>
      </c>
      <c r="AA226" s="71">
        <f>Z226+13</f>
        <v/>
      </c>
      <c r="AB226" s="20">
        <f>AA226-U226</f>
        <v/>
      </c>
      <c r="AC226" s="20" t="inlineStr">
        <is>
          <t>No</t>
        </is>
      </c>
      <c r="AD226" s="21" t="inlineStr">
        <is>
          <t>1 HBL</t>
        </is>
      </c>
      <c r="AE226" s="21" t="n"/>
      <c r="AF226" s="22" t="inlineStr">
        <is>
          <t>LW</t>
        </is>
      </c>
      <c r="AG226" s="23" t="inlineStr">
        <is>
          <t>NAC</t>
        </is>
      </c>
      <c r="AH226" s="24" t="n"/>
      <c r="AN226" s="24" t="n"/>
    </row>
    <row r="227" ht="12.75" customHeight="1">
      <c r="A227" s="15" t="n">
        <v>3254506</v>
      </c>
      <c r="B227" s="15" t="inlineStr">
        <is>
          <t>Flexport</t>
        </is>
      </c>
      <c r="C227" s="15" t="inlineStr">
        <is>
          <t>Colombo, LK</t>
        </is>
      </c>
      <c r="D227" s="15" t="inlineStr">
        <is>
          <t>New York, NY, US</t>
        </is>
      </c>
      <c r="E227" s="15" t="inlineStr">
        <is>
          <t>Mississauga, ON, CA</t>
        </is>
      </c>
      <c r="F227" s="15" t="inlineStr">
        <is>
          <t>OCEAN</t>
        </is>
      </c>
      <c r="G227" s="15" t="inlineStr">
        <is>
          <t>C. 1 x 40HC</t>
        </is>
      </c>
      <c r="H227" s="15" t="inlineStr">
        <is>
          <t>CFS/CY</t>
        </is>
      </c>
      <c r="I227" s="15" t="inlineStr">
        <is>
          <t>ONE</t>
        </is>
      </c>
      <c r="J227" s="15" t="inlineStr">
        <is>
          <t>EC3</t>
        </is>
      </c>
      <c r="K227" s="15" t="inlineStr">
        <is>
          <t>MAS AMITY PTE LTD</t>
        </is>
      </c>
      <c r="L227" s="16" t="inlineStr">
        <is>
          <t>MAS Active(Pvt) Ltd – CONTOURLINE</t>
        </is>
      </c>
      <c r="M227" s="15" t="inlineStr">
        <is>
          <t>N</t>
        </is>
      </c>
      <c r="N227" s="17" t="n">
        <v>452901622156</v>
      </c>
      <c r="O227" s="15" t="n">
        <v>19913617</v>
      </c>
      <c r="P227" s="18" t="inlineStr">
        <is>
          <t>LW5EPSS</t>
        </is>
      </c>
      <c r="Q227" s="18" t="n">
        <v>3</v>
      </c>
      <c r="R227" s="18" t="n">
        <v>0.158</v>
      </c>
      <c r="S227" s="15" t="n">
        <v>27.177</v>
      </c>
      <c r="T227" s="16" t="n">
        <v>45824</v>
      </c>
      <c r="U227" s="19" t="n">
        <v>45883</v>
      </c>
      <c r="V227" s="16" t="n">
        <v>45824</v>
      </c>
      <c r="W227" s="16" t="n">
        <v>45826</v>
      </c>
      <c r="X227" s="57">
        <f>W227-1</f>
        <v/>
      </c>
      <c r="Y227" s="63" t="n">
        <v>45832</v>
      </c>
      <c r="Z227" s="67" t="n">
        <v>45861</v>
      </c>
      <c r="AA227" s="71">
        <f>Z227+13</f>
        <v/>
      </c>
      <c r="AB227" s="20">
        <f>AA227-U227</f>
        <v/>
      </c>
      <c r="AC227" s="20" t="inlineStr">
        <is>
          <t>No</t>
        </is>
      </c>
      <c r="AD227" s="21" t="inlineStr">
        <is>
          <t>1 HBL</t>
        </is>
      </c>
      <c r="AE227" s="21" t="n"/>
      <c r="AF227" s="22" t="inlineStr">
        <is>
          <t>LW</t>
        </is>
      </c>
      <c r="AG227" s="23" t="inlineStr">
        <is>
          <t>NAC</t>
        </is>
      </c>
      <c r="AH227" s="24" t="n"/>
      <c r="AN227" s="24" t="n"/>
    </row>
    <row r="228" ht="12.75" customHeight="1">
      <c r="A228" s="15" t="n">
        <v>3254506</v>
      </c>
      <c r="B228" s="15" t="inlineStr">
        <is>
          <t>Flexport</t>
        </is>
      </c>
      <c r="C228" s="15" t="inlineStr">
        <is>
          <t>Colombo, LK</t>
        </is>
      </c>
      <c r="D228" s="15" t="inlineStr">
        <is>
          <t>New York, NY, US</t>
        </is>
      </c>
      <c r="E228" s="15" t="inlineStr">
        <is>
          <t>Mississauga, ON, CA</t>
        </is>
      </c>
      <c r="F228" s="15" t="inlineStr">
        <is>
          <t>OCEAN</t>
        </is>
      </c>
      <c r="G228" s="15" t="inlineStr">
        <is>
          <t>C. 1 x 40HC</t>
        </is>
      </c>
      <c r="H228" s="15" t="inlineStr">
        <is>
          <t>CFS/CY</t>
        </is>
      </c>
      <c r="I228" s="15" t="inlineStr">
        <is>
          <t>ONE</t>
        </is>
      </c>
      <c r="J228" s="15" t="inlineStr">
        <is>
          <t>EC3</t>
        </is>
      </c>
      <c r="K228" s="15" t="inlineStr">
        <is>
          <t>MAS AMITY PTE LTD</t>
        </is>
      </c>
      <c r="L228" s="16" t="inlineStr">
        <is>
          <t>MAS Active(Pvt) Ltd – CONTOURLINE</t>
        </is>
      </c>
      <c r="M228" s="15" t="inlineStr">
        <is>
          <t>N</t>
        </is>
      </c>
      <c r="N228" s="17" t="n">
        <v>452902222311</v>
      </c>
      <c r="O228" s="15" t="n">
        <v>19920786</v>
      </c>
      <c r="P228" s="18" t="inlineStr">
        <is>
          <t>LM3FBSS</t>
        </is>
      </c>
      <c r="Q228" s="18" t="n">
        <v>3</v>
      </c>
      <c r="R228" s="18" t="n">
        <v>0.237</v>
      </c>
      <c r="S228" s="15" t="n">
        <v>32.502</v>
      </c>
      <c r="T228" s="16" t="n">
        <v>45824</v>
      </c>
      <c r="U228" s="19" t="n">
        <v>45883</v>
      </c>
      <c r="V228" s="16" t="n">
        <v>45824</v>
      </c>
      <c r="W228" s="16" t="n">
        <v>45826</v>
      </c>
      <c r="X228" s="57">
        <f>W228-1</f>
        <v/>
      </c>
      <c r="Y228" s="63" t="n">
        <v>45832</v>
      </c>
      <c r="Z228" s="67" t="n">
        <v>45861</v>
      </c>
      <c r="AA228" s="71">
        <f>Z228+13</f>
        <v/>
      </c>
      <c r="AB228" s="20">
        <f>AA228-U228</f>
        <v/>
      </c>
      <c r="AC228" s="20" t="inlineStr">
        <is>
          <t>No</t>
        </is>
      </c>
      <c r="AD228" s="21" t="inlineStr">
        <is>
          <t>1 HBL</t>
        </is>
      </c>
      <c r="AE228" s="21" t="n"/>
      <c r="AF228" s="22" t="inlineStr">
        <is>
          <t>LW</t>
        </is>
      </c>
      <c r="AG228" s="23" t="inlineStr">
        <is>
          <t>NAC</t>
        </is>
      </c>
      <c r="AH228" s="24" t="n"/>
      <c r="AN228" s="24" t="n"/>
    </row>
    <row r="229" ht="12.75" customHeight="1">
      <c r="A229" s="15" t="n">
        <v>3254506</v>
      </c>
      <c r="B229" s="15" t="inlineStr">
        <is>
          <t>Flexport</t>
        </is>
      </c>
      <c r="C229" s="15" t="inlineStr">
        <is>
          <t>Colombo, LK</t>
        </is>
      </c>
      <c r="D229" s="15" t="inlineStr">
        <is>
          <t>New York, NY, US</t>
        </is>
      </c>
      <c r="E229" s="15" t="inlineStr">
        <is>
          <t>Mississauga, ON, CA</t>
        </is>
      </c>
      <c r="F229" s="15" t="inlineStr">
        <is>
          <t>OCEAN</t>
        </is>
      </c>
      <c r="G229" s="15" t="inlineStr">
        <is>
          <t>C. 1 x 40HC</t>
        </is>
      </c>
      <c r="H229" s="15" t="inlineStr">
        <is>
          <t>CFS/CY</t>
        </is>
      </c>
      <c r="I229" s="15" t="inlineStr">
        <is>
          <t>ONE</t>
        </is>
      </c>
      <c r="J229" s="15" t="inlineStr">
        <is>
          <t>EC3</t>
        </is>
      </c>
      <c r="K229" s="15" t="inlineStr">
        <is>
          <t>MAS AMITY PTE LTD</t>
        </is>
      </c>
      <c r="L229" s="16" t="inlineStr">
        <is>
          <t>MAS Active(Pvt) Ltd – CONTOURLINE</t>
        </is>
      </c>
      <c r="M229" s="15" t="inlineStr">
        <is>
          <t>N</t>
        </is>
      </c>
      <c r="N229" s="17" t="n">
        <v>452902798117</v>
      </c>
      <c r="O229" s="15" t="n">
        <v>19920857</v>
      </c>
      <c r="P229" s="18" t="inlineStr">
        <is>
          <t>LW5FARS</t>
        </is>
      </c>
      <c r="Q229" s="18" t="n">
        <v>6</v>
      </c>
      <c r="R229" s="18" t="n">
        <v>0.434</v>
      </c>
      <c r="S229" s="15" t="n">
        <v>71.98</v>
      </c>
      <c r="T229" s="16" t="n">
        <v>45824</v>
      </c>
      <c r="U229" s="19" t="n">
        <v>45883</v>
      </c>
      <c r="V229" s="16" t="n">
        <v>45824</v>
      </c>
      <c r="W229" s="16" t="n">
        <v>45826</v>
      </c>
      <c r="X229" s="57">
        <f>W229-1</f>
        <v/>
      </c>
      <c r="Y229" s="63" t="n">
        <v>45832</v>
      </c>
      <c r="Z229" s="67" t="n">
        <v>45861</v>
      </c>
      <c r="AA229" s="71">
        <f>Z229+13</f>
        <v/>
      </c>
      <c r="AB229" s="20">
        <f>AA229-U229</f>
        <v/>
      </c>
      <c r="AC229" s="20" t="inlineStr">
        <is>
          <t>No</t>
        </is>
      </c>
      <c r="AD229" s="21" t="inlineStr">
        <is>
          <t>1 HBL</t>
        </is>
      </c>
      <c r="AE229" s="21" t="n"/>
      <c r="AF229" s="22" t="inlineStr">
        <is>
          <t>LW</t>
        </is>
      </c>
      <c r="AG229" s="23" t="inlineStr">
        <is>
          <t>NAC</t>
        </is>
      </c>
      <c r="AH229" s="24" t="n"/>
      <c r="AN229" s="24" t="n"/>
    </row>
    <row r="230" ht="12.75" customHeight="1">
      <c r="A230" s="15" t="n">
        <v>3254506</v>
      </c>
      <c r="B230" s="15" t="inlineStr">
        <is>
          <t>Flexport</t>
        </is>
      </c>
      <c r="C230" s="15" t="inlineStr">
        <is>
          <t>Colombo, LK</t>
        </is>
      </c>
      <c r="D230" s="15" t="inlineStr">
        <is>
          <t>New York, NY, US</t>
        </is>
      </c>
      <c r="E230" s="15" t="inlineStr">
        <is>
          <t>Mississauga, ON, CA</t>
        </is>
      </c>
      <c r="F230" s="15" t="inlineStr">
        <is>
          <t>OCEAN</t>
        </is>
      </c>
      <c r="G230" s="15" t="inlineStr">
        <is>
          <t>C. 1 x 40HC</t>
        </is>
      </c>
      <c r="H230" s="15" t="inlineStr">
        <is>
          <t>CFS/CY</t>
        </is>
      </c>
      <c r="I230" s="15" t="inlineStr">
        <is>
          <t>ONE</t>
        </is>
      </c>
      <c r="J230" s="15" t="inlineStr">
        <is>
          <t>EC3</t>
        </is>
      </c>
      <c r="K230" s="15" t="inlineStr">
        <is>
          <t>MAS AMITY PTE LTD</t>
        </is>
      </c>
      <c r="L230" s="16" t="inlineStr">
        <is>
          <t>MAS Active(Pvt) Ltd – CONTOURLINE</t>
        </is>
      </c>
      <c r="M230" s="15" t="inlineStr">
        <is>
          <t>N</t>
        </is>
      </c>
      <c r="N230" s="17" t="n">
        <v>452902914427</v>
      </c>
      <c r="O230" s="15" t="n">
        <v>19925161</v>
      </c>
      <c r="P230" s="18" t="inlineStr">
        <is>
          <t>LW5FARS</t>
        </is>
      </c>
      <c r="Q230" s="18" t="n">
        <v>3</v>
      </c>
      <c r="R230" s="18" t="n">
        <v>0.158</v>
      </c>
      <c r="S230" s="15" t="n">
        <v>23.309</v>
      </c>
      <c r="T230" s="16" t="n">
        <v>45824</v>
      </c>
      <c r="U230" s="19" t="n">
        <v>45883</v>
      </c>
      <c r="V230" s="16" t="n">
        <v>45824</v>
      </c>
      <c r="W230" s="16" t="n">
        <v>45826</v>
      </c>
      <c r="X230" s="57">
        <f>W230-1</f>
        <v/>
      </c>
      <c r="Y230" s="63" t="n">
        <v>45832</v>
      </c>
      <c r="Z230" s="67" t="n">
        <v>45861</v>
      </c>
      <c r="AA230" s="71">
        <f>Z230+13</f>
        <v/>
      </c>
      <c r="AB230" s="20">
        <f>AA230-U230</f>
        <v/>
      </c>
      <c r="AC230" s="20" t="inlineStr">
        <is>
          <t>No</t>
        </is>
      </c>
      <c r="AD230" s="21" t="inlineStr">
        <is>
          <t>1 HBL</t>
        </is>
      </c>
      <c r="AE230" s="21" t="n"/>
      <c r="AF230" s="22" t="inlineStr">
        <is>
          <t>LW</t>
        </is>
      </c>
      <c r="AG230" s="23" t="inlineStr">
        <is>
          <t>NAC</t>
        </is>
      </c>
      <c r="AH230" s="24" t="n"/>
      <c r="AN230" s="24" t="n"/>
    </row>
    <row r="231" ht="12.75" customHeight="1">
      <c r="A231" s="15" t="n">
        <v>3254506</v>
      </c>
      <c r="B231" s="15" t="inlineStr">
        <is>
          <t>Flexport</t>
        </is>
      </c>
      <c r="C231" s="15" t="inlineStr">
        <is>
          <t>Colombo, LK</t>
        </is>
      </c>
      <c r="D231" s="15" t="inlineStr">
        <is>
          <t>New York, NY, US</t>
        </is>
      </c>
      <c r="E231" s="15" t="inlineStr">
        <is>
          <t>Mississauga, ON, CA</t>
        </is>
      </c>
      <c r="F231" s="15" t="inlineStr">
        <is>
          <t>OCEAN</t>
        </is>
      </c>
      <c r="G231" s="15" t="inlineStr">
        <is>
          <t>C. 1 x 40HC</t>
        </is>
      </c>
      <c r="H231" s="15" t="inlineStr">
        <is>
          <t>CFS/CY</t>
        </is>
      </c>
      <c r="I231" s="15" t="inlineStr">
        <is>
          <t>ONE</t>
        </is>
      </c>
      <c r="J231" s="15" t="inlineStr">
        <is>
          <t>EC3</t>
        </is>
      </c>
      <c r="K231" s="15" t="inlineStr">
        <is>
          <t>MAS AMITY PTE LTD</t>
        </is>
      </c>
      <c r="L231" s="16" t="inlineStr">
        <is>
          <t>MAS Active(Pvt) Ltd – CONTOURLINE</t>
        </is>
      </c>
      <c r="M231" s="15" t="inlineStr">
        <is>
          <t>N</t>
        </is>
      </c>
      <c r="N231" s="17" t="n">
        <v>452902914946</v>
      </c>
      <c r="O231" s="15" t="n">
        <v>19925377</v>
      </c>
      <c r="P231" s="18" t="inlineStr">
        <is>
          <t>LW5EYKS</t>
        </is>
      </c>
      <c r="Q231" s="18" t="n">
        <v>5</v>
      </c>
      <c r="R231" s="18" t="n">
        <v>0.395</v>
      </c>
      <c r="S231" s="15" t="n">
        <v>68.348</v>
      </c>
      <c r="T231" s="16" t="n">
        <v>45824</v>
      </c>
      <c r="U231" s="19" t="n">
        <v>45883</v>
      </c>
      <c r="V231" s="16" t="n">
        <v>45824</v>
      </c>
      <c r="W231" s="16" t="n">
        <v>45826</v>
      </c>
      <c r="X231" s="57">
        <f>W231-1</f>
        <v/>
      </c>
      <c r="Y231" s="63" t="n">
        <v>45832</v>
      </c>
      <c r="Z231" s="67" t="n">
        <v>45861</v>
      </c>
      <c r="AA231" s="71">
        <f>Z231+13</f>
        <v/>
      </c>
      <c r="AB231" s="20">
        <f>AA231-U231</f>
        <v/>
      </c>
      <c r="AC231" s="20" t="inlineStr">
        <is>
          <t>No</t>
        </is>
      </c>
      <c r="AD231" s="21" t="inlineStr">
        <is>
          <t>1 HBL</t>
        </is>
      </c>
      <c r="AE231" s="21" t="n"/>
      <c r="AF231" s="22" t="inlineStr">
        <is>
          <t>LW</t>
        </is>
      </c>
      <c r="AG231" s="23" t="inlineStr">
        <is>
          <t>NAC</t>
        </is>
      </c>
      <c r="AH231" s="24" t="n"/>
      <c r="AN231" s="24" t="n"/>
    </row>
    <row r="232" ht="12.75" customHeight="1">
      <c r="A232" s="15" t="n">
        <v>3254506</v>
      </c>
      <c r="B232" s="15" t="inlineStr">
        <is>
          <t>Flexport</t>
        </is>
      </c>
      <c r="C232" s="15" t="inlineStr">
        <is>
          <t>Colombo, LK</t>
        </is>
      </c>
      <c r="D232" s="15" t="inlineStr">
        <is>
          <t>New York, NY, US</t>
        </is>
      </c>
      <c r="E232" s="15" t="inlineStr">
        <is>
          <t>Mississauga, ON, CA</t>
        </is>
      </c>
      <c r="F232" s="15" t="inlineStr">
        <is>
          <t>OCEAN</t>
        </is>
      </c>
      <c r="G232" s="15" t="inlineStr">
        <is>
          <t>C. 1 x 40HC</t>
        </is>
      </c>
      <c r="H232" s="15" t="inlineStr">
        <is>
          <t>CFS/CY</t>
        </is>
      </c>
      <c r="I232" s="15" t="inlineStr">
        <is>
          <t>ONE</t>
        </is>
      </c>
      <c r="J232" s="15" t="inlineStr">
        <is>
          <t>EC3</t>
        </is>
      </c>
      <c r="K232" s="15" t="inlineStr">
        <is>
          <t>MAS AMITY PTE LTD</t>
        </is>
      </c>
      <c r="L232" s="16" t="inlineStr">
        <is>
          <t>MAS Active(Pvt) Ltd – CONTOURLINE</t>
        </is>
      </c>
      <c r="M232" s="15" t="inlineStr">
        <is>
          <t>N</t>
        </is>
      </c>
      <c r="N232" s="17" t="n">
        <v>452903297077</v>
      </c>
      <c r="O232" s="15" t="n">
        <v>19925117</v>
      </c>
      <c r="P232" s="18" t="inlineStr">
        <is>
          <t>LW5ENMS</t>
        </is>
      </c>
      <c r="Q232" s="18" t="n">
        <v>7</v>
      </c>
      <c r="R232" s="18" t="n">
        <v>0.474</v>
      </c>
      <c r="S232" s="15" t="n">
        <v>83.794</v>
      </c>
      <c r="T232" s="16" t="n">
        <v>45824</v>
      </c>
      <c r="U232" s="19" t="n">
        <v>45883</v>
      </c>
      <c r="V232" s="16" t="n">
        <v>45824</v>
      </c>
      <c r="W232" s="16" t="n">
        <v>45826</v>
      </c>
      <c r="X232" s="57">
        <f>W232-1</f>
        <v/>
      </c>
      <c r="Y232" s="63" t="n">
        <v>45832</v>
      </c>
      <c r="Z232" s="67" t="n">
        <v>45861</v>
      </c>
      <c r="AA232" s="71">
        <f>Z232+13</f>
        <v/>
      </c>
      <c r="AB232" s="20">
        <f>AA232-U232</f>
        <v/>
      </c>
      <c r="AC232" s="20" t="inlineStr">
        <is>
          <t>No</t>
        </is>
      </c>
      <c r="AD232" s="21" t="inlineStr">
        <is>
          <t>1 HBL</t>
        </is>
      </c>
      <c r="AE232" s="21" t="n"/>
      <c r="AF232" s="22" t="inlineStr">
        <is>
          <t>LW</t>
        </is>
      </c>
      <c r="AG232" s="23" t="inlineStr">
        <is>
          <t>NAC</t>
        </is>
      </c>
      <c r="AH232" s="24" t="n"/>
      <c r="AN232" s="24" t="n"/>
    </row>
    <row r="233" ht="12.75" customHeight="1">
      <c r="A233" s="15" t="n">
        <v>3254506</v>
      </c>
      <c r="B233" s="15" t="inlineStr">
        <is>
          <t>Flexport</t>
        </is>
      </c>
      <c r="C233" s="15" t="inlineStr">
        <is>
          <t>Colombo, LK</t>
        </is>
      </c>
      <c r="D233" s="15" t="inlineStr">
        <is>
          <t>New York, NY, US</t>
        </is>
      </c>
      <c r="E233" s="15" t="inlineStr">
        <is>
          <t>Mississauga, ON, CA</t>
        </is>
      </c>
      <c r="F233" s="15" t="inlineStr">
        <is>
          <t>OCEAN</t>
        </is>
      </c>
      <c r="G233" s="15" t="inlineStr">
        <is>
          <t>C. 1 x 40HC</t>
        </is>
      </c>
      <c r="H233" s="15" t="inlineStr">
        <is>
          <t>CFS/CY</t>
        </is>
      </c>
      <c r="I233" s="15" t="inlineStr">
        <is>
          <t>ONE</t>
        </is>
      </c>
      <c r="J233" s="15" t="inlineStr">
        <is>
          <t>EC3</t>
        </is>
      </c>
      <c r="K233" s="15" t="inlineStr">
        <is>
          <t>MAS AMITY PTE LTD</t>
        </is>
      </c>
      <c r="L233" s="16" t="inlineStr">
        <is>
          <t>MAS Active(Pvt) Ltd – CONTOURLINE</t>
        </is>
      </c>
      <c r="M233" s="15" t="inlineStr">
        <is>
          <t>N</t>
        </is>
      </c>
      <c r="N233" s="17" t="n">
        <v>452903298624</v>
      </c>
      <c r="O233" s="15" t="n">
        <v>19925475</v>
      </c>
      <c r="P233" s="18" t="inlineStr">
        <is>
          <t>LW5FARS</t>
        </is>
      </c>
      <c r="Q233" s="18" t="n">
        <v>7</v>
      </c>
      <c r="R233" s="18" t="n">
        <v>0.474</v>
      </c>
      <c r="S233" s="15" t="n">
        <v>74.989</v>
      </c>
      <c r="T233" s="16" t="n">
        <v>45824</v>
      </c>
      <c r="U233" s="19" t="n">
        <v>45883</v>
      </c>
      <c r="V233" s="16" t="n">
        <v>45824</v>
      </c>
      <c r="W233" s="16" t="n">
        <v>45826</v>
      </c>
      <c r="X233" s="57">
        <f>W233-1</f>
        <v/>
      </c>
      <c r="Y233" s="63" t="n">
        <v>45832</v>
      </c>
      <c r="Z233" s="67" t="n">
        <v>45861</v>
      </c>
      <c r="AA233" s="71">
        <f>Z233+13</f>
        <v/>
      </c>
      <c r="AB233" s="20">
        <f>AA233-U233</f>
        <v/>
      </c>
      <c r="AC233" s="20" t="inlineStr">
        <is>
          <t>No</t>
        </is>
      </c>
      <c r="AD233" s="21" t="inlineStr">
        <is>
          <t>1 HBL</t>
        </is>
      </c>
      <c r="AE233" s="21" t="n"/>
      <c r="AF233" s="22" t="inlineStr">
        <is>
          <t>LW</t>
        </is>
      </c>
      <c r="AG233" s="23" t="inlineStr">
        <is>
          <t>NAC</t>
        </is>
      </c>
      <c r="AH233" s="24" t="n"/>
      <c r="AN233" s="24" t="n"/>
    </row>
    <row r="234" ht="12.75" customHeight="1">
      <c r="A234" s="15" t="n">
        <v>3254506</v>
      </c>
      <c r="B234" s="15" t="inlineStr">
        <is>
          <t>Flexport</t>
        </is>
      </c>
      <c r="C234" s="15" t="inlineStr">
        <is>
          <t>Colombo, LK</t>
        </is>
      </c>
      <c r="D234" s="15" t="inlineStr">
        <is>
          <t>New York, NY, US</t>
        </is>
      </c>
      <c r="E234" s="15" t="inlineStr">
        <is>
          <t>Mississauga, ON, CA</t>
        </is>
      </c>
      <c r="F234" s="15" t="inlineStr">
        <is>
          <t>OCEAN</t>
        </is>
      </c>
      <c r="G234" s="15" t="inlineStr">
        <is>
          <t>C. 1 x 40HC</t>
        </is>
      </c>
      <c r="H234" s="15" t="inlineStr">
        <is>
          <t>CFS/CY</t>
        </is>
      </c>
      <c r="I234" s="15" t="inlineStr">
        <is>
          <t>ONE</t>
        </is>
      </c>
      <c r="J234" s="15" t="inlineStr">
        <is>
          <t>EC3</t>
        </is>
      </c>
      <c r="K234" s="15" t="inlineStr">
        <is>
          <t>MAS AMITY PTE LTD</t>
        </is>
      </c>
      <c r="L234" s="16" t="inlineStr">
        <is>
          <t>MAS Active(Pvt) Ltd – CONTOURLINE</t>
        </is>
      </c>
      <c r="M234" s="15" t="inlineStr">
        <is>
          <t>N</t>
        </is>
      </c>
      <c r="N234" s="17" t="n">
        <v>452903872795</v>
      </c>
      <c r="O234" s="15" t="n">
        <v>19925107</v>
      </c>
      <c r="P234" s="18" t="inlineStr">
        <is>
          <t>LW5ENMS</t>
        </is>
      </c>
      <c r="Q234" s="18" t="n">
        <v>4</v>
      </c>
      <c r="R234" s="18" t="n">
        <v>0.197</v>
      </c>
      <c r="S234" s="15" t="n">
        <v>33.436</v>
      </c>
      <c r="T234" s="16" t="n">
        <v>45824</v>
      </c>
      <c r="U234" s="19" t="n">
        <v>45883</v>
      </c>
      <c r="V234" s="16" t="n">
        <v>45824</v>
      </c>
      <c r="W234" s="16" t="n">
        <v>45826</v>
      </c>
      <c r="X234" s="57">
        <f>W234-1</f>
        <v/>
      </c>
      <c r="Y234" s="63" t="n">
        <v>45832</v>
      </c>
      <c r="Z234" s="67" t="n">
        <v>45861</v>
      </c>
      <c r="AA234" s="71">
        <f>Z234+13</f>
        <v/>
      </c>
      <c r="AB234" s="20">
        <f>AA234-U234</f>
        <v/>
      </c>
      <c r="AC234" s="20" t="inlineStr">
        <is>
          <t>No</t>
        </is>
      </c>
      <c r="AD234" s="21" t="inlineStr">
        <is>
          <t>1 HBL</t>
        </is>
      </c>
      <c r="AE234" s="21" t="n"/>
      <c r="AF234" s="22" t="inlineStr">
        <is>
          <t>LW</t>
        </is>
      </c>
      <c r="AG234" s="23" t="inlineStr">
        <is>
          <t>NAC</t>
        </is>
      </c>
      <c r="AH234" s="24" t="n"/>
      <c r="AN234" s="24" t="n"/>
    </row>
    <row r="235" ht="12.75" customHeight="1">
      <c r="A235" s="15" t="n">
        <v>3254506</v>
      </c>
      <c r="B235" s="15" t="inlineStr">
        <is>
          <t>Flexport</t>
        </is>
      </c>
      <c r="C235" s="15" t="inlineStr">
        <is>
          <t>Colombo, LK</t>
        </is>
      </c>
      <c r="D235" s="15" t="inlineStr">
        <is>
          <t>New York, NY, US</t>
        </is>
      </c>
      <c r="E235" s="15" t="inlineStr">
        <is>
          <t>Mississauga, ON, CA</t>
        </is>
      </c>
      <c r="F235" s="15" t="inlineStr">
        <is>
          <t>OCEAN</t>
        </is>
      </c>
      <c r="G235" s="15" t="inlineStr">
        <is>
          <t>C. 1 x 40HC</t>
        </is>
      </c>
      <c r="H235" s="15" t="inlineStr">
        <is>
          <t>CFS/CY</t>
        </is>
      </c>
      <c r="I235" s="15" t="inlineStr">
        <is>
          <t>ONE</t>
        </is>
      </c>
      <c r="J235" s="15" t="inlineStr">
        <is>
          <t>EC3</t>
        </is>
      </c>
      <c r="K235" s="15" t="inlineStr">
        <is>
          <t>MAS AMITY PTE LTD</t>
        </is>
      </c>
      <c r="L235" s="16" t="inlineStr">
        <is>
          <t>MAS Active(Pvt) Ltd – CONTOURLINE</t>
        </is>
      </c>
      <c r="M235" s="15" t="inlineStr">
        <is>
          <t>N</t>
        </is>
      </c>
      <c r="N235" s="17" t="n">
        <v>452903873171</v>
      </c>
      <c r="O235" s="15" t="n">
        <v>19925369</v>
      </c>
      <c r="P235" s="18" t="inlineStr">
        <is>
          <t>LW5EPSS</t>
        </is>
      </c>
      <c r="Q235" s="18" t="n">
        <v>6</v>
      </c>
      <c r="R235" s="18" t="n">
        <v>0.474</v>
      </c>
      <c r="S235" s="15" t="n">
        <v>74.133</v>
      </c>
      <c r="T235" s="16" t="n">
        <v>45824</v>
      </c>
      <c r="U235" s="19" t="n">
        <v>45883</v>
      </c>
      <c r="V235" s="16" t="n">
        <v>45824</v>
      </c>
      <c r="W235" s="16" t="n">
        <v>45826</v>
      </c>
      <c r="X235" s="57">
        <f>W235-1</f>
        <v/>
      </c>
      <c r="Y235" s="63" t="n">
        <v>45832</v>
      </c>
      <c r="Z235" s="67" t="n">
        <v>45861</v>
      </c>
      <c r="AA235" s="71">
        <f>Z235+13</f>
        <v/>
      </c>
      <c r="AB235" s="20">
        <f>AA235-U235</f>
        <v/>
      </c>
      <c r="AC235" s="20" t="inlineStr">
        <is>
          <t>No</t>
        </is>
      </c>
      <c r="AD235" s="21" t="inlineStr">
        <is>
          <t>1 HBL</t>
        </is>
      </c>
      <c r="AE235" s="21" t="n"/>
      <c r="AF235" s="22" t="inlineStr">
        <is>
          <t>LW</t>
        </is>
      </c>
      <c r="AG235" s="23" t="inlineStr">
        <is>
          <t>NAC</t>
        </is>
      </c>
      <c r="AH235" s="24" t="n"/>
      <c r="AN235" s="24" t="n"/>
    </row>
    <row r="236" ht="12.75" customHeight="1">
      <c r="A236" s="15" t="n">
        <v>3254506</v>
      </c>
      <c r="B236" s="15" t="inlineStr">
        <is>
          <t>Flexport</t>
        </is>
      </c>
      <c r="C236" s="15" t="inlineStr">
        <is>
          <t>Colombo, LK</t>
        </is>
      </c>
      <c r="D236" s="15" t="inlineStr">
        <is>
          <t>New York, NY, US</t>
        </is>
      </c>
      <c r="E236" s="15" t="inlineStr">
        <is>
          <t>Milton, ON, CA</t>
        </is>
      </c>
      <c r="F236" s="15" t="inlineStr">
        <is>
          <t>OCEAN</t>
        </is>
      </c>
      <c r="G236" s="15" t="inlineStr">
        <is>
          <t>C. 1 x 40HC</t>
        </is>
      </c>
      <c r="H236" s="15" t="inlineStr">
        <is>
          <t>CFS/CY</t>
        </is>
      </c>
      <c r="I236" s="15" t="inlineStr">
        <is>
          <t>ONE</t>
        </is>
      </c>
      <c r="J236" s="15" t="inlineStr">
        <is>
          <t>EC3</t>
        </is>
      </c>
      <c r="K236" s="15" t="inlineStr">
        <is>
          <t>Bodyline Trading (Private) Limited</t>
        </is>
      </c>
      <c r="L236" s="16" t="inlineStr">
        <is>
          <t>Bodyline (Private) Limited</t>
        </is>
      </c>
      <c r="M236" s="15" t="inlineStr">
        <is>
          <t>N</t>
        </is>
      </c>
      <c r="N236" s="17" t="n">
        <v>452711175976</v>
      </c>
      <c r="O236" s="15" t="n">
        <v>19878100</v>
      </c>
      <c r="P236" s="18" t="inlineStr">
        <is>
          <t>LW9FLRS</t>
        </is>
      </c>
      <c r="Q236" s="18" t="n">
        <v>4</v>
      </c>
      <c r="R236" s="18" t="n">
        <v>0.176</v>
      </c>
      <c r="S236" s="15" t="n">
        <v>17.892</v>
      </c>
      <c r="T236" s="16" t="n">
        <v>45824</v>
      </c>
      <c r="U236" s="19" t="n">
        <v>45883</v>
      </c>
      <c r="V236" s="16" t="n">
        <v>45824</v>
      </c>
      <c r="W236" s="16" t="n">
        <v>45826</v>
      </c>
      <c r="X236" s="57">
        <f>W236-1</f>
        <v/>
      </c>
      <c r="Y236" s="63" t="n">
        <v>45832</v>
      </c>
      <c r="Z236" s="67" t="n">
        <v>45861</v>
      </c>
      <c r="AA236" s="71">
        <f>Z236+13</f>
        <v/>
      </c>
      <c r="AB236" s="20">
        <f>AA236-U236</f>
        <v/>
      </c>
      <c r="AC236" s="20" t="inlineStr">
        <is>
          <t>No</t>
        </is>
      </c>
      <c r="AD236" s="21" t="inlineStr">
        <is>
          <t>1 HBL</t>
        </is>
      </c>
      <c r="AE236" s="21" t="n"/>
      <c r="AF236" s="22" t="inlineStr">
        <is>
          <t>LW</t>
        </is>
      </c>
      <c r="AG236" s="23" t="inlineStr">
        <is>
          <t>NAC</t>
        </is>
      </c>
      <c r="AH236" s="24" t="n"/>
      <c r="AN236" s="24" t="n"/>
    </row>
    <row r="237" ht="12.75" customHeight="1">
      <c r="A237" s="15" t="n">
        <v>3254506</v>
      </c>
      <c r="B237" s="15" t="inlineStr">
        <is>
          <t>Flexport</t>
        </is>
      </c>
      <c r="C237" s="15" t="inlineStr">
        <is>
          <t>Colombo, LK</t>
        </is>
      </c>
      <c r="D237" s="15" t="inlineStr">
        <is>
          <t>New York, NY, US</t>
        </is>
      </c>
      <c r="E237" s="15" t="inlineStr">
        <is>
          <t>Milton, ON, CA</t>
        </is>
      </c>
      <c r="F237" s="15" t="inlineStr">
        <is>
          <t>OCEAN</t>
        </is>
      </c>
      <c r="G237" s="15" t="inlineStr">
        <is>
          <t>C. 1 x 40HC</t>
        </is>
      </c>
      <c r="H237" s="15" t="inlineStr">
        <is>
          <t>CFS/CY</t>
        </is>
      </c>
      <c r="I237" s="15" t="inlineStr">
        <is>
          <t>ONE</t>
        </is>
      </c>
      <c r="J237" s="15" t="inlineStr">
        <is>
          <t>EC3</t>
        </is>
      </c>
      <c r="K237" s="15" t="inlineStr">
        <is>
          <t>Bodyline Trading (Private) Limited</t>
        </is>
      </c>
      <c r="L237" s="16" t="inlineStr">
        <is>
          <t>Bodyline (Private) Limited</t>
        </is>
      </c>
      <c r="M237" s="15" t="inlineStr">
        <is>
          <t>N</t>
        </is>
      </c>
      <c r="N237" s="17" t="n">
        <v>452736545832</v>
      </c>
      <c r="O237" s="15" t="n">
        <v>19878576</v>
      </c>
      <c r="P237" s="18" t="inlineStr">
        <is>
          <t>LW2DQ0S</t>
        </is>
      </c>
      <c r="Q237" s="18" t="n">
        <v>4</v>
      </c>
      <c r="R237" s="18" t="n">
        <v>0.322</v>
      </c>
      <c r="S237" s="15" t="n">
        <v>23.259</v>
      </c>
      <c r="T237" s="16" t="n">
        <v>45824</v>
      </c>
      <c r="U237" s="19" t="n">
        <v>45883</v>
      </c>
      <c r="V237" s="16" t="n">
        <v>45824</v>
      </c>
      <c r="W237" s="16" t="n">
        <v>45826</v>
      </c>
      <c r="X237" s="57">
        <f>W237-1</f>
        <v/>
      </c>
      <c r="Y237" s="63" t="n">
        <v>45832</v>
      </c>
      <c r="Z237" s="67" t="n">
        <v>45861</v>
      </c>
      <c r="AA237" s="71">
        <f>Z237+13</f>
        <v/>
      </c>
      <c r="AB237" s="20">
        <f>AA237-U237</f>
        <v/>
      </c>
      <c r="AC237" s="20" t="inlineStr">
        <is>
          <t>No</t>
        </is>
      </c>
      <c r="AD237" s="21" t="inlineStr">
        <is>
          <t>1 HBL</t>
        </is>
      </c>
      <c r="AE237" s="21" t="n"/>
      <c r="AF237" s="22" t="inlineStr">
        <is>
          <t>LW</t>
        </is>
      </c>
      <c r="AG237" s="23" t="inlineStr">
        <is>
          <t>NAC</t>
        </is>
      </c>
      <c r="AH237" s="24" t="n"/>
      <c r="AN237" s="24" t="n"/>
    </row>
    <row r="238" ht="12.75" customHeight="1">
      <c r="A238" s="15" t="n">
        <v>3254506</v>
      </c>
      <c r="B238" s="15" t="inlineStr">
        <is>
          <t>Flexport</t>
        </is>
      </c>
      <c r="C238" s="15" t="inlineStr">
        <is>
          <t>Colombo, LK</t>
        </is>
      </c>
      <c r="D238" s="15" t="inlineStr">
        <is>
          <t>New York, NY, US</t>
        </is>
      </c>
      <c r="E238" s="15" t="inlineStr">
        <is>
          <t>Milton, ON, CA</t>
        </is>
      </c>
      <c r="F238" s="15" t="inlineStr">
        <is>
          <t>OCEAN</t>
        </is>
      </c>
      <c r="G238" s="15" t="inlineStr">
        <is>
          <t>C. 1 x 40HC</t>
        </is>
      </c>
      <c r="H238" s="15" t="inlineStr">
        <is>
          <t>CFS/CY</t>
        </is>
      </c>
      <c r="I238" s="15" t="inlineStr">
        <is>
          <t>ONE</t>
        </is>
      </c>
      <c r="J238" s="15" t="inlineStr">
        <is>
          <t>EC3</t>
        </is>
      </c>
      <c r="K238" s="15" t="inlineStr">
        <is>
          <t>Bodyline Trading (Private) Limited</t>
        </is>
      </c>
      <c r="L238" s="16" t="inlineStr">
        <is>
          <t>Bodyline (Private) Limited</t>
        </is>
      </c>
      <c r="M238" s="15" t="inlineStr">
        <is>
          <t>N</t>
        </is>
      </c>
      <c r="N238" s="17" t="n">
        <v>452740193438</v>
      </c>
      <c r="O238" s="15" t="n">
        <v>19878607</v>
      </c>
      <c r="P238" s="18" t="inlineStr">
        <is>
          <t>LW2DQ0S</t>
        </is>
      </c>
      <c r="Q238" s="18" t="n">
        <v>11</v>
      </c>
      <c r="R238" s="18" t="n">
        <v>0.886</v>
      </c>
      <c r="S238" s="15" t="n">
        <v>83.268</v>
      </c>
      <c r="T238" s="16" t="n">
        <v>45824</v>
      </c>
      <c r="U238" s="19" t="n">
        <v>45883</v>
      </c>
      <c r="V238" s="16" t="n">
        <v>45824</v>
      </c>
      <c r="W238" s="16" t="n">
        <v>45826</v>
      </c>
      <c r="X238" s="57">
        <f>W238-1</f>
        <v/>
      </c>
      <c r="Y238" s="63" t="n">
        <v>45832</v>
      </c>
      <c r="Z238" s="67" t="n">
        <v>45861</v>
      </c>
      <c r="AA238" s="71">
        <f>Z238+13</f>
        <v/>
      </c>
      <c r="AB238" s="20">
        <f>AA238-U238</f>
        <v/>
      </c>
      <c r="AC238" s="20" t="inlineStr">
        <is>
          <t>No</t>
        </is>
      </c>
      <c r="AD238" s="21" t="inlineStr">
        <is>
          <t>1 HBL</t>
        </is>
      </c>
      <c r="AE238" s="21" t="n"/>
      <c r="AF238" s="22" t="inlineStr">
        <is>
          <t>LW</t>
        </is>
      </c>
      <c r="AG238" s="23" t="inlineStr">
        <is>
          <t>NAC</t>
        </is>
      </c>
      <c r="AH238" s="24" t="n"/>
      <c r="AN238" s="24" t="n"/>
    </row>
    <row r="239" ht="12.75" customHeight="1">
      <c r="A239" s="15" t="n">
        <v>3254506</v>
      </c>
      <c r="B239" s="15" t="inlineStr">
        <is>
          <t>Flexport</t>
        </is>
      </c>
      <c r="C239" s="15" t="inlineStr">
        <is>
          <t>Colombo, LK</t>
        </is>
      </c>
      <c r="D239" s="15" t="inlineStr">
        <is>
          <t>New York, NY, US</t>
        </is>
      </c>
      <c r="E239" s="15" t="inlineStr">
        <is>
          <t>Milton, ON, CA</t>
        </is>
      </c>
      <c r="F239" s="15" t="inlineStr">
        <is>
          <t>OCEAN</t>
        </is>
      </c>
      <c r="G239" s="15" t="inlineStr">
        <is>
          <t>C. 1 x 40HC</t>
        </is>
      </c>
      <c r="H239" s="15" t="inlineStr">
        <is>
          <t>CFS/CY</t>
        </is>
      </c>
      <c r="I239" s="15" t="inlineStr">
        <is>
          <t>ONE</t>
        </is>
      </c>
      <c r="J239" s="15" t="inlineStr">
        <is>
          <t>EC3</t>
        </is>
      </c>
      <c r="K239" s="15" t="inlineStr">
        <is>
          <t>Bodyline Trading (Private) Limited</t>
        </is>
      </c>
      <c r="L239" s="16" t="inlineStr">
        <is>
          <t>Bodyline (Private) Limited</t>
        </is>
      </c>
      <c r="M239" s="15" t="inlineStr">
        <is>
          <t>N</t>
        </is>
      </c>
      <c r="N239" s="17" t="n">
        <v>452744631950</v>
      </c>
      <c r="O239" s="15" t="n">
        <v>19877438</v>
      </c>
      <c r="P239" s="18" t="inlineStr">
        <is>
          <t>LW9DC3S</t>
        </is>
      </c>
      <c r="Q239" s="18" t="n">
        <v>3</v>
      </c>
      <c r="R239" s="18" t="n">
        <v>0.132</v>
      </c>
      <c r="S239" s="15" t="n">
        <v>13.271</v>
      </c>
      <c r="T239" s="16" t="n">
        <v>45824</v>
      </c>
      <c r="U239" s="19" t="n">
        <v>45883</v>
      </c>
      <c r="V239" s="16" t="n">
        <v>45824</v>
      </c>
      <c r="W239" s="16" t="n">
        <v>45826</v>
      </c>
      <c r="X239" s="57">
        <f>W239-1</f>
        <v/>
      </c>
      <c r="Y239" s="63" t="n">
        <v>45832</v>
      </c>
      <c r="Z239" s="67" t="n">
        <v>45861</v>
      </c>
      <c r="AA239" s="71">
        <f>Z239+13</f>
        <v/>
      </c>
      <c r="AB239" s="20">
        <f>AA239-U239</f>
        <v/>
      </c>
      <c r="AC239" s="20" t="inlineStr">
        <is>
          <t>No</t>
        </is>
      </c>
      <c r="AD239" s="21" t="inlineStr">
        <is>
          <t>1 HBL</t>
        </is>
      </c>
      <c r="AE239" s="21" t="n"/>
      <c r="AF239" s="22" t="inlineStr">
        <is>
          <t>LW</t>
        </is>
      </c>
      <c r="AG239" s="23" t="inlineStr">
        <is>
          <t>NAC</t>
        </is>
      </c>
      <c r="AH239" s="24" t="n"/>
      <c r="AN239" s="24" t="n"/>
    </row>
    <row r="240" ht="12.75" customHeight="1">
      <c r="A240" s="15" t="n">
        <v>3254506</v>
      </c>
      <c r="B240" s="15" t="inlineStr">
        <is>
          <t>Flexport</t>
        </is>
      </c>
      <c r="C240" s="15" t="inlineStr">
        <is>
          <t>Colombo, LK</t>
        </is>
      </c>
      <c r="D240" s="15" t="inlineStr">
        <is>
          <t>New York, NY, US</t>
        </is>
      </c>
      <c r="E240" s="15" t="inlineStr">
        <is>
          <t>Milton, ON, CA</t>
        </is>
      </c>
      <c r="F240" s="15" t="inlineStr">
        <is>
          <t>OCEAN</t>
        </is>
      </c>
      <c r="G240" s="15" t="inlineStr">
        <is>
          <t>C. 1 x 40HC</t>
        </is>
      </c>
      <c r="H240" s="15" t="inlineStr">
        <is>
          <t>CFS/CY</t>
        </is>
      </c>
      <c r="I240" s="15" t="inlineStr">
        <is>
          <t>ONE</t>
        </is>
      </c>
      <c r="J240" s="15" t="inlineStr">
        <is>
          <t>EC3</t>
        </is>
      </c>
      <c r="K240" s="15" t="inlineStr">
        <is>
          <t>Bodyline Trading (Private) Limited</t>
        </is>
      </c>
      <c r="L240" s="16" t="inlineStr">
        <is>
          <t>Bodyline (Private) Limited</t>
        </is>
      </c>
      <c r="M240" s="15" t="inlineStr">
        <is>
          <t>N</t>
        </is>
      </c>
      <c r="N240" s="17" t="n">
        <v>452745107166</v>
      </c>
      <c r="O240" s="15" t="n">
        <v>19877398</v>
      </c>
      <c r="P240" s="18" t="inlineStr">
        <is>
          <t>LW9DC3S</t>
        </is>
      </c>
      <c r="Q240" s="18" t="n">
        <v>3</v>
      </c>
      <c r="R240" s="18" t="n">
        <v>0.132</v>
      </c>
      <c r="S240" s="15" t="n">
        <v>13.035</v>
      </c>
      <c r="T240" s="16" t="n">
        <v>45824</v>
      </c>
      <c r="U240" s="19" t="n">
        <v>45883</v>
      </c>
      <c r="V240" s="16" t="n">
        <v>45824</v>
      </c>
      <c r="W240" s="16" t="n">
        <v>45826</v>
      </c>
      <c r="X240" s="57">
        <f>W240-1</f>
        <v/>
      </c>
      <c r="Y240" s="63" t="n">
        <v>45832</v>
      </c>
      <c r="Z240" s="67" t="n">
        <v>45861</v>
      </c>
      <c r="AA240" s="71">
        <f>Z240+13</f>
        <v/>
      </c>
      <c r="AB240" s="20">
        <f>AA240-U240</f>
        <v/>
      </c>
      <c r="AC240" s="20" t="inlineStr">
        <is>
          <t>No</t>
        </is>
      </c>
      <c r="AD240" s="21" t="inlineStr">
        <is>
          <t>1 HBL</t>
        </is>
      </c>
      <c r="AE240" s="21" t="n"/>
      <c r="AF240" s="22" t="inlineStr">
        <is>
          <t>LW</t>
        </is>
      </c>
      <c r="AG240" s="23" t="inlineStr">
        <is>
          <t>NAC</t>
        </is>
      </c>
      <c r="AH240" s="24" t="n"/>
      <c r="AN240" s="24" t="n"/>
    </row>
    <row r="241" ht="12.75" customHeight="1">
      <c r="A241" s="15" t="n">
        <v>3254506</v>
      </c>
      <c r="B241" s="15" t="inlineStr">
        <is>
          <t>Flexport</t>
        </is>
      </c>
      <c r="C241" s="15" t="inlineStr">
        <is>
          <t>Colombo, LK</t>
        </is>
      </c>
      <c r="D241" s="15" t="inlineStr">
        <is>
          <t>New York, NY, US</t>
        </is>
      </c>
      <c r="E241" s="15" t="inlineStr">
        <is>
          <t>Milton, ON, CA</t>
        </is>
      </c>
      <c r="F241" s="15" t="inlineStr">
        <is>
          <t>OCEAN</t>
        </is>
      </c>
      <c r="G241" s="15" t="inlineStr">
        <is>
          <t>C. 1 x 40HC</t>
        </is>
      </c>
      <c r="H241" s="15" t="inlineStr">
        <is>
          <t>CFS/CY</t>
        </is>
      </c>
      <c r="I241" s="15" t="inlineStr">
        <is>
          <t>ONE</t>
        </is>
      </c>
      <c r="J241" s="15" t="inlineStr">
        <is>
          <t>EC3</t>
        </is>
      </c>
      <c r="K241" s="15" t="inlineStr">
        <is>
          <t>Bodyline Trading (Private) Limited</t>
        </is>
      </c>
      <c r="L241" s="16" t="inlineStr">
        <is>
          <t>Bodyline (Private) Limited</t>
        </is>
      </c>
      <c r="M241" s="15" t="inlineStr">
        <is>
          <t>N</t>
        </is>
      </c>
      <c r="N241" s="17" t="n">
        <v>452749827433</v>
      </c>
      <c r="O241" s="15" t="n">
        <v>19877568</v>
      </c>
      <c r="P241" s="18" t="inlineStr">
        <is>
          <t>LW9DCIS</t>
        </is>
      </c>
      <c r="Q241" s="18" t="n">
        <v>2</v>
      </c>
      <c r="R241" s="18" t="n">
        <v>0.08799999999999999</v>
      </c>
      <c r="S241" s="15" t="n">
        <v>5.834</v>
      </c>
      <c r="T241" s="16" t="n">
        <v>45824</v>
      </c>
      <c r="U241" s="19" t="n">
        <v>45883</v>
      </c>
      <c r="V241" s="16" t="n">
        <v>45824</v>
      </c>
      <c r="W241" s="16" t="n">
        <v>45826</v>
      </c>
      <c r="X241" s="57">
        <f>W241-1</f>
        <v/>
      </c>
      <c r="Y241" s="63" t="n">
        <v>45832</v>
      </c>
      <c r="Z241" s="67" t="n">
        <v>45861</v>
      </c>
      <c r="AA241" s="71">
        <f>Z241+13</f>
        <v/>
      </c>
      <c r="AB241" s="20">
        <f>AA241-U241</f>
        <v/>
      </c>
      <c r="AC241" s="20" t="inlineStr">
        <is>
          <t>No</t>
        </is>
      </c>
      <c r="AD241" s="21" t="inlineStr">
        <is>
          <t>1 HBL</t>
        </is>
      </c>
      <c r="AE241" s="21" t="n"/>
      <c r="AF241" s="22" t="inlineStr">
        <is>
          <t>LW</t>
        </is>
      </c>
      <c r="AG241" s="23" t="inlineStr">
        <is>
          <t>NAC</t>
        </is>
      </c>
      <c r="AH241" s="24" t="n"/>
      <c r="AN241" s="24" t="n"/>
    </row>
    <row r="242" ht="12.75" customHeight="1">
      <c r="A242" s="15" t="n">
        <v>3254506</v>
      </c>
      <c r="B242" s="15" t="inlineStr">
        <is>
          <t>Flexport</t>
        </is>
      </c>
      <c r="C242" s="15" t="inlineStr">
        <is>
          <t>Colombo, LK</t>
        </is>
      </c>
      <c r="D242" s="15" t="inlineStr">
        <is>
          <t>New York, NY, US</t>
        </is>
      </c>
      <c r="E242" s="15" t="inlineStr">
        <is>
          <t>Milton, ON, CA</t>
        </is>
      </c>
      <c r="F242" s="15" t="inlineStr">
        <is>
          <t>OCEAN</t>
        </is>
      </c>
      <c r="G242" s="15" t="inlineStr">
        <is>
          <t>C. 1 x 40HC</t>
        </is>
      </c>
      <c r="H242" s="15" t="inlineStr">
        <is>
          <t>CFS/CY</t>
        </is>
      </c>
      <c r="I242" s="15" t="inlineStr">
        <is>
          <t>ONE</t>
        </is>
      </c>
      <c r="J242" s="15" t="inlineStr">
        <is>
          <t>EC3</t>
        </is>
      </c>
      <c r="K242" s="15" t="inlineStr">
        <is>
          <t>Bodyline Trading (Private) Limited</t>
        </is>
      </c>
      <c r="L242" s="16" t="inlineStr">
        <is>
          <t>Bodyline (Private) Limited</t>
        </is>
      </c>
      <c r="M242" s="15" t="inlineStr">
        <is>
          <t>N</t>
        </is>
      </c>
      <c r="N242" s="17" t="n">
        <v>452752403390</v>
      </c>
      <c r="O242" s="15" t="n">
        <v>19877621</v>
      </c>
      <c r="P242" s="18" t="inlineStr">
        <is>
          <t>LW9DCLS</t>
        </is>
      </c>
      <c r="Q242" s="18" t="n">
        <v>2</v>
      </c>
      <c r="R242" s="18" t="n">
        <v>0.08799999999999999</v>
      </c>
      <c r="S242" s="15" t="n">
        <v>7.539</v>
      </c>
      <c r="T242" s="16" t="n">
        <v>45824</v>
      </c>
      <c r="U242" s="19" t="n">
        <v>45883</v>
      </c>
      <c r="V242" s="16" t="n">
        <v>45824</v>
      </c>
      <c r="W242" s="16" t="n">
        <v>45826</v>
      </c>
      <c r="X242" s="57">
        <f>W242-1</f>
        <v/>
      </c>
      <c r="Y242" s="63" t="n">
        <v>45832</v>
      </c>
      <c r="Z242" s="67" t="n">
        <v>45861</v>
      </c>
      <c r="AA242" s="71">
        <f>Z242+13</f>
        <v/>
      </c>
      <c r="AB242" s="20">
        <f>AA242-U242</f>
        <v/>
      </c>
      <c r="AC242" s="20" t="inlineStr">
        <is>
          <t>No</t>
        </is>
      </c>
      <c r="AD242" s="21" t="inlineStr">
        <is>
          <t>1 HBL</t>
        </is>
      </c>
      <c r="AE242" s="21" t="n"/>
      <c r="AF242" s="22" t="inlineStr">
        <is>
          <t>LW</t>
        </is>
      </c>
      <c r="AG242" s="23" t="inlineStr">
        <is>
          <t>NAC</t>
        </is>
      </c>
      <c r="AH242" s="24" t="n"/>
      <c r="AN242" s="24" t="n"/>
    </row>
    <row r="243" ht="12.75" customHeight="1">
      <c r="A243" s="15" t="n">
        <v>3254506</v>
      </c>
      <c r="B243" s="15" t="inlineStr">
        <is>
          <t>Flexport</t>
        </is>
      </c>
      <c r="C243" s="15" t="inlineStr">
        <is>
          <t>Colombo, LK</t>
        </is>
      </c>
      <c r="D243" s="15" t="inlineStr">
        <is>
          <t>New York, NY, US</t>
        </is>
      </c>
      <c r="E243" s="15" t="inlineStr">
        <is>
          <t>Milton, ON, CA</t>
        </is>
      </c>
      <c r="F243" s="15" t="inlineStr">
        <is>
          <t>OCEAN</t>
        </is>
      </c>
      <c r="G243" s="15" t="inlineStr">
        <is>
          <t>C. 1 x 40HC</t>
        </is>
      </c>
      <c r="H243" s="15" t="inlineStr">
        <is>
          <t>CFS/CY</t>
        </is>
      </c>
      <c r="I243" s="15" t="inlineStr">
        <is>
          <t>ONE</t>
        </is>
      </c>
      <c r="J243" s="15" t="inlineStr">
        <is>
          <t>EC3</t>
        </is>
      </c>
      <c r="K243" s="15" t="inlineStr">
        <is>
          <t>Bodyline Trading (Private) Limited</t>
        </is>
      </c>
      <c r="L243" s="16" t="inlineStr">
        <is>
          <t>Bodyline (Private) Limited</t>
        </is>
      </c>
      <c r="M243" s="15" t="inlineStr">
        <is>
          <t>N</t>
        </is>
      </c>
      <c r="N243" s="17" t="n">
        <v>452759324840</v>
      </c>
      <c r="O243" s="15" t="n">
        <v>19877743</v>
      </c>
      <c r="P243" s="18" t="inlineStr">
        <is>
          <t>LW9DTYS</t>
        </is>
      </c>
      <c r="Q243" s="18" t="n">
        <v>2</v>
      </c>
      <c r="R243" s="18" t="n">
        <v>0.08799999999999999</v>
      </c>
      <c r="S243" s="15" t="n">
        <v>8.555999999999999</v>
      </c>
      <c r="T243" s="16" t="n">
        <v>45824</v>
      </c>
      <c r="U243" s="19" t="n">
        <v>45883</v>
      </c>
      <c r="V243" s="16" t="n">
        <v>45824</v>
      </c>
      <c r="W243" s="16" t="n">
        <v>45826</v>
      </c>
      <c r="X243" s="57">
        <f>W243-1</f>
        <v/>
      </c>
      <c r="Y243" s="63" t="n">
        <v>45832</v>
      </c>
      <c r="Z243" s="67" t="n">
        <v>45861</v>
      </c>
      <c r="AA243" s="71">
        <f>Z243+13</f>
        <v/>
      </c>
      <c r="AB243" s="20">
        <f>AA243-U243</f>
        <v/>
      </c>
      <c r="AC243" s="20" t="inlineStr">
        <is>
          <t>No</t>
        </is>
      </c>
      <c r="AD243" s="21" t="inlineStr">
        <is>
          <t>1 HBL</t>
        </is>
      </c>
      <c r="AE243" s="21" t="n"/>
      <c r="AF243" s="22" t="inlineStr">
        <is>
          <t>LW</t>
        </is>
      </c>
      <c r="AG243" s="23" t="inlineStr">
        <is>
          <t>NAC</t>
        </is>
      </c>
      <c r="AH243" s="24" t="n"/>
      <c r="AN243" s="24" t="n"/>
    </row>
    <row r="244" ht="12.75" customHeight="1">
      <c r="A244" s="15" t="n">
        <v>3254506</v>
      </c>
      <c r="B244" s="15" t="inlineStr">
        <is>
          <t>Flexport</t>
        </is>
      </c>
      <c r="C244" s="15" t="inlineStr">
        <is>
          <t>Colombo, LK</t>
        </is>
      </c>
      <c r="D244" s="15" t="inlineStr">
        <is>
          <t>New York, NY, US</t>
        </is>
      </c>
      <c r="E244" s="15" t="inlineStr">
        <is>
          <t>Milton, ON, CA</t>
        </is>
      </c>
      <c r="F244" s="15" t="inlineStr">
        <is>
          <t>OCEAN</t>
        </is>
      </c>
      <c r="G244" s="15" t="inlineStr">
        <is>
          <t>C. 1 x 40HC</t>
        </is>
      </c>
      <c r="H244" s="15" t="inlineStr">
        <is>
          <t>CFS/CY</t>
        </is>
      </c>
      <c r="I244" s="15" t="inlineStr">
        <is>
          <t>ONE</t>
        </is>
      </c>
      <c r="J244" s="15" t="inlineStr">
        <is>
          <t>EC3</t>
        </is>
      </c>
      <c r="K244" s="15" t="inlineStr">
        <is>
          <t>Bodyline Trading (Private) Limited</t>
        </is>
      </c>
      <c r="L244" s="16" t="inlineStr">
        <is>
          <t>Bodyline (Private) Limited</t>
        </is>
      </c>
      <c r="M244" s="15" t="inlineStr">
        <is>
          <t>N</t>
        </is>
      </c>
      <c r="N244" s="17" t="n">
        <v>452767134024</v>
      </c>
      <c r="O244" s="15" t="n">
        <v>19877486</v>
      </c>
      <c r="P244" s="18" t="inlineStr">
        <is>
          <t>LW9DC4S</t>
        </is>
      </c>
      <c r="Q244" s="18" t="n">
        <v>3</v>
      </c>
      <c r="R244" s="18" t="n">
        <v>0.132</v>
      </c>
      <c r="S244" s="15" t="n">
        <v>15.645</v>
      </c>
      <c r="T244" s="16" t="n">
        <v>45824</v>
      </c>
      <c r="U244" s="19" t="n">
        <v>45883</v>
      </c>
      <c r="V244" s="16" t="n">
        <v>45824</v>
      </c>
      <c r="W244" s="16" t="n">
        <v>45826</v>
      </c>
      <c r="X244" s="57">
        <f>W244-1</f>
        <v/>
      </c>
      <c r="Y244" s="63" t="n">
        <v>45832</v>
      </c>
      <c r="Z244" s="67" t="n">
        <v>45861</v>
      </c>
      <c r="AA244" s="71">
        <f>Z244+13</f>
        <v/>
      </c>
      <c r="AB244" s="20">
        <f>AA244-U244</f>
        <v/>
      </c>
      <c r="AC244" s="20" t="inlineStr">
        <is>
          <t>No</t>
        </is>
      </c>
      <c r="AD244" s="21" t="inlineStr">
        <is>
          <t>1 HBL</t>
        </is>
      </c>
      <c r="AE244" s="21" t="n"/>
      <c r="AF244" s="22" t="inlineStr">
        <is>
          <t>LW</t>
        </is>
      </c>
      <c r="AG244" s="23" t="inlineStr">
        <is>
          <t>NAC</t>
        </is>
      </c>
      <c r="AH244" s="24" t="n"/>
      <c r="AN244" s="24" t="n"/>
    </row>
    <row r="245" ht="12.75" customHeight="1">
      <c r="A245" s="15" t="n">
        <v>3254506</v>
      </c>
      <c r="B245" s="15" t="inlineStr">
        <is>
          <t>Flexport</t>
        </is>
      </c>
      <c r="C245" s="15" t="inlineStr">
        <is>
          <t>Colombo, LK</t>
        </is>
      </c>
      <c r="D245" s="15" t="inlineStr">
        <is>
          <t>New York, NY, US</t>
        </is>
      </c>
      <c r="E245" s="15" t="inlineStr">
        <is>
          <t>Milton, ON, CA</t>
        </is>
      </c>
      <c r="F245" s="15" t="inlineStr">
        <is>
          <t>OCEAN</t>
        </is>
      </c>
      <c r="G245" s="15" t="inlineStr">
        <is>
          <t>C. 1 x 40HC</t>
        </is>
      </c>
      <c r="H245" s="15" t="inlineStr">
        <is>
          <t>CFS/CY</t>
        </is>
      </c>
      <c r="I245" s="15" t="inlineStr">
        <is>
          <t>ONE</t>
        </is>
      </c>
      <c r="J245" s="15" t="inlineStr">
        <is>
          <t>EC3</t>
        </is>
      </c>
      <c r="K245" s="15" t="inlineStr">
        <is>
          <t>Bodyline Trading (Private) Limited</t>
        </is>
      </c>
      <c r="L245" s="16" t="inlineStr">
        <is>
          <t>Bodyline (Private) Limited</t>
        </is>
      </c>
      <c r="M245" s="15" t="inlineStr">
        <is>
          <t>N</t>
        </is>
      </c>
      <c r="N245" s="17" t="n">
        <v>452775582660</v>
      </c>
      <c r="O245" s="15" t="n">
        <v>19877643</v>
      </c>
      <c r="P245" s="18" t="inlineStr">
        <is>
          <t>LW9DE9S</t>
        </is>
      </c>
      <c r="Q245" s="18" t="n">
        <v>3</v>
      </c>
      <c r="R245" s="18" t="n">
        <v>0.132</v>
      </c>
      <c r="S245" s="15" t="n">
        <v>7.695</v>
      </c>
      <c r="T245" s="16" t="n">
        <v>45824</v>
      </c>
      <c r="U245" s="19" t="n">
        <v>45883</v>
      </c>
      <c r="V245" s="16" t="n">
        <v>45824</v>
      </c>
      <c r="W245" s="16" t="n">
        <v>45826</v>
      </c>
      <c r="X245" s="57">
        <f>W245-1</f>
        <v/>
      </c>
      <c r="Y245" s="63" t="n">
        <v>45832</v>
      </c>
      <c r="Z245" s="67" t="n">
        <v>45861</v>
      </c>
      <c r="AA245" s="71">
        <f>Z245+13</f>
        <v/>
      </c>
      <c r="AB245" s="20">
        <f>AA245-U245</f>
        <v/>
      </c>
      <c r="AC245" s="20" t="inlineStr">
        <is>
          <t>No</t>
        </is>
      </c>
      <c r="AD245" s="21" t="inlineStr">
        <is>
          <t>1 HBL</t>
        </is>
      </c>
      <c r="AE245" s="21" t="n"/>
      <c r="AF245" s="22" t="inlineStr">
        <is>
          <t>LW</t>
        </is>
      </c>
      <c r="AG245" s="23" t="inlineStr">
        <is>
          <t>NAC</t>
        </is>
      </c>
      <c r="AH245" s="24" t="n"/>
      <c r="AN245" s="24" t="n"/>
    </row>
    <row r="246" ht="12.75" customHeight="1">
      <c r="A246" s="15" t="n">
        <v>3254506</v>
      </c>
      <c r="B246" s="15" t="inlineStr">
        <is>
          <t>Flexport</t>
        </is>
      </c>
      <c r="C246" s="15" t="inlineStr">
        <is>
          <t>Colombo, LK</t>
        </is>
      </c>
      <c r="D246" s="15" t="inlineStr">
        <is>
          <t>New York, NY, US</t>
        </is>
      </c>
      <c r="E246" s="15" t="inlineStr">
        <is>
          <t>Milton, ON, CA</t>
        </is>
      </c>
      <c r="F246" s="15" t="inlineStr">
        <is>
          <t>OCEAN</t>
        </is>
      </c>
      <c r="G246" s="15" t="inlineStr">
        <is>
          <t>C. 1 x 40HC</t>
        </is>
      </c>
      <c r="H246" s="15" t="inlineStr">
        <is>
          <t>CFS/CY</t>
        </is>
      </c>
      <c r="I246" s="15" t="inlineStr">
        <is>
          <t>ONE</t>
        </is>
      </c>
      <c r="J246" s="15" t="inlineStr">
        <is>
          <t>EC3</t>
        </is>
      </c>
      <c r="K246" s="15" t="inlineStr">
        <is>
          <t>Bodyline Trading (Private) Limited</t>
        </is>
      </c>
      <c r="L246" s="16" t="inlineStr">
        <is>
          <t>Bodyline (Private) Limited</t>
        </is>
      </c>
      <c r="M246" s="15" t="inlineStr">
        <is>
          <t>N</t>
        </is>
      </c>
      <c r="N246" s="17" t="n">
        <v>452850728949</v>
      </c>
      <c r="O246" s="15" t="n">
        <v>19877788</v>
      </c>
      <c r="P246" s="18" t="inlineStr">
        <is>
          <t>LW9DTZS</t>
        </is>
      </c>
      <c r="Q246" s="18" t="n">
        <v>3</v>
      </c>
      <c r="R246" s="18" t="n">
        <v>0.132</v>
      </c>
      <c r="S246" s="15" t="n">
        <v>13.548</v>
      </c>
      <c r="T246" s="16" t="n">
        <v>45824</v>
      </c>
      <c r="U246" s="19" t="n">
        <v>45883</v>
      </c>
      <c r="V246" s="16" t="n">
        <v>45824</v>
      </c>
      <c r="W246" s="16" t="n">
        <v>45826</v>
      </c>
      <c r="X246" s="57">
        <f>W246-1</f>
        <v/>
      </c>
      <c r="Y246" s="63" t="n">
        <v>45832</v>
      </c>
      <c r="Z246" s="67" t="n">
        <v>45861</v>
      </c>
      <c r="AA246" s="71">
        <f>Z246+13</f>
        <v/>
      </c>
      <c r="AB246" s="20">
        <f>AA246-U246</f>
        <v/>
      </c>
      <c r="AC246" s="20" t="inlineStr">
        <is>
          <t>No</t>
        </is>
      </c>
      <c r="AD246" s="21" t="inlineStr">
        <is>
          <t>1 HBL</t>
        </is>
      </c>
      <c r="AE246" s="21" t="n"/>
      <c r="AF246" s="22" t="inlineStr">
        <is>
          <t>LW</t>
        </is>
      </c>
      <c r="AG246" s="23" t="inlineStr">
        <is>
          <t>NAC</t>
        </is>
      </c>
      <c r="AH246" s="24" t="n"/>
      <c r="AN246" s="24" t="n"/>
    </row>
    <row r="247" ht="12.75" customHeight="1">
      <c r="A247" s="15" t="n">
        <v>3254506</v>
      </c>
      <c r="B247" s="15" t="inlineStr">
        <is>
          <t>Flexport</t>
        </is>
      </c>
      <c r="C247" s="15" t="inlineStr">
        <is>
          <t>Colombo, LK</t>
        </is>
      </c>
      <c r="D247" s="15" t="inlineStr">
        <is>
          <t>New York, NY, US</t>
        </is>
      </c>
      <c r="E247" s="15" t="inlineStr">
        <is>
          <t>Milton, ON, CA</t>
        </is>
      </c>
      <c r="F247" s="15" t="inlineStr">
        <is>
          <t>OCEAN</t>
        </is>
      </c>
      <c r="G247" s="15" t="inlineStr">
        <is>
          <t>C. 1 x 40HC</t>
        </is>
      </c>
      <c r="H247" s="15" t="inlineStr">
        <is>
          <t>CFS/CY</t>
        </is>
      </c>
      <c r="I247" s="15" t="inlineStr">
        <is>
          <t>ONE</t>
        </is>
      </c>
      <c r="J247" s="15" t="inlineStr">
        <is>
          <t>EC3</t>
        </is>
      </c>
      <c r="K247" s="15" t="inlineStr">
        <is>
          <t>Inqube Global (PVT) Ltd</t>
        </is>
      </c>
      <c r="L247" s="16" t="inlineStr">
        <is>
          <t>BRANDIX APPAREL SOLUTION LTD - GIRITALE</t>
        </is>
      </c>
      <c r="M247" s="15" t="inlineStr">
        <is>
          <t>N</t>
        </is>
      </c>
      <c r="N247" s="17" t="n">
        <v>452516737431</v>
      </c>
      <c r="O247" s="15" t="n">
        <v>19855823</v>
      </c>
      <c r="P247" s="18" t="inlineStr">
        <is>
          <t>LM5BKOS</t>
        </is>
      </c>
      <c r="Q247" s="18" t="n">
        <v>26</v>
      </c>
      <c r="R247" s="18" t="n">
        <v>2.146</v>
      </c>
      <c r="S247" s="15" t="n">
        <v>461.72</v>
      </c>
      <c r="T247" s="16" t="n">
        <v>45824</v>
      </c>
      <c r="U247" s="19" t="n">
        <v>45883</v>
      </c>
      <c r="V247" s="16" t="n">
        <v>45824</v>
      </c>
      <c r="W247" s="16" t="n">
        <v>45826</v>
      </c>
      <c r="X247" s="57">
        <f>W247-1</f>
        <v/>
      </c>
      <c r="Y247" s="63" t="n">
        <v>45832</v>
      </c>
      <c r="Z247" s="67" t="n">
        <v>45861</v>
      </c>
      <c r="AA247" s="71">
        <f>Z247+13</f>
        <v/>
      </c>
      <c r="AB247" s="20">
        <f>AA247-U247</f>
        <v/>
      </c>
      <c r="AC247" s="20" t="inlineStr">
        <is>
          <t>No</t>
        </is>
      </c>
      <c r="AD247" s="21" t="inlineStr">
        <is>
          <t>1 HBL</t>
        </is>
      </c>
      <c r="AE247" s="21" t="n"/>
      <c r="AF247" s="22" t="inlineStr">
        <is>
          <t>LW</t>
        </is>
      </c>
      <c r="AG247" s="23" t="inlineStr">
        <is>
          <t>NAC</t>
        </is>
      </c>
      <c r="AH247" s="24" t="n"/>
      <c r="AN247" s="24" t="n"/>
    </row>
    <row r="248" ht="12.75" customHeight="1">
      <c r="A248" s="15" t="n">
        <v>3254506</v>
      </c>
      <c r="B248" s="15" t="inlineStr">
        <is>
          <t>Flexport</t>
        </is>
      </c>
      <c r="C248" s="15" t="inlineStr">
        <is>
          <t>Colombo, LK</t>
        </is>
      </c>
      <c r="D248" s="15" t="inlineStr">
        <is>
          <t>New York, NY, US</t>
        </is>
      </c>
      <c r="E248" s="15" t="inlineStr">
        <is>
          <t>Milton, ON, CA</t>
        </is>
      </c>
      <c r="F248" s="15" t="inlineStr">
        <is>
          <t>OCEAN</t>
        </is>
      </c>
      <c r="G248" s="15" t="inlineStr">
        <is>
          <t>C. 1 x 40HC</t>
        </is>
      </c>
      <c r="H248" s="15" t="inlineStr">
        <is>
          <t>CFS/CY</t>
        </is>
      </c>
      <c r="I248" s="15" t="inlineStr">
        <is>
          <t>ONE</t>
        </is>
      </c>
      <c r="J248" s="15" t="inlineStr">
        <is>
          <t>EC3</t>
        </is>
      </c>
      <c r="K248" s="15" t="inlineStr">
        <is>
          <t>Inqube Global (PVT) Ltd</t>
        </is>
      </c>
      <c r="L248" s="16" t="inlineStr">
        <is>
          <t>BRANDIX APPAREL SOLUTION LTD - GIRITALE</t>
        </is>
      </c>
      <c r="M248" s="15" t="inlineStr">
        <is>
          <t>N</t>
        </is>
      </c>
      <c r="N248" s="17" t="n">
        <v>452517477928</v>
      </c>
      <c r="O248" s="15" t="n">
        <v>19855825</v>
      </c>
      <c r="P248" s="18" t="inlineStr">
        <is>
          <t>LM5BKOS</t>
        </is>
      </c>
      <c r="Q248" s="18" t="n">
        <v>21</v>
      </c>
      <c r="R248" s="18" t="n">
        <v>1.693</v>
      </c>
      <c r="S248" s="15" t="n">
        <v>350.46</v>
      </c>
      <c r="T248" s="16" t="n">
        <v>45824</v>
      </c>
      <c r="U248" s="19" t="n">
        <v>45883</v>
      </c>
      <c r="V248" s="16" t="n">
        <v>45824</v>
      </c>
      <c r="W248" s="16" t="n">
        <v>45826</v>
      </c>
      <c r="X248" s="57">
        <f>W248-1</f>
        <v/>
      </c>
      <c r="Y248" s="63" t="n">
        <v>45832</v>
      </c>
      <c r="Z248" s="67" t="n">
        <v>45861</v>
      </c>
      <c r="AA248" s="71">
        <f>Z248+13</f>
        <v/>
      </c>
      <c r="AB248" s="20">
        <f>AA248-U248</f>
        <v/>
      </c>
      <c r="AC248" s="20" t="inlineStr">
        <is>
          <t>No</t>
        </is>
      </c>
      <c r="AD248" s="21" t="inlineStr">
        <is>
          <t>1 HBL</t>
        </is>
      </c>
      <c r="AE248" s="21" t="n"/>
      <c r="AF248" s="22" t="inlineStr">
        <is>
          <t>LW</t>
        </is>
      </c>
      <c r="AG248" s="23" t="inlineStr">
        <is>
          <t>NAC</t>
        </is>
      </c>
      <c r="AH248" s="24" t="n"/>
      <c r="AN248" s="24" t="n"/>
    </row>
    <row r="249" ht="12.75" customHeight="1">
      <c r="A249" s="15" t="n">
        <v>3254506</v>
      </c>
      <c r="B249" s="15" t="inlineStr">
        <is>
          <t>Flexport</t>
        </is>
      </c>
      <c r="C249" s="15" t="inlineStr">
        <is>
          <t>Colombo, LK</t>
        </is>
      </c>
      <c r="D249" s="15" t="inlineStr">
        <is>
          <t>New York, NY, US</t>
        </is>
      </c>
      <c r="E249" s="15" t="inlineStr">
        <is>
          <t>Milton, ON, CA</t>
        </is>
      </c>
      <c r="F249" s="15" t="inlineStr">
        <is>
          <t>OCEAN</t>
        </is>
      </c>
      <c r="G249" s="15" t="inlineStr">
        <is>
          <t>C. 1 x 40HC</t>
        </is>
      </c>
      <c r="H249" s="15" t="inlineStr">
        <is>
          <t>CFS/CY</t>
        </is>
      </c>
      <c r="I249" s="15" t="inlineStr">
        <is>
          <t>ONE</t>
        </is>
      </c>
      <c r="J249" s="15" t="inlineStr">
        <is>
          <t>EC3</t>
        </is>
      </c>
      <c r="K249" s="15" t="inlineStr">
        <is>
          <t>Inqube Global (PVT) Ltd</t>
        </is>
      </c>
      <c r="L249" s="16" t="inlineStr">
        <is>
          <t>Brandix Apparel Solutions Limited - Minuwangoda</t>
        </is>
      </c>
      <c r="M249" s="15" t="inlineStr">
        <is>
          <t>N</t>
        </is>
      </c>
      <c r="N249" s="17" t="n">
        <v>452016338555</v>
      </c>
      <c r="O249" s="15" t="n">
        <v>19897678</v>
      </c>
      <c r="P249" s="18" t="inlineStr">
        <is>
          <t>LW5GLNS</t>
        </is>
      </c>
      <c r="Q249" s="18" t="n">
        <v>13</v>
      </c>
      <c r="R249" s="18" t="n">
        <v>1.021</v>
      </c>
      <c r="S249" s="15" t="n">
        <v>142.51</v>
      </c>
      <c r="T249" s="16" t="n">
        <v>45824</v>
      </c>
      <c r="U249" s="19" t="n">
        <v>45883</v>
      </c>
      <c r="V249" s="16" t="n">
        <v>45824</v>
      </c>
      <c r="W249" s="16" t="n">
        <v>45826</v>
      </c>
      <c r="X249" s="57">
        <f>W249-1</f>
        <v/>
      </c>
      <c r="Y249" s="63" t="n">
        <v>45832</v>
      </c>
      <c r="Z249" s="67" t="n">
        <v>45861</v>
      </c>
      <c r="AA249" s="71">
        <f>Z249+13</f>
        <v/>
      </c>
      <c r="AB249" s="20">
        <f>AA249-U249</f>
        <v/>
      </c>
      <c r="AC249" s="20" t="inlineStr">
        <is>
          <t>No</t>
        </is>
      </c>
      <c r="AD249" s="21" t="inlineStr">
        <is>
          <t>1 HBL</t>
        </is>
      </c>
      <c r="AE249" s="21" t="n"/>
      <c r="AF249" s="22" t="inlineStr">
        <is>
          <t>LW</t>
        </is>
      </c>
      <c r="AG249" s="23" t="inlineStr">
        <is>
          <t>NAC</t>
        </is>
      </c>
      <c r="AH249" s="24" t="n"/>
      <c r="AN249" s="24" t="n"/>
    </row>
    <row r="250" ht="12.75" customHeight="1">
      <c r="A250" s="15" t="n">
        <v>3254506</v>
      </c>
      <c r="B250" s="15" t="inlineStr">
        <is>
          <t>Flexport</t>
        </is>
      </c>
      <c r="C250" s="15" t="inlineStr">
        <is>
          <t>Colombo, LK</t>
        </is>
      </c>
      <c r="D250" s="15" t="inlineStr">
        <is>
          <t>New York, NY, US</t>
        </is>
      </c>
      <c r="E250" s="15" t="inlineStr">
        <is>
          <t>Milton, ON, CA</t>
        </is>
      </c>
      <c r="F250" s="15" t="inlineStr">
        <is>
          <t>OCEAN</t>
        </is>
      </c>
      <c r="G250" s="15" t="inlineStr">
        <is>
          <t>C. 1 x 40HC</t>
        </is>
      </c>
      <c r="H250" s="15" t="inlineStr">
        <is>
          <t>CFS/CY</t>
        </is>
      </c>
      <c r="I250" s="15" t="inlineStr">
        <is>
          <t>ONE</t>
        </is>
      </c>
      <c r="J250" s="15" t="inlineStr">
        <is>
          <t>EC3</t>
        </is>
      </c>
      <c r="K250" s="15" t="inlineStr">
        <is>
          <t>Inqube Global (PVT) Ltd</t>
        </is>
      </c>
      <c r="L250" s="16" t="inlineStr">
        <is>
          <t>Brandix Apparel Solutions Limited - Minuwangoda</t>
        </is>
      </c>
      <c r="M250" s="15" t="inlineStr">
        <is>
          <t>N</t>
        </is>
      </c>
      <c r="N250" s="17" t="n">
        <v>452017063440</v>
      </c>
      <c r="O250" s="15" t="n">
        <v>19897689</v>
      </c>
      <c r="P250" s="18" t="inlineStr">
        <is>
          <t>LW5GLNS</t>
        </is>
      </c>
      <c r="Q250" s="18" t="n">
        <v>28</v>
      </c>
      <c r="R250" s="18" t="n">
        <v>2.198</v>
      </c>
      <c r="S250" s="15" t="n">
        <v>302.33</v>
      </c>
      <c r="T250" s="16" t="n">
        <v>45824</v>
      </c>
      <c r="U250" s="19" t="n">
        <v>45883</v>
      </c>
      <c r="V250" s="16" t="n">
        <v>45824</v>
      </c>
      <c r="W250" s="16" t="n">
        <v>45826</v>
      </c>
      <c r="X250" s="57">
        <f>W250-1</f>
        <v/>
      </c>
      <c r="Y250" s="63" t="n">
        <v>45832</v>
      </c>
      <c r="Z250" s="67" t="n">
        <v>45861</v>
      </c>
      <c r="AA250" s="71">
        <f>Z250+13</f>
        <v/>
      </c>
      <c r="AB250" s="20">
        <f>AA250-U250</f>
        <v/>
      </c>
      <c r="AC250" s="20" t="inlineStr">
        <is>
          <t>No</t>
        </is>
      </c>
      <c r="AD250" s="21" t="inlineStr">
        <is>
          <t>1 HBL</t>
        </is>
      </c>
      <c r="AE250" s="21" t="n"/>
      <c r="AF250" s="22" t="inlineStr">
        <is>
          <t>LW</t>
        </is>
      </c>
      <c r="AG250" s="23" t="inlineStr">
        <is>
          <t>NAC</t>
        </is>
      </c>
      <c r="AH250" s="24" t="n"/>
      <c r="AN250" s="24" t="n"/>
    </row>
    <row r="251" ht="12.75" customHeight="1">
      <c r="A251" s="15" t="n">
        <v>3254506</v>
      </c>
      <c r="B251" s="15" t="inlineStr">
        <is>
          <t>Flexport</t>
        </is>
      </c>
      <c r="C251" s="15" t="inlineStr">
        <is>
          <t>Colombo, LK</t>
        </is>
      </c>
      <c r="D251" s="15" t="inlineStr">
        <is>
          <t>New York, NY, US</t>
        </is>
      </c>
      <c r="E251" s="15" t="inlineStr">
        <is>
          <t>Milton, ON, CA</t>
        </is>
      </c>
      <c r="F251" s="15" t="inlineStr">
        <is>
          <t>OCEAN</t>
        </is>
      </c>
      <c r="G251" s="15" t="inlineStr">
        <is>
          <t>C. 1 x 40HC</t>
        </is>
      </c>
      <c r="H251" s="15" t="inlineStr">
        <is>
          <t>CFS/CY</t>
        </is>
      </c>
      <c r="I251" s="15" t="inlineStr">
        <is>
          <t>ONE</t>
        </is>
      </c>
      <c r="J251" s="15" t="inlineStr">
        <is>
          <t>EC3</t>
        </is>
      </c>
      <c r="K251" s="15" t="inlineStr">
        <is>
          <t>Inqube Global (PVT) Ltd</t>
        </is>
      </c>
      <c r="L251" s="16" t="inlineStr">
        <is>
          <t>Brandix Apparel Solutions Limited - Minuwangoda</t>
        </is>
      </c>
      <c r="M251" s="15" t="inlineStr">
        <is>
          <t>N</t>
        </is>
      </c>
      <c r="N251" s="17" t="n">
        <v>452521447192</v>
      </c>
      <c r="O251" s="15" t="n">
        <v>19897598</v>
      </c>
      <c r="P251" s="18" t="inlineStr">
        <is>
          <t>LW3JBFS</t>
        </is>
      </c>
      <c r="Q251" s="18" t="n">
        <v>21</v>
      </c>
      <c r="R251" s="18" t="n">
        <v>1.649</v>
      </c>
      <c r="S251" s="15" t="n">
        <v>234.33</v>
      </c>
      <c r="T251" s="16" t="n">
        <v>45824</v>
      </c>
      <c r="U251" s="19" t="n">
        <v>45883</v>
      </c>
      <c r="V251" s="16" t="n">
        <v>45824</v>
      </c>
      <c r="W251" s="16" t="n">
        <v>45826</v>
      </c>
      <c r="X251" s="57">
        <f>W251-1</f>
        <v/>
      </c>
      <c r="Y251" s="63" t="n">
        <v>45832</v>
      </c>
      <c r="Z251" s="67" t="n">
        <v>45861</v>
      </c>
      <c r="AA251" s="71">
        <f>Z251+13</f>
        <v/>
      </c>
      <c r="AB251" s="20">
        <f>AA251-U251</f>
        <v/>
      </c>
      <c r="AC251" s="20" t="inlineStr">
        <is>
          <t>No</t>
        </is>
      </c>
      <c r="AD251" s="21" t="inlineStr">
        <is>
          <t>1 HBL</t>
        </is>
      </c>
      <c r="AE251" s="21" t="n"/>
      <c r="AF251" s="22" t="inlineStr">
        <is>
          <t>LW</t>
        </is>
      </c>
      <c r="AG251" s="23" t="inlineStr">
        <is>
          <t>NAC</t>
        </is>
      </c>
      <c r="AH251" s="24" t="n"/>
      <c r="AN251" s="24" t="n"/>
    </row>
    <row r="252" ht="12.75" customHeight="1">
      <c r="A252" s="15" t="n">
        <v>3254506</v>
      </c>
      <c r="B252" s="15" t="inlineStr">
        <is>
          <t>Flexport</t>
        </is>
      </c>
      <c r="C252" s="15" t="inlineStr">
        <is>
          <t>Colombo, LK</t>
        </is>
      </c>
      <c r="D252" s="15" t="inlineStr">
        <is>
          <t>New York, NY, US</t>
        </is>
      </c>
      <c r="E252" s="15" t="inlineStr">
        <is>
          <t>Milton, ON, CA</t>
        </is>
      </c>
      <c r="F252" s="15" t="inlineStr">
        <is>
          <t>OCEAN</t>
        </is>
      </c>
      <c r="G252" s="15" t="inlineStr">
        <is>
          <t>C. 1 x 40HC</t>
        </is>
      </c>
      <c r="H252" s="15" t="inlineStr">
        <is>
          <t>CFS/CY</t>
        </is>
      </c>
      <c r="I252" s="15" t="inlineStr">
        <is>
          <t>ONE</t>
        </is>
      </c>
      <c r="J252" s="15" t="inlineStr">
        <is>
          <t>EC3</t>
        </is>
      </c>
      <c r="K252" s="15" t="inlineStr">
        <is>
          <t>MAS AMITY PTE LTD</t>
        </is>
      </c>
      <c r="L252" s="16" t="inlineStr">
        <is>
          <t>MAS Active (Pvt) Ltd – Shadowline</t>
        </is>
      </c>
      <c r="M252" s="15" t="inlineStr">
        <is>
          <t>N</t>
        </is>
      </c>
      <c r="N252" s="17" t="n">
        <v>452924604893</v>
      </c>
      <c r="O252" s="15" t="n">
        <v>19899969</v>
      </c>
      <c r="P252" s="18" t="inlineStr">
        <is>
          <t>LW5FLOS</t>
        </is>
      </c>
      <c r="Q252" s="18" t="n">
        <v>2</v>
      </c>
      <c r="R252" s="18" t="n">
        <v>0.118</v>
      </c>
      <c r="S252" s="15" t="n">
        <v>10.402</v>
      </c>
      <c r="T252" s="16" t="n">
        <v>45824</v>
      </c>
      <c r="U252" s="19" t="n">
        <v>45883</v>
      </c>
      <c r="V252" s="16" t="n">
        <v>45824</v>
      </c>
      <c r="W252" s="16" t="n">
        <v>45826</v>
      </c>
      <c r="X252" s="57">
        <f>W252-1</f>
        <v/>
      </c>
      <c r="Y252" s="63" t="n">
        <v>45832</v>
      </c>
      <c r="Z252" s="67" t="n">
        <v>45861</v>
      </c>
      <c r="AA252" s="71">
        <f>Z252+13</f>
        <v/>
      </c>
      <c r="AB252" s="20">
        <f>AA252-U252</f>
        <v/>
      </c>
      <c r="AC252" s="20" t="inlineStr">
        <is>
          <t>No</t>
        </is>
      </c>
      <c r="AD252" s="21" t="inlineStr">
        <is>
          <t>1 HBL</t>
        </is>
      </c>
      <c r="AE252" s="21" t="n"/>
      <c r="AF252" s="22" t="inlineStr">
        <is>
          <t>LW</t>
        </is>
      </c>
      <c r="AG252" s="23" t="inlineStr">
        <is>
          <t>NAC</t>
        </is>
      </c>
      <c r="AH252" s="24" t="n"/>
      <c r="AN252" s="24" t="n"/>
    </row>
    <row r="253" ht="12.75" customHeight="1">
      <c r="A253" s="15" t="n">
        <v>3254506</v>
      </c>
      <c r="B253" s="15" t="inlineStr">
        <is>
          <t>Flexport</t>
        </is>
      </c>
      <c r="C253" s="15" t="inlineStr">
        <is>
          <t>Colombo, LK</t>
        </is>
      </c>
      <c r="D253" s="15" t="inlineStr">
        <is>
          <t>New York, NY, US</t>
        </is>
      </c>
      <c r="E253" s="15" t="inlineStr">
        <is>
          <t>Milton, ON, CA</t>
        </is>
      </c>
      <c r="F253" s="15" t="inlineStr">
        <is>
          <t>OCEAN</t>
        </is>
      </c>
      <c r="G253" s="15" t="inlineStr">
        <is>
          <t>C. 1 x 40HC</t>
        </is>
      </c>
      <c r="H253" s="15" t="inlineStr">
        <is>
          <t>CFS/CY</t>
        </is>
      </c>
      <c r="I253" s="15" t="inlineStr">
        <is>
          <t>ONE</t>
        </is>
      </c>
      <c r="J253" s="15" t="inlineStr">
        <is>
          <t>EC3</t>
        </is>
      </c>
      <c r="K253" s="15" t="inlineStr">
        <is>
          <t>MAS AMITY PTE LTD</t>
        </is>
      </c>
      <c r="L253" s="16" t="inlineStr">
        <is>
          <t>MAS Active (Pvt) Ltd – Sleekline</t>
        </is>
      </c>
      <c r="M253" s="15" t="inlineStr">
        <is>
          <t>N</t>
        </is>
      </c>
      <c r="N253" s="17" t="n">
        <v>452834851376</v>
      </c>
      <c r="O253" s="15" t="n">
        <v>19899418</v>
      </c>
      <c r="P253" s="18" t="inlineStr">
        <is>
          <t>LM9AMTS</t>
        </is>
      </c>
      <c r="Q253" s="18" t="n">
        <v>7</v>
      </c>
      <c r="R253" s="18" t="n">
        <v>0.555</v>
      </c>
      <c r="S253" s="15" t="n">
        <v>103.72</v>
      </c>
      <c r="T253" s="16" t="n">
        <v>45824</v>
      </c>
      <c r="U253" s="19" t="n">
        <v>45883</v>
      </c>
      <c r="V253" s="16" t="n">
        <v>45824</v>
      </c>
      <c r="W253" s="16" t="n">
        <v>45826</v>
      </c>
      <c r="X253" s="57">
        <f>W253-1</f>
        <v/>
      </c>
      <c r="Y253" s="63" t="n">
        <v>45832</v>
      </c>
      <c r="Z253" s="67" t="n">
        <v>45861</v>
      </c>
      <c r="AA253" s="71">
        <f>Z253+13</f>
        <v/>
      </c>
      <c r="AB253" s="20">
        <f>AA253-U253</f>
        <v/>
      </c>
      <c r="AC253" s="20" t="inlineStr">
        <is>
          <t>No</t>
        </is>
      </c>
      <c r="AD253" s="21" t="inlineStr">
        <is>
          <t>1 HBL</t>
        </is>
      </c>
      <c r="AE253" s="21" t="n"/>
      <c r="AF253" s="22" t="inlineStr">
        <is>
          <t>LW</t>
        </is>
      </c>
      <c r="AG253" s="23" t="inlineStr">
        <is>
          <t>NAC</t>
        </is>
      </c>
      <c r="AH253" s="24" t="n"/>
      <c r="AN253" s="24" t="n"/>
    </row>
    <row r="254" ht="12.75" customHeight="1">
      <c r="A254" s="15" t="n">
        <v>3254506</v>
      </c>
      <c r="B254" s="15" t="inlineStr">
        <is>
          <t>Flexport</t>
        </is>
      </c>
      <c r="C254" s="15" t="inlineStr">
        <is>
          <t>Colombo, LK</t>
        </is>
      </c>
      <c r="D254" s="15" t="inlineStr">
        <is>
          <t>New York, NY, US</t>
        </is>
      </c>
      <c r="E254" s="15" t="inlineStr">
        <is>
          <t>Milton, ON, CA</t>
        </is>
      </c>
      <c r="F254" s="15" t="inlineStr">
        <is>
          <t>OCEAN</t>
        </is>
      </c>
      <c r="G254" s="15" t="inlineStr">
        <is>
          <t>C. 1 x 40HC</t>
        </is>
      </c>
      <c r="H254" s="15" t="inlineStr">
        <is>
          <t>CFS/CY</t>
        </is>
      </c>
      <c r="I254" s="15" t="inlineStr">
        <is>
          <t>ONE</t>
        </is>
      </c>
      <c r="J254" s="15" t="inlineStr">
        <is>
          <t>EC3</t>
        </is>
      </c>
      <c r="K254" s="15" t="inlineStr">
        <is>
          <t>MAS AMITY PTE LTD</t>
        </is>
      </c>
      <c r="L254" s="16" t="inlineStr">
        <is>
          <t>MAS Active (Pvt) Ltd – Sleekline</t>
        </is>
      </c>
      <c r="M254" s="15" t="inlineStr">
        <is>
          <t>N</t>
        </is>
      </c>
      <c r="N254" s="17" t="n">
        <v>452835956203</v>
      </c>
      <c r="O254" s="15" t="n">
        <v>19899456</v>
      </c>
      <c r="P254" s="18" t="inlineStr">
        <is>
          <t>LM9AMVS</t>
        </is>
      </c>
      <c r="Q254" s="18" t="n">
        <v>3</v>
      </c>
      <c r="R254" s="18" t="n">
        <v>0.238</v>
      </c>
      <c r="S254" s="15" t="n">
        <v>35.78</v>
      </c>
      <c r="T254" s="16" t="n">
        <v>45824</v>
      </c>
      <c r="U254" s="19" t="n">
        <v>45883</v>
      </c>
      <c r="V254" s="16" t="n">
        <v>45824</v>
      </c>
      <c r="W254" s="16" t="n">
        <v>45826</v>
      </c>
      <c r="X254" s="57">
        <f>W254-1</f>
        <v/>
      </c>
      <c r="Y254" s="63" t="n">
        <v>45832</v>
      </c>
      <c r="Z254" s="67" t="n">
        <v>45861</v>
      </c>
      <c r="AA254" s="71">
        <f>Z254+13</f>
        <v/>
      </c>
      <c r="AB254" s="20">
        <f>AA254-U254</f>
        <v/>
      </c>
      <c r="AC254" s="20" t="inlineStr">
        <is>
          <t>No</t>
        </is>
      </c>
      <c r="AD254" s="21" t="inlineStr">
        <is>
          <t>1 HBL</t>
        </is>
      </c>
      <c r="AE254" s="21" t="n"/>
      <c r="AF254" s="22" t="inlineStr">
        <is>
          <t>LW</t>
        </is>
      </c>
      <c r="AG254" s="23" t="inlineStr">
        <is>
          <t>NAC</t>
        </is>
      </c>
      <c r="AH254" s="24" t="n"/>
      <c r="AN254" s="24" t="n"/>
    </row>
    <row r="255" ht="12.75" customHeight="1">
      <c r="A255" s="15" t="n">
        <v>3254506</v>
      </c>
      <c r="B255" s="15" t="inlineStr">
        <is>
          <t>Flexport</t>
        </is>
      </c>
      <c r="C255" s="15" t="inlineStr">
        <is>
          <t>Colombo, LK</t>
        </is>
      </c>
      <c r="D255" s="15" t="inlineStr">
        <is>
          <t>New York, NY, US</t>
        </is>
      </c>
      <c r="E255" s="15" t="inlineStr">
        <is>
          <t>Milton, ON, CA</t>
        </is>
      </c>
      <c r="F255" s="15" t="inlineStr">
        <is>
          <t>OCEAN</t>
        </is>
      </c>
      <c r="G255" s="15" t="inlineStr">
        <is>
          <t>C. 1 x 40HC</t>
        </is>
      </c>
      <c r="H255" s="15" t="inlineStr">
        <is>
          <t>CFS/CY</t>
        </is>
      </c>
      <c r="I255" s="15" t="inlineStr">
        <is>
          <t>ONE</t>
        </is>
      </c>
      <c r="J255" s="15" t="inlineStr">
        <is>
          <t>EC3</t>
        </is>
      </c>
      <c r="K255" s="15" t="inlineStr">
        <is>
          <t>MAS AMITY PTE LTD</t>
        </is>
      </c>
      <c r="L255" s="16" t="inlineStr">
        <is>
          <t>MAS Active (Pvt) Ltd – Sleekline</t>
        </is>
      </c>
      <c r="M255" s="15" t="inlineStr">
        <is>
          <t>N</t>
        </is>
      </c>
      <c r="N255" s="17" t="n">
        <v>452835957463</v>
      </c>
      <c r="O255" s="15" t="n">
        <v>19899496</v>
      </c>
      <c r="P255" s="18" t="inlineStr">
        <is>
          <t>LM9AY5S</t>
        </is>
      </c>
      <c r="Q255" s="18" t="n">
        <v>2</v>
      </c>
      <c r="R255" s="18" t="n">
        <v>0.119</v>
      </c>
      <c r="S255" s="15" t="n">
        <v>16.43</v>
      </c>
      <c r="T255" s="16" t="n">
        <v>45824</v>
      </c>
      <c r="U255" s="19" t="n">
        <v>45888</v>
      </c>
      <c r="V255" s="16" t="n">
        <v>45824</v>
      </c>
      <c r="W255" s="16" t="n">
        <v>45826</v>
      </c>
      <c r="X255" s="57">
        <f>W255-1</f>
        <v/>
      </c>
      <c r="Y255" s="63" t="n">
        <v>45832</v>
      </c>
      <c r="Z255" s="67" t="n">
        <v>45861</v>
      </c>
      <c r="AA255" s="71">
        <f>Z255+13</f>
        <v/>
      </c>
      <c r="AB255" s="20">
        <f>AA255-U255</f>
        <v/>
      </c>
      <c r="AC255" s="20" t="inlineStr">
        <is>
          <t>No</t>
        </is>
      </c>
      <c r="AD255" s="21" t="inlineStr">
        <is>
          <t>1 HBL</t>
        </is>
      </c>
      <c r="AE255" s="21" t="n"/>
      <c r="AF255" s="22" t="inlineStr">
        <is>
          <t>LW</t>
        </is>
      </c>
      <c r="AG255" s="23" t="inlineStr">
        <is>
          <t>NAC</t>
        </is>
      </c>
      <c r="AH255" s="24" t="n"/>
      <c r="AN255" s="24" t="n"/>
    </row>
    <row r="256" ht="12.75" customHeight="1">
      <c r="A256" s="15" t="n">
        <v>3254506</v>
      </c>
      <c r="B256" s="15" t="inlineStr">
        <is>
          <t>Flexport</t>
        </is>
      </c>
      <c r="C256" s="15" t="inlineStr">
        <is>
          <t>Colombo, LK</t>
        </is>
      </c>
      <c r="D256" s="15" t="inlineStr">
        <is>
          <t>New York, NY, US</t>
        </is>
      </c>
      <c r="E256" s="15" t="inlineStr">
        <is>
          <t>Milton, ON, CA</t>
        </is>
      </c>
      <c r="F256" s="15" t="inlineStr">
        <is>
          <t>OCEAN</t>
        </is>
      </c>
      <c r="G256" s="15" t="inlineStr">
        <is>
          <t>C. 1 x 40HC</t>
        </is>
      </c>
      <c r="H256" s="15" t="inlineStr">
        <is>
          <t>CFS/CY</t>
        </is>
      </c>
      <c r="I256" s="15" t="inlineStr">
        <is>
          <t>ONE</t>
        </is>
      </c>
      <c r="J256" s="15" t="inlineStr">
        <is>
          <t>EC3</t>
        </is>
      </c>
      <c r="K256" s="15" t="inlineStr">
        <is>
          <t>MAS AMITY PTE LTD</t>
        </is>
      </c>
      <c r="L256" s="16" t="inlineStr">
        <is>
          <t>MAS Active (Pvt) Ltd – Sleekline</t>
        </is>
      </c>
      <c r="M256" s="15" t="inlineStr">
        <is>
          <t>N</t>
        </is>
      </c>
      <c r="N256" s="17" t="n">
        <v>452837963387</v>
      </c>
      <c r="O256" s="15" t="n">
        <v>19899504</v>
      </c>
      <c r="P256" s="18" t="inlineStr">
        <is>
          <t>LM9AY9S</t>
        </is>
      </c>
      <c r="Q256" s="18" t="n">
        <v>16</v>
      </c>
      <c r="R256" s="18" t="n">
        <v>1.269</v>
      </c>
      <c r="S256" s="15" t="n">
        <v>231.89</v>
      </c>
      <c r="T256" s="16" t="n">
        <v>45824</v>
      </c>
      <c r="U256" s="19" t="n">
        <v>45883</v>
      </c>
      <c r="V256" s="16" t="n">
        <v>45824</v>
      </c>
      <c r="W256" s="16" t="n">
        <v>45826</v>
      </c>
      <c r="X256" s="57">
        <f>W256-1</f>
        <v/>
      </c>
      <c r="Y256" s="63" t="n">
        <v>45832</v>
      </c>
      <c r="Z256" s="67" t="n">
        <v>45861</v>
      </c>
      <c r="AA256" s="71">
        <f>Z256+13</f>
        <v/>
      </c>
      <c r="AB256" s="20">
        <f>AA256-U256</f>
        <v/>
      </c>
      <c r="AC256" s="20" t="inlineStr">
        <is>
          <t>No</t>
        </is>
      </c>
      <c r="AD256" s="21" t="inlineStr">
        <is>
          <t>1 HBL</t>
        </is>
      </c>
      <c r="AE256" s="21" t="n"/>
      <c r="AF256" s="22" t="inlineStr">
        <is>
          <t>LW</t>
        </is>
      </c>
      <c r="AG256" s="23" t="inlineStr">
        <is>
          <t>NAC</t>
        </is>
      </c>
      <c r="AH256" s="24" t="n"/>
      <c r="AN256" s="24" t="n"/>
    </row>
    <row r="257" ht="12.75" customHeight="1">
      <c r="A257" s="15" t="n">
        <v>3254506</v>
      </c>
      <c r="B257" s="15" t="inlineStr">
        <is>
          <t>Flexport</t>
        </is>
      </c>
      <c r="C257" s="15" t="inlineStr">
        <is>
          <t>Colombo, LK</t>
        </is>
      </c>
      <c r="D257" s="15" t="inlineStr">
        <is>
          <t>New York, NY, US</t>
        </is>
      </c>
      <c r="E257" s="15" t="inlineStr">
        <is>
          <t>Milton, ON, CA</t>
        </is>
      </c>
      <c r="F257" s="15" t="inlineStr">
        <is>
          <t>OCEAN</t>
        </is>
      </c>
      <c r="G257" s="15" t="inlineStr">
        <is>
          <t>C. 1 x 40HC</t>
        </is>
      </c>
      <c r="H257" s="15" t="inlineStr">
        <is>
          <t>CFS/CY</t>
        </is>
      </c>
      <c r="I257" s="15" t="inlineStr">
        <is>
          <t>ONE</t>
        </is>
      </c>
      <c r="J257" s="15" t="inlineStr">
        <is>
          <t>EC3</t>
        </is>
      </c>
      <c r="K257" s="15" t="inlineStr">
        <is>
          <t>MAS AMITY PTE LTD</t>
        </is>
      </c>
      <c r="L257" s="16" t="inlineStr">
        <is>
          <t>MAS Active (Pvt) Ltd – Sleekline</t>
        </is>
      </c>
      <c r="M257" s="15" t="inlineStr">
        <is>
          <t>N</t>
        </is>
      </c>
      <c r="N257" s="17" t="n">
        <v>452837963878</v>
      </c>
      <c r="O257" s="15" t="n">
        <v>19899505</v>
      </c>
      <c r="P257" s="18" t="inlineStr">
        <is>
          <t>LM9AY9S</t>
        </is>
      </c>
      <c r="Q257" s="18" t="n">
        <v>6</v>
      </c>
      <c r="R257" s="18" t="n">
        <v>0.476</v>
      </c>
      <c r="S257" s="15" t="n">
        <v>83.54000000000001</v>
      </c>
      <c r="T257" s="16" t="n">
        <v>45824</v>
      </c>
      <c r="U257" s="19" t="n">
        <v>45883</v>
      </c>
      <c r="V257" s="16" t="n">
        <v>45824</v>
      </c>
      <c r="W257" s="16" t="n">
        <v>45826</v>
      </c>
      <c r="X257" s="57">
        <f>W257-1</f>
        <v/>
      </c>
      <c r="Y257" s="63" t="n">
        <v>45832</v>
      </c>
      <c r="Z257" s="67" t="n">
        <v>45861</v>
      </c>
      <c r="AA257" s="71">
        <f>Z257+13</f>
        <v/>
      </c>
      <c r="AB257" s="20">
        <f>AA257-U257</f>
        <v/>
      </c>
      <c r="AC257" s="20" t="inlineStr">
        <is>
          <t>No</t>
        </is>
      </c>
      <c r="AD257" s="21" t="inlineStr">
        <is>
          <t>1 HBL</t>
        </is>
      </c>
      <c r="AE257" s="21" t="n"/>
      <c r="AF257" s="22" t="inlineStr">
        <is>
          <t>LW</t>
        </is>
      </c>
      <c r="AG257" s="23" t="inlineStr">
        <is>
          <t>NAC</t>
        </is>
      </c>
      <c r="AH257" s="24" t="n"/>
      <c r="AN257" s="24" t="n"/>
    </row>
    <row r="258" ht="12.75" customHeight="1">
      <c r="A258" s="15" t="n">
        <v>3254506</v>
      </c>
      <c r="B258" s="15" t="inlineStr">
        <is>
          <t>Flexport</t>
        </is>
      </c>
      <c r="C258" s="15" t="inlineStr">
        <is>
          <t>Colombo, LK</t>
        </is>
      </c>
      <c r="D258" s="15" t="inlineStr">
        <is>
          <t>New York, NY, US</t>
        </is>
      </c>
      <c r="E258" s="15" t="inlineStr">
        <is>
          <t>Milton, ON, CA</t>
        </is>
      </c>
      <c r="F258" s="15" t="inlineStr">
        <is>
          <t>OCEAN</t>
        </is>
      </c>
      <c r="G258" s="15" t="inlineStr">
        <is>
          <t>C. 1 x 40HC</t>
        </is>
      </c>
      <c r="H258" s="15" t="inlineStr">
        <is>
          <t>CFS/CY</t>
        </is>
      </c>
      <c r="I258" s="15" t="inlineStr">
        <is>
          <t>ONE</t>
        </is>
      </c>
      <c r="J258" s="15" t="inlineStr">
        <is>
          <t>EC3</t>
        </is>
      </c>
      <c r="K258" s="15" t="inlineStr">
        <is>
          <t>MAS AMITY PTE LTD</t>
        </is>
      </c>
      <c r="L258" s="16" t="inlineStr">
        <is>
          <t>MAS Active (Pvt) Ltd – Sleekline</t>
        </is>
      </c>
      <c r="M258" s="15" t="inlineStr">
        <is>
          <t>N</t>
        </is>
      </c>
      <c r="N258" s="17" t="n">
        <v>452839125735</v>
      </c>
      <c r="O258" s="15" t="n">
        <v>19899516</v>
      </c>
      <c r="P258" s="18" t="inlineStr">
        <is>
          <t>LM9AY9S</t>
        </is>
      </c>
      <c r="Q258" s="18" t="n">
        <v>6</v>
      </c>
      <c r="R258" s="18" t="n">
        <v>0.436</v>
      </c>
      <c r="S258" s="15" t="n">
        <v>66.45399999999999</v>
      </c>
      <c r="T258" s="16" t="n">
        <v>45824</v>
      </c>
      <c r="U258" s="19" t="n">
        <v>45883</v>
      </c>
      <c r="V258" s="16" t="n">
        <v>45824</v>
      </c>
      <c r="W258" s="16" t="n">
        <v>45826</v>
      </c>
      <c r="X258" s="57">
        <f>W258-1</f>
        <v/>
      </c>
      <c r="Y258" s="63" t="n">
        <v>45832</v>
      </c>
      <c r="Z258" s="67" t="n">
        <v>45861</v>
      </c>
      <c r="AA258" s="71">
        <f>Z258+13</f>
        <v/>
      </c>
      <c r="AB258" s="20">
        <f>AA258-U258</f>
        <v/>
      </c>
      <c r="AC258" s="20" t="inlineStr">
        <is>
          <t>No</t>
        </is>
      </c>
      <c r="AD258" s="21" t="inlineStr">
        <is>
          <t>1 HBL</t>
        </is>
      </c>
      <c r="AE258" s="21" t="n"/>
      <c r="AF258" s="22" t="inlineStr">
        <is>
          <t>LW</t>
        </is>
      </c>
      <c r="AG258" s="23" t="inlineStr">
        <is>
          <t>NAC</t>
        </is>
      </c>
      <c r="AH258" s="24" t="n"/>
      <c r="AN258" s="24" t="n"/>
    </row>
    <row r="259" ht="12.75" customHeight="1">
      <c r="A259" s="15" t="n">
        <v>3254506</v>
      </c>
      <c r="B259" s="15" t="inlineStr">
        <is>
          <t>Flexport</t>
        </is>
      </c>
      <c r="C259" s="15" t="inlineStr">
        <is>
          <t>Colombo, LK</t>
        </is>
      </c>
      <c r="D259" s="15" t="inlineStr">
        <is>
          <t>New York, NY, US</t>
        </is>
      </c>
      <c r="E259" s="15" t="inlineStr">
        <is>
          <t>Milton, ON, CA</t>
        </is>
      </c>
      <c r="F259" s="15" t="inlineStr">
        <is>
          <t>OCEAN</t>
        </is>
      </c>
      <c r="G259" s="15" t="inlineStr">
        <is>
          <t>C. 1 x 40HC</t>
        </is>
      </c>
      <c r="H259" s="15" t="inlineStr">
        <is>
          <t>CFS/CY</t>
        </is>
      </c>
      <c r="I259" s="15" t="inlineStr">
        <is>
          <t>ONE</t>
        </is>
      </c>
      <c r="J259" s="15" t="inlineStr">
        <is>
          <t>EC3</t>
        </is>
      </c>
      <c r="K259" s="15" t="inlineStr">
        <is>
          <t>MAS AMITY PTE LTD</t>
        </is>
      </c>
      <c r="L259" s="16" t="inlineStr">
        <is>
          <t>MAS Active (Pvt) Ltd – Sleekline</t>
        </is>
      </c>
      <c r="M259" s="15" t="inlineStr">
        <is>
          <t>N</t>
        </is>
      </c>
      <c r="N259" s="17" t="n">
        <v>452840026315</v>
      </c>
      <c r="O259" s="15" t="n">
        <v>19899535</v>
      </c>
      <c r="P259" s="18" t="inlineStr">
        <is>
          <t>LM9AYLS</t>
        </is>
      </c>
      <c r="Q259" s="18" t="n">
        <v>2</v>
      </c>
      <c r="R259" s="18" t="n">
        <v>0.159</v>
      </c>
      <c r="S259" s="15" t="n">
        <v>17.29</v>
      </c>
      <c r="T259" s="16" t="n">
        <v>45824</v>
      </c>
      <c r="U259" s="19" t="n">
        <v>45883</v>
      </c>
      <c r="V259" s="16" t="n">
        <v>45824</v>
      </c>
      <c r="W259" s="16" t="n">
        <v>45826</v>
      </c>
      <c r="X259" s="57">
        <f>W259-1</f>
        <v/>
      </c>
      <c r="Y259" s="63" t="n">
        <v>45832</v>
      </c>
      <c r="Z259" s="67" t="n">
        <v>45861</v>
      </c>
      <c r="AA259" s="71">
        <f>Z259+13</f>
        <v/>
      </c>
      <c r="AB259" s="20">
        <f>AA259-U259</f>
        <v/>
      </c>
      <c r="AC259" s="20" t="inlineStr">
        <is>
          <t>No</t>
        </is>
      </c>
      <c r="AD259" s="21" t="inlineStr">
        <is>
          <t>1 HBL</t>
        </is>
      </c>
      <c r="AE259" s="21" t="n"/>
      <c r="AF259" s="22" t="inlineStr">
        <is>
          <t>LW</t>
        </is>
      </c>
      <c r="AG259" s="23" t="inlineStr">
        <is>
          <t>NAC</t>
        </is>
      </c>
      <c r="AH259" s="24" t="n"/>
      <c r="AN259" s="24" t="n"/>
    </row>
    <row r="260" ht="12.75" customHeight="1">
      <c r="A260" s="15" t="n">
        <v>3254506</v>
      </c>
      <c r="B260" s="15" t="inlineStr">
        <is>
          <t>Flexport</t>
        </is>
      </c>
      <c r="C260" s="15" t="inlineStr">
        <is>
          <t>Colombo, LK</t>
        </is>
      </c>
      <c r="D260" s="15" t="inlineStr">
        <is>
          <t>New York, NY, US</t>
        </is>
      </c>
      <c r="E260" s="15" t="inlineStr">
        <is>
          <t>Milton, ON, CA</t>
        </is>
      </c>
      <c r="F260" s="15" t="inlineStr">
        <is>
          <t>OCEAN</t>
        </is>
      </c>
      <c r="G260" s="15" t="inlineStr">
        <is>
          <t>C. 1 x 40HC</t>
        </is>
      </c>
      <c r="H260" s="15" t="inlineStr">
        <is>
          <t>CFS/CY</t>
        </is>
      </c>
      <c r="I260" s="15" t="inlineStr">
        <is>
          <t>ONE</t>
        </is>
      </c>
      <c r="J260" s="15" t="inlineStr">
        <is>
          <t>EC3</t>
        </is>
      </c>
      <c r="K260" s="15" t="inlineStr">
        <is>
          <t>MAS AMITY PTE LTD</t>
        </is>
      </c>
      <c r="L260" s="16" t="inlineStr">
        <is>
          <t>MAS Active (Pvt) Ltd – Sleekline</t>
        </is>
      </c>
      <c r="M260" s="15" t="inlineStr">
        <is>
          <t>N</t>
        </is>
      </c>
      <c r="N260" s="17" t="n">
        <v>452841160878</v>
      </c>
      <c r="O260" s="15" t="n">
        <v>19899546</v>
      </c>
      <c r="P260" s="18" t="inlineStr">
        <is>
          <t>LM9AYLS</t>
        </is>
      </c>
      <c r="Q260" s="18" t="n">
        <v>1</v>
      </c>
      <c r="R260" s="18" t="n">
        <v>0.079</v>
      </c>
      <c r="S260" s="15" t="n">
        <v>13.25</v>
      </c>
      <c r="T260" s="16" t="n">
        <v>45824</v>
      </c>
      <c r="U260" s="19" t="n">
        <v>45883</v>
      </c>
      <c r="V260" s="16" t="n">
        <v>45824</v>
      </c>
      <c r="W260" s="16" t="n">
        <v>45826</v>
      </c>
      <c r="X260" s="57">
        <f>W260-1</f>
        <v/>
      </c>
      <c r="Y260" s="63" t="n">
        <v>45832</v>
      </c>
      <c r="Z260" s="67" t="n">
        <v>45861</v>
      </c>
      <c r="AA260" s="71">
        <f>Z260+13</f>
        <v/>
      </c>
      <c r="AB260" s="20">
        <f>AA260-U260</f>
        <v/>
      </c>
      <c r="AC260" s="20" t="inlineStr">
        <is>
          <t>No</t>
        </is>
      </c>
      <c r="AD260" s="21" t="inlineStr">
        <is>
          <t>1 HBL</t>
        </is>
      </c>
      <c r="AE260" s="21" t="n"/>
      <c r="AF260" s="22" t="inlineStr">
        <is>
          <t>LW</t>
        </is>
      </c>
      <c r="AG260" s="23" t="inlineStr">
        <is>
          <t>NAC</t>
        </is>
      </c>
      <c r="AH260" s="24" t="n"/>
      <c r="AN260" s="24" t="n"/>
    </row>
    <row r="261" ht="12.75" customHeight="1">
      <c r="A261" s="15" t="n">
        <v>3254506</v>
      </c>
      <c r="B261" s="15" t="inlineStr">
        <is>
          <t>Flexport</t>
        </is>
      </c>
      <c r="C261" s="15" t="inlineStr">
        <is>
          <t>Colombo, LK</t>
        </is>
      </c>
      <c r="D261" s="15" t="inlineStr">
        <is>
          <t>New York, NY, US</t>
        </is>
      </c>
      <c r="E261" s="15" t="inlineStr">
        <is>
          <t>Milton, ON, CA</t>
        </is>
      </c>
      <c r="F261" s="15" t="inlineStr">
        <is>
          <t>OCEAN</t>
        </is>
      </c>
      <c r="G261" s="15" t="inlineStr">
        <is>
          <t>C. 1 x 40HC</t>
        </is>
      </c>
      <c r="H261" s="15" t="inlineStr">
        <is>
          <t>CFS/CY</t>
        </is>
      </c>
      <c r="I261" s="15" t="inlineStr">
        <is>
          <t>ONE</t>
        </is>
      </c>
      <c r="J261" s="15" t="inlineStr">
        <is>
          <t>EC3</t>
        </is>
      </c>
      <c r="K261" s="15" t="inlineStr">
        <is>
          <t>MAS AMITY PTE LTD</t>
        </is>
      </c>
      <c r="L261" s="16" t="inlineStr">
        <is>
          <t>MAS Active (Pvt) Ltd – Sleekline</t>
        </is>
      </c>
      <c r="M261" s="15" t="inlineStr">
        <is>
          <t>N</t>
        </is>
      </c>
      <c r="N261" s="17" t="n">
        <v>452841941411</v>
      </c>
      <c r="O261" s="15" t="n">
        <v>19899556</v>
      </c>
      <c r="P261" s="18" t="inlineStr">
        <is>
          <t>LM9B19S</t>
        </is>
      </c>
      <c r="Q261" s="18" t="n">
        <v>5</v>
      </c>
      <c r="R261" s="18" t="n">
        <v>0.357</v>
      </c>
      <c r="S261" s="15" t="n">
        <v>55.25</v>
      </c>
      <c r="T261" s="16" t="n">
        <v>45824</v>
      </c>
      <c r="U261" s="19" t="n">
        <v>45883</v>
      </c>
      <c r="V261" s="16" t="n">
        <v>45824</v>
      </c>
      <c r="W261" s="16" t="n">
        <v>45826</v>
      </c>
      <c r="X261" s="57">
        <f>W261-1</f>
        <v/>
      </c>
      <c r="Y261" s="63" t="n">
        <v>45832</v>
      </c>
      <c r="Z261" s="67" t="n">
        <v>45861</v>
      </c>
      <c r="AA261" s="71">
        <f>Z261+13</f>
        <v/>
      </c>
      <c r="AB261" s="20">
        <f>AA261-U261</f>
        <v/>
      </c>
      <c r="AC261" s="20" t="inlineStr">
        <is>
          <t>No</t>
        </is>
      </c>
      <c r="AD261" s="21" t="inlineStr">
        <is>
          <t>1 HBL</t>
        </is>
      </c>
      <c r="AE261" s="21" t="n"/>
      <c r="AF261" s="22" t="inlineStr">
        <is>
          <t>LW</t>
        </is>
      </c>
      <c r="AG261" s="23" t="inlineStr">
        <is>
          <t>NAC</t>
        </is>
      </c>
      <c r="AH261" s="24" t="n"/>
      <c r="AN261" s="24" t="n"/>
    </row>
    <row r="262" ht="12.75" customHeight="1">
      <c r="A262" s="15" t="n">
        <v>3254506</v>
      </c>
      <c r="B262" s="15" t="inlineStr">
        <is>
          <t>Flexport</t>
        </is>
      </c>
      <c r="C262" s="15" t="inlineStr">
        <is>
          <t>Colombo, LK</t>
        </is>
      </c>
      <c r="D262" s="15" t="inlineStr">
        <is>
          <t>New York, NY, US</t>
        </is>
      </c>
      <c r="E262" s="15" t="inlineStr">
        <is>
          <t>Milton, ON, CA</t>
        </is>
      </c>
      <c r="F262" s="15" t="inlineStr">
        <is>
          <t>OCEAN</t>
        </is>
      </c>
      <c r="G262" s="15" t="inlineStr">
        <is>
          <t>C. 1 x 40HC</t>
        </is>
      </c>
      <c r="H262" s="15" t="inlineStr">
        <is>
          <t>CFS/CY</t>
        </is>
      </c>
      <c r="I262" s="15" t="inlineStr">
        <is>
          <t>ONE</t>
        </is>
      </c>
      <c r="J262" s="15" t="inlineStr">
        <is>
          <t>EC3</t>
        </is>
      </c>
      <c r="K262" s="15" t="inlineStr">
        <is>
          <t>MAS AMITY PTE LTD</t>
        </is>
      </c>
      <c r="L262" s="16" t="inlineStr">
        <is>
          <t>MAS Active(Pvt) Ltd – CONTOURLINE</t>
        </is>
      </c>
      <c r="M262" s="15" t="inlineStr">
        <is>
          <t>N</t>
        </is>
      </c>
      <c r="N262" s="17" t="n">
        <v>452897742114</v>
      </c>
      <c r="O262" s="15" t="n">
        <v>19890834</v>
      </c>
      <c r="P262" s="18" t="inlineStr">
        <is>
          <t>LW2EB3S</t>
        </is>
      </c>
      <c r="Q262" s="18" t="n">
        <v>8</v>
      </c>
      <c r="R262" s="18" t="n">
        <v>0.632</v>
      </c>
      <c r="S262" s="15" t="n">
        <v>77.518</v>
      </c>
      <c r="T262" s="16" t="n">
        <v>45824</v>
      </c>
      <c r="U262" s="19" t="n">
        <v>45883</v>
      </c>
      <c r="V262" s="16" t="n">
        <v>45824</v>
      </c>
      <c r="W262" s="16" t="n">
        <v>45826</v>
      </c>
      <c r="X262" s="57">
        <f>W262-1</f>
        <v/>
      </c>
      <c r="Y262" s="63" t="n">
        <v>45832</v>
      </c>
      <c r="Z262" s="67" t="n">
        <v>45861</v>
      </c>
      <c r="AA262" s="71">
        <f>Z262+13</f>
        <v/>
      </c>
      <c r="AB262" s="20">
        <f>AA262-U262</f>
        <v/>
      </c>
      <c r="AC262" s="20" t="inlineStr">
        <is>
          <t>No</t>
        </is>
      </c>
      <c r="AD262" s="21" t="inlineStr">
        <is>
          <t>1 HBL</t>
        </is>
      </c>
      <c r="AE262" s="21" t="n"/>
      <c r="AF262" s="22" t="inlineStr">
        <is>
          <t>LW</t>
        </is>
      </c>
      <c r="AG262" s="23" t="inlineStr">
        <is>
          <t>NAC</t>
        </is>
      </c>
      <c r="AH262" s="24" t="n"/>
      <c r="AN262" s="24" t="n"/>
    </row>
    <row r="263" ht="12.75" customHeight="1">
      <c r="A263" s="15" t="n">
        <v>3254506</v>
      </c>
      <c r="B263" s="15" t="inlineStr">
        <is>
          <t>Flexport</t>
        </is>
      </c>
      <c r="C263" s="15" t="inlineStr">
        <is>
          <t>Colombo, LK</t>
        </is>
      </c>
      <c r="D263" s="15" t="inlineStr">
        <is>
          <t>New York, NY, US</t>
        </is>
      </c>
      <c r="E263" s="15" t="inlineStr">
        <is>
          <t>Milton, ON, CA</t>
        </is>
      </c>
      <c r="F263" s="15" t="inlineStr">
        <is>
          <t>OCEAN</t>
        </is>
      </c>
      <c r="G263" s="15" t="inlineStr">
        <is>
          <t>C. 1 x 40HC</t>
        </is>
      </c>
      <c r="H263" s="15" t="inlineStr">
        <is>
          <t>CFS/CY</t>
        </is>
      </c>
      <c r="I263" s="15" t="inlineStr">
        <is>
          <t>ONE</t>
        </is>
      </c>
      <c r="J263" s="15" t="inlineStr">
        <is>
          <t>EC3</t>
        </is>
      </c>
      <c r="K263" s="15" t="inlineStr">
        <is>
          <t>MAS AMITY PTE LTD</t>
        </is>
      </c>
      <c r="L263" s="16" t="inlineStr">
        <is>
          <t>MAS Active(Pvt) Ltd – CONTOURLINE</t>
        </is>
      </c>
      <c r="M263" s="15" t="inlineStr">
        <is>
          <t>N</t>
        </is>
      </c>
      <c r="N263" s="17" t="n">
        <v>452898624462</v>
      </c>
      <c r="O263" s="15" t="n">
        <v>19897883</v>
      </c>
      <c r="P263" s="18" t="inlineStr">
        <is>
          <t>LW7CNIS</t>
        </is>
      </c>
      <c r="Q263" s="18" t="n">
        <v>4</v>
      </c>
      <c r="R263" s="18" t="n">
        <v>0.237</v>
      </c>
      <c r="S263" s="15" t="n">
        <v>36.443</v>
      </c>
      <c r="T263" s="16" t="n">
        <v>45824</v>
      </c>
      <c r="U263" s="19" t="n">
        <v>45883</v>
      </c>
      <c r="V263" s="16" t="n">
        <v>45824</v>
      </c>
      <c r="W263" s="16" t="n">
        <v>45826</v>
      </c>
      <c r="X263" s="57">
        <f>W263-1</f>
        <v/>
      </c>
      <c r="Y263" s="63" t="n">
        <v>45832</v>
      </c>
      <c r="Z263" s="67" t="n">
        <v>45861</v>
      </c>
      <c r="AA263" s="71">
        <f>Z263+13</f>
        <v/>
      </c>
      <c r="AB263" s="20">
        <f>AA263-U263</f>
        <v/>
      </c>
      <c r="AC263" s="20" t="inlineStr">
        <is>
          <t>No</t>
        </is>
      </c>
      <c r="AD263" s="21" t="inlineStr">
        <is>
          <t>1 HBL</t>
        </is>
      </c>
      <c r="AE263" s="21" t="n"/>
      <c r="AF263" s="22" t="inlineStr">
        <is>
          <t>LW</t>
        </is>
      </c>
      <c r="AG263" s="23" t="inlineStr">
        <is>
          <t>NAC</t>
        </is>
      </c>
      <c r="AH263" s="24" t="n"/>
      <c r="AN263" s="24" t="n"/>
    </row>
    <row r="264" ht="12.75" customHeight="1">
      <c r="A264" s="15" t="n">
        <v>3254506</v>
      </c>
      <c r="B264" s="15" t="inlineStr">
        <is>
          <t>Flexport</t>
        </is>
      </c>
      <c r="C264" s="15" t="inlineStr">
        <is>
          <t>Colombo, LK</t>
        </is>
      </c>
      <c r="D264" s="15" t="inlineStr">
        <is>
          <t>New York, NY, US</t>
        </is>
      </c>
      <c r="E264" s="15" t="inlineStr">
        <is>
          <t>Milton, ON, CA</t>
        </is>
      </c>
      <c r="F264" s="15" t="inlineStr">
        <is>
          <t>OCEAN</t>
        </is>
      </c>
      <c r="G264" s="15" t="inlineStr">
        <is>
          <t>C. 1 x 40HC</t>
        </is>
      </c>
      <c r="H264" s="15" t="inlineStr">
        <is>
          <t>CFS/CY</t>
        </is>
      </c>
      <c r="I264" s="15" t="inlineStr">
        <is>
          <t>ONE</t>
        </is>
      </c>
      <c r="J264" s="15" t="inlineStr">
        <is>
          <t>EC3</t>
        </is>
      </c>
      <c r="K264" s="15" t="inlineStr">
        <is>
          <t>MAS AMITY PTE LTD</t>
        </is>
      </c>
      <c r="L264" s="16" t="inlineStr">
        <is>
          <t>MAS Active(Pvt) Ltd – CONTOURLINE</t>
        </is>
      </c>
      <c r="M264" s="15" t="inlineStr">
        <is>
          <t>N</t>
        </is>
      </c>
      <c r="N264" s="17" t="n">
        <v>452898671140</v>
      </c>
      <c r="O264" s="15" t="n">
        <v>19896665</v>
      </c>
      <c r="P264" s="18" t="inlineStr">
        <is>
          <t>LW1DRKS</t>
        </is>
      </c>
      <c r="Q264" s="18" t="n">
        <v>1</v>
      </c>
      <c r="R264" s="18" t="n">
        <v>0.079</v>
      </c>
      <c r="S264" s="15" t="n">
        <v>8.856999999999999</v>
      </c>
      <c r="T264" s="16" t="n">
        <v>45824</v>
      </c>
      <c r="U264" s="19" t="n">
        <v>45883</v>
      </c>
      <c r="V264" s="16" t="n">
        <v>45824</v>
      </c>
      <c r="W264" s="16" t="n">
        <v>45826</v>
      </c>
      <c r="X264" s="57">
        <f>W264-1</f>
        <v/>
      </c>
      <c r="Y264" s="63" t="n">
        <v>45832</v>
      </c>
      <c r="Z264" s="67" t="n">
        <v>45861</v>
      </c>
      <c r="AA264" s="71">
        <f>Z264+13</f>
        <v/>
      </c>
      <c r="AB264" s="20">
        <f>AA264-U264</f>
        <v/>
      </c>
      <c r="AC264" s="20" t="inlineStr">
        <is>
          <t>No</t>
        </is>
      </c>
      <c r="AD264" s="21" t="inlineStr">
        <is>
          <t>1 HBL</t>
        </is>
      </c>
      <c r="AE264" s="21" t="n"/>
      <c r="AF264" s="22" t="inlineStr">
        <is>
          <t>LW</t>
        </is>
      </c>
      <c r="AG264" s="23" t="inlineStr">
        <is>
          <t>NAC</t>
        </is>
      </c>
      <c r="AH264" s="24" t="n"/>
      <c r="AN264" s="24" t="n"/>
    </row>
    <row r="265" ht="12.75" customHeight="1">
      <c r="A265" s="15" t="n">
        <v>3254506</v>
      </c>
      <c r="B265" s="15" t="inlineStr">
        <is>
          <t>Flexport</t>
        </is>
      </c>
      <c r="C265" s="15" t="inlineStr">
        <is>
          <t>Colombo, LK</t>
        </is>
      </c>
      <c r="D265" s="15" t="inlineStr">
        <is>
          <t>New York, NY, US</t>
        </is>
      </c>
      <c r="E265" s="15" t="inlineStr">
        <is>
          <t>Milton, ON, CA</t>
        </is>
      </c>
      <c r="F265" s="15" t="inlineStr">
        <is>
          <t>OCEAN</t>
        </is>
      </c>
      <c r="G265" s="15" t="inlineStr">
        <is>
          <t>C. 1 x 40HC</t>
        </is>
      </c>
      <c r="H265" s="15" t="inlineStr">
        <is>
          <t>CFS/CY</t>
        </is>
      </c>
      <c r="I265" s="15" t="inlineStr">
        <is>
          <t>ONE</t>
        </is>
      </c>
      <c r="J265" s="15" t="inlineStr">
        <is>
          <t>EC3</t>
        </is>
      </c>
      <c r="K265" s="15" t="inlineStr">
        <is>
          <t>MAS AMITY PTE LTD</t>
        </is>
      </c>
      <c r="L265" s="16" t="inlineStr">
        <is>
          <t>MAS Active(Pvt) Ltd – CONTOURLINE</t>
        </is>
      </c>
      <c r="M265" s="15" t="inlineStr">
        <is>
          <t>N</t>
        </is>
      </c>
      <c r="N265" s="17" t="n">
        <v>452900314066</v>
      </c>
      <c r="O265" s="15" t="n">
        <v>19897897</v>
      </c>
      <c r="P265" s="18" t="inlineStr">
        <is>
          <t>LM3FBSS</t>
        </is>
      </c>
      <c r="Q265" s="18" t="n">
        <v>16</v>
      </c>
      <c r="R265" s="18" t="n">
        <v>1.264</v>
      </c>
      <c r="S265" s="15" t="n">
        <v>226.052</v>
      </c>
      <c r="T265" s="16" t="n">
        <v>45824</v>
      </c>
      <c r="U265" s="19" t="n">
        <v>45883</v>
      </c>
      <c r="V265" s="16" t="n">
        <v>45824</v>
      </c>
      <c r="W265" s="16" t="n">
        <v>45826</v>
      </c>
      <c r="X265" s="57">
        <f>W265-1</f>
        <v/>
      </c>
      <c r="Y265" s="63" t="n">
        <v>45832</v>
      </c>
      <c r="Z265" s="67" t="n">
        <v>45861</v>
      </c>
      <c r="AA265" s="71">
        <f>Z265+13</f>
        <v/>
      </c>
      <c r="AB265" s="20">
        <f>AA265-U265</f>
        <v/>
      </c>
      <c r="AC265" s="20" t="inlineStr">
        <is>
          <t>No</t>
        </is>
      </c>
      <c r="AD265" s="21" t="inlineStr">
        <is>
          <t>1 HBL</t>
        </is>
      </c>
      <c r="AE265" s="21" t="n"/>
      <c r="AF265" s="22" t="inlineStr">
        <is>
          <t>LW</t>
        </is>
      </c>
      <c r="AG265" s="23" t="inlineStr">
        <is>
          <t>NAC</t>
        </is>
      </c>
      <c r="AH265" s="24" t="n"/>
      <c r="AN265" s="24" t="n"/>
    </row>
    <row r="266" ht="12.75" customHeight="1">
      <c r="A266" s="15" t="n">
        <v>3254506</v>
      </c>
      <c r="B266" s="15" t="inlineStr">
        <is>
          <t>Flexport</t>
        </is>
      </c>
      <c r="C266" s="15" t="inlineStr">
        <is>
          <t>Colombo, LK</t>
        </is>
      </c>
      <c r="D266" s="15" t="inlineStr">
        <is>
          <t>New York, NY, US</t>
        </is>
      </c>
      <c r="E266" s="15" t="inlineStr">
        <is>
          <t>Milton, ON, CA</t>
        </is>
      </c>
      <c r="F266" s="15" t="inlineStr">
        <is>
          <t>OCEAN</t>
        </is>
      </c>
      <c r="G266" s="15" t="inlineStr">
        <is>
          <t>C. 1 x 40HC</t>
        </is>
      </c>
      <c r="H266" s="15" t="inlineStr">
        <is>
          <t>CFS/CY</t>
        </is>
      </c>
      <c r="I266" s="15" t="inlineStr">
        <is>
          <t>ONE</t>
        </is>
      </c>
      <c r="J266" s="15" t="inlineStr">
        <is>
          <t>EC3</t>
        </is>
      </c>
      <c r="K266" s="15" t="inlineStr">
        <is>
          <t>MAS AMITY PTE LTD</t>
        </is>
      </c>
      <c r="L266" s="16" t="inlineStr">
        <is>
          <t>MAS Active(Pvt) Ltd – CONTOURLINE</t>
        </is>
      </c>
      <c r="M266" s="15" t="inlineStr">
        <is>
          <t>N</t>
        </is>
      </c>
      <c r="N266" s="17" t="n">
        <v>452901003368</v>
      </c>
      <c r="O266" s="15" t="n">
        <v>19897915</v>
      </c>
      <c r="P266" s="18" t="inlineStr">
        <is>
          <t>LM7BI2S</t>
        </is>
      </c>
      <c r="Q266" s="18" t="n">
        <v>9</v>
      </c>
      <c r="R266" s="18" t="n">
        <v>0.711</v>
      </c>
      <c r="S266" s="15" t="n">
        <v>102.029</v>
      </c>
      <c r="T266" s="16" t="n">
        <v>45824</v>
      </c>
      <c r="U266" s="19" t="n">
        <v>45883</v>
      </c>
      <c r="V266" s="16" t="n">
        <v>45824</v>
      </c>
      <c r="W266" s="16" t="n">
        <v>45826</v>
      </c>
      <c r="X266" s="57">
        <f>W266-1</f>
        <v/>
      </c>
      <c r="Y266" s="63" t="n">
        <v>45832</v>
      </c>
      <c r="Z266" s="67" t="n">
        <v>45861</v>
      </c>
      <c r="AA266" s="71">
        <f>Z266+13</f>
        <v/>
      </c>
      <c r="AB266" s="20">
        <f>AA266-U266</f>
        <v/>
      </c>
      <c r="AC266" s="20" t="inlineStr">
        <is>
          <t>No</t>
        </is>
      </c>
      <c r="AD266" s="21" t="inlineStr">
        <is>
          <t>1 HBL</t>
        </is>
      </c>
      <c r="AE266" s="21" t="n"/>
      <c r="AF266" s="22" t="inlineStr">
        <is>
          <t>LW</t>
        </is>
      </c>
      <c r="AG266" s="23" t="inlineStr">
        <is>
          <t>NAC</t>
        </is>
      </c>
      <c r="AH266" s="24" t="n"/>
      <c r="AN266" s="24" t="n"/>
    </row>
    <row r="267" ht="12.75" customHeight="1">
      <c r="A267" s="29" t="inlineStr">
        <is>
          <t>3254506 Total</t>
        </is>
      </c>
      <c r="B267" s="29" t="inlineStr">
        <is>
          <t>3254506 Total</t>
        </is>
      </c>
      <c r="C267" s="29" t="n"/>
      <c r="D267" s="29" t="n"/>
      <c r="E267" s="29" t="n"/>
      <c r="F267" s="29" t="n"/>
      <c r="G267" s="30" t="n"/>
      <c r="H267" s="31" t="n"/>
      <c r="I267" s="29" t="n"/>
      <c r="J267" s="29" t="n"/>
      <c r="K267" s="29" t="n"/>
      <c r="L267" s="31" t="n"/>
      <c r="M267" s="29" t="n"/>
      <c r="N267" s="32" t="n"/>
      <c r="O267" s="29" t="n"/>
      <c r="P267" s="33" t="n"/>
      <c r="Q267" s="33">
        <f>SUM(Q66:Q266)</f>
        <v/>
      </c>
      <c r="R267" s="33" t="n">
        <v>63.989</v>
      </c>
      <c r="S267" s="29" t="n">
        <v>9073.866999999997</v>
      </c>
      <c r="T267" s="31" t="n"/>
      <c r="U267" s="34" t="n"/>
      <c r="V267" s="34" t="n"/>
      <c r="W267" s="35" t="n"/>
      <c r="X267" s="58" t="n"/>
      <c r="Y267" s="64" t="n"/>
      <c r="Z267" s="68" t="n"/>
      <c r="AA267" s="72" t="n"/>
      <c r="AB267" s="36" t="n"/>
      <c r="AC267" s="36" t="n"/>
      <c r="AD267" s="37" t="n"/>
      <c r="AE267" s="37" t="n"/>
      <c r="AF267" s="38" t="n"/>
      <c r="AG267" s="37" t="n"/>
      <c r="AH267" s="36" t="n"/>
      <c r="AI267" s="29" t="n"/>
      <c r="AJ267" s="29" t="n"/>
      <c r="AK267" s="29" t="n"/>
      <c r="AL267" s="29" t="n"/>
      <c r="AM267" s="29" t="n"/>
      <c r="AN267" s="36" t="n"/>
      <c r="AO267" s="29" t="n"/>
      <c r="AP267" s="29" t="n"/>
    </row>
    <row r="268" ht="12.75" customHeight="1">
      <c r="A268" s="15" t="n">
        <v>3254508</v>
      </c>
      <c r="B268" s="15" t="inlineStr">
        <is>
          <t>Flexport</t>
        </is>
      </c>
      <c r="C268" s="15" t="inlineStr">
        <is>
          <t>Colombo, LK</t>
        </is>
      </c>
      <c r="D268" s="15" t="inlineStr">
        <is>
          <t>New York, NY, US</t>
        </is>
      </c>
      <c r="E268" s="15" t="inlineStr">
        <is>
          <t>Mississauga, ON, CA</t>
        </is>
      </c>
      <c r="F268" s="15" t="inlineStr">
        <is>
          <t>OCEAN</t>
        </is>
      </c>
      <c r="G268" s="15" t="inlineStr">
        <is>
          <t>D. 1 x 40HC</t>
        </is>
      </c>
      <c r="H268" s="15" t="inlineStr">
        <is>
          <t>CFS/CY</t>
        </is>
      </c>
      <c r="I268" s="15" t="inlineStr">
        <is>
          <t>ONE</t>
        </is>
      </c>
      <c r="J268" s="15" t="inlineStr">
        <is>
          <t>EC3</t>
        </is>
      </c>
      <c r="K268" s="15" t="inlineStr">
        <is>
          <t>Bodyline Trading (Private) Limited</t>
        </is>
      </c>
      <c r="L268" s="16" t="inlineStr">
        <is>
          <t>Bodyline (Private) Limited</t>
        </is>
      </c>
      <c r="M268" s="15" t="inlineStr">
        <is>
          <t>N</t>
        </is>
      </c>
      <c r="N268" s="17" t="n">
        <v>455263739084</v>
      </c>
      <c r="O268" s="15" t="n">
        <v>19877424</v>
      </c>
      <c r="P268" s="18" t="inlineStr">
        <is>
          <t>LW9DC3S</t>
        </is>
      </c>
      <c r="Q268" s="18" t="n">
        <v>3</v>
      </c>
      <c r="R268" s="18" t="n">
        <v>0.132</v>
      </c>
      <c r="S268" s="15" t="n">
        <v>7.788</v>
      </c>
      <c r="T268" s="16" t="n">
        <v>45824</v>
      </c>
      <c r="U268" s="19" t="n">
        <v>45883</v>
      </c>
      <c r="V268" s="16" t="n">
        <v>45824</v>
      </c>
      <c r="W268" s="16" t="n">
        <v>45826</v>
      </c>
      <c r="X268" s="57">
        <f>W268-1</f>
        <v/>
      </c>
      <c r="Y268" s="63" t="n">
        <v>45832</v>
      </c>
      <c r="Z268" s="67" t="n">
        <v>45861</v>
      </c>
      <c r="AA268" s="71">
        <f>Z268+13</f>
        <v/>
      </c>
      <c r="AB268" s="20">
        <f>AA268-U268</f>
        <v/>
      </c>
      <c r="AC268" s="20" t="inlineStr">
        <is>
          <t>No</t>
        </is>
      </c>
      <c r="AD268" s="21" t="inlineStr">
        <is>
          <t>1 HBL</t>
        </is>
      </c>
      <c r="AE268" s="21" t="n"/>
      <c r="AF268" s="22" t="inlineStr">
        <is>
          <t>LW</t>
        </is>
      </c>
      <c r="AG268" s="23" t="inlineStr">
        <is>
          <t>NAC</t>
        </is>
      </c>
      <c r="AH268" s="24" t="n"/>
      <c r="AN268" s="24" t="n"/>
    </row>
    <row r="269" ht="12.75" customHeight="1">
      <c r="A269" s="15" t="n">
        <v>3254508</v>
      </c>
      <c r="B269" s="15" t="inlineStr">
        <is>
          <t>Flexport</t>
        </is>
      </c>
      <c r="C269" s="15" t="inlineStr">
        <is>
          <t>Colombo, LK</t>
        </is>
      </c>
      <c r="D269" s="15" t="inlineStr">
        <is>
          <t>New York, NY, US</t>
        </is>
      </c>
      <c r="E269" s="15" t="inlineStr">
        <is>
          <t>Mississauga, ON, CA</t>
        </is>
      </c>
      <c r="F269" s="15" t="inlineStr">
        <is>
          <t>OCEAN</t>
        </is>
      </c>
      <c r="G269" s="15" t="inlineStr">
        <is>
          <t>D. 1 x 40HC</t>
        </is>
      </c>
      <c r="H269" s="15" t="inlineStr">
        <is>
          <t>CFS/CY</t>
        </is>
      </c>
      <c r="I269" s="15" t="inlineStr">
        <is>
          <t>ONE</t>
        </is>
      </c>
      <c r="J269" s="15" t="inlineStr">
        <is>
          <t>EC3</t>
        </is>
      </c>
      <c r="K269" s="15" t="inlineStr">
        <is>
          <t>Bodyline Trading (Private) Limited</t>
        </is>
      </c>
      <c r="L269" s="16" t="inlineStr">
        <is>
          <t>Bodyline (Private) Limited</t>
        </is>
      </c>
      <c r="M269" s="15" t="inlineStr">
        <is>
          <t>N</t>
        </is>
      </c>
      <c r="N269" s="17" t="n">
        <v>455263920586</v>
      </c>
      <c r="O269" s="15" t="n">
        <v>19878381</v>
      </c>
      <c r="P269" s="18" t="inlineStr">
        <is>
          <t>LW9DEAS</t>
        </is>
      </c>
      <c r="Q269" s="18" t="n">
        <v>6</v>
      </c>
      <c r="R269" s="18" t="n">
        <v>0.264</v>
      </c>
      <c r="S269" s="15" t="n">
        <v>20.563</v>
      </c>
      <c r="T269" s="16" t="n">
        <v>45824</v>
      </c>
      <c r="U269" s="19" t="n">
        <v>45883</v>
      </c>
      <c r="V269" s="16" t="n">
        <v>45824</v>
      </c>
      <c r="W269" s="16" t="n">
        <v>45826</v>
      </c>
      <c r="X269" s="57">
        <f>W269-1</f>
        <v/>
      </c>
      <c r="Y269" s="63" t="n">
        <v>45832</v>
      </c>
      <c r="Z269" s="67" t="n">
        <v>45861</v>
      </c>
      <c r="AA269" s="71">
        <f>Z269+13</f>
        <v/>
      </c>
      <c r="AB269" s="20">
        <f>AA269-U269</f>
        <v/>
      </c>
      <c r="AC269" s="20" t="inlineStr">
        <is>
          <t>No</t>
        </is>
      </c>
      <c r="AD269" s="21" t="inlineStr">
        <is>
          <t>1 HBL</t>
        </is>
      </c>
      <c r="AE269" s="21" t="n"/>
      <c r="AF269" s="22" t="inlineStr">
        <is>
          <t>LW</t>
        </is>
      </c>
      <c r="AG269" s="23" t="inlineStr">
        <is>
          <t>NAC</t>
        </is>
      </c>
      <c r="AH269" s="24" t="n"/>
      <c r="AN269" s="24" t="n"/>
    </row>
    <row r="270" ht="12.75" customHeight="1">
      <c r="A270" s="15" t="n">
        <v>3254508</v>
      </c>
      <c r="B270" s="15" t="inlineStr">
        <is>
          <t>Flexport</t>
        </is>
      </c>
      <c r="C270" s="15" t="inlineStr">
        <is>
          <t>Colombo, LK</t>
        </is>
      </c>
      <c r="D270" s="15" t="inlineStr">
        <is>
          <t>New York, NY, US</t>
        </is>
      </c>
      <c r="E270" s="15" t="inlineStr">
        <is>
          <t>Mississauga, ON, CA</t>
        </is>
      </c>
      <c r="F270" s="15" t="inlineStr">
        <is>
          <t>OCEAN</t>
        </is>
      </c>
      <c r="G270" s="15" t="inlineStr">
        <is>
          <t>D. 1 x 40HC</t>
        </is>
      </c>
      <c r="H270" s="15" t="inlineStr">
        <is>
          <t>CFS/CY</t>
        </is>
      </c>
      <c r="I270" s="15" t="inlineStr">
        <is>
          <t>ONE</t>
        </is>
      </c>
      <c r="J270" s="15" t="inlineStr">
        <is>
          <t>EC3</t>
        </is>
      </c>
      <c r="K270" s="15" t="inlineStr">
        <is>
          <t>Bodyline Trading (Private) Limited</t>
        </is>
      </c>
      <c r="L270" s="16" t="inlineStr">
        <is>
          <t>Bodyline (Private) Limited</t>
        </is>
      </c>
      <c r="M270" s="15" t="inlineStr">
        <is>
          <t>N</t>
        </is>
      </c>
      <c r="N270" s="17" t="n">
        <v>455264408885</v>
      </c>
      <c r="O270" s="15" t="n">
        <v>19878107</v>
      </c>
      <c r="P270" s="18" t="inlineStr">
        <is>
          <t>LW9DCIS</t>
        </is>
      </c>
      <c r="Q270" s="18" t="n">
        <v>3</v>
      </c>
      <c r="R270" s="18" t="n">
        <v>0.132</v>
      </c>
      <c r="S270" s="15" t="n">
        <v>9.885</v>
      </c>
      <c r="T270" s="16" t="n">
        <v>45824</v>
      </c>
      <c r="U270" s="19" t="n">
        <v>45883</v>
      </c>
      <c r="V270" s="16" t="n">
        <v>45824</v>
      </c>
      <c r="W270" s="16" t="n">
        <v>45826</v>
      </c>
      <c r="X270" s="57">
        <f>W270-1</f>
        <v/>
      </c>
      <c r="Y270" s="63" t="n">
        <v>45832</v>
      </c>
      <c r="Z270" s="67" t="n">
        <v>45861</v>
      </c>
      <c r="AA270" s="71">
        <f>Z270+13</f>
        <v/>
      </c>
      <c r="AB270" s="20">
        <f>AA270-U270</f>
        <v/>
      </c>
      <c r="AC270" s="20" t="inlineStr">
        <is>
          <t>No</t>
        </is>
      </c>
      <c r="AD270" s="21" t="inlineStr">
        <is>
          <t>1 HBL</t>
        </is>
      </c>
      <c r="AE270" s="21" t="n"/>
      <c r="AF270" s="22" t="inlineStr">
        <is>
          <t>LW</t>
        </is>
      </c>
      <c r="AG270" s="23" t="inlineStr">
        <is>
          <t>NAC</t>
        </is>
      </c>
      <c r="AH270" s="24" t="n"/>
      <c r="AN270" s="24" t="n"/>
    </row>
    <row r="271" ht="12.75" customHeight="1">
      <c r="A271" s="15" t="n">
        <v>3254508</v>
      </c>
      <c r="B271" s="15" t="inlineStr">
        <is>
          <t>Flexport</t>
        </is>
      </c>
      <c r="C271" s="15" t="inlineStr">
        <is>
          <t>Colombo, LK</t>
        </is>
      </c>
      <c r="D271" s="15" t="inlineStr">
        <is>
          <t>New York, NY, US</t>
        </is>
      </c>
      <c r="E271" s="15" t="inlineStr">
        <is>
          <t>Mississauga, ON, CA</t>
        </is>
      </c>
      <c r="F271" s="15" t="inlineStr">
        <is>
          <t>OCEAN</t>
        </is>
      </c>
      <c r="G271" s="15" t="inlineStr">
        <is>
          <t>D. 1 x 40HC</t>
        </is>
      </c>
      <c r="H271" s="15" t="inlineStr">
        <is>
          <t>CFS/CY</t>
        </is>
      </c>
      <c r="I271" s="15" t="inlineStr">
        <is>
          <t>ONE</t>
        </is>
      </c>
      <c r="J271" s="15" t="inlineStr">
        <is>
          <t>EC3</t>
        </is>
      </c>
      <c r="K271" s="15" t="inlineStr">
        <is>
          <t>Inqube Global (PVT) Ltd</t>
        </is>
      </c>
      <c r="L271" s="16" t="inlineStr">
        <is>
          <t>Quantum Clothing Lanka (Pvt) Ltd</t>
        </is>
      </c>
      <c r="M271" s="15" t="inlineStr">
        <is>
          <t>N</t>
        </is>
      </c>
      <c r="N271" s="17" t="n">
        <v>452347858422</v>
      </c>
      <c r="O271" s="15" t="n">
        <v>19877095</v>
      </c>
      <c r="P271" s="18" t="inlineStr">
        <is>
          <t>LW9FUES</t>
        </is>
      </c>
      <c r="Q271" s="18" t="n">
        <v>1</v>
      </c>
      <c r="R271" s="18" t="n">
        <v>0.04</v>
      </c>
      <c r="S271" s="15" t="n">
        <v>5.868</v>
      </c>
      <c r="T271" s="16" t="n">
        <v>45824</v>
      </c>
      <c r="U271" s="19" t="n">
        <v>45883</v>
      </c>
      <c r="V271" s="16" t="n">
        <v>45824</v>
      </c>
      <c r="W271" s="16" t="n">
        <v>45826</v>
      </c>
      <c r="X271" s="57">
        <f>W271-1</f>
        <v/>
      </c>
      <c r="Y271" s="63" t="n">
        <v>45832</v>
      </c>
      <c r="Z271" s="67" t="n">
        <v>45861</v>
      </c>
      <c r="AA271" s="71">
        <f>Z271+13</f>
        <v/>
      </c>
      <c r="AB271" s="20">
        <f>AA271-U271</f>
        <v/>
      </c>
      <c r="AC271" s="20" t="inlineStr">
        <is>
          <t>No</t>
        </is>
      </c>
      <c r="AD271" s="21" t="inlineStr">
        <is>
          <t>1 HBL</t>
        </is>
      </c>
      <c r="AE271" s="21" t="n"/>
      <c r="AF271" s="22" t="inlineStr">
        <is>
          <t>LW</t>
        </is>
      </c>
      <c r="AG271" s="23" t="inlineStr">
        <is>
          <t>NAC</t>
        </is>
      </c>
      <c r="AH271" s="24" t="n"/>
      <c r="AN271" s="24" t="n"/>
    </row>
    <row r="272" ht="12.75" customHeight="1">
      <c r="A272" s="15" t="n">
        <v>3254508</v>
      </c>
      <c r="B272" s="15" t="inlineStr">
        <is>
          <t>Flexport</t>
        </is>
      </c>
      <c r="C272" s="15" t="inlineStr">
        <is>
          <t>Colombo, LK</t>
        </is>
      </c>
      <c r="D272" s="15" t="inlineStr">
        <is>
          <t>New York, NY, US</t>
        </is>
      </c>
      <c r="E272" s="15" t="inlineStr">
        <is>
          <t>Mississauga, ON, CA</t>
        </is>
      </c>
      <c r="F272" s="15" t="inlineStr">
        <is>
          <t>OCEAN</t>
        </is>
      </c>
      <c r="G272" s="15" t="inlineStr">
        <is>
          <t>D. 1 x 40HC</t>
        </is>
      </c>
      <c r="H272" s="15" t="inlineStr">
        <is>
          <t>CFS/CY</t>
        </is>
      </c>
      <c r="I272" s="15" t="inlineStr">
        <is>
          <t>ONE</t>
        </is>
      </c>
      <c r="J272" s="15" t="inlineStr">
        <is>
          <t>EC3</t>
        </is>
      </c>
      <c r="K272" s="15" t="inlineStr">
        <is>
          <t>MAS AMITY PTE LTD</t>
        </is>
      </c>
      <c r="L272" s="16" t="inlineStr">
        <is>
          <t>MAS Active (Pvt) Ltd - Linea Intimo</t>
        </is>
      </c>
      <c r="M272" s="15" t="inlineStr">
        <is>
          <t>N</t>
        </is>
      </c>
      <c r="N272" s="17" t="n">
        <v>454703725465</v>
      </c>
      <c r="O272" s="15" t="n">
        <v>19911862</v>
      </c>
      <c r="P272" s="18" t="inlineStr">
        <is>
          <t>LW3JE9S</t>
        </is>
      </c>
      <c r="Q272" s="18" t="n">
        <v>5</v>
      </c>
      <c r="R272" s="18" t="n">
        <v>0.395</v>
      </c>
      <c r="S272" s="15" t="n">
        <v>53.487</v>
      </c>
      <c r="T272" s="16" t="n">
        <v>45824</v>
      </c>
      <c r="U272" s="19" t="n">
        <v>45883</v>
      </c>
      <c r="V272" s="16" t="n">
        <v>45824</v>
      </c>
      <c r="W272" s="16" t="n">
        <v>45826</v>
      </c>
      <c r="X272" s="57">
        <f>W272-1</f>
        <v/>
      </c>
      <c r="Y272" s="63" t="n">
        <v>45832</v>
      </c>
      <c r="Z272" s="67" t="n">
        <v>45861</v>
      </c>
      <c r="AA272" s="71">
        <f>Z272+13</f>
        <v/>
      </c>
      <c r="AB272" s="20">
        <f>AA272-U272</f>
        <v/>
      </c>
      <c r="AC272" s="20" t="inlineStr">
        <is>
          <t>No</t>
        </is>
      </c>
      <c r="AD272" s="21" t="inlineStr">
        <is>
          <t>1 HBL</t>
        </is>
      </c>
      <c r="AE272" s="21" t="n"/>
      <c r="AF272" s="22" t="inlineStr">
        <is>
          <t>LW</t>
        </is>
      </c>
      <c r="AG272" s="23" t="inlineStr">
        <is>
          <t>NAC</t>
        </is>
      </c>
      <c r="AH272" s="24" t="n"/>
      <c r="AN272" s="24" t="n"/>
    </row>
    <row r="273" ht="12.75" customHeight="1">
      <c r="A273" s="15" t="n">
        <v>3254508</v>
      </c>
      <c r="B273" s="15" t="inlineStr">
        <is>
          <t>Flexport</t>
        </is>
      </c>
      <c r="C273" s="15" t="inlineStr">
        <is>
          <t>Colombo, LK</t>
        </is>
      </c>
      <c r="D273" s="15" t="inlineStr">
        <is>
          <t>New York, NY, US</t>
        </is>
      </c>
      <c r="E273" s="15" t="inlineStr">
        <is>
          <t>Mississauga, ON, CA</t>
        </is>
      </c>
      <c r="F273" s="15" t="inlineStr">
        <is>
          <t>OCEAN</t>
        </is>
      </c>
      <c r="G273" s="15" t="inlineStr">
        <is>
          <t>D. 1 x 40HC</t>
        </is>
      </c>
      <c r="H273" s="15" t="inlineStr">
        <is>
          <t>CFS/CY</t>
        </is>
      </c>
      <c r="I273" s="15" t="inlineStr">
        <is>
          <t>ONE</t>
        </is>
      </c>
      <c r="J273" s="15" t="inlineStr">
        <is>
          <t>EC3</t>
        </is>
      </c>
      <c r="K273" s="15" t="inlineStr">
        <is>
          <t>MAS AMITY PTE LTD</t>
        </is>
      </c>
      <c r="L273" s="16" t="inlineStr">
        <is>
          <t>MAS Active (Pvt) Ltd - Linea Intimo</t>
        </is>
      </c>
      <c r="M273" s="15" t="inlineStr">
        <is>
          <t>N</t>
        </is>
      </c>
      <c r="N273" s="17" t="n">
        <v>454703726031</v>
      </c>
      <c r="O273" s="15" t="n">
        <v>19911951</v>
      </c>
      <c r="P273" s="18" t="inlineStr">
        <is>
          <t>LM3F64S</t>
        </is>
      </c>
      <c r="Q273" s="18" t="n">
        <v>3</v>
      </c>
      <c r="R273" s="18" t="n">
        <v>0.158</v>
      </c>
      <c r="S273" s="15" t="n">
        <v>12.385</v>
      </c>
      <c r="T273" s="16" t="n">
        <v>45824</v>
      </c>
      <c r="U273" s="19" t="n">
        <v>45883</v>
      </c>
      <c r="V273" s="16" t="n">
        <v>45824</v>
      </c>
      <c r="W273" s="16" t="n">
        <v>45826</v>
      </c>
      <c r="X273" s="57">
        <f>W273-1</f>
        <v/>
      </c>
      <c r="Y273" s="63" t="n">
        <v>45832</v>
      </c>
      <c r="Z273" s="67" t="n">
        <v>45861</v>
      </c>
      <c r="AA273" s="71">
        <f>Z273+13</f>
        <v/>
      </c>
      <c r="AB273" s="20">
        <f>AA273-U273</f>
        <v/>
      </c>
      <c r="AC273" s="20" t="inlineStr">
        <is>
          <t>No</t>
        </is>
      </c>
      <c r="AD273" s="21" t="inlineStr">
        <is>
          <t>1 HBL</t>
        </is>
      </c>
      <c r="AE273" s="21" t="n"/>
      <c r="AF273" s="22" t="inlineStr">
        <is>
          <t>LW</t>
        </is>
      </c>
      <c r="AG273" s="23" t="inlineStr">
        <is>
          <t>NAC</t>
        </is>
      </c>
      <c r="AH273" s="24" t="n"/>
      <c r="AN273" s="24" t="n"/>
    </row>
    <row r="274" ht="12.75" customHeight="1">
      <c r="A274" s="15" t="n">
        <v>3254508</v>
      </c>
      <c r="B274" s="15" t="inlineStr">
        <is>
          <t>Flexport</t>
        </is>
      </c>
      <c r="C274" s="15" t="inlineStr">
        <is>
          <t>Colombo, LK</t>
        </is>
      </c>
      <c r="D274" s="15" t="inlineStr">
        <is>
          <t>New York, NY, US</t>
        </is>
      </c>
      <c r="E274" s="15" t="inlineStr">
        <is>
          <t>Mississauga, ON, CA</t>
        </is>
      </c>
      <c r="F274" s="15" t="inlineStr">
        <is>
          <t>OCEAN</t>
        </is>
      </c>
      <c r="G274" s="15" t="inlineStr">
        <is>
          <t>D. 1 x 40HC</t>
        </is>
      </c>
      <c r="H274" s="15" t="inlineStr">
        <is>
          <t>CFS/CY</t>
        </is>
      </c>
      <c r="I274" s="15" t="inlineStr">
        <is>
          <t>ONE</t>
        </is>
      </c>
      <c r="J274" s="15" t="inlineStr">
        <is>
          <t>EC3</t>
        </is>
      </c>
      <c r="K274" s="15" t="inlineStr">
        <is>
          <t>MAS AMITY PTE LTD</t>
        </is>
      </c>
      <c r="L274" s="16" t="inlineStr">
        <is>
          <t>MAS Active (Pvt) Ltd - Linea Intimo</t>
        </is>
      </c>
      <c r="M274" s="15" t="inlineStr">
        <is>
          <t>N</t>
        </is>
      </c>
      <c r="N274" s="17" t="n">
        <v>454704211021</v>
      </c>
      <c r="O274" s="15" t="n">
        <v>19911845</v>
      </c>
      <c r="P274" s="18" t="inlineStr">
        <is>
          <t>LW3JE9S</t>
        </is>
      </c>
      <c r="Q274" s="18" t="n">
        <v>5</v>
      </c>
      <c r="R274" s="18" t="n">
        <v>0.355</v>
      </c>
      <c r="S274" s="15" t="n">
        <v>41.402</v>
      </c>
      <c r="T274" s="16" t="n">
        <v>45824</v>
      </c>
      <c r="U274" s="19" t="n">
        <v>45883</v>
      </c>
      <c r="V274" s="16" t="n">
        <v>45824</v>
      </c>
      <c r="W274" s="16" t="n">
        <v>45826</v>
      </c>
      <c r="X274" s="57">
        <f>W274-1</f>
        <v/>
      </c>
      <c r="Y274" s="63" t="n">
        <v>45832</v>
      </c>
      <c r="Z274" s="67" t="n">
        <v>45861</v>
      </c>
      <c r="AA274" s="71">
        <f>Z274+13</f>
        <v/>
      </c>
      <c r="AB274" s="20">
        <f>AA274-U274</f>
        <v/>
      </c>
      <c r="AC274" s="20" t="inlineStr">
        <is>
          <t>No</t>
        </is>
      </c>
      <c r="AD274" s="21" t="inlineStr">
        <is>
          <t>1 HBL</t>
        </is>
      </c>
      <c r="AE274" s="21" t="n"/>
      <c r="AF274" s="22" t="inlineStr">
        <is>
          <t>LW</t>
        </is>
      </c>
      <c r="AG274" s="23" t="inlineStr">
        <is>
          <t>NAC</t>
        </is>
      </c>
      <c r="AH274" s="24" t="n"/>
      <c r="AN274" s="24" t="n"/>
    </row>
    <row r="275" ht="12.75" customHeight="1">
      <c r="A275" s="15" t="n">
        <v>3254508</v>
      </c>
      <c r="B275" s="15" t="inlineStr">
        <is>
          <t>Flexport</t>
        </is>
      </c>
      <c r="C275" s="15" t="inlineStr">
        <is>
          <t>Colombo, LK</t>
        </is>
      </c>
      <c r="D275" s="15" t="inlineStr">
        <is>
          <t>New York, NY, US</t>
        </is>
      </c>
      <c r="E275" s="15" t="inlineStr">
        <is>
          <t>Mississauga, ON, CA</t>
        </is>
      </c>
      <c r="F275" s="15" t="inlineStr">
        <is>
          <t>OCEAN</t>
        </is>
      </c>
      <c r="G275" s="15" t="inlineStr">
        <is>
          <t>D. 1 x 40HC</t>
        </is>
      </c>
      <c r="H275" s="15" t="inlineStr">
        <is>
          <t>CFS/CY</t>
        </is>
      </c>
      <c r="I275" s="15" t="inlineStr">
        <is>
          <t>ONE</t>
        </is>
      </c>
      <c r="J275" s="15" t="inlineStr">
        <is>
          <t>EC3</t>
        </is>
      </c>
      <c r="K275" s="15" t="inlineStr">
        <is>
          <t>MAS AMITY PTE LTD</t>
        </is>
      </c>
      <c r="L275" s="16" t="inlineStr">
        <is>
          <t>MAS Active (Pvt) Ltd - Linea Intimo</t>
        </is>
      </c>
      <c r="M275" s="15" t="inlineStr">
        <is>
          <t>N</t>
        </is>
      </c>
      <c r="N275" s="17" t="n">
        <v>454705023730</v>
      </c>
      <c r="O275" s="15" t="n">
        <v>19911878</v>
      </c>
      <c r="P275" s="18" t="inlineStr">
        <is>
          <t>LW3JE9S</t>
        </is>
      </c>
      <c r="Q275" s="18" t="n">
        <v>5</v>
      </c>
      <c r="R275" s="18" t="n">
        <v>0.355</v>
      </c>
      <c r="S275" s="15" t="n">
        <v>43.492</v>
      </c>
      <c r="T275" s="16" t="n">
        <v>45824</v>
      </c>
      <c r="U275" s="19" t="n">
        <v>45883</v>
      </c>
      <c r="V275" s="16" t="n">
        <v>45824</v>
      </c>
      <c r="W275" s="16" t="n">
        <v>45826</v>
      </c>
      <c r="X275" s="57">
        <f>W275-1</f>
        <v/>
      </c>
      <c r="Y275" s="63" t="n">
        <v>45832</v>
      </c>
      <c r="Z275" s="67" t="n">
        <v>45861</v>
      </c>
      <c r="AA275" s="71">
        <f>Z275+13</f>
        <v/>
      </c>
      <c r="AB275" s="20">
        <f>AA275-U275</f>
        <v/>
      </c>
      <c r="AC275" s="20" t="inlineStr">
        <is>
          <t>No</t>
        </is>
      </c>
      <c r="AD275" s="21" t="inlineStr">
        <is>
          <t>1 HBL</t>
        </is>
      </c>
      <c r="AE275" s="21" t="n"/>
      <c r="AF275" s="22" t="inlineStr">
        <is>
          <t>LW</t>
        </is>
      </c>
      <c r="AG275" s="23" t="inlineStr">
        <is>
          <t>NAC</t>
        </is>
      </c>
      <c r="AH275" s="24" t="n"/>
      <c r="AN275" s="24" t="n"/>
    </row>
    <row r="276" ht="12.75" customHeight="1">
      <c r="A276" s="15" t="n">
        <v>3254508</v>
      </c>
      <c r="B276" s="15" t="inlineStr">
        <is>
          <t>Flexport</t>
        </is>
      </c>
      <c r="C276" s="15" t="inlineStr">
        <is>
          <t>Colombo, LK</t>
        </is>
      </c>
      <c r="D276" s="15" t="inlineStr">
        <is>
          <t>New York, NY, US</t>
        </is>
      </c>
      <c r="E276" s="15" t="inlineStr">
        <is>
          <t>Mississauga, ON, CA</t>
        </is>
      </c>
      <c r="F276" s="15" t="inlineStr">
        <is>
          <t>OCEAN</t>
        </is>
      </c>
      <c r="G276" s="15" t="inlineStr">
        <is>
          <t>D. 1 x 40HC</t>
        </is>
      </c>
      <c r="H276" s="15" t="inlineStr">
        <is>
          <t>CFS/CY</t>
        </is>
      </c>
      <c r="I276" s="15" t="inlineStr">
        <is>
          <t>ONE</t>
        </is>
      </c>
      <c r="J276" s="15" t="inlineStr">
        <is>
          <t>EC3</t>
        </is>
      </c>
      <c r="K276" s="15" t="inlineStr">
        <is>
          <t>MAS AMITY PTE LTD</t>
        </is>
      </c>
      <c r="L276" s="16" t="inlineStr">
        <is>
          <t>MAS Active (Pvt) Ltd - Linea Intimo</t>
        </is>
      </c>
      <c r="M276" s="15" t="inlineStr">
        <is>
          <t>N</t>
        </is>
      </c>
      <c r="N276" s="17" t="n">
        <v>454705502633</v>
      </c>
      <c r="O276" s="15" t="n">
        <v>19911967</v>
      </c>
      <c r="P276" s="18" t="inlineStr">
        <is>
          <t>LM3F64S</t>
        </is>
      </c>
      <c r="Q276" s="18" t="n">
        <v>3</v>
      </c>
      <c r="R276" s="18" t="n">
        <v>0.197</v>
      </c>
      <c r="S276" s="15" t="n">
        <v>17.733</v>
      </c>
      <c r="T276" s="16" t="n">
        <v>45824</v>
      </c>
      <c r="U276" s="19" t="n">
        <v>45883</v>
      </c>
      <c r="V276" s="16" t="n">
        <v>45824</v>
      </c>
      <c r="W276" s="16" t="n">
        <v>45826</v>
      </c>
      <c r="X276" s="57">
        <f>W276-1</f>
        <v/>
      </c>
      <c r="Y276" s="63" t="n">
        <v>45832</v>
      </c>
      <c r="Z276" s="67" t="n">
        <v>45861</v>
      </c>
      <c r="AA276" s="71">
        <f>Z276+13</f>
        <v/>
      </c>
      <c r="AB276" s="20">
        <f>AA276-U276</f>
        <v/>
      </c>
      <c r="AC276" s="20" t="inlineStr">
        <is>
          <t>No</t>
        </is>
      </c>
      <c r="AD276" s="21" t="inlineStr">
        <is>
          <t>1 HBL</t>
        </is>
      </c>
      <c r="AE276" s="21" t="n"/>
      <c r="AF276" s="22" t="inlineStr">
        <is>
          <t>LW</t>
        </is>
      </c>
      <c r="AG276" s="23" t="inlineStr">
        <is>
          <t>NAC</t>
        </is>
      </c>
      <c r="AH276" s="24" t="n"/>
      <c r="AN276" s="24" t="n"/>
    </row>
    <row r="277" ht="12.75" customHeight="1">
      <c r="A277" s="15" t="n">
        <v>3254508</v>
      </c>
      <c r="B277" s="15" t="inlineStr">
        <is>
          <t>Flexport</t>
        </is>
      </c>
      <c r="C277" s="15" t="inlineStr">
        <is>
          <t>Colombo, LK</t>
        </is>
      </c>
      <c r="D277" s="15" t="inlineStr">
        <is>
          <t>New York, NY, US</t>
        </is>
      </c>
      <c r="E277" s="15" t="inlineStr">
        <is>
          <t>Mississauga, ON, CA</t>
        </is>
      </c>
      <c r="F277" s="15" t="inlineStr">
        <is>
          <t>OCEAN</t>
        </is>
      </c>
      <c r="G277" s="15" t="inlineStr">
        <is>
          <t>D. 1 x 40HC</t>
        </is>
      </c>
      <c r="H277" s="15" t="inlineStr">
        <is>
          <t>CFS/CY</t>
        </is>
      </c>
      <c r="I277" s="15" t="inlineStr">
        <is>
          <t>ONE</t>
        </is>
      </c>
      <c r="J277" s="15" t="inlineStr">
        <is>
          <t>EC3</t>
        </is>
      </c>
      <c r="K277" s="15" t="inlineStr">
        <is>
          <t>MAS AMITY PTE LTD</t>
        </is>
      </c>
      <c r="L277" s="16" t="inlineStr">
        <is>
          <t>MAS Active (Pvt) Ltd - Linea Intimo</t>
        </is>
      </c>
      <c r="M277" s="15" t="inlineStr">
        <is>
          <t>N</t>
        </is>
      </c>
      <c r="N277" s="17" t="n">
        <v>454705691334</v>
      </c>
      <c r="O277" s="15" t="n">
        <v>19911975</v>
      </c>
      <c r="P277" s="18" t="inlineStr">
        <is>
          <t>LM3FG2S</t>
        </is>
      </c>
      <c r="Q277" s="18" t="n">
        <v>2</v>
      </c>
      <c r="R277" s="18" t="n">
        <v>0.158</v>
      </c>
      <c r="S277" s="15" t="n">
        <v>20.928</v>
      </c>
      <c r="T277" s="16" t="n">
        <v>45824</v>
      </c>
      <c r="U277" s="19" t="n">
        <v>45883</v>
      </c>
      <c r="V277" s="16" t="n">
        <v>45824</v>
      </c>
      <c r="W277" s="16" t="n">
        <v>45826</v>
      </c>
      <c r="X277" s="57">
        <f>W277-1</f>
        <v/>
      </c>
      <c r="Y277" s="63" t="n">
        <v>45832</v>
      </c>
      <c r="Z277" s="67" t="n">
        <v>45861</v>
      </c>
      <c r="AA277" s="71">
        <f>Z277+13</f>
        <v/>
      </c>
      <c r="AB277" s="20">
        <f>AA277-U277</f>
        <v/>
      </c>
      <c r="AC277" s="20" t="inlineStr">
        <is>
          <t>No</t>
        </is>
      </c>
      <c r="AD277" s="21" t="inlineStr">
        <is>
          <t>1 HBL</t>
        </is>
      </c>
      <c r="AE277" s="21" t="n"/>
      <c r="AF277" s="22" t="inlineStr">
        <is>
          <t>LW</t>
        </is>
      </c>
      <c r="AG277" s="23" t="inlineStr">
        <is>
          <t>NAC</t>
        </is>
      </c>
      <c r="AH277" s="24" t="n"/>
      <c r="AN277" s="24" t="n"/>
    </row>
    <row r="278" ht="12.75" customHeight="1">
      <c r="A278" s="15" t="n">
        <v>3254508</v>
      </c>
      <c r="B278" s="15" t="inlineStr">
        <is>
          <t>Flexport</t>
        </is>
      </c>
      <c r="C278" s="15" t="inlineStr">
        <is>
          <t>Colombo, LK</t>
        </is>
      </c>
      <c r="D278" s="15" t="inlineStr">
        <is>
          <t>New York, NY, US</t>
        </is>
      </c>
      <c r="E278" s="15" t="inlineStr">
        <is>
          <t>Mississauga, ON, CA</t>
        </is>
      </c>
      <c r="F278" s="15" t="inlineStr">
        <is>
          <t>OCEAN</t>
        </is>
      </c>
      <c r="G278" s="15" t="inlineStr">
        <is>
          <t>D. 1 x 40HC</t>
        </is>
      </c>
      <c r="H278" s="15" t="inlineStr">
        <is>
          <t>CFS/CY</t>
        </is>
      </c>
      <c r="I278" s="15" t="inlineStr">
        <is>
          <t>ONE</t>
        </is>
      </c>
      <c r="J278" s="15" t="inlineStr">
        <is>
          <t>EC3</t>
        </is>
      </c>
      <c r="K278" s="15" t="inlineStr">
        <is>
          <t>MAS AMITY PTE LTD</t>
        </is>
      </c>
      <c r="L278" s="16" t="inlineStr">
        <is>
          <t>MAS Active (Pvt) Ltd - Linea Intimo</t>
        </is>
      </c>
      <c r="M278" s="15" t="inlineStr">
        <is>
          <t>N</t>
        </is>
      </c>
      <c r="N278" s="17" t="n">
        <v>454706023813</v>
      </c>
      <c r="O278" s="15" t="n">
        <v>19912128</v>
      </c>
      <c r="P278" s="18" t="inlineStr">
        <is>
          <t>LM3FHKS</t>
        </is>
      </c>
      <c r="Q278" s="18" t="n">
        <v>2</v>
      </c>
      <c r="R278" s="18" t="n">
        <v>0.118</v>
      </c>
      <c r="S278" s="15" t="n">
        <v>17.236</v>
      </c>
      <c r="T278" s="16" t="n">
        <v>45824</v>
      </c>
      <c r="U278" s="19" t="n">
        <v>45883</v>
      </c>
      <c r="V278" s="16" t="n">
        <v>45824</v>
      </c>
      <c r="W278" s="16" t="n">
        <v>45826</v>
      </c>
      <c r="X278" s="57">
        <f>W278-1</f>
        <v/>
      </c>
      <c r="Y278" s="63" t="n">
        <v>45832</v>
      </c>
      <c r="Z278" s="67" t="n">
        <v>45861</v>
      </c>
      <c r="AA278" s="71">
        <f>Z278+13</f>
        <v/>
      </c>
      <c r="AB278" s="20">
        <f>AA278-U278</f>
        <v/>
      </c>
      <c r="AC278" s="20" t="inlineStr">
        <is>
          <t>No</t>
        </is>
      </c>
      <c r="AD278" s="21" t="inlineStr">
        <is>
          <t>1 HBL</t>
        </is>
      </c>
      <c r="AE278" s="21" t="n"/>
      <c r="AF278" s="22" t="inlineStr">
        <is>
          <t>LW</t>
        </is>
      </c>
      <c r="AG278" s="23" t="inlineStr">
        <is>
          <t>NAC</t>
        </is>
      </c>
      <c r="AH278" s="24" t="n"/>
      <c r="AN278" s="24" t="n"/>
    </row>
    <row r="279" ht="12.75" customHeight="1">
      <c r="A279" s="15" t="n">
        <v>3254508</v>
      </c>
      <c r="B279" s="15" t="inlineStr">
        <is>
          <t>Flexport</t>
        </is>
      </c>
      <c r="C279" s="15" t="inlineStr">
        <is>
          <t>Colombo, LK</t>
        </is>
      </c>
      <c r="D279" s="15" t="inlineStr">
        <is>
          <t>New York, NY, US</t>
        </is>
      </c>
      <c r="E279" s="15" t="inlineStr">
        <is>
          <t>Mississauga, ON, CA</t>
        </is>
      </c>
      <c r="F279" s="15" t="inlineStr">
        <is>
          <t>OCEAN</t>
        </is>
      </c>
      <c r="G279" s="15" t="inlineStr">
        <is>
          <t>D. 1 x 40HC</t>
        </is>
      </c>
      <c r="H279" s="15" t="inlineStr">
        <is>
          <t>CFS/CY</t>
        </is>
      </c>
      <c r="I279" s="15" t="inlineStr">
        <is>
          <t>ONE</t>
        </is>
      </c>
      <c r="J279" s="15" t="inlineStr">
        <is>
          <t>EC3</t>
        </is>
      </c>
      <c r="K279" s="15" t="inlineStr">
        <is>
          <t>MAS AMITY PTE LTD</t>
        </is>
      </c>
      <c r="L279" s="16" t="inlineStr">
        <is>
          <t>MAS Active (Pvt) Ltd - Linea Intimo</t>
        </is>
      </c>
      <c r="M279" s="15" t="inlineStr">
        <is>
          <t>N</t>
        </is>
      </c>
      <c r="N279" s="17" t="n">
        <v>454706080383</v>
      </c>
      <c r="O279" s="15" t="n">
        <v>19912833</v>
      </c>
      <c r="P279" s="18" t="inlineStr">
        <is>
          <t>LW3DFLS</t>
        </is>
      </c>
      <c r="Q279" s="18" t="n">
        <v>10</v>
      </c>
      <c r="R279" s="18" t="n">
        <v>0.671</v>
      </c>
      <c r="S279" s="15" t="n">
        <v>87.441</v>
      </c>
      <c r="T279" s="16" t="n">
        <v>45824</v>
      </c>
      <c r="U279" s="19" t="n">
        <v>45883</v>
      </c>
      <c r="V279" s="16" t="n">
        <v>45824</v>
      </c>
      <c r="W279" s="16" t="n">
        <v>45826</v>
      </c>
      <c r="X279" s="57">
        <f>W279-1</f>
        <v/>
      </c>
      <c r="Y279" s="63" t="n">
        <v>45832</v>
      </c>
      <c r="Z279" s="67" t="n">
        <v>45861</v>
      </c>
      <c r="AA279" s="71">
        <f>Z279+13</f>
        <v/>
      </c>
      <c r="AB279" s="20">
        <f>AA279-U279</f>
        <v/>
      </c>
      <c r="AC279" s="20" t="inlineStr">
        <is>
          <t>No</t>
        </is>
      </c>
      <c r="AD279" s="21" t="inlineStr">
        <is>
          <t>1 HBL</t>
        </is>
      </c>
      <c r="AE279" s="21" t="n"/>
      <c r="AF279" s="22" t="inlineStr">
        <is>
          <t>LW</t>
        </is>
      </c>
      <c r="AG279" s="23" t="inlineStr">
        <is>
          <t>NAC</t>
        </is>
      </c>
      <c r="AH279" s="24" t="n"/>
      <c r="AN279" s="24" t="n"/>
    </row>
    <row r="280" ht="12.75" customHeight="1">
      <c r="A280" s="15" t="n">
        <v>3254508</v>
      </c>
      <c r="B280" s="15" t="inlineStr">
        <is>
          <t>Flexport</t>
        </is>
      </c>
      <c r="C280" s="15" t="inlineStr">
        <is>
          <t>Colombo, LK</t>
        </is>
      </c>
      <c r="D280" s="15" t="inlineStr">
        <is>
          <t>New York, NY, US</t>
        </is>
      </c>
      <c r="E280" s="15" t="inlineStr">
        <is>
          <t>Mississauga, ON, CA</t>
        </is>
      </c>
      <c r="F280" s="15" t="inlineStr">
        <is>
          <t>OCEAN</t>
        </is>
      </c>
      <c r="G280" s="15" t="inlineStr">
        <is>
          <t>D. 1 x 40HC</t>
        </is>
      </c>
      <c r="H280" s="15" t="inlineStr">
        <is>
          <t>CFS/CY</t>
        </is>
      </c>
      <c r="I280" s="15" t="inlineStr">
        <is>
          <t>ONE</t>
        </is>
      </c>
      <c r="J280" s="15" t="inlineStr">
        <is>
          <t>EC3</t>
        </is>
      </c>
      <c r="K280" s="15" t="inlineStr">
        <is>
          <t>MAS AMITY PTE LTD</t>
        </is>
      </c>
      <c r="L280" s="16" t="inlineStr">
        <is>
          <t>MAS Active (Pvt) Ltd - Linea Intimo</t>
        </is>
      </c>
      <c r="M280" s="15" t="inlineStr">
        <is>
          <t>N</t>
        </is>
      </c>
      <c r="N280" s="17" t="n">
        <v>454706121015</v>
      </c>
      <c r="O280" s="15" t="n">
        <v>19912083</v>
      </c>
      <c r="P280" s="18" t="inlineStr">
        <is>
          <t>LM3FHKS</t>
        </is>
      </c>
      <c r="Q280" s="18" t="n">
        <v>2</v>
      </c>
      <c r="R280" s="18" t="n">
        <v>0.118</v>
      </c>
      <c r="S280" s="15" t="n">
        <v>14.717</v>
      </c>
      <c r="T280" s="16" t="n">
        <v>45824</v>
      </c>
      <c r="U280" s="19" t="n">
        <v>45883</v>
      </c>
      <c r="V280" s="16" t="n">
        <v>45824</v>
      </c>
      <c r="W280" s="16" t="n">
        <v>45826</v>
      </c>
      <c r="X280" s="57">
        <f>W280-1</f>
        <v/>
      </c>
      <c r="Y280" s="63" t="n">
        <v>45832</v>
      </c>
      <c r="Z280" s="67" t="n">
        <v>45861</v>
      </c>
      <c r="AA280" s="71">
        <f>Z280+13</f>
        <v/>
      </c>
      <c r="AB280" s="20">
        <f>AA280-U280</f>
        <v/>
      </c>
      <c r="AC280" s="20" t="inlineStr">
        <is>
          <t>No</t>
        </is>
      </c>
      <c r="AD280" s="21" t="inlineStr">
        <is>
          <t>1 HBL</t>
        </is>
      </c>
      <c r="AE280" s="21" t="n"/>
      <c r="AF280" s="22" t="inlineStr">
        <is>
          <t>LW</t>
        </is>
      </c>
      <c r="AG280" s="23" t="inlineStr">
        <is>
          <t>NAC</t>
        </is>
      </c>
      <c r="AH280" s="24" t="n"/>
      <c r="AN280" s="24" t="n"/>
    </row>
    <row r="281" ht="12.75" customHeight="1">
      <c r="A281" s="15" t="n">
        <v>3254508</v>
      </c>
      <c r="B281" s="15" t="inlineStr">
        <is>
          <t>Flexport</t>
        </is>
      </c>
      <c r="C281" s="15" t="inlineStr">
        <is>
          <t>Colombo, LK</t>
        </is>
      </c>
      <c r="D281" s="15" t="inlineStr">
        <is>
          <t>New York, NY, US</t>
        </is>
      </c>
      <c r="E281" s="15" t="inlineStr">
        <is>
          <t>Mississauga, ON, CA</t>
        </is>
      </c>
      <c r="F281" s="15" t="inlineStr">
        <is>
          <t>OCEAN</t>
        </is>
      </c>
      <c r="G281" s="15" t="inlineStr">
        <is>
          <t>D. 1 x 40HC</t>
        </is>
      </c>
      <c r="H281" s="15" t="inlineStr">
        <is>
          <t>CFS/CY</t>
        </is>
      </c>
      <c r="I281" s="15" t="inlineStr">
        <is>
          <t>ONE</t>
        </is>
      </c>
      <c r="J281" s="15" t="inlineStr">
        <is>
          <t>EC3</t>
        </is>
      </c>
      <c r="K281" s="15" t="inlineStr">
        <is>
          <t>MAS AMITY PTE LTD</t>
        </is>
      </c>
      <c r="L281" s="16" t="inlineStr">
        <is>
          <t>MAS Active (Pvt) Ltd - Linea Intimo</t>
        </is>
      </c>
      <c r="M281" s="15" t="inlineStr">
        <is>
          <t>N</t>
        </is>
      </c>
      <c r="N281" s="17" t="n">
        <v>454706405931</v>
      </c>
      <c r="O281" s="15" t="n">
        <v>19913413</v>
      </c>
      <c r="P281" s="18" t="inlineStr">
        <is>
          <t>LW3JE9S</t>
        </is>
      </c>
      <c r="Q281" s="18" t="n">
        <v>11</v>
      </c>
      <c r="R281" s="18" t="n">
        <v>0.869</v>
      </c>
      <c r="S281" s="15" t="n">
        <v>132.919</v>
      </c>
      <c r="T281" s="16" t="n">
        <v>45824</v>
      </c>
      <c r="U281" s="19" t="n">
        <v>45883</v>
      </c>
      <c r="V281" s="16" t="n">
        <v>45824</v>
      </c>
      <c r="W281" s="16" t="n">
        <v>45826</v>
      </c>
      <c r="X281" s="57">
        <f>W281-1</f>
        <v/>
      </c>
      <c r="Y281" s="63" t="n">
        <v>45832</v>
      </c>
      <c r="Z281" s="67" t="n">
        <v>45861</v>
      </c>
      <c r="AA281" s="71">
        <f>Z281+13</f>
        <v/>
      </c>
      <c r="AB281" s="20">
        <f>AA281-U281</f>
        <v/>
      </c>
      <c r="AC281" s="20" t="inlineStr">
        <is>
          <t>No</t>
        </is>
      </c>
      <c r="AD281" s="21" t="inlineStr">
        <is>
          <t>1 HBL</t>
        </is>
      </c>
      <c r="AE281" s="21" t="n"/>
      <c r="AF281" s="22" t="inlineStr">
        <is>
          <t>LW</t>
        </is>
      </c>
      <c r="AG281" s="23" t="inlineStr">
        <is>
          <t>NAC</t>
        </is>
      </c>
      <c r="AH281" s="24" t="n"/>
      <c r="AN281" s="24" t="n"/>
    </row>
    <row r="282" ht="12.75" customHeight="1">
      <c r="A282" s="15" t="n">
        <v>3254508</v>
      </c>
      <c r="B282" s="15" t="inlineStr">
        <is>
          <t>Flexport</t>
        </is>
      </c>
      <c r="C282" s="15" t="inlineStr">
        <is>
          <t>Colombo, LK</t>
        </is>
      </c>
      <c r="D282" s="15" t="inlineStr">
        <is>
          <t>New York, NY, US</t>
        </is>
      </c>
      <c r="E282" s="15" t="inlineStr">
        <is>
          <t>Mississauga, ON, CA</t>
        </is>
      </c>
      <c r="F282" s="15" t="inlineStr">
        <is>
          <t>OCEAN</t>
        </is>
      </c>
      <c r="G282" s="15" t="inlineStr">
        <is>
          <t>D. 1 x 40HC</t>
        </is>
      </c>
      <c r="H282" s="15" t="inlineStr">
        <is>
          <t>CFS/CY</t>
        </is>
      </c>
      <c r="I282" s="15" t="inlineStr">
        <is>
          <t>ONE</t>
        </is>
      </c>
      <c r="J282" s="15" t="inlineStr">
        <is>
          <t>EC3</t>
        </is>
      </c>
      <c r="K282" s="15" t="inlineStr">
        <is>
          <t>MAS AMITY PTE LTD</t>
        </is>
      </c>
      <c r="L282" s="16" t="inlineStr">
        <is>
          <t>MAS Active (Pvt) Ltd - Linea Intimo</t>
        </is>
      </c>
      <c r="M282" s="15" t="inlineStr">
        <is>
          <t>N</t>
        </is>
      </c>
      <c r="N282" s="17" t="n">
        <v>454706712546</v>
      </c>
      <c r="O282" s="15" t="n">
        <v>19913277</v>
      </c>
      <c r="P282" s="18" t="inlineStr">
        <is>
          <t>LW3FQHS</t>
        </is>
      </c>
      <c r="Q282" s="18" t="n">
        <v>9</v>
      </c>
      <c r="R282" s="18" t="n">
        <v>0.674</v>
      </c>
      <c r="S282" s="15" t="n">
        <v>101.09</v>
      </c>
      <c r="T282" s="16" t="n">
        <v>45824</v>
      </c>
      <c r="U282" s="19" t="n">
        <v>45883</v>
      </c>
      <c r="V282" s="16" t="n">
        <v>45824</v>
      </c>
      <c r="W282" s="16" t="n">
        <v>45826</v>
      </c>
      <c r="X282" s="57">
        <f>W282-1</f>
        <v/>
      </c>
      <c r="Y282" s="63" t="n">
        <v>45832</v>
      </c>
      <c r="Z282" s="67" t="n">
        <v>45861</v>
      </c>
      <c r="AA282" s="71">
        <f>Z282+13</f>
        <v/>
      </c>
      <c r="AB282" s="20">
        <f>AA282-U282</f>
        <v/>
      </c>
      <c r="AC282" s="20" t="inlineStr">
        <is>
          <t>No</t>
        </is>
      </c>
      <c r="AD282" s="21" t="inlineStr">
        <is>
          <t>1 HBL</t>
        </is>
      </c>
      <c r="AE282" s="21" t="n"/>
      <c r="AF282" s="22" t="inlineStr">
        <is>
          <t>LW</t>
        </is>
      </c>
      <c r="AG282" s="23" t="inlineStr">
        <is>
          <t>NAC</t>
        </is>
      </c>
      <c r="AH282" s="24" t="n"/>
      <c r="AN282" s="24" t="n"/>
    </row>
    <row r="283" ht="12.75" customHeight="1">
      <c r="A283" s="15" t="n">
        <v>3254508</v>
      </c>
      <c r="B283" s="15" t="inlineStr">
        <is>
          <t>Flexport</t>
        </is>
      </c>
      <c r="C283" s="15" t="inlineStr">
        <is>
          <t>Colombo, LK</t>
        </is>
      </c>
      <c r="D283" s="15" t="inlineStr">
        <is>
          <t>New York, NY, US</t>
        </is>
      </c>
      <c r="E283" s="15" t="inlineStr">
        <is>
          <t>Mississauga, ON, CA</t>
        </is>
      </c>
      <c r="F283" s="15" t="inlineStr">
        <is>
          <t>OCEAN</t>
        </is>
      </c>
      <c r="G283" s="15" t="inlineStr">
        <is>
          <t>D. 1 x 40HC</t>
        </is>
      </c>
      <c r="H283" s="15" t="inlineStr">
        <is>
          <t>CFS/CY</t>
        </is>
      </c>
      <c r="I283" s="15" t="inlineStr">
        <is>
          <t>ONE</t>
        </is>
      </c>
      <c r="J283" s="15" t="inlineStr">
        <is>
          <t>EC3</t>
        </is>
      </c>
      <c r="K283" s="15" t="inlineStr">
        <is>
          <t>MAS AMITY PTE LTD</t>
        </is>
      </c>
      <c r="L283" s="16" t="inlineStr">
        <is>
          <t>MAS Active (Pvt) Ltd - Linea Intimo</t>
        </is>
      </c>
      <c r="M283" s="15" t="inlineStr">
        <is>
          <t>N</t>
        </is>
      </c>
      <c r="N283" s="17" t="n">
        <v>454706949394</v>
      </c>
      <c r="O283" s="15" t="n">
        <v>19913431</v>
      </c>
      <c r="P283" s="18" t="inlineStr">
        <is>
          <t>LW3JE9S</t>
        </is>
      </c>
      <c r="Q283" s="18" t="n">
        <v>6</v>
      </c>
      <c r="R283" s="18" t="n">
        <v>0.474</v>
      </c>
      <c r="S283" s="15" t="n">
        <v>71.02500000000001</v>
      </c>
      <c r="T283" s="16" t="n">
        <v>45824</v>
      </c>
      <c r="U283" s="19" t="n">
        <v>45883</v>
      </c>
      <c r="V283" s="16" t="n">
        <v>45824</v>
      </c>
      <c r="W283" s="16" t="n">
        <v>45826</v>
      </c>
      <c r="X283" s="57">
        <f>W283-1</f>
        <v/>
      </c>
      <c r="Y283" s="63" t="n">
        <v>45832</v>
      </c>
      <c r="Z283" s="67" t="n">
        <v>45861</v>
      </c>
      <c r="AA283" s="71">
        <f>Z283+13</f>
        <v/>
      </c>
      <c r="AB283" s="20">
        <f>AA283-U283</f>
        <v/>
      </c>
      <c r="AC283" s="20" t="inlineStr">
        <is>
          <t>No</t>
        </is>
      </c>
      <c r="AD283" s="21" t="inlineStr">
        <is>
          <t>1 HBL</t>
        </is>
      </c>
      <c r="AE283" s="21" t="n"/>
      <c r="AF283" s="22" t="inlineStr">
        <is>
          <t>LW</t>
        </is>
      </c>
      <c r="AG283" s="23" t="inlineStr">
        <is>
          <t>NAC</t>
        </is>
      </c>
      <c r="AH283" s="24" t="n"/>
      <c r="AN283" s="24" t="n"/>
    </row>
    <row r="284" ht="12.75" customHeight="1">
      <c r="A284" s="15" t="n">
        <v>3254508</v>
      </c>
      <c r="B284" s="15" t="inlineStr">
        <is>
          <t>Flexport</t>
        </is>
      </c>
      <c r="C284" s="15" t="inlineStr">
        <is>
          <t>Colombo, LK</t>
        </is>
      </c>
      <c r="D284" s="15" t="inlineStr">
        <is>
          <t>New York, NY, US</t>
        </is>
      </c>
      <c r="E284" s="15" t="inlineStr">
        <is>
          <t>Mississauga, ON, CA</t>
        </is>
      </c>
      <c r="F284" s="15" t="inlineStr">
        <is>
          <t>OCEAN</t>
        </is>
      </c>
      <c r="G284" s="15" t="inlineStr">
        <is>
          <t>D. 1 x 40HC</t>
        </is>
      </c>
      <c r="H284" s="15" t="inlineStr">
        <is>
          <t>CFS/CY</t>
        </is>
      </c>
      <c r="I284" s="15" t="inlineStr">
        <is>
          <t>ONE</t>
        </is>
      </c>
      <c r="J284" s="15" t="inlineStr">
        <is>
          <t>EC3</t>
        </is>
      </c>
      <c r="K284" s="15" t="inlineStr">
        <is>
          <t>MAS AMITY PTE LTD</t>
        </is>
      </c>
      <c r="L284" s="16" t="inlineStr">
        <is>
          <t>MAS Active (Pvt) Ltd - Linea Intimo</t>
        </is>
      </c>
      <c r="M284" s="15" t="inlineStr">
        <is>
          <t>N</t>
        </is>
      </c>
      <c r="N284" s="17" t="n">
        <v>454707107149</v>
      </c>
      <c r="O284" s="15" t="n">
        <v>19913463</v>
      </c>
      <c r="P284" s="18" t="inlineStr">
        <is>
          <t>LM1364S</t>
        </is>
      </c>
      <c r="Q284" s="18" t="n">
        <v>4</v>
      </c>
      <c r="R284" s="18" t="n">
        <v>0.316</v>
      </c>
      <c r="S284" s="15" t="n">
        <v>35.936</v>
      </c>
      <c r="T284" s="16" t="n">
        <v>45824</v>
      </c>
      <c r="U284" s="19" t="n">
        <v>45883</v>
      </c>
      <c r="V284" s="16" t="n">
        <v>45824</v>
      </c>
      <c r="W284" s="16" t="n">
        <v>45826</v>
      </c>
      <c r="X284" s="57">
        <f>W284-1</f>
        <v/>
      </c>
      <c r="Y284" s="63" t="n">
        <v>45832</v>
      </c>
      <c r="Z284" s="67" t="n">
        <v>45861</v>
      </c>
      <c r="AA284" s="71">
        <f>Z284+13</f>
        <v/>
      </c>
      <c r="AB284" s="20">
        <f>AA284-U284</f>
        <v/>
      </c>
      <c r="AC284" s="20" t="inlineStr">
        <is>
          <t>No</t>
        </is>
      </c>
      <c r="AD284" s="21" t="inlineStr">
        <is>
          <t>1 HBL</t>
        </is>
      </c>
      <c r="AE284" s="21" t="n"/>
      <c r="AF284" s="22" t="inlineStr">
        <is>
          <t>LW</t>
        </is>
      </c>
      <c r="AG284" s="23" t="inlineStr">
        <is>
          <t>NAC</t>
        </is>
      </c>
      <c r="AH284" s="24" t="n"/>
      <c r="AN284" s="24" t="n"/>
    </row>
    <row r="285" ht="12.75" customHeight="1">
      <c r="A285" s="15" t="n">
        <v>3254508</v>
      </c>
      <c r="B285" s="15" t="inlineStr">
        <is>
          <t>Flexport</t>
        </is>
      </c>
      <c r="C285" s="15" t="inlineStr">
        <is>
          <t>Colombo, LK</t>
        </is>
      </c>
      <c r="D285" s="15" t="inlineStr">
        <is>
          <t>New York, NY, US</t>
        </is>
      </c>
      <c r="E285" s="15" t="inlineStr">
        <is>
          <t>Mississauga, ON, CA</t>
        </is>
      </c>
      <c r="F285" s="15" t="inlineStr">
        <is>
          <t>OCEAN</t>
        </is>
      </c>
      <c r="G285" s="15" t="inlineStr">
        <is>
          <t>D. 1 x 40HC</t>
        </is>
      </c>
      <c r="H285" s="15" t="inlineStr">
        <is>
          <t>CFS/CY</t>
        </is>
      </c>
      <c r="I285" s="15" t="inlineStr">
        <is>
          <t>ONE</t>
        </is>
      </c>
      <c r="J285" s="15" t="inlineStr">
        <is>
          <t>EC3</t>
        </is>
      </c>
      <c r="K285" s="15" t="inlineStr">
        <is>
          <t>MAS AMITY PTE LTD</t>
        </is>
      </c>
      <c r="L285" s="16" t="inlineStr">
        <is>
          <t>MAS Active (Pvt) Ltd - Linea Intimo</t>
        </is>
      </c>
      <c r="M285" s="15" t="inlineStr">
        <is>
          <t>N</t>
        </is>
      </c>
      <c r="N285" s="17" t="n">
        <v>454707657000</v>
      </c>
      <c r="O285" s="15" t="n">
        <v>19913514</v>
      </c>
      <c r="P285" s="18" t="inlineStr">
        <is>
          <t>LM3FHKS</t>
        </is>
      </c>
      <c r="Q285" s="18" t="n">
        <v>6</v>
      </c>
      <c r="R285" s="18" t="n">
        <v>0.395</v>
      </c>
      <c r="S285" s="15" t="n">
        <v>60.972</v>
      </c>
      <c r="T285" s="16" t="n">
        <v>45824</v>
      </c>
      <c r="U285" s="19" t="n">
        <v>45883</v>
      </c>
      <c r="V285" s="16" t="n">
        <v>45824</v>
      </c>
      <c r="W285" s="16" t="n">
        <v>45826</v>
      </c>
      <c r="X285" s="57">
        <f>W285-1</f>
        <v/>
      </c>
      <c r="Y285" s="63" t="n">
        <v>45832</v>
      </c>
      <c r="Z285" s="67" t="n">
        <v>45861</v>
      </c>
      <c r="AA285" s="71">
        <f>Z285+13</f>
        <v/>
      </c>
      <c r="AB285" s="20">
        <f>AA285-U285</f>
        <v/>
      </c>
      <c r="AC285" s="20" t="inlineStr">
        <is>
          <t>No</t>
        </is>
      </c>
      <c r="AD285" s="21" t="inlineStr">
        <is>
          <t>1 HBL</t>
        </is>
      </c>
      <c r="AE285" s="21" t="n"/>
      <c r="AF285" s="22" t="inlineStr">
        <is>
          <t>LW</t>
        </is>
      </c>
      <c r="AG285" s="23" t="inlineStr">
        <is>
          <t>NAC</t>
        </is>
      </c>
      <c r="AH285" s="24" t="n"/>
      <c r="AN285" s="24" t="n"/>
    </row>
    <row r="286" ht="12.75" customHeight="1">
      <c r="A286" s="15" t="n">
        <v>3254508</v>
      </c>
      <c r="B286" s="15" t="inlineStr">
        <is>
          <t>Flexport</t>
        </is>
      </c>
      <c r="C286" s="15" t="inlineStr">
        <is>
          <t>Colombo, LK</t>
        </is>
      </c>
      <c r="D286" s="15" t="inlineStr">
        <is>
          <t>New York, NY, US</t>
        </is>
      </c>
      <c r="E286" s="15" t="inlineStr">
        <is>
          <t>Mississauga, ON, CA</t>
        </is>
      </c>
      <c r="F286" s="15" t="inlineStr">
        <is>
          <t>OCEAN</t>
        </is>
      </c>
      <c r="G286" s="15" t="inlineStr">
        <is>
          <t>D. 1 x 40HC</t>
        </is>
      </c>
      <c r="H286" s="15" t="inlineStr">
        <is>
          <t>CFS/CY</t>
        </is>
      </c>
      <c r="I286" s="15" t="inlineStr">
        <is>
          <t>ONE</t>
        </is>
      </c>
      <c r="J286" s="15" t="inlineStr">
        <is>
          <t>EC3</t>
        </is>
      </c>
      <c r="K286" s="15" t="inlineStr">
        <is>
          <t>MAS AMITY PTE LTD</t>
        </is>
      </c>
      <c r="L286" s="16" t="inlineStr">
        <is>
          <t>MAS Active (Pvt) Ltd - Linea Intimo</t>
        </is>
      </c>
      <c r="M286" s="15" t="inlineStr">
        <is>
          <t>N</t>
        </is>
      </c>
      <c r="N286" s="17" t="n">
        <v>454707704516</v>
      </c>
      <c r="O286" s="15" t="n">
        <v>19913502</v>
      </c>
      <c r="P286" s="18" t="inlineStr">
        <is>
          <t>LM3FHKS</t>
        </is>
      </c>
      <c r="Q286" s="18" t="n">
        <v>7</v>
      </c>
      <c r="R286" s="18" t="n">
        <v>0.474</v>
      </c>
      <c r="S286" s="15" t="n">
        <v>81.849</v>
      </c>
      <c r="T286" s="16" t="n">
        <v>45824</v>
      </c>
      <c r="U286" s="19" t="n">
        <v>45883</v>
      </c>
      <c r="V286" s="16" t="n">
        <v>45824</v>
      </c>
      <c r="W286" s="16" t="n">
        <v>45826</v>
      </c>
      <c r="X286" s="57">
        <f>W286-1</f>
        <v/>
      </c>
      <c r="Y286" s="63" t="n">
        <v>45832</v>
      </c>
      <c r="Z286" s="67" t="n">
        <v>45861</v>
      </c>
      <c r="AA286" s="71">
        <f>Z286+13</f>
        <v/>
      </c>
      <c r="AB286" s="20">
        <f>AA286-U286</f>
        <v/>
      </c>
      <c r="AC286" s="20" t="inlineStr">
        <is>
          <t>No</t>
        </is>
      </c>
      <c r="AD286" s="21" t="inlineStr">
        <is>
          <t>1 HBL</t>
        </is>
      </c>
      <c r="AE286" s="21" t="n"/>
      <c r="AF286" s="22" t="inlineStr">
        <is>
          <t>LW</t>
        </is>
      </c>
      <c r="AG286" s="23" t="inlineStr">
        <is>
          <t>NAC</t>
        </is>
      </c>
      <c r="AH286" s="24" t="n"/>
      <c r="AN286" s="24" t="n"/>
    </row>
    <row r="287" ht="12.75" customHeight="1">
      <c r="A287" s="15" t="n">
        <v>3254508</v>
      </c>
      <c r="B287" s="15" t="inlineStr">
        <is>
          <t>Flexport</t>
        </is>
      </c>
      <c r="C287" s="15" t="inlineStr">
        <is>
          <t>Colombo, LK</t>
        </is>
      </c>
      <c r="D287" s="15" t="inlineStr">
        <is>
          <t>New York, NY, US</t>
        </is>
      </c>
      <c r="E287" s="15" t="inlineStr">
        <is>
          <t>Mississauga, ON, CA</t>
        </is>
      </c>
      <c r="F287" s="15" t="inlineStr">
        <is>
          <t>OCEAN</t>
        </is>
      </c>
      <c r="G287" s="15" t="inlineStr">
        <is>
          <t>D. 1 x 40HC</t>
        </is>
      </c>
      <c r="H287" s="15" t="inlineStr">
        <is>
          <t>CFS/CY</t>
        </is>
      </c>
      <c r="I287" s="15" t="inlineStr">
        <is>
          <t>ONE</t>
        </is>
      </c>
      <c r="J287" s="15" t="inlineStr">
        <is>
          <t>EC3</t>
        </is>
      </c>
      <c r="K287" s="15" t="inlineStr">
        <is>
          <t>MAS AMITY PTE LTD</t>
        </is>
      </c>
      <c r="L287" s="16" t="inlineStr">
        <is>
          <t>MAS Active (Pvt) Ltd - Linea Intimo</t>
        </is>
      </c>
      <c r="M287" s="15" t="inlineStr">
        <is>
          <t>N</t>
        </is>
      </c>
      <c r="N287" s="17" t="n">
        <v>454707967199</v>
      </c>
      <c r="O287" s="15" t="n">
        <v>19918362</v>
      </c>
      <c r="P287" s="18" t="inlineStr">
        <is>
          <t>LW3DFLS</t>
        </is>
      </c>
      <c r="Q287" s="18" t="n">
        <v>7</v>
      </c>
      <c r="R287" s="18" t="n">
        <v>0.434</v>
      </c>
      <c r="S287" s="15" t="n">
        <v>56.03</v>
      </c>
      <c r="T287" s="16" t="n">
        <v>45824</v>
      </c>
      <c r="U287" s="19" t="n">
        <v>45883</v>
      </c>
      <c r="V287" s="16" t="n">
        <v>45824</v>
      </c>
      <c r="W287" s="16" t="n">
        <v>45826</v>
      </c>
      <c r="X287" s="57">
        <f>W287-1</f>
        <v/>
      </c>
      <c r="Y287" s="63" t="n">
        <v>45832</v>
      </c>
      <c r="Z287" s="67" t="n">
        <v>45861</v>
      </c>
      <c r="AA287" s="71">
        <f>Z287+13</f>
        <v/>
      </c>
      <c r="AB287" s="20">
        <f>AA287-U287</f>
        <v/>
      </c>
      <c r="AC287" s="20" t="inlineStr">
        <is>
          <t>No</t>
        </is>
      </c>
      <c r="AD287" s="21" t="inlineStr">
        <is>
          <t>1 HBL</t>
        </is>
      </c>
      <c r="AE287" s="21" t="n"/>
      <c r="AF287" s="22" t="inlineStr">
        <is>
          <t>LW</t>
        </is>
      </c>
      <c r="AG287" s="23" t="inlineStr">
        <is>
          <t>NAC</t>
        </is>
      </c>
      <c r="AH287" s="24" t="n"/>
      <c r="AN287" s="24" t="n"/>
    </row>
    <row r="288" ht="12.75" customHeight="1">
      <c r="A288" s="15" t="n">
        <v>3254508</v>
      </c>
      <c r="B288" s="15" t="inlineStr">
        <is>
          <t>Flexport</t>
        </is>
      </c>
      <c r="C288" s="15" t="inlineStr">
        <is>
          <t>Colombo, LK</t>
        </is>
      </c>
      <c r="D288" s="15" t="inlineStr">
        <is>
          <t>New York, NY, US</t>
        </is>
      </c>
      <c r="E288" s="15" t="inlineStr">
        <is>
          <t>Mississauga, ON, CA</t>
        </is>
      </c>
      <c r="F288" s="15" t="inlineStr">
        <is>
          <t>OCEAN</t>
        </is>
      </c>
      <c r="G288" s="15" t="inlineStr">
        <is>
          <t>D. 1 x 40HC</t>
        </is>
      </c>
      <c r="H288" s="15" t="inlineStr">
        <is>
          <t>CFS/CY</t>
        </is>
      </c>
      <c r="I288" s="15" t="inlineStr">
        <is>
          <t>ONE</t>
        </is>
      </c>
      <c r="J288" s="15" t="inlineStr">
        <is>
          <t>EC3</t>
        </is>
      </c>
      <c r="K288" s="15" t="inlineStr">
        <is>
          <t>MAS AMITY PTE LTD</t>
        </is>
      </c>
      <c r="L288" s="16" t="inlineStr">
        <is>
          <t>MAS Active (Pvt) Ltd - Linea Intimo</t>
        </is>
      </c>
      <c r="M288" s="15" t="inlineStr">
        <is>
          <t>N</t>
        </is>
      </c>
      <c r="N288" s="17" t="n">
        <v>454708168021</v>
      </c>
      <c r="O288" s="15" t="n">
        <v>19918384</v>
      </c>
      <c r="P288" s="18" t="inlineStr">
        <is>
          <t>LW3DFLS</t>
        </is>
      </c>
      <c r="Q288" s="18" t="n">
        <v>6</v>
      </c>
      <c r="R288" s="18" t="n">
        <v>0.395</v>
      </c>
      <c r="S288" s="15" t="n">
        <v>44.476</v>
      </c>
      <c r="T288" s="16" t="n">
        <v>45824</v>
      </c>
      <c r="U288" s="19" t="n">
        <v>45883</v>
      </c>
      <c r="V288" s="16" t="n">
        <v>45824</v>
      </c>
      <c r="W288" s="16" t="n">
        <v>45826</v>
      </c>
      <c r="X288" s="57">
        <f>W288-1</f>
        <v/>
      </c>
      <c r="Y288" s="63" t="n">
        <v>45832</v>
      </c>
      <c r="Z288" s="67" t="n">
        <v>45861</v>
      </c>
      <c r="AA288" s="71">
        <f>Z288+13</f>
        <v/>
      </c>
      <c r="AB288" s="20">
        <f>AA288-U288</f>
        <v/>
      </c>
      <c r="AC288" s="20" t="inlineStr">
        <is>
          <t>No</t>
        </is>
      </c>
      <c r="AD288" s="21" t="inlineStr">
        <is>
          <t>1 HBL</t>
        </is>
      </c>
      <c r="AE288" s="21" t="n"/>
      <c r="AF288" s="22" t="inlineStr">
        <is>
          <t>LW</t>
        </is>
      </c>
      <c r="AG288" s="23" t="inlineStr">
        <is>
          <t>NAC</t>
        </is>
      </c>
      <c r="AH288" s="24" t="n"/>
      <c r="AN288" s="24" t="n"/>
    </row>
    <row r="289" ht="12.75" customHeight="1">
      <c r="A289" s="15" t="n">
        <v>3254508</v>
      </c>
      <c r="B289" s="15" t="inlineStr">
        <is>
          <t>Flexport</t>
        </is>
      </c>
      <c r="C289" s="15" t="inlineStr">
        <is>
          <t>Colombo, LK</t>
        </is>
      </c>
      <c r="D289" s="15" t="inlineStr">
        <is>
          <t>New York, NY, US</t>
        </is>
      </c>
      <c r="E289" s="15" t="inlineStr">
        <is>
          <t>Mississauga, ON, CA</t>
        </is>
      </c>
      <c r="F289" s="15" t="inlineStr">
        <is>
          <t>OCEAN</t>
        </is>
      </c>
      <c r="G289" s="15" t="inlineStr">
        <is>
          <t>D. 1 x 40HC</t>
        </is>
      </c>
      <c r="H289" s="15" t="inlineStr">
        <is>
          <t>CFS/CY</t>
        </is>
      </c>
      <c r="I289" s="15" t="inlineStr">
        <is>
          <t>ONE</t>
        </is>
      </c>
      <c r="J289" s="15" t="inlineStr">
        <is>
          <t>EC3</t>
        </is>
      </c>
      <c r="K289" s="15" t="inlineStr">
        <is>
          <t>MAS AMITY PTE LTD</t>
        </is>
      </c>
      <c r="L289" s="16" t="inlineStr">
        <is>
          <t>MAS Active (Pvt) Ltd - Linea Intimo</t>
        </is>
      </c>
      <c r="M289" s="15" t="inlineStr">
        <is>
          <t>N</t>
        </is>
      </c>
      <c r="N289" s="17" t="n">
        <v>454708616885</v>
      </c>
      <c r="O289" s="15" t="n">
        <v>19918474</v>
      </c>
      <c r="P289" s="18" t="inlineStr">
        <is>
          <t>LW3FQHS</t>
        </is>
      </c>
      <c r="Q289" s="18" t="n">
        <v>4</v>
      </c>
      <c r="R289" s="18" t="n">
        <v>0.237</v>
      </c>
      <c r="S289" s="15" t="n">
        <v>26.556</v>
      </c>
      <c r="T289" s="16" t="n">
        <v>45824</v>
      </c>
      <c r="U289" s="19" t="n">
        <v>45883</v>
      </c>
      <c r="V289" s="16" t="n">
        <v>45824</v>
      </c>
      <c r="W289" s="16" t="n">
        <v>45826</v>
      </c>
      <c r="X289" s="57">
        <f>W289-1</f>
        <v/>
      </c>
      <c r="Y289" s="63" t="n">
        <v>45832</v>
      </c>
      <c r="Z289" s="67" t="n">
        <v>45861</v>
      </c>
      <c r="AA289" s="71">
        <f>Z289+13</f>
        <v/>
      </c>
      <c r="AB289" s="20">
        <f>AA289-U289</f>
        <v/>
      </c>
      <c r="AC289" s="20" t="inlineStr">
        <is>
          <t>No</t>
        </is>
      </c>
      <c r="AD289" s="21" t="inlineStr">
        <is>
          <t>1 HBL</t>
        </is>
      </c>
      <c r="AE289" s="21" t="n"/>
      <c r="AF289" s="22" t="inlineStr">
        <is>
          <t>LW</t>
        </is>
      </c>
      <c r="AG289" s="23" t="inlineStr">
        <is>
          <t>NAC</t>
        </is>
      </c>
      <c r="AH289" s="24" t="n"/>
      <c r="AN289" s="24" t="n"/>
    </row>
    <row r="290" ht="12.75" customHeight="1">
      <c r="A290" s="15" t="n">
        <v>3254508</v>
      </c>
      <c r="B290" s="15" t="inlineStr">
        <is>
          <t>Flexport</t>
        </is>
      </c>
      <c r="C290" s="15" t="inlineStr">
        <is>
          <t>Colombo, LK</t>
        </is>
      </c>
      <c r="D290" s="15" t="inlineStr">
        <is>
          <t>New York, NY, US</t>
        </is>
      </c>
      <c r="E290" s="15" t="inlineStr">
        <is>
          <t>Mississauga, ON, CA</t>
        </is>
      </c>
      <c r="F290" s="15" t="inlineStr">
        <is>
          <t>OCEAN</t>
        </is>
      </c>
      <c r="G290" s="15" t="inlineStr">
        <is>
          <t>D. 1 x 40HC</t>
        </is>
      </c>
      <c r="H290" s="15" t="inlineStr">
        <is>
          <t>CFS/CY</t>
        </is>
      </c>
      <c r="I290" s="15" t="inlineStr">
        <is>
          <t>ONE</t>
        </is>
      </c>
      <c r="J290" s="15" t="inlineStr">
        <is>
          <t>EC3</t>
        </is>
      </c>
      <c r="K290" s="15" t="inlineStr">
        <is>
          <t>MAS AMITY PTE LTD</t>
        </is>
      </c>
      <c r="L290" s="16" t="inlineStr">
        <is>
          <t>MAS Active (Pvt) Ltd - Linea Intimo</t>
        </is>
      </c>
      <c r="M290" s="15" t="inlineStr">
        <is>
          <t>N</t>
        </is>
      </c>
      <c r="N290" s="17" t="n">
        <v>454708617020</v>
      </c>
      <c r="O290" s="15" t="n">
        <v>19918434</v>
      </c>
      <c r="P290" s="18" t="inlineStr">
        <is>
          <t>LW3DFNS</t>
        </is>
      </c>
      <c r="Q290" s="18" t="n">
        <v>3</v>
      </c>
      <c r="R290" s="18" t="n">
        <v>0.198</v>
      </c>
      <c r="S290" s="15" t="n">
        <v>27.09</v>
      </c>
      <c r="T290" s="16" t="n">
        <v>45824</v>
      </c>
      <c r="U290" s="19" t="n">
        <v>45883</v>
      </c>
      <c r="V290" s="16" t="n">
        <v>45824</v>
      </c>
      <c r="W290" s="16" t="n">
        <v>45826</v>
      </c>
      <c r="X290" s="57">
        <f>W290-1</f>
        <v/>
      </c>
      <c r="Y290" s="63" t="n">
        <v>45832</v>
      </c>
      <c r="Z290" s="67" t="n">
        <v>45861</v>
      </c>
      <c r="AA290" s="71">
        <f>Z290+13</f>
        <v/>
      </c>
      <c r="AB290" s="20">
        <f>AA290-U290</f>
        <v/>
      </c>
      <c r="AC290" s="20" t="inlineStr">
        <is>
          <t>No</t>
        </is>
      </c>
      <c r="AD290" s="21" t="inlineStr">
        <is>
          <t>1 HBL</t>
        </is>
      </c>
      <c r="AE290" s="21" t="n"/>
      <c r="AF290" s="22" t="inlineStr">
        <is>
          <t>LW</t>
        </is>
      </c>
      <c r="AG290" s="23" t="inlineStr">
        <is>
          <t>NAC</t>
        </is>
      </c>
      <c r="AH290" s="24" t="n"/>
      <c r="AN290" s="24" t="n"/>
    </row>
    <row r="291" ht="12.75" customHeight="1">
      <c r="A291" s="15" t="n">
        <v>3254508</v>
      </c>
      <c r="B291" s="15" t="inlineStr">
        <is>
          <t>Flexport</t>
        </is>
      </c>
      <c r="C291" s="15" t="inlineStr">
        <is>
          <t>Colombo, LK</t>
        </is>
      </c>
      <c r="D291" s="15" t="inlineStr">
        <is>
          <t>New York, NY, US</t>
        </is>
      </c>
      <c r="E291" s="15" t="inlineStr">
        <is>
          <t>Mississauga, ON, CA</t>
        </is>
      </c>
      <c r="F291" s="15" t="inlineStr">
        <is>
          <t>OCEAN</t>
        </is>
      </c>
      <c r="G291" s="15" t="inlineStr">
        <is>
          <t>D. 1 x 40HC</t>
        </is>
      </c>
      <c r="H291" s="15" t="inlineStr">
        <is>
          <t>CFS/CY</t>
        </is>
      </c>
      <c r="I291" s="15" t="inlineStr">
        <is>
          <t>ONE</t>
        </is>
      </c>
      <c r="J291" s="15" t="inlineStr">
        <is>
          <t>EC3</t>
        </is>
      </c>
      <c r="K291" s="15" t="inlineStr">
        <is>
          <t>MAS AMITY PTE LTD</t>
        </is>
      </c>
      <c r="L291" s="16" t="inlineStr">
        <is>
          <t>MAS Active (Pvt) Ltd - Linea Intimo</t>
        </is>
      </c>
      <c r="M291" s="15" t="inlineStr">
        <is>
          <t>N</t>
        </is>
      </c>
      <c r="N291" s="17" t="n">
        <v>454708657110</v>
      </c>
      <c r="O291" s="15" t="n">
        <v>19918549</v>
      </c>
      <c r="P291" s="18" t="inlineStr">
        <is>
          <t>LM1364S</t>
        </is>
      </c>
      <c r="Q291" s="18" t="n">
        <v>2</v>
      </c>
      <c r="R291" s="18" t="n">
        <v>0.118</v>
      </c>
      <c r="S291" s="15" t="n">
        <v>12.189</v>
      </c>
      <c r="T291" s="16" t="n">
        <v>45824</v>
      </c>
      <c r="U291" s="19" t="n">
        <v>45883</v>
      </c>
      <c r="V291" s="16" t="n">
        <v>45824</v>
      </c>
      <c r="W291" s="16" t="n">
        <v>45826</v>
      </c>
      <c r="X291" s="57">
        <f>W291-1</f>
        <v/>
      </c>
      <c r="Y291" s="63" t="n">
        <v>45832</v>
      </c>
      <c r="Z291" s="67" t="n">
        <v>45861</v>
      </c>
      <c r="AA291" s="71">
        <f>Z291+13</f>
        <v/>
      </c>
      <c r="AB291" s="20">
        <f>AA291-U291</f>
        <v/>
      </c>
      <c r="AC291" s="20" t="inlineStr">
        <is>
          <t>No</t>
        </is>
      </c>
      <c r="AD291" s="21" t="inlineStr">
        <is>
          <t>1 HBL</t>
        </is>
      </c>
      <c r="AE291" s="21" t="n"/>
      <c r="AF291" s="22" t="inlineStr">
        <is>
          <t>LW</t>
        </is>
      </c>
      <c r="AG291" s="23" t="inlineStr">
        <is>
          <t>NAC</t>
        </is>
      </c>
      <c r="AH291" s="24" t="n"/>
      <c r="AN291" s="24" t="n"/>
    </row>
    <row r="292" ht="12.75" customHeight="1">
      <c r="A292" s="15" t="n">
        <v>3254508</v>
      </c>
      <c r="B292" s="15" t="inlineStr">
        <is>
          <t>Flexport</t>
        </is>
      </c>
      <c r="C292" s="15" t="inlineStr">
        <is>
          <t>Colombo, LK</t>
        </is>
      </c>
      <c r="D292" s="15" t="inlineStr">
        <is>
          <t>New York, NY, US</t>
        </is>
      </c>
      <c r="E292" s="15" t="inlineStr">
        <is>
          <t>Mississauga, ON, CA</t>
        </is>
      </c>
      <c r="F292" s="15" t="inlineStr">
        <is>
          <t>OCEAN</t>
        </is>
      </c>
      <c r="G292" s="15" t="inlineStr">
        <is>
          <t>D. 1 x 40HC</t>
        </is>
      </c>
      <c r="H292" s="15" t="inlineStr">
        <is>
          <t>CFS/CY</t>
        </is>
      </c>
      <c r="I292" s="15" t="inlineStr">
        <is>
          <t>ONE</t>
        </is>
      </c>
      <c r="J292" s="15" t="inlineStr">
        <is>
          <t>EC3</t>
        </is>
      </c>
      <c r="K292" s="15" t="inlineStr">
        <is>
          <t>MAS AMITY PTE LTD</t>
        </is>
      </c>
      <c r="L292" s="16" t="inlineStr">
        <is>
          <t>MAS Active (Pvt) Ltd - Linea Intimo</t>
        </is>
      </c>
      <c r="M292" s="15" t="inlineStr">
        <is>
          <t>N</t>
        </is>
      </c>
      <c r="N292" s="17" t="n">
        <v>454708773563</v>
      </c>
      <c r="O292" s="15" t="n">
        <v>19918537</v>
      </c>
      <c r="P292" s="18" t="inlineStr">
        <is>
          <t>LM1364S</t>
        </is>
      </c>
      <c r="Q292" s="18" t="n">
        <v>2</v>
      </c>
      <c r="R292" s="18" t="n">
        <v>0.118</v>
      </c>
      <c r="S292" s="15" t="n">
        <v>15.328</v>
      </c>
      <c r="T292" s="16" t="n">
        <v>45824</v>
      </c>
      <c r="U292" s="19" t="n">
        <v>45883</v>
      </c>
      <c r="V292" s="16" t="n">
        <v>45824</v>
      </c>
      <c r="W292" s="16" t="n">
        <v>45826</v>
      </c>
      <c r="X292" s="57">
        <f>W292-1</f>
        <v/>
      </c>
      <c r="Y292" s="63" t="n">
        <v>45832</v>
      </c>
      <c r="Z292" s="67" t="n">
        <v>45861</v>
      </c>
      <c r="AA292" s="71">
        <f>Z292+13</f>
        <v/>
      </c>
      <c r="AB292" s="20">
        <f>AA292-U292</f>
        <v/>
      </c>
      <c r="AC292" s="20" t="inlineStr">
        <is>
          <t>No</t>
        </is>
      </c>
      <c r="AD292" s="21" t="inlineStr">
        <is>
          <t>1 HBL</t>
        </is>
      </c>
      <c r="AE292" s="21" t="n"/>
      <c r="AF292" s="22" t="inlineStr">
        <is>
          <t>LW</t>
        </is>
      </c>
      <c r="AG292" s="23" t="inlineStr">
        <is>
          <t>NAC</t>
        </is>
      </c>
      <c r="AH292" s="24" t="n"/>
      <c r="AN292" s="24" t="n"/>
    </row>
    <row r="293" ht="12.75" customHeight="1">
      <c r="A293" s="15" t="n">
        <v>3254508</v>
      </c>
      <c r="B293" s="15" t="inlineStr">
        <is>
          <t>Flexport</t>
        </is>
      </c>
      <c r="C293" s="15" t="inlineStr">
        <is>
          <t>Colombo, LK</t>
        </is>
      </c>
      <c r="D293" s="15" t="inlineStr">
        <is>
          <t>New York, NY, US</t>
        </is>
      </c>
      <c r="E293" s="15" t="inlineStr">
        <is>
          <t>Mississauga, ON, CA</t>
        </is>
      </c>
      <c r="F293" s="15" t="inlineStr">
        <is>
          <t>OCEAN</t>
        </is>
      </c>
      <c r="G293" s="15" t="inlineStr">
        <is>
          <t>D. 1 x 40HC</t>
        </is>
      </c>
      <c r="H293" s="15" t="inlineStr">
        <is>
          <t>CFS/CY</t>
        </is>
      </c>
      <c r="I293" s="15" t="inlineStr">
        <is>
          <t>ONE</t>
        </is>
      </c>
      <c r="J293" s="15" t="inlineStr">
        <is>
          <t>EC3</t>
        </is>
      </c>
      <c r="K293" s="15" t="inlineStr">
        <is>
          <t>MAS AMITY PTE LTD</t>
        </is>
      </c>
      <c r="L293" s="16" t="inlineStr">
        <is>
          <t>MAS Active (Pvt) Ltd - Linea Intimo</t>
        </is>
      </c>
      <c r="M293" s="15" t="inlineStr">
        <is>
          <t>N</t>
        </is>
      </c>
      <c r="N293" s="17" t="n">
        <v>454708903460</v>
      </c>
      <c r="O293" s="15" t="n">
        <v>19918559</v>
      </c>
      <c r="P293" s="18" t="inlineStr">
        <is>
          <t>LM3F64S</t>
        </is>
      </c>
      <c r="Q293" s="18" t="n">
        <v>4</v>
      </c>
      <c r="R293" s="18" t="n">
        <v>0.276</v>
      </c>
      <c r="S293" s="15" t="n">
        <v>23.88</v>
      </c>
      <c r="T293" s="16" t="n">
        <v>45824</v>
      </c>
      <c r="U293" s="19" t="n">
        <v>45883</v>
      </c>
      <c r="V293" s="16" t="n">
        <v>45824</v>
      </c>
      <c r="W293" s="16" t="n">
        <v>45826</v>
      </c>
      <c r="X293" s="57">
        <f>W293-1</f>
        <v/>
      </c>
      <c r="Y293" s="63" t="n">
        <v>45832</v>
      </c>
      <c r="Z293" s="67" t="n">
        <v>45861</v>
      </c>
      <c r="AA293" s="71">
        <f>Z293+13</f>
        <v/>
      </c>
      <c r="AB293" s="20">
        <f>AA293-U293</f>
        <v/>
      </c>
      <c r="AC293" s="20" t="inlineStr">
        <is>
          <t>No</t>
        </is>
      </c>
      <c r="AD293" s="21" t="inlineStr">
        <is>
          <t>1 HBL</t>
        </is>
      </c>
      <c r="AE293" s="21" t="n"/>
      <c r="AF293" s="22" t="inlineStr">
        <is>
          <t>LW</t>
        </is>
      </c>
      <c r="AG293" s="23" t="inlineStr">
        <is>
          <t>NAC</t>
        </is>
      </c>
      <c r="AH293" s="24" t="n"/>
      <c r="AN293" s="24" t="n"/>
    </row>
    <row r="294" ht="12.75" customHeight="1">
      <c r="A294" s="15" t="n">
        <v>3254508</v>
      </c>
      <c r="B294" s="15" t="inlineStr">
        <is>
          <t>Flexport</t>
        </is>
      </c>
      <c r="C294" s="15" t="inlineStr">
        <is>
          <t>Colombo, LK</t>
        </is>
      </c>
      <c r="D294" s="15" t="inlineStr">
        <is>
          <t>New York, NY, US</t>
        </is>
      </c>
      <c r="E294" s="15" t="inlineStr">
        <is>
          <t>Mississauga, ON, CA</t>
        </is>
      </c>
      <c r="F294" s="15" t="inlineStr">
        <is>
          <t>OCEAN</t>
        </is>
      </c>
      <c r="G294" s="15" t="inlineStr">
        <is>
          <t>D. 1 x 40HC</t>
        </is>
      </c>
      <c r="H294" s="15" t="inlineStr">
        <is>
          <t>CFS/CY</t>
        </is>
      </c>
      <c r="I294" s="15" t="inlineStr">
        <is>
          <t>ONE</t>
        </is>
      </c>
      <c r="J294" s="15" t="inlineStr">
        <is>
          <t>EC3</t>
        </is>
      </c>
      <c r="K294" s="15" t="inlineStr">
        <is>
          <t>MAS AMITY PTE LTD</t>
        </is>
      </c>
      <c r="L294" s="16" t="inlineStr">
        <is>
          <t>MAS Active (Pvt) Ltd - Linea Intimo</t>
        </is>
      </c>
      <c r="M294" s="15" t="inlineStr">
        <is>
          <t>N</t>
        </is>
      </c>
      <c r="N294" s="17" t="n">
        <v>454709130141</v>
      </c>
      <c r="O294" s="15" t="n">
        <v>19918612</v>
      </c>
      <c r="P294" s="18" t="inlineStr">
        <is>
          <t>LM3FHKS</t>
        </is>
      </c>
      <c r="Q294" s="18" t="n">
        <v>4</v>
      </c>
      <c r="R294" s="18" t="n">
        <v>0.276</v>
      </c>
      <c r="S294" s="15" t="n">
        <v>31.698</v>
      </c>
      <c r="T294" s="16" t="n">
        <v>45824</v>
      </c>
      <c r="U294" s="19" t="n">
        <v>45883</v>
      </c>
      <c r="V294" s="16" t="n">
        <v>45824</v>
      </c>
      <c r="W294" s="16" t="n">
        <v>45826</v>
      </c>
      <c r="X294" s="57">
        <f>W294-1</f>
        <v/>
      </c>
      <c r="Y294" s="63" t="n">
        <v>45832</v>
      </c>
      <c r="Z294" s="67" t="n">
        <v>45861</v>
      </c>
      <c r="AA294" s="71">
        <f>Z294+13</f>
        <v/>
      </c>
      <c r="AB294" s="20">
        <f>AA294-U294</f>
        <v/>
      </c>
      <c r="AC294" s="20" t="inlineStr">
        <is>
          <t>No</t>
        </is>
      </c>
      <c r="AD294" s="21" t="inlineStr">
        <is>
          <t>1 HBL</t>
        </is>
      </c>
      <c r="AE294" s="21" t="n"/>
      <c r="AF294" s="22" t="inlineStr">
        <is>
          <t>LW</t>
        </is>
      </c>
      <c r="AG294" s="23" t="inlineStr">
        <is>
          <t>NAC</t>
        </is>
      </c>
      <c r="AH294" s="24" t="n"/>
      <c r="AN294" s="24" t="n"/>
    </row>
    <row r="295" ht="12.75" customHeight="1">
      <c r="A295" s="15" t="n">
        <v>3254508</v>
      </c>
      <c r="B295" s="15" t="inlineStr">
        <is>
          <t>Flexport</t>
        </is>
      </c>
      <c r="C295" s="15" t="inlineStr">
        <is>
          <t>Colombo, LK</t>
        </is>
      </c>
      <c r="D295" s="15" t="inlineStr">
        <is>
          <t>New York, NY, US</t>
        </is>
      </c>
      <c r="E295" s="15" t="inlineStr">
        <is>
          <t>Mississauga, ON, CA</t>
        </is>
      </c>
      <c r="F295" s="15" t="inlineStr">
        <is>
          <t>OCEAN</t>
        </is>
      </c>
      <c r="G295" s="15" t="inlineStr">
        <is>
          <t>D. 1 x 40HC</t>
        </is>
      </c>
      <c r="H295" s="15" t="inlineStr">
        <is>
          <t>CFS/CY</t>
        </is>
      </c>
      <c r="I295" s="15" t="inlineStr">
        <is>
          <t>ONE</t>
        </is>
      </c>
      <c r="J295" s="15" t="inlineStr">
        <is>
          <t>EC3</t>
        </is>
      </c>
      <c r="K295" s="15" t="inlineStr">
        <is>
          <t>MAS AMITY PTE LTD</t>
        </is>
      </c>
      <c r="L295" s="16" t="inlineStr">
        <is>
          <t>MAS Active (Pvt) Ltd - Linea Intimo</t>
        </is>
      </c>
      <c r="M295" s="15" t="inlineStr">
        <is>
          <t>N</t>
        </is>
      </c>
      <c r="N295" s="17" t="n">
        <v>454709285841</v>
      </c>
      <c r="O295" s="15" t="n">
        <v>19918585</v>
      </c>
      <c r="P295" s="18" t="inlineStr">
        <is>
          <t>LM3F64S</t>
        </is>
      </c>
      <c r="Q295" s="18" t="n">
        <v>3</v>
      </c>
      <c r="R295" s="18" t="n">
        <v>0.197</v>
      </c>
      <c r="S295" s="15" t="n">
        <v>16.25</v>
      </c>
      <c r="T295" s="16" t="n">
        <v>45824</v>
      </c>
      <c r="U295" s="19" t="n">
        <v>45883</v>
      </c>
      <c r="V295" s="16" t="n">
        <v>45824</v>
      </c>
      <c r="W295" s="16" t="n">
        <v>45826</v>
      </c>
      <c r="X295" s="57">
        <f>W295-1</f>
        <v/>
      </c>
      <c r="Y295" s="63" t="n">
        <v>45832</v>
      </c>
      <c r="Z295" s="67" t="n">
        <v>45861</v>
      </c>
      <c r="AA295" s="71">
        <f>Z295+13</f>
        <v/>
      </c>
      <c r="AB295" s="20">
        <f>AA295-U295</f>
        <v/>
      </c>
      <c r="AC295" s="20" t="inlineStr">
        <is>
          <t>No</t>
        </is>
      </c>
      <c r="AD295" s="21" t="inlineStr">
        <is>
          <t>1 HBL</t>
        </is>
      </c>
      <c r="AE295" s="21" t="n"/>
      <c r="AF295" s="22" t="inlineStr">
        <is>
          <t>LW</t>
        </is>
      </c>
      <c r="AG295" s="23" t="inlineStr">
        <is>
          <t>NAC</t>
        </is>
      </c>
      <c r="AH295" s="24" t="n"/>
      <c r="AN295" s="24" t="n"/>
    </row>
    <row r="296" ht="12.75" customHeight="1">
      <c r="A296" s="15" t="n">
        <v>3254508</v>
      </c>
      <c r="B296" s="15" t="inlineStr">
        <is>
          <t>Flexport</t>
        </is>
      </c>
      <c r="C296" s="15" t="inlineStr">
        <is>
          <t>Colombo, LK</t>
        </is>
      </c>
      <c r="D296" s="15" t="inlineStr">
        <is>
          <t>New York, NY, US</t>
        </is>
      </c>
      <c r="E296" s="15" t="inlineStr">
        <is>
          <t>Mississauga, ON, CA</t>
        </is>
      </c>
      <c r="F296" s="15" t="inlineStr">
        <is>
          <t>OCEAN</t>
        </is>
      </c>
      <c r="G296" s="15" t="inlineStr">
        <is>
          <t>D. 1 x 40HC</t>
        </is>
      </c>
      <c r="H296" s="15" t="inlineStr">
        <is>
          <t>CFS/CY</t>
        </is>
      </c>
      <c r="I296" s="15" t="inlineStr">
        <is>
          <t>ONE</t>
        </is>
      </c>
      <c r="J296" s="15" t="inlineStr">
        <is>
          <t>EC3</t>
        </is>
      </c>
      <c r="K296" s="15" t="inlineStr">
        <is>
          <t>MAS AMITY PTE LTD</t>
        </is>
      </c>
      <c r="L296" s="16" t="inlineStr">
        <is>
          <t>MAS Active (Pvt) Ltd - Linea Intimo</t>
        </is>
      </c>
      <c r="M296" s="15" t="inlineStr">
        <is>
          <t>N</t>
        </is>
      </c>
      <c r="N296" s="17" t="n">
        <v>454709307367</v>
      </c>
      <c r="O296" s="15" t="n">
        <v>19918638</v>
      </c>
      <c r="P296" s="18" t="inlineStr">
        <is>
          <t>LM3FIKS</t>
        </is>
      </c>
      <c r="Q296" s="18" t="n">
        <v>2</v>
      </c>
      <c r="R296" s="18" t="n">
        <v>0.118</v>
      </c>
      <c r="S296" s="15" t="n">
        <v>13.341</v>
      </c>
      <c r="T296" s="16" t="n">
        <v>45824</v>
      </c>
      <c r="U296" s="19" t="n">
        <v>45883</v>
      </c>
      <c r="V296" s="16" t="n">
        <v>45824</v>
      </c>
      <c r="W296" s="16" t="n">
        <v>45826</v>
      </c>
      <c r="X296" s="57">
        <f>W296-1</f>
        <v/>
      </c>
      <c r="Y296" s="63" t="n">
        <v>45832</v>
      </c>
      <c r="Z296" s="67" t="n">
        <v>45861</v>
      </c>
      <c r="AA296" s="71">
        <f>Z296+13</f>
        <v/>
      </c>
      <c r="AB296" s="20">
        <f>AA296-U296</f>
        <v/>
      </c>
      <c r="AC296" s="20" t="inlineStr">
        <is>
          <t>No</t>
        </is>
      </c>
      <c r="AD296" s="21" t="inlineStr">
        <is>
          <t>1 HBL</t>
        </is>
      </c>
      <c r="AE296" s="21" t="n"/>
      <c r="AF296" s="22" t="inlineStr">
        <is>
          <t>LW</t>
        </is>
      </c>
      <c r="AG296" s="23" t="inlineStr">
        <is>
          <t>NAC</t>
        </is>
      </c>
      <c r="AH296" s="24" t="n"/>
      <c r="AN296" s="24" t="n"/>
    </row>
    <row r="297" ht="12.75" customHeight="1">
      <c r="A297" s="15" t="n">
        <v>3254508</v>
      </c>
      <c r="B297" s="15" t="inlineStr">
        <is>
          <t>Flexport</t>
        </is>
      </c>
      <c r="C297" s="15" t="inlineStr">
        <is>
          <t>Colombo, LK</t>
        </is>
      </c>
      <c r="D297" s="15" t="inlineStr">
        <is>
          <t>New York, NY, US</t>
        </is>
      </c>
      <c r="E297" s="15" t="inlineStr">
        <is>
          <t>Mississauga, ON, CA</t>
        </is>
      </c>
      <c r="F297" s="15" t="inlineStr">
        <is>
          <t>OCEAN</t>
        </is>
      </c>
      <c r="G297" s="15" t="inlineStr">
        <is>
          <t>D. 1 x 40HC</t>
        </is>
      </c>
      <c r="H297" s="15" t="inlineStr">
        <is>
          <t>CFS/CY</t>
        </is>
      </c>
      <c r="I297" s="15" t="inlineStr">
        <is>
          <t>ONE</t>
        </is>
      </c>
      <c r="J297" s="15" t="inlineStr">
        <is>
          <t>EC3</t>
        </is>
      </c>
      <c r="K297" s="15" t="inlineStr">
        <is>
          <t>MAS AMITY PTE LTD</t>
        </is>
      </c>
      <c r="L297" s="16" t="inlineStr">
        <is>
          <t>MAS Active (Pvt) Ltd - Linea Intimo</t>
        </is>
      </c>
      <c r="M297" s="15" t="inlineStr">
        <is>
          <t>N</t>
        </is>
      </c>
      <c r="N297" s="17" t="n">
        <v>454709477054</v>
      </c>
      <c r="O297" s="15" t="n">
        <v>19918654</v>
      </c>
      <c r="P297" s="18" t="inlineStr">
        <is>
          <t>LM3FPES</t>
        </is>
      </c>
      <c r="Q297" s="18" t="n">
        <v>3</v>
      </c>
      <c r="R297" s="18" t="n">
        <v>0.158</v>
      </c>
      <c r="S297" s="15" t="n">
        <v>21.785</v>
      </c>
      <c r="T297" s="16" t="n">
        <v>45824</v>
      </c>
      <c r="U297" s="19" t="n">
        <v>45883</v>
      </c>
      <c r="V297" s="16" t="n">
        <v>45824</v>
      </c>
      <c r="W297" s="16" t="n">
        <v>45826</v>
      </c>
      <c r="X297" s="57">
        <f>W297-1</f>
        <v/>
      </c>
      <c r="Y297" s="63" t="n">
        <v>45832</v>
      </c>
      <c r="Z297" s="67" t="n">
        <v>45861</v>
      </c>
      <c r="AA297" s="71">
        <f>Z297+13</f>
        <v/>
      </c>
      <c r="AB297" s="20">
        <f>AA297-U297</f>
        <v/>
      </c>
      <c r="AC297" s="20" t="inlineStr">
        <is>
          <t>No</t>
        </is>
      </c>
      <c r="AD297" s="21" t="inlineStr">
        <is>
          <t>1 HBL</t>
        </is>
      </c>
      <c r="AE297" s="21" t="n"/>
      <c r="AF297" s="22" t="inlineStr">
        <is>
          <t>LW</t>
        </is>
      </c>
      <c r="AG297" s="23" t="inlineStr">
        <is>
          <t>NAC</t>
        </is>
      </c>
      <c r="AH297" s="24" t="n"/>
      <c r="AN297" s="24" t="n"/>
    </row>
    <row r="298" ht="12.75" customHeight="1">
      <c r="A298" s="15" t="n">
        <v>3254508</v>
      </c>
      <c r="B298" s="15" t="inlineStr">
        <is>
          <t>Flexport</t>
        </is>
      </c>
      <c r="C298" s="15" t="inlineStr">
        <is>
          <t>Colombo, LK</t>
        </is>
      </c>
      <c r="D298" s="15" t="inlineStr">
        <is>
          <t>New York, NY, US</t>
        </is>
      </c>
      <c r="E298" s="15" t="inlineStr">
        <is>
          <t>Mississauga, ON, CA</t>
        </is>
      </c>
      <c r="F298" s="15" t="inlineStr">
        <is>
          <t>OCEAN</t>
        </is>
      </c>
      <c r="G298" s="15" t="inlineStr">
        <is>
          <t>D. 1 x 40HC</t>
        </is>
      </c>
      <c r="H298" s="15" t="inlineStr">
        <is>
          <t>CFS/CY</t>
        </is>
      </c>
      <c r="I298" s="15" t="inlineStr">
        <is>
          <t>ONE</t>
        </is>
      </c>
      <c r="J298" s="15" t="inlineStr">
        <is>
          <t>EC3</t>
        </is>
      </c>
      <c r="K298" s="15" t="inlineStr">
        <is>
          <t>MAS AMITY PTE LTD</t>
        </is>
      </c>
      <c r="L298" s="16" t="inlineStr">
        <is>
          <t>MAS Active (Pvt) Ltd - Linea Intimo</t>
        </is>
      </c>
      <c r="M298" s="15" t="inlineStr">
        <is>
          <t>N</t>
        </is>
      </c>
      <c r="N298" s="17" t="n">
        <v>454709781645</v>
      </c>
      <c r="O298" s="15" t="n">
        <v>19918778</v>
      </c>
      <c r="P298" s="18" t="inlineStr">
        <is>
          <t>LW3DFLS</t>
        </is>
      </c>
      <c r="Q298" s="18" t="n">
        <v>13</v>
      </c>
      <c r="R298" s="18" t="n">
        <v>0.908</v>
      </c>
      <c r="S298" s="15" t="n">
        <v>128.646</v>
      </c>
      <c r="T298" s="16" t="n">
        <v>45824</v>
      </c>
      <c r="U298" s="19" t="n">
        <v>45883</v>
      </c>
      <c r="V298" s="16" t="n">
        <v>45824</v>
      </c>
      <c r="W298" s="16" t="n">
        <v>45826</v>
      </c>
      <c r="X298" s="57">
        <f>W298-1</f>
        <v/>
      </c>
      <c r="Y298" s="63" t="n">
        <v>45832</v>
      </c>
      <c r="Z298" s="67" t="n">
        <v>45861</v>
      </c>
      <c r="AA298" s="71">
        <f>Z298+13</f>
        <v/>
      </c>
      <c r="AB298" s="20">
        <f>AA298-U298</f>
        <v/>
      </c>
      <c r="AC298" s="20" t="inlineStr">
        <is>
          <t>No</t>
        </is>
      </c>
      <c r="AD298" s="21" t="inlineStr">
        <is>
          <t>1 HBL</t>
        </is>
      </c>
      <c r="AE298" s="21" t="n"/>
      <c r="AF298" s="22" t="inlineStr">
        <is>
          <t>LW</t>
        </is>
      </c>
      <c r="AG298" s="23" t="inlineStr">
        <is>
          <t>NAC</t>
        </is>
      </c>
      <c r="AH298" s="24" t="n"/>
      <c r="AN298" s="24" t="n"/>
    </row>
    <row r="299" ht="12.75" customHeight="1">
      <c r="A299" s="15" t="n">
        <v>3254508</v>
      </c>
      <c r="B299" s="15" t="inlineStr">
        <is>
          <t>Flexport</t>
        </is>
      </c>
      <c r="C299" s="15" t="inlineStr">
        <is>
          <t>Colombo, LK</t>
        </is>
      </c>
      <c r="D299" s="15" t="inlineStr">
        <is>
          <t>New York, NY, US</t>
        </is>
      </c>
      <c r="E299" s="15" t="inlineStr">
        <is>
          <t>Mississauga, ON, CA</t>
        </is>
      </c>
      <c r="F299" s="15" t="inlineStr">
        <is>
          <t>OCEAN</t>
        </is>
      </c>
      <c r="G299" s="15" t="inlineStr">
        <is>
          <t>D. 1 x 40HC</t>
        </is>
      </c>
      <c r="H299" s="15" t="inlineStr">
        <is>
          <t>CFS/CY</t>
        </is>
      </c>
      <c r="I299" s="15" t="inlineStr">
        <is>
          <t>ONE</t>
        </is>
      </c>
      <c r="J299" s="15" t="inlineStr">
        <is>
          <t>EC3</t>
        </is>
      </c>
      <c r="K299" s="15" t="inlineStr">
        <is>
          <t>MAS AMITY PTE LTD</t>
        </is>
      </c>
      <c r="L299" s="16" t="inlineStr">
        <is>
          <t>MAS Active (Pvt) Ltd - Linea Intimo</t>
        </is>
      </c>
      <c r="M299" s="15" t="inlineStr">
        <is>
          <t>N</t>
        </is>
      </c>
      <c r="N299" s="17" t="n">
        <v>454709782023</v>
      </c>
      <c r="O299" s="15" t="n">
        <v>19918920</v>
      </c>
      <c r="P299" s="18" t="inlineStr">
        <is>
          <t>LW3FQHS</t>
        </is>
      </c>
      <c r="Q299" s="18" t="n">
        <v>8</v>
      </c>
      <c r="R299" s="18" t="n">
        <v>0.592</v>
      </c>
      <c r="S299" s="15" t="n">
        <v>84.045</v>
      </c>
      <c r="T299" s="16" t="n">
        <v>45824</v>
      </c>
      <c r="U299" s="19" t="n">
        <v>45883</v>
      </c>
      <c r="V299" s="16" t="n">
        <v>45824</v>
      </c>
      <c r="W299" s="16" t="n">
        <v>45826</v>
      </c>
      <c r="X299" s="57">
        <f>W299-1</f>
        <v/>
      </c>
      <c r="Y299" s="63" t="n">
        <v>45832</v>
      </c>
      <c r="Z299" s="67" t="n">
        <v>45861</v>
      </c>
      <c r="AA299" s="71">
        <f>Z299+13</f>
        <v/>
      </c>
      <c r="AB299" s="20">
        <f>AA299-U299</f>
        <v/>
      </c>
      <c r="AC299" s="20" t="inlineStr">
        <is>
          <t>No</t>
        </is>
      </c>
      <c r="AD299" s="21" t="inlineStr">
        <is>
          <t>1 HBL</t>
        </is>
      </c>
      <c r="AE299" s="21" t="n"/>
      <c r="AF299" s="22" t="inlineStr">
        <is>
          <t>LW</t>
        </is>
      </c>
      <c r="AG299" s="23" t="inlineStr">
        <is>
          <t>NAC</t>
        </is>
      </c>
      <c r="AH299" s="24" t="n"/>
      <c r="AN299" s="24" t="n"/>
    </row>
    <row r="300" ht="12.75" customHeight="1">
      <c r="A300" s="15" t="n">
        <v>3254508</v>
      </c>
      <c r="B300" s="15" t="inlineStr">
        <is>
          <t>Flexport</t>
        </is>
      </c>
      <c r="C300" s="15" t="inlineStr">
        <is>
          <t>Colombo, LK</t>
        </is>
      </c>
      <c r="D300" s="15" t="inlineStr">
        <is>
          <t>New York, NY, US</t>
        </is>
      </c>
      <c r="E300" s="15" t="inlineStr">
        <is>
          <t>Mississauga, ON, CA</t>
        </is>
      </c>
      <c r="F300" s="15" t="inlineStr">
        <is>
          <t>OCEAN</t>
        </is>
      </c>
      <c r="G300" s="15" t="inlineStr">
        <is>
          <t>D. 1 x 40HC</t>
        </is>
      </c>
      <c r="H300" s="15" t="inlineStr">
        <is>
          <t>CFS/CY</t>
        </is>
      </c>
      <c r="I300" s="15" t="inlineStr">
        <is>
          <t>ONE</t>
        </is>
      </c>
      <c r="J300" s="15" t="inlineStr">
        <is>
          <t>EC3</t>
        </is>
      </c>
      <c r="K300" s="15" t="inlineStr">
        <is>
          <t>MAS AMITY PTE LTD</t>
        </is>
      </c>
      <c r="L300" s="16" t="inlineStr">
        <is>
          <t>MAS Active (Pvt) Ltd - Linea Intimo</t>
        </is>
      </c>
      <c r="M300" s="15" t="inlineStr">
        <is>
          <t>N</t>
        </is>
      </c>
      <c r="N300" s="17" t="n">
        <v>454710211186</v>
      </c>
      <c r="O300" s="15" t="n">
        <v>19919209</v>
      </c>
      <c r="P300" s="18" t="inlineStr">
        <is>
          <t>LM1364S</t>
        </is>
      </c>
      <c r="Q300" s="18" t="n">
        <v>7</v>
      </c>
      <c r="R300" s="18" t="n">
        <v>0.474</v>
      </c>
      <c r="S300" s="15" t="n">
        <v>62.688</v>
      </c>
      <c r="T300" s="16" t="n">
        <v>45824</v>
      </c>
      <c r="U300" s="19" t="n">
        <v>45883</v>
      </c>
      <c r="V300" s="16" t="n">
        <v>45824</v>
      </c>
      <c r="W300" s="16" t="n">
        <v>45826</v>
      </c>
      <c r="X300" s="57">
        <f>W300-1</f>
        <v/>
      </c>
      <c r="Y300" s="63" t="n">
        <v>45832</v>
      </c>
      <c r="Z300" s="67" t="n">
        <v>45861</v>
      </c>
      <c r="AA300" s="71">
        <f>Z300+13</f>
        <v/>
      </c>
      <c r="AB300" s="20">
        <f>AA300-U300</f>
        <v/>
      </c>
      <c r="AC300" s="20" t="inlineStr">
        <is>
          <t>No</t>
        </is>
      </c>
      <c r="AD300" s="21" t="inlineStr">
        <is>
          <t>1 HBL</t>
        </is>
      </c>
      <c r="AE300" s="21" t="n"/>
      <c r="AF300" s="22" t="inlineStr">
        <is>
          <t>LW</t>
        </is>
      </c>
      <c r="AG300" s="23" t="inlineStr">
        <is>
          <t>NAC</t>
        </is>
      </c>
      <c r="AH300" s="24" t="n"/>
      <c r="AN300" s="24" t="n"/>
    </row>
    <row r="301" ht="12.75" customHeight="1">
      <c r="A301" s="15" t="n">
        <v>3254508</v>
      </c>
      <c r="B301" s="15" t="inlineStr">
        <is>
          <t>Flexport</t>
        </is>
      </c>
      <c r="C301" s="15" t="inlineStr">
        <is>
          <t>Colombo, LK</t>
        </is>
      </c>
      <c r="D301" s="15" t="inlineStr">
        <is>
          <t>New York, NY, US</t>
        </is>
      </c>
      <c r="E301" s="15" t="inlineStr">
        <is>
          <t>Mississauga, ON, CA</t>
        </is>
      </c>
      <c r="F301" s="15" t="inlineStr">
        <is>
          <t>OCEAN</t>
        </is>
      </c>
      <c r="G301" s="15" t="inlineStr">
        <is>
          <t>D. 1 x 40HC</t>
        </is>
      </c>
      <c r="H301" s="15" t="inlineStr">
        <is>
          <t>CFS/CY</t>
        </is>
      </c>
      <c r="I301" s="15" t="inlineStr">
        <is>
          <t>ONE</t>
        </is>
      </c>
      <c r="J301" s="15" t="inlineStr">
        <is>
          <t>EC3</t>
        </is>
      </c>
      <c r="K301" s="15" t="inlineStr">
        <is>
          <t>MAS AMITY PTE LTD</t>
        </is>
      </c>
      <c r="L301" s="16" t="inlineStr">
        <is>
          <t>MAS Active (Pvt) Ltd - Linea Intimo</t>
        </is>
      </c>
      <c r="M301" s="15" t="inlineStr">
        <is>
          <t>N</t>
        </is>
      </c>
      <c r="N301" s="17" t="n">
        <v>454710569610</v>
      </c>
      <c r="O301" s="15" t="n">
        <v>19919241</v>
      </c>
      <c r="P301" s="18" t="inlineStr">
        <is>
          <t>LM1364S</t>
        </is>
      </c>
      <c r="Q301" s="18" t="n">
        <v>3</v>
      </c>
      <c r="R301" s="18" t="n">
        <v>0.237</v>
      </c>
      <c r="S301" s="15" t="n">
        <v>25.299</v>
      </c>
      <c r="T301" s="16" t="n">
        <v>45824</v>
      </c>
      <c r="U301" s="19" t="n">
        <v>45883</v>
      </c>
      <c r="V301" s="16" t="n">
        <v>45824</v>
      </c>
      <c r="W301" s="16" t="n">
        <v>45826</v>
      </c>
      <c r="X301" s="57">
        <f>W301-1</f>
        <v/>
      </c>
      <c r="Y301" s="63" t="n">
        <v>45832</v>
      </c>
      <c r="Z301" s="67" t="n">
        <v>45861</v>
      </c>
      <c r="AA301" s="71">
        <f>Z301+13</f>
        <v/>
      </c>
      <c r="AB301" s="20">
        <f>AA301-U301</f>
        <v/>
      </c>
      <c r="AC301" s="20" t="inlineStr">
        <is>
          <t>No</t>
        </is>
      </c>
      <c r="AD301" s="21" t="inlineStr">
        <is>
          <t>1 HBL</t>
        </is>
      </c>
      <c r="AE301" s="21" t="n"/>
      <c r="AF301" s="22" t="inlineStr">
        <is>
          <t>LW</t>
        </is>
      </c>
      <c r="AG301" s="23" t="inlineStr">
        <is>
          <t>NAC</t>
        </is>
      </c>
      <c r="AH301" s="24" t="n"/>
      <c r="AN301" s="24" t="n"/>
    </row>
    <row r="302" ht="12.75" customHeight="1">
      <c r="A302" s="15" t="n">
        <v>3254508</v>
      </c>
      <c r="B302" s="15" t="inlineStr">
        <is>
          <t>Flexport</t>
        </is>
      </c>
      <c r="C302" s="15" t="inlineStr">
        <is>
          <t>Colombo, LK</t>
        </is>
      </c>
      <c r="D302" s="15" t="inlineStr">
        <is>
          <t>New York, NY, US</t>
        </is>
      </c>
      <c r="E302" s="15" t="inlineStr">
        <is>
          <t>Mississauga, ON, CA</t>
        </is>
      </c>
      <c r="F302" s="15" t="inlineStr">
        <is>
          <t>OCEAN</t>
        </is>
      </c>
      <c r="G302" s="15" t="inlineStr">
        <is>
          <t>D. 1 x 40HC</t>
        </is>
      </c>
      <c r="H302" s="15" t="inlineStr">
        <is>
          <t>CFS/CY</t>
        </is>
      </c>
      <c r="I302" s="15" t="inlineStr">
        <is>
          <t>ONE</t>
        </is>
      </c>
      <c r="J302" s="15" t="inlineStr">
        <is>
          <t>EC3</t>
        </is>
      </c>
      <c r="K302" s="15" t="inlineStr">
        <is>
          <t>MAS AMITY PTE LTD</t>
        </is>
      </c>
      <c r="L302" s="16" t="inlineStr">
        <is>
          <t>MAS Active (Pvt) Ltd - Linea Intimo</t>
        </is>
      </c>
      <c r="M302" s="15" t="inlineStr">
        <is>
          <t>N</t>
        </is>
      </c>
      <c r="N302" s="17" t="n">
        <v>454710569927</v>
      </c>
      <c r="O302" s="15" t="n">
        <v>19919259</v>
      </c>
      <c r="P302" s="18" t="inlineStr">
        <is>
          <t>LM3F64S</t>
        </is>
      </c>
      <c r="Q302" s="18" t="n">
        <v>12</v>
      </c>
      <c r="R302" s="18" t="n">
        <v>0.948</v>
      </c>
      <c r="S302" s="15" t="n">
        <v>95.786</v>
      </c>
      <c r="T302" s="16" t="n">
        <v>45824</v>
      </c>
      <c r="U302" s="19" t="n">
        <v>45883</v>
      </c>
      <c r="V302" s="16" t="n">
        <v>45824</v>
      </c>
      <c r="W302" s="16" t="n">
        <v>45826</v>
      </c>
      <c r="X302" s="57">
        <f>W302-1</f>
        <v/>
      </c>
      <c r="Y302" s="63" t="n">
        <v>45832</v>
      </c>
      <c r="Z302" s="67" t="n">
        <v>45861</v>
      </c>
      <c r="AA302" s="71">
        <f>Z302+13</f>
        <v/>
      </c>
      <c r="AB302" s="20">
        <f>AA302-U302</f>
        <v/>
      </c>
      <c r="AC302" s="20" t="inlineStr">
        <is>
          <t>No</t>
        </is>
      </c>
      <c r="AD302" s="21" t="inlineStr">
        <is>
          <t>1 HBL</t>
        </is>
      </c>
      <c r="AE302" s="21" t="n"/>
      <c r="AF302" s="22" t="inlineStr">
        <is>
          <t>LW</t>
        </is>
      </c>
      <c r="AG302" s="23" t="inlineStr">
        <is>
          <t>NAC</t>
        </is>
      </c>
      <c r="AH302" s="24" t="n"/>
      <c r="AN302" s="24" t="n"/>
    </row>
    <row r="303" ht="12.75" customHeight="1">
      <c r="A303" s="15" t="n">
        <v>3254508</v>
      </c>
      <c r="B303" s="15" t="inlineStr">
        <is>
          <t>Flexport</t>
        </is>
      </c>
      <c r="C303" s="15" t="inlineStr">
        <is>
          <t>Colombo, LK</t>
        </is>
      </c>
      <c r="D303" s="15" t="inlineStr">
        <is>
          <t>New York, NY, US</t>
        </is>
      </c>
      <c r="E303" s="15" t="inlineStr">
        <is>
          <t>Mississauga, ON, CA</t>
        </is>
      </c>
      <c r="F303" s="15" t="inlineStr">
        <is>
          <t>OCEAN</t>
        </is>
      </c>
      <c r="G303" s="15" t="inlineStr">
        <is>
          <t>D. 1 x 40HC</t>
        </is>
      </c>
      <c r="H303" s="15" t="inlineStr">
        <is>
          <t>CFS/CY</t>
        </is>
      </c>
      <c r="I303" s="15" t="inlineStr">
        <is>
          <t>ONE</t>
        </is>
      </c>
      <c r="J303" s="15" t="inlineStr">
        <is>
          <t>EC3</t>
        </is>
      </c>
      <c r="K303" s="15" t="inlineStr">
        <is>
          <t>MAS AMITY PTE LTD</t>
        </is>
      </c>
      <c r="L303" s="16" t="inlineStr">
        <is>
          <t>MAS Active (Pvt) Ltd - Linea Intimo</t>
        </is>
      </c>
      <c r="M303" s="15" t="inlineStr">
        <is>
          <t>N</t>
        </is>
      </c>
      <c r="N303" s="17" t="n">
        <v>454710728906</v>
      </c>
      <c r="O303" s="15" t="n">
        <v>19919281</v>
      </c>
      <c r="P303" s="18" t="inlineStr">
        <is>
          <t>LM3F64S</t>
        </is>
      </c>
      <c r="Q303" s="18" t="n">
        <v>9</v>
      </c>
      <c r="R303" s="18" t="n">
        <v>0.671</v>
      </c>
      <c r="S303" s="15" t="n">
        <v>62.689</v>
      </c>
      <c r="T303" s="16" t="n">
        <v>45824</v>
      </c>
      <c r="U303" s="19" t="n">
        <v>45883</v>
      </c>
      <c r="V303" s="16" t="n">
        <v>45824</v>
      </c>
      <c r="W303" s="16" t="n">
        <v>45826</v>
      </c>
      <c r="X303" s="57">
        <f>W303-1</f>
        <v/>
      </c>
      <c r="Y303" s="63" t="n">
        <v>45832</v>
      </c>
      <c r="Z303" s="67" t="n">
        <v>45861</v>
      </c>
      <c r="AA303" s="71">
        <f>Z303+13</f>
        <v/>
      </c>
      <c r="AB303" s="20">
        <f>AA303-U303</f>
        <v/>
      </c>
      <c r="AC303" s="20" t="inlineStr">
        <is>
          <t>No</t>
        </is>
      </c>
      <c r="AD303" s="21" t="inlineStr">
        <is>
          <t>1 HBL</t>
        </is>
      </c>
      <c r="AE303" s="21" t="n"/>
      <c r="AF303" s="22" t="inlineStr">
        <is>
          <t>LW</t>
        </is>
      </c>
      <c r="AG303" s="23" t="inlineStr">
        <is>
          <t>NAC</t>
        </is>
      </c>
      <c r="AH303" s="24" t="n"/>
      <c r="AN303" s="24" t="n"/>
    </row>
    <row r="304" ht="12.75" customHeight="1">
      <c r="A304" s="15" t="n">
        <v>3254508</v>
      </c>
      <c r="B304" s="15" t="inlineStr">
        <is>
          <t>Flexport</t>
        </is>
      </c>
      <c r="C304" s="15" t="inlineStr">
        <is>
          <t>Colombo, LK</t>
        </is>
      </c>
      <c r="D304" s="15" t="inlineStr">
        <is>
          <t>New York, NY, US</t>
        </is>
      </c>
      <c r="E304" s="15" t="inlineStr">
        <is>
          <t>Mississauga, ON, CA</t>
        </is>
      </c>
      <c r="F304" s="15" t="inlineStr">
        <is>
          <t>OCEAN</t>
        </is>
      </c>
      <c r="G304" s="15" t="inlineStr">
        <is>
          <t>D. 1 x 40HC</t>
        </is>
      </c>
      <c r="H304" s="15" t="inlineStr">
        <is>
          <t>CFS/CY</t>
        </is>
      </c>
      <c r="I304" s="15" t="inlineStr">
        <is>
          <t>ONE</t>
        </is>
      </c>
      <c r="J304" s="15" t="inlineStr">
        <is>
          <t>EC3</t>
        </is>
      </c>
      <c r="K304" s="15" t="inlineStr">
        <is>
          <t>MAS AMITY PTE LTD</t>
        </is>
      </c>
      <c r="L304" s="16" t="inlineStr">
        <is>
          <t>MAS Active (Pvt) Ltd - Linea Intimo</t>
        </is>
      </c>
      <c r="M304" s="15" t="inlineStr">
        <is>
          <t>N</t>
        </is>
      </c>
      <c r="N304" s="17" t="n">
        <v>454711375758</v>
      </c>
      <c r="O304" s="15" t="n">
        <v>19919305</v>
      </c>
      <c r="P304" s="18" t="inlineStr">
        <is>
          <t>LM3F64S</t>
        </is>
      </c>
      <c r="Q304" s="18" t="n">
        <v>9</v>
      </c>
      <c r="R304" s="18" t="n">
        <v>0.671</v>
      </c>
      <c r="S304" s="15" t="n">
        <v>65.877</v>
      </c>
      <c r="T304" s="16" t="n">
        <v>45824</v>
      </c>
      <c r="U304" s="19" t="n">
        <v>45883</v>
      </c>
      <c r="V304" s="16" t="n">
        <v>45824</v>
      </c>
      <c r="W304" s="16" t="n">
        <v>45826</v>
      </c>
      <c r="X304" s="57">
        <f>W304-1</f>
        <v/>
      </c>
      <c r="Y304" s="63" t="n">
        <v>45832</v>
      </c>
      <c r="Z304" s="67" t="n">
        <v>45861</v>
      </c>
      <c r="AA304" s="71">
        <f>Z304+13</f>
        <v/>
      </c>
      <c r="AB304" s="20">
        <f>AA304-U304</f>
        <v/>
      </c>
      <c r="AC304" s="20" t="inlineStr">
        <is>
          <t>No</t>
        </is>
      </c>
      <c r="AD304" s="21" t="inlineStr">
        <is>
          <t>1 HBL</t>
        </is>
      </c>
      <c r="AE304" s="21" t="n"/>
      <c r="AF304" s="22" t="inlineStr">
        <is>
          <t>LW</t>
        </is>
      </c>
      <c r="AG304" s="23" t="inlineStr">
        <is>
          <t>NAC</t>
        </is>
      </c>
      <c r="AH304" s="24" t="n"/>
      <c r="AN304" s="24" t="n"/>
    </row>
    <row r="305" ht="12.75" customHeight="1">
      <c r="A305" s="15" t="n">
        <v>3254508</v>
      </c>
      <c r="B305" s="15" t="inlineStr">
        <is>
          <t>Flexport</t>
        </is>
      </c>
      <c r="C305" s="15" t="inlineStr">
        <is>
          <t>Colombo, LK</t>
        </is>
      </c>
      <c r="D305" s="15" t="inlineStr">
        <is>
          <t>New York, NY, US</t>
        </is>
      </c>
      <c r="E305" s="15" t="inlineStr">
        <is>
          <t>Mississauga, ON, CA</t>
        </is>
      </c>
      <c r="F305" s="15" t="inlineStr">
        <is>
          <t>OCEAN</t>
        </is>
      </c>
      <c r="G305" s="15" t="inlineStr">
        <is>
          <t>D. 1 x 40HC</t>
        </is>
      </c>
      <c r="H305" s="15" t="inlineStr">
        <is>
          <t>CFS/CY</t>
        </is>
      </c>
      <c r="I305" s="15" t="inlineStr">
        <is>
          <t>ONE</t>
        </is>
      </c>
      <c r="J305" s="15" t="inlineStr">
        <is>
          <t>EC3</t>
        </is>
      </c>
      <c r="K305" s="15" t="inlineStr">
        <is>
          <t>MAS AMITY PTE LTD</t>
        </is>
      </c>
      <c r="L305" s="16" t="inlineStr">
        <is>
          <t>MAS Active (Pvt) Ltd - Linea Intimo</t>
        </is>
      </c>
      <c r="M305" s="15" t="inlineStr">
        <is>
          <t>N</t>
        </is>
      </c>
      <c r="N305" s="17" t="n">
        <v>454714025577</v>
      </c>
      <c r="O305" s="15" t="n">
        <v>19920272</v>
      </c>
      <c r="P305" s="18" t="inlineStr">
        <is>
          <t>LW3DFKS</t>
        </is>
      </c>
      <c r="Q305" s="18" t="n">
        <v>12</v>
      </c>
      <c r="R305" s="18" t="n">
        <v>0.829</v>
      </c>
      <c r="S305" s="15" t="n">
        <v>106.758</v>
      </c>
      <c r="T305" s="16" t="n">
        <v>45824</v>
      </c>
      <c r="U305" s="19" t="n">
        <v>45883</v>
      </c>
      <c r="V305" s="16" t="n">
        <v>45824</v>
      </c>
      <c r="W305" s="16" t="n">
        <v>45826</v>
      </c>
      <c r="X305" s="57">
        <f>W305-1</f>
        <v/>
      </c>
      <c r="Y305" s="63" t="n">
        <v>45832</v>
      </c>
      <c r="Z305" s="67" t="n">
        <v>45861</v>
      </c>
      <c r="AA305" s="71">
        <f>Z305+13</f>
        <v/>
      </c>
      <c r="AB305" s="20">
        <f>AA305-U305</f>
        <v/>
      </c>
      <c r="AC305" s="20" t="inlineStr">
        <is>
          <t>No</t>
        </is>
      </c>
      <c r="AD305" s="21" t="inlineStr">
        <is>
          <t>1 HBL</t>
        </is>
      </c>
      <c r="AE305" s="21" t="n"/>
      <c r="AF305" s="22" t="inlineStr">
        <is>
          <t>LW</t>
        </is>
      </c>
      <c r="AG305" s="23" t="inlineStr">
        <is>
          <t>NAC</t>
        </is>
      </c>
      <c r="AH305" s="24" t="n"/>
      <c r="AN305" s="24" t="n"/>
    </row>
    <row r="306" ht="12.75" customHeight="1">
      <c r="A306" s="15" t="n">
        <v>3254508</v>
      </c>
      <c r="B306" s="15" t="inlineStr">
        <is>
          <t>Flexport</t>
        </is>
      </c>
      <c r="C306" s="15" t="inlineStr">
        <is>
          <t>Colombo, LK</t>
        </is>
      </c>
      <c r="D306" s="15" t="inlineStr">
        <is>
          <t>New York, NY, US</t>
        </is>
      </c>
      <c r="E306" s="15" t="inlineStr">
        <is>
          <t>Mississauga, ON, CA</t>
        </is>
      </c>
      <c r="F306" s="15" t="inlineStr">
        <is>
          <t>OCEAN</t>
        </is>
      </c>
      <c r="G306" s="15" t="inlineStr">
        <is>
          <t>D. 1 x 40HC</t>
        </is>
      </c>
      <c r="H306" s="15" t="inlineStr">
        <is>
          <t>CFS/CY</t>
        </is>
      </c>
      <c r="I306" s="15" t="inlineStr">
        <is>
          <t>ONE</t>
        </is>
      </c>
      <c r="J306" s="15" t="inlineStr">
        <is>
          <t>EC3</t>
        </is>
      </c>
      <c r="K306" s="15" t="inlineStr">
        <is>
          <t>MAS AMITY PTE LTD</t>
        </is>
      </c>
      <c r="L306" s="16" t="inlineStr">
        <is>
          <t>MAS Active (Pvt) Ltd - Linea Intimo</t>
        </is>
      </c>
      <c r="M306" s="15" t="inlineStr">
        <is>
          <t>N</t>
        </is>
      </c>
      <c r="N306" s="17" t="n">
        <v>454714622428</v>
      </c>
      <c r="O306" s="15" t="n">
        <v>19920327</v>
      </c>
      <c r="P306" s="18" t="inlineStr">
        <is>
          <t>LM1364S</t>
        </is>
      </c>
      <c r="Q306" s="18" t="n">
        <v>2</v>
      </c>
      <c r="R306" s="18" t="n">
        <v>0.118</v>
      </c>
      <c r="S306" s="15" t="n">
        <v>11.809</v>
      </c>
      <c r="T306" s="16" t="n">
        <v>45824</v>
      </c>
      <c r="U306" s="19" t="n">
        <v>45883</v>
      </c>
      <c r="V306" s="16" t="n">
        <v>45824</v>
      </c>
      <c r="W306" s="16" t="n">
        <v>45826</v>
      </c>
      <c r="X306" s="57">
        <f>W306-1</f>
        <v/>
      </c>
      <c r="Y306" s="63" t="n">
        <v>45832</v>
      </c>
      <c r="Z306" s="67" t="n">
        <v>45861</v>
      </c>
      <c r="AA306" s="71">
        <f>Z306+13</f>
        <v/>
      </c>
      <c r="AB306" s="20">
        <f>AA306-U306</f>
        <v/>
      </c>
      <c r="AC306" s="20" t="inlineStr">
        <is>
          <t>No</t>
        </is>
      </c>
      <c r="AD306" s="21" t="inlineStr">
        <is>
          <t>1 HBL</t>
        </is>
      </c>
      <c r="AE306" s="21" t="n"/>
      <c r="AF306" s="22" t="inlineStr">
        <is>
          <t>LW</t>
        </is>
      </c>
      <c r="AG306" s="23" t="inlineStr">
        <is>
          <t>NAC</t>
        </is>
      </c>
      <c r="AH306" s="24" t="n"/>
      <c r="AN306" s="24" t="n"/>
    </row>
    <row r="307" ht="12.75" customHeight="1">
      <c r="A307" s="15" t="n">
        <v>3254508</v>
      </c>
      <c r="B307" s="15" t="inlineStr">
        <is>
          <t>Flexport</t>
        </is>
      </c>
      <c r="C307" s="15" t="inlineStr">
        <is>
          <t>Colombo, LK</t>
        </is>
      </c>
      <c r="D307" s="15" t="inlineStr">
        <is>
          <t>New York, NY, US</t>
        </is>
      </c>
      <c r="E307" s="15" t="inlineStr">
        <is>
          <t>Mississauga, ON, CA</t>
        </is>
      </c>
      <c r="F307" s="15" t="inlineStr">
        <is>
          <t>OCEAN</t>
        </is>
      </c>
      <c r="G307" s="15" t="inlineStr">
        <is>
          <t>D. 1 x 40HC</t>
        </is>
      </c>
      <c r="H307" s="15" t="inlineStr">
        <is>
          <t>CFS/CY</t>
        </is>
      </c>
      <c r="I307" s="15" t="inlineStr">
        <is>
          <t>ONE</t>
        </is>
      </c>
      <c r="J307" s="15" t="inlineStr">
        <is>
          <t>EC3</t>
        </is>
      </c>
      <c r="K307" s="15" t="inlineStr">
        <is>
          <t>MAS AMITY PTE LTD</t>
        </is>
      </c>
      <c r="L307" s="16" t="inlineStr">
        <is>
          <t>MAS Active (Pvt) Ltd - Linea Intimo</t>
        </is>
      </c>
      <c r="M307" s="15" t="inlineStr">
        <is>
          <t>N</t>
        </is>
      </c>
      <c r="N307" s="17" t="n">
        <v>454714661923</v>
      </c>
      <c r="O307" s="15" t="n">
        <v>19920296</v>
      </c>
      <c r="P307" s="18" t="inlineStr">
        <is>
          <t>LW3FQHS</t>
        </is>
      </c>
      <c r="Q307" s="18" t="n">
        <v>3</v>
      </c>
      <c r="R307" s="18" t="n">
        <v>0.197</v>
      </c>
      <c r="S307" s="15" t="n">
        <v>23.134</v>
      </c>
      <c r="T307" s="16" t="n">
        <v>45824</v>
      </c>
      <c r="U307" s="19" t="n">
        <v>45883</v>
      </c>
      <c r="V307" s="16" t="n">
        <v>45824</v>
      </c>
      <c r="W307" s="16" t="n">
        <v>45826</v>
      </c>
      <c r="X307" s="57">
        <f>W307-1</f>
        <v/>
      </c>
      <c r="Y307" s="63" t="n">
        <v>45832</v>
      </c>
      <c r="Z307" s="67" t="n">
        <v>45861</v>
      </c>
      <c r="AA307" s="71">
        <f>Z307+13</f>
        <v/>
      </c>
      <c r="AB307" s="20">
        <f>AA307-U307</f>
        <v/>
      </c>
      <c r="AC307" s="20" t="inlineStr">
        <is>
          <t>No</t>
        </is>
      </c>
      <c r="AD307" s="21" t="inlineStr">
        <is>
          <t>1 HBL</t>
        </is>
      </c>
      <c r="AE307" s="21" t="n"/>
      <c r="AF307" s="22" t="inlineStr">
        <is>
          <t>LW</t>
        </is>
      </c>
      <c r="AG307" s="23" t="inlineStr">
        <is>
          <t>NAC</t>
        </is>
      </c>
      <c r="AH307" s="24" t="n"/>
      <c r="AN307" s="24" t="n"/>
    </row>
    <row r="308" ht="12.75" customHeight="1">
      <c r="A308" s="15" t="n">
        <v>3254508</v>
      </c>
      <c r="B308" s="15" t="inlineStr">
        <is>
          <t>Flexport</t>
        </is>
      </c>
      <c r="C308" s="15" t="inlineStr">
        <is>
          <t>Colombo, LK</t>
        </is>
      </c>
      <c r="D308" s="15" t="inlineStr">
        <is>
          <t>New York, NY, US</t>
        </is>
      </c>
      <c r="E308" s="15" t="inlineStr">
        <is>
          <t>Mississauga, ON, CA</t>
        </is>
      </c>
      <c r="F308" s="15" t="inlineStr">
        <is>
          <t>OCEAN</t>
        </is>
      </c>
      <c r="G308" s="15" t="inlineStr">
        <is>
          <t>D. 1 x 40HC</t>
        </is>
      </c>
      <c r="H308" s="15" t="inlineStr">
        <is>
          <t>CFS/CY</t>
        </is>
      </c>
      <c r="I308" s="15" t="inlineStr">
        <is>
          <t>ONE</t>
        </is>
      </c>
      <c r="J308" s="15" t="inlineStr">
        <is>
          <t>EC3</t>
        </is>
      </c>
      <c r="K308" s="15" t="inlineStr">
        <is>
          <t>MAS AMITY PTE LTD</t>
        </is>
      </c>
      <c r="L308" s="16" t="inlineStr">
        <is>
          <t>MAS Active (Pvt) Ltd - Linea Intimo</t>
        </is>
      </c>
      <c r="M308" s="15" t="inlineStr">
        <is>
          <t>N</t>
        </is>
      </c>
      <c r="N308" s="17" t="n">
        <v>454714789370</v>
      </c>
      <c r="O308" s="15" t="n">
        <v>19920309</v>
      </c>
      <c r="P308" s="18" t="inlineStr">
        <is>
          <t>LW3JE9S</t>
        </is>
      </c>
      <c r="Q308" s="18" t="n">
        <v>9</v>
      </c>
      <c r="R308" s="18" t="n">
        <v>0.632</v>
      </c>
      <c r="S308" s="15" t="n">
        <v>96.38800000000001</v>
      </c>
      <c r="T308" s="16" t="n">
        <v>45824</v>
      </c>
      <c r="U308" s="19" t="n">
        <v>45883</v>
      </c>
      <c r="V308" s="16" t="n">
        <v>45824</v>
      </c>
      <c r="W308" s="16" t="n">
        <v>45826</v>
      </c>
      <c r="X308" s="57">
        <f>W308-1</f>
        <v/>
      </c>
      <c r="Y308" s="63" t="n">
        <v>45832</v>
      </c>
      <c r="Z308" s="67" t="n">
        <v>45861</v>
      </c>
      <c r="AA308" s="71">
        <f>Z308+13</f>
        <v/>
      </c>
      <c r="AB308" s="20">
        <f>AA308-U308</f>
        <v/>
      </c>
      <c r="AC308" s="20" t="inlineStr">
        <is>
          <t>No</t>
        </is>
      </c>
      <c r="AD308" s="21" t="inlineStr">
        <is>
          <t>1 HBL</t>
        </is>
      </c>
      <c r="AE308" s="21" t="n"/>
      <c r="AF308" s="22" t="inlineStr">
        <is>
          <t>LW</t>
        </is>
      </c>
      <c r="AG308" s="23" t="inlineStr">
        <is>
          <t>NAC</t>
        </is>
      </c>
      <c r="AH308" s="24" t="n"/>
      <c r="AN308" s="24" t="n"/>
    </row>
    <row r="309" ht="12.75" customHeight="1">
      <c r="A309" s="15" t="n">
        <v>3254508</v>
      </c>
      <c r="B309" s="15" t="inlineStr">
        <is>
          <t>Flexport</t>
        </is>
      </c>
      <c r="C309" s="15" t="inlineStr">
        <is>
          <t>Colombo, LK</t>
        </is>
      </c>
      <c r="D309" s="15" t="inlineStr">
        <is>
          <t>New York, NY, US</t>
        </is>
      </c>
      <c r="E309" s="15" t="inlineStr">
        <is>
          <t>Mississauga, ON, CA</t>
        </is>
      </c>
      <c r="F309" s="15" t="inlineStr">
        <is>
          <t>OCEAN</t>
        </is>
      </c>
      <c r="G309" s="15" t="inlineStr">
        <is>
          <t>D. 1 x 40HC</t>
        </is>
      </c>
      <c r="H309" s="15" t="inlineStr">
        <is>
          <t>CFS/CY</t>
        </is>
      </c>
      <c r="I309" s="15" t="inlineStr">
        <is>
          <t>ONE</t>
        </is>
      </c>
      <c r="J309" s="15" t="inlineStr">
        <is>
          <t>EC3</t>
        </is>
      </c>
      <c r="K309" s="15" t="inlineStr">
        <is>
          <t>MAS AMITY PTE LTD</t>
        </is>
      </c>
      <c r="L309" s="16" t="inlineStr">
        <is>
          <t>MAS Active (Pvt) Ltd - Linea Intimo</t>
        </is>
      </c>
      <c r="M309" s="15" t="inlineStr">
        <is>
          <t>N</t>
        </is>
      </c>
      <c r="N309" s="17" t="n">
        <v>454714960542</v>
      </c>
      <c r="O309" s="15" t="n">
        <v>19920323</v>
      </c>
      <c r="P309" s="18" t="inlineStr">
        <is>
          <t>LM1364S</t>
        </is>
      </c>
      <c r="Q309" s="18" t="n">
        <v>1</v>
      </c>
      <c r="R309" s="18" t="n">
        <v>0.079</v>
      </c>
      <c r="S309" s="15" t="n">
        <v>8.823</v>
      </c>
      <c r="T309" s="16" t="n">
        <v>45824</v>
      </c>
      <c r="U309" s="19" t="n">
        <v>45883</v>
      </c>
      <c r="V309" s="16" t="n">
        <v>45824</v>
      </c>
      <c r="W309" s="16" t="n">
        <v>45826</v>
      </c>
      <c r="X309" s="57">
        <f>W309-1</f>
        <v/>
      </c>
      <c r="Y309" s="63" t="n">
        <v>45832</v>
      </c>
      <c r="Z309" s="67" t="n">
        <v>45861</v>
      </c>
      <c r="AA309" s="71">
        <f>Z309+13</f>
        <v/>
      </c>
      <c r="AB309" s="20">
        <f>AA309-U309</f>
        <v/>
      </c>
      <c r="AC309" s="20" t="inlineStr">
        <is>
          <t>No</t>
        </is>
      </c>
      <c r="AD309" s="21" t="inlineStr">
        <is>
          <t>1 HBL</t>
        </is>
      </c>
      <c r="AE309" s="21" t="n"/>
      <c r="AF309" s="22" t="inlineStr">
        <is>
          <t>LW</t>
        </is>
      </c>
      <c r="AG309" s="23" t="inlineStr">
        <is>
          <t>NAC</t>
        </is>
      </c>
      <c r="AH309" s="24" t="n"/>
      <c r="AN309" s="24" t="n"/>
    </row>
    <row r="310" ht="12.75" customHeight="1">
      <c r="A310" s="15" t="n">
        <v>3254508</v>
      </c>
      <c r="B310" s="15" t="inlineStr">
        <is>
          <t>Flexport</t>
        </is>
      </c>
      <c r="C310" s="15" t="inlineStr">
        <is>
          <t>Colombo, LK</t>
        </is>
      </c>
      <c r="D310" s="15" t="inlineStr">
        <is>
          <t>New York, NY, US</t>
        </is>
      </c>
      <c r="E310" s="15" t="inlineStr">
        <is>
          <t>Mississauga, ON, CA</t>
        </is>
      </c>
      <c r="F310" s="15" t="inlineStr">
        <is>
          <t>OCEAN</t>
        </is>
      </c>
      <c r="G310" s="15" t="inlineStr">
        <is>
          <t>D. 1 x 40HC</t>
        </is>
      </c>
      <c r="H310" s="15" t="inlineStr">
        <is>
          <t>CFS/CY</t>
        </is>
      </c>
      <c r="I310" s="15" t="inlineStr">
        <is>
          <t>ONE</t>
        </is>
      </c>
      <c r="J310" s="15" t="inlineStr">
        <is>
          <t>EC3</t>
        </is>
      </c>
      <c r="K310" s="15" t="inlineStr">
        <is>
          <t>MAS AMITY PTE LTD</t>
        </is>
      </c>
      <c r="L310" s="16" t="inlineStr">
        <is>
          <t>MAS Active (Pvt) Ltd - Linea Intimo</t>
        </is>
      </c>
      <c r="M310" s="15" t="inlineStr">
        <is>
          <t>N</t>
        </is>
      </c>
      <c r="N310" s="17" t="n">
        <v>454714967164</v>
      </c>
      <c r="O310" s="15" t="n">
        <v>19920331</v>
      </c>
      <c r="P310" s="18" t="inlineStr">
        <is>
          <t>LM3F64S</t>
        </is>
      </c>
      <c r="Q310" s="18" t="n">
        <v>3</v>
      </c>
      <c r="R310" s="18" t="n">
        <v>0.197</v>
      </c>
      <c r="S310" s="15" t="n">
        <v>15.613</v>
      </c>
      <c r="T310" s="16" t="n">
        <v>45824</v>
      </c>
      <c r="U310" s="19" t="n">
        <v>45883</v>
      </c>
      <c r="V310" s="16" t="n">
        <v>45824</v>
      </c>
      <c r="W310" s="16" t="n">
        <v>45826</v>
      </c>
      <c r="X310" s="57">
        <f>W310-1</f>
        <v/>
      </c>
      <c r="Y310" s="63" t="n">
        <v>45832</v>
      </c>
      <c r="Z310" s="67" t="n">
        <v>45861</v>
      </c>
      <c r="AA310" s="71">
        <f>Z310+13</f>
        <v/>
      </c>
      <c r="AB310" s="20">
        <f>AA310-U310</f>
        <v/>
      </c>
      <c r="AC310" s="20" t="inlineStr">
        <is>
          <t>No</t>
        </is>
      </c>
      <c r="AD310" s="21" t="inlineStr">
        <is>
          <t>1 HBL</t>
        </is>
      </c>
      <c r="AE310" s="21" t="n"/>
      <c r="AF310" s="22" t="inlineStr">
        <is>
          <t>LW</t>
        </is>
      </c>
      <c r="AG310" s="23" t="inlineStr">
        <is>
          <t>NAC</t>
        </is>
      </c>
      <c r="AH310" s="24" t="n"/>
      <c r="AN310" s="24" t="n"/>
    </row>
    <row r="311" ht="12.75" customHeight="1">
      <c r="A311" s="15" t="n">
        <v>3254508</v>
      </c>
      <c r="B311" s="15" t="inlineStr">
        <is>
          <t>Flexport</t>
        </is>
      </c>
      <c r="C311" s="15" t="inlineStr">
        <is>
          <t>Colombo, LK</t>
        </is>
      </c>
      <c r="D311" s="15" t="inlineStr">
        <is>
          <t>New York, NY, US</t>
        </is>
      </c>
      <c r="E311" s="15" t="inlineStr">
        <is>
          <t>Mississauga, ON, CA</t>
        </is>
      </c>
      <c r="F311" s="15" t="inlineStr">
        <is>
          <t>OCEAN</t>
        </is>
      </c>
      <c r="G311" s="15" t="inlineStr">
        <is>
          <t>D. 1 x 40HC</t>
        </is>
      </c>
      <c r="H311" s="15" t="inlineStr">
        <is>
          <t>CFS/CY</t>
        </is>
      </c>
      <c r="I311" s="15" t="inlineStr">
        <is>
          <t>ONE</t>
        </is>
      </c>
      <c r="J311" s="15" t="inlineStr">
        <is>
          <t>EC3</t>
        </is>
      </c>
      <c r="K311" s="15" t="inlineStr">
        <is>
          <t>MAS AMITY PTE LTD</t>
        </is>
      </c>
      <c r="L311" s="16" t="inlineStr">
        <is>
          <t>MAS Active (Pvt) Ltd - Linea Intimo</t>
        </is>
      </c>
      <c r="M311" s="15" t="inlineStr">
        <is>
          <t>N</t>
        </is>
      </c>
      <c r="N311" s="17" t="n">
        <v>454715072465</v>
      </c>
      <c r="O311" s="15" t="n">
        <v>19920345</v>
      </c>
      <c r="P311" s="18" t="inlineStr">
        <is>
          <t>LM3FHKS</t>
        </is>
      </c>
      <c r="Q311" s="18" t="n">
        <v>3</v>
      </c>
      <c r="R311" s="18" t="n">
        <v>0.158</v>
      </c>
      <c r="S311" s="15" t="n">
        <v>20.204</v>
      </c>
      <c r="T311" s="16" t="n">
        <v>45824</v>
      </c>
      <c r="U311" s="19" t="n">
        <v>45883</v>
      </c>
      <c r="V311" s="16" t="n">
        <v>45824</v>
      </c>
      <c r="W311" s="16" t="n">
        <v>45826</v>
      </c>
      <c r="X311" s="57">
        <f>W311-1</f>
        <v/>
      </c>
      <c r="Y311" s="63" t="n">
        <v>45832</v>
      </c>
      <c r="Z311" s="67" t="n">
        <v>45861</v>
      </c>
      <c r="AA311" s="71">
        <f>Z311+13</f>
        <v/>
      </c>
      <c r="AB311" s="20">
        <f>AA311-U311</f>
        <v/>
      </c>
      <c r="AC311" s="20" t="inlineStr">
        <is>
          <t>No</t>
        </is>
      </c>
      <c r="AD311" s="21" t="inlineStr">
        <is>
          <t>1 HBL</t>
        </is>
      </c>
      <c r="AE311" s="21" t="n"/>
      <c r="AF311" s="22" t="inlineStr">
        <is>
          <t>LW</t>
        </is>
      </c>
      <c r="AG311" s="23" t="inlineStr">
        <is>
          <t>NAC</t>
        </is>
      </c>
      <c r="AH311" s="24" t="n"/>
      <c r="AN311" s="24" t="n"/>
    </row>
    <row r="312" ht="12.75" customHeight="1">
      <c r="A312" s="15" t="n">
        <v>3254508</v>
      </c>
      <c r="B312" s="15" t="inlineStr">
        <is>
          <t>Flexport</t>
        </is>
      </c>
      <c r="C312" s="15" t="inlineStr">
        <is>
          <t>Colombo, LK</t>
        </is>
      </c>
      <c r="D312" s="15" t="inlineStr">
        <is>
          <t>New York, NY, US</t>
        </is>
      </c>
      <c r="E312" s="15" t="inlineStr">
        <is>
          <t>Mississauga, ON, CA</t>
        </is>
      </c>
      <c r="F312" s="15" t="inlineStr">
        <is>
          <t>OCEAN</t>
        </is>
      </c>
      <c r="G312" s="15" t="inlineStr">
        <is>
          <t>D. 1 x 40HC</t>
        </is>
      </c>
      <c r="H312" s="15" t="inlineStr">
        <is>
          <t>CFS/CY</t>
        </is>
      </c>
      <c r="I312" s="15" t="inlineStr">
        <is>
          <t>ONE</t>
        </is>
      </c>
      <c r="J312" s="15" t="inlineStr">
        <is>
          <t>EC3</t>
        </is>
      </c>
      <c r="K312" s="15" t="inlineStr">
        <is>
          <t>MAS AMITY PTE LTD</t>
        </is>
      </c>
      <c r="L312" s="16" t="inlineStr">
        <is>
          <t>MAS Active (Pvt) Ltd - Linea Intimo</t>
        </is>
      </c>
      <c r="M312" s="15" t="inlineStr">
        <is>
          <t>N</t>
        </is>
      </c>
      <c r="N312" s="17" t="n">
        <v>454715264989</v>
      </c>
      <c r="O312" s="15" t="n">
        <v>19920351</v>
      </c>
      <c r="P312" s="18" t="inlineStr">
        <is>
          <t>LM3FHKS</t>
        </is>
      </c>
      <c r="Q312" s="18" t="n">
        <v>1</v>
      </c>
      <c r="R312" s="18" t="n">
        <v>0.079</v>
      </c>
      <c r="S312" s="15" t="n">
        <v>10.845</v>
      </c>
      <c r="T312" s="16" t="n">
        <v>45824</v>
      </c>
      <c r="U312" s="19" t="n">
        <v>45883</v>
      </c>
      <c r="V312" s="16" t="n">
        <v>45824</v>
      </c>
      <c r="W312" s="16" t="n">
        <v>45826</v>
      </c>
      <c r="X312" s="57">
        <f>W312-1</f>
        <v/>
      </c>
      <c r="Y312" s="63" t="n">
        <v>45832</v>
      </c>
      <c r="Z312" s="67" t="n">
        <v>45861</v>
      </c>
      <c r="AA312" s="71">
        <f>Z312+13</f>
        <v/>
      </c>
      <c r="AB312" s="20">
        <f>AA312-U312</f>
        <v/>
      </c>
      <c r="AC312" s="20" t="inlineStr">
        <is>
          <t>No</t>
        </is>
      </c>
      <c r="AD312" s="21" t="inlineStr">
        <is>
          <t>1 HBL</t>
        </is>
      </c>
      <c r="AE312" s="21" t="n"/>
      <c r="AF312" s="22" t="inlineStr">
        <is>
          <t>LW</t>
        </is>
      </c>
      <c r="AG312" s="23" t="inlineStr">
        <is>
          <t>NAC</t>
        </is>
      </c>
      <c r="AH312" s="24" t="n"/>
      <c r="AN312" s="24" t="n"/>
    </row>
    <row r="313" ht="12.75" customHeight="1">
      <c r="A313" s="15" t="n">
        <v>3254508</v>
      </c>
      <c r="B313" s="15" t="inlineStr">
        <is>
          <t>Flexport</t>
        </is>
      </c>
      <c r="C313" s="15" t="inlineStr">
        <is>
          <t>Colombo, LK</t>
        </is>
      </c>
      <c r="D313" s="15" t="inlineStr">
        <is>
          <t>New York, NY, US</t>
        </is>
      </c>
      <c r="E313" s="15" t="inlineStr">
        <is>
          <t>Mississauga, ON, CA</t>
        </is>
      </c>
      <c r="F313" s="15" t="inlineStr">
        <is>
          <t>OCEAN</t>
        </is>
      </c>
      <c r="G313" s="15" t="inlineStr">
        <is>
          <t>D. 1 x 40HC</t>
        </is>
      </c>
      <c r="H313" s="15" t="inlineStr">
        <is>
          <t>CFS/CY</t>
        </is>
      </c>
      <c r="I313" s="15" t="inlineStr">
        <is>
          <t>ONE</t>
        </is>
      </c>
      <c r="J313" s="15" t="inlineStr">
        <is>
          <t>EC3</t>
        </is>
      </c>
      <c r="K313" s="15" t="inlineStr">
        <is>
          <t>MAS AMITY PTE LTD</t>
        </is>
      </c>
      <c r="L313" s="16" t="inlineStr">
        <is>
          <t>MAS Active (Pvt) Ltd - Linea Intimo</t>
        </is>
      </c>
      <c r="M313" s="15" t="inlineStr">
        <is>
          <t>N</t>
        </is>
      </c>
      <c r="N313" s="17" t="n">
        <v>454715350749</v>
      </c>
      <c r="O313" s="15" t="n">
        <v>19920359</v>
      </c>
      <c r="P313" s="18" t="inlineStr">
        <is>
          <t>LM3FIKS</t>
        </is>
      </c>
      <c r="Q313" s="18" t="n">
        <v>1</v>
      </c>
      <c r="R313" s="18" t="n">
        <v>0.079</v>
      </c>
      <c r="S313" s="15" t="n">
        <v>9.859</v>
      </c>
      <c r="T313" s="16" t="n">
        <v>45824</v>
      </c>
      <c r="U313" s="19" t="n">
        <v>45883</v>
      </c>
      <c r="V313" s="16" t="n">
        <v>45824</v>
      </c>
      <c r="W313" s="16" t="n">
        <v>45826</v>
      </c>
      <c r="X313" s="57">
        <f>W313-1</f>
        <v/>
      </c>
      <c r="Y313" s="63" t="n">
        <v>45832</v>
      </c>
      <c r="Z313" s="67" t="n">
        <v>45861</v>
      </c>
      <c r="AA313" s="71">
        <f>Z313+13</f>
        <v/>
      </c>
      <c r="AB313" s="20">
        <f>AA313-U313</f>
        <v/>
      </c>
      <c r="AC313" s="20" t="inlineStr">
        <is>
          <t>No</t>
        </is>
      </c>
      <c r="AD313" s="21" t="inlineStr">
        <is>
          <t>1 HBL</t>
        </is>
      </c>
      <c r="AE313" s="21" t="n"/>
      <c r="AF313" s="22" t="inlineStr">
        <is>
          <t>LW</t>
        </is>
      </c>
      <c r="AG313" s="23" t="inlineStr">
        <is>
          <t>NAC</t>
        </is>
      </c>
      <c r="AH313" s="24" t="n"/>
      <c r="AN313" s="24" t="n"/>
    </row>
    <row r="314" ht="12.75" customHeight="1">
      <c r="A314" s="15" t="n">
        <v>3254508</v>
      </c>
      <c r="B314" s="15" t="inlineStr">
        <is>
          <t>Flexport</t>
        </is>
      </c>
      <c r="C314" s="15" t="inlineStr">
        <is>
          <t>Colombo, LK</t>
        </is>
      </c>
      <c r="D314" s="15" t="inlineStr">
        <is>
          <t>New York, NY, US</t>
        </is>
      </c>
      <c r="E314" s="15" t="inlineStr">
        <is>
          <t>Mississauga, ON, CA</t>
        </is>
      </c>
      <c r="F314" s="15" t="inlineStr">
        <is>
          <t>OCEAN</t>
        </is>
      </c>
      <c r="G314" s="15" t="inlineStr">
        <is>
          <t>D. 1 x 40HC</t>
        </is>
      </c>
      <c r="H314" s="15" t="inlineStr">
        <is>
          <t>CFS/CY</t>
        </is>
      </c>
      <c r="I314" s="15" t="inlineStr">
        <is>
          <t>ONE</t>
        </is>
      </c>
      <c r="J314" s="15" t="inlineStr">
        <is>
          <t>EC3</t>
        </is>
      </c>
      <c r="K314" s="15" t="inlineStr">
        <is>
          <t>MAS AMITY PTE LTD</t>
        </is>
      </c>
      <c r="L314" s="16" t="inlineStr">
        <is>
          <t>MAS Active (Pvt) Ltd - Linea Intimo</t>
        </is>
      </c>
      <c r="M314" s="15" t="inlineStr">
        <is>
          <t>N</t>
        </is>
      </c>
      <c r="N314" s="17" t="n">
        <v>454715529553</v>
      </c>
      <c r="O314" s="15" t="n">
        <v>19920368</v>
      </c>
      <c r="P314" s="18" t="inlineStr">
        <is>
          <t>LW3DFKS</t>
        </is>
      </c>
      <c r="Q314" s="18" t="n">
        <v>21</v>
      </c>
      <c r="R314" s="18" t="n">
        <v>1.58</v>
      </c>
      <c r="S314" s="15" t="n">
        <v>215.35</v>
      </c>
      <c r="T314" s="16" t="n">
        <v>45824</v>
      </c>
      <c r="U314" s="19" t="n">
        <v>45883</v>
      </c>
      <c r="V314" s="16" t="n">
        <v>45824</v>
      </c>
      <c r="W314" s="16" t="n">
        <v>45826</v>
      </c>
      <c r="X314" s="57">
        <f>W314-1</f>
        <v/>
      </c>
      <c r="Y314" s="63" t="n">
        <v>45832</v>
      </c>
      <c r="Z314" s="67" t="n">
        <v>45861</v>
      </c>
      <c r="AA314" s="71">
        <f>Z314+13</f>
        <v/>
      </c>
      <c r="AB314" s="20">
        <f>AA314-U314</f>
        <v/>
      </c>
      <c r="AC314" s="20" t="inlineStr">
        <is>
          <t>No</t>
        </is>
      </c>
      <c r="AD314" s="21" t="inlineStr">
        <is>
          <t>1 HBL</t>
        </is>
      </c>
      <c r="AE314" s="21" t="n"/>
      <c r="AF314" s="22" t="inlineStr">
        <is>
          <t>LW</t>
        </is>
      </c>
      <c r="AG314" s="23" t="inlineStr">
        <is>
          <t>NAC</t>
        </is>
      </c>
      <c r="AH314" s="24" t="n"/>
      <c r="AN314" s="24" t="n"/>
    </row>
    <row r="315" ht="12.75" customHeight="1">
      <c r="A315" s="15" t="n">
        <v>3254508</v>
      </c>
      <c r="B315" s="15" t="inlineStr">
        <is>
          <t>Flexport</t>
        </is>
      </c>
      <c r="C315" s="15" t="inlineStr">
        <is>
          <t>Colombo, LK</t>
        </is>
      </c>
      <c r="D315" s="15" t="inlineStr">
        <is>
          <t>New York, NY, US</t>
        </is>
      </c>
      <c r="E315" s="15" t="inlineStr">
        <is>
          <t>Mississauga, ON, CA</t>
        </is>
      </c>
      <c r="F315" s="15" t="inlineStr">
        <is>
          <t>OCEAN</t>
        </is>
      </c>
      <c r="G315" s="15" t="inlineStr">
        <is>
          <t>D. 1 x 40HC</t>
        </is>
      </c>
      <c r="H315" s="15" t="inlineStr">
        <is>
          <t>CFS/CY</t>
        </is>
      </c>
      <c r="I315" s="15" t="inlineStr">
        <is>
          <t>ONE</t>
        </is>
      </c>
      <c r="J315" s="15" t="inlineStr">
        <is>
          <t>EC3</t>
        </is>
      </c>
      <c r="K315" s="15" t="inlineStr">
        <is>
          <t>MAS AMITY PTE LTD</t>
        </is>
      </c>
      <c r="L315" s="16" t="inlineStr">
        <is>
          <t>MAS Active (Pvt) Ltd - Linea Intimo</t>
        </is>
      </c>
      <c r="M315" s="15" t="inlineStr">
        <is>
          <t>N</t>
        </is>
      </c>
      <c r="N315" s="17" t="n">
        <v>454715880007</v>
      </c>
      <c r="O315" s="15" t="n">
        <v>19920486</v>
      </c>
      <c r="P315" s="18" t="inlineStr">
        <is>
          <t>LW3JE9S</t>
        </is>
      </c>
      <c r="Q315" s="18" t="n">
        <v>8</v>
      </c>
      <c r="R315" s="18" t="n">
        <v>0.553</v>
      </c>
      <c r="S315" s="15" t="n">
        <v>86.557</v>
      </c>
      <c r="T315" s="16" t="n">
        <v>45824</v>
      </c>
      <c r="U315" s="19" t="n">
        <v>45883</v>
      </c>
      <c r="V315" s="16" t="n">
        <v>45824</v>
      </c>
      <c r="W315" s="16" t="n">
        <v>45826</v>
      </c>
      <c r="X315" s="57">
        <f>W315-1</f>
        <v/>
      </c>
      <c r="Y315" s="63" t="n">
        <v>45832</v>
      </c>
      <c r="Z315" s="67" t="n">
        <v>45861</v>
      </c>
      <c r="AA315" s="71">
        <f>Z315+13</f>
        <v/>
      </c>
      <c r="AB315" s="20">
        <f>AA315-U315</f>
        <v/>
      </c>
      <c r="AC315" s="20" t="inlineStr">
        <is>
          <t>No</t>
        </is>
      </c>
      <c r="AD315" s="21" t="inlineStr">
        <is>
          <t>1 HBL</t>
        </is>
      </c>
      <c r="AE315" s="21" t="n"/>
      <c r="AF315" s="22" t="inlineStr">
        <is>
          <t>LW</t>
        </is>
      </c>
      <c r="AG315" s="23" t="inlineStr">
        <is>
          <t>NAC</t>
        </is>
      </c>
      <c r="AH315" s="24" t="n"/>
      <c r="AN315" s="24" t="n"/>
    </row>
    <row r="316" ht="12.75" customHeight="1">
      <c r="A316" s="15" t="n">
        <v>3254508</v>
      </c>
      <c r="B316" s="15" t="inlineStr">
        <is>
          <t>Flexport</t>
        </is>
      </c>
      <c r="C316" s="15" t="inlineStr">
        <is>
          <t>Colombo, LK</t>
        </is>
      </c>
      <c r="D316" s="15" t="inlineStr">
        <is>
          <t>New York, NY, US</t>
        </is>
      </c>
      <c r="E316" s="15" t="inlineStr">
        <is>
          <t>Mississauga, ON, CA</t>
        </is>
      </c>
      <c r="F316" s="15" t="inlineStr">
        <is>
          <t>OCEAN</t>
        </is>
      </c>
      <c r="G316" s="15" t="inlineStr">
        <is>
          <t>D. 1 x 40HC</t>
        </is>
      </c>
      <c r="H316" s="15" t="inlineStr">
        <is>
          <t>CFS/CY</t>
        </is>
      </c>
      <c r="I316" s="15" t="inlineStr">
        <is>
          <t>ONE</t>
        </is>
      </c>
      <c r="J316" s="15" t="inlineStr">
        <is>
          <t>EC3</t>
        </is>
      </c>
      <c r="K316" s="15" t="inlineStr">
        <is>
          <t>MAS AMITY PTE LTD</t>
        </is>
      </c>
      <c r="L316" s="16" t="inlineStr">
        <is>
          <t>MAS Active (Pvt) Ltd - Linea Intimo</t>
        </is>
      </c>
      <c r="M316" s="15" t="inlineStr">
        <is>
          <t>N</t>
        </is>
      </c>
      <c r="N316" s="17" t="n">
        <v>454715944362</v>
      </c>
      <c r="O316" s="15" t="n">
        <v>19920468</v>
      </c>
      <c r="P316" s="18" t="inlineStr">
        <is>
          <t>LW3JE9S</t>
        </is>
      </c>
      <c r="Q316" s="18" t="n">
        <v>8</v>
      </c>
      <c r="R316" s="18" t="n">
        <v>0.553</v>
      </c>
      <c r="S316" s="15" t="n">
        <v>86.902</v>
      </c>
      <c r="T316" s="16" t="n">
        <v>45824</v>
      </c>
      <c r="U316" s="19" t="n">
        <v>45883</v>
      </c>
      <c r="V316" s="16" t="n">
        <v>45824</v>
      </c>
      <c r="W316" s="16" t="n">
        <v>45826</v>
      </c>
      <c r="X316" s="57">
        <f>W316-1</f>
        <v/>
      </c>
      <c r="Y316" s="63" t="n">
        <v>45832</v>
      </c>
      <c r="Z316" s="67" t="n">
        <v>45861</v>
      </c>
      <c r="AA316" s="71">
        <f>Z316+13</f>
        <v/>
      </c>
      <c r="AB316" s="20">
        <f>AA316-U316</f>
        <v/>
      </c>
      <c r="AC316" s="20" t="inlineStr">
        <is>
          <t>No</t>
        </is>
      </c>
      <c r="AD316" s="21" t="inlineStr">
        <is>
          <t>1 HBL</t>
        </is>
      </c>
      <c r="AE316" s="21" t="n"/>
      <c r="AF316" s="22" t="inlineStr">
        <is>
          <t>LW</t>
        </is>
      </c>
      <c r="AG316" s="23" t="inlineStr">
        <is>
          <t>NAC</t>
        </is>
      </c>
      <c r="AH316" s="24" t="n"/>
      <c r="AN316" s="24" t="n"/>
    </row>
    <row r="317" ht="12.75" customHeight="1">
      <c r="A317" s="15" t="n">
        <v>3254508</v>
      </c>
      <c r="B317" s="15" t="inlineStr">
        <is>
          <t>Flexport</t>
        </is>
      </c>
      <c r="C317" s="15" t="inlineStr">
        <is>
          <t>Colombo, LK</t>
        </is>
      </c>
      <c r="D317" s="15" t="inlineStr">
        <is>
          <t>New York, NY, US</t>
        </is>
      </c>
      <c r="E317" s="15" t="inlineStr">
        <is>
          <t>Mississauga, ON, CA</t>
        </is>
      </c>
      <c r="F317" s="15" t="inlineStr">
        <is>
          <t>OCEAN</t>
        </is>
      </c>
      <c r="G317" s="15" t="inlineStr">
        <is>
          <t>D. 1 x 40HC</t>
        </is>
      </c>
      <c r="H317" s="15" t="inlineStr">
        <is>
          <t>CFS/CY</t>
        </is>
      </c>
      <c r="I317" s="15" t="inlineStr">
        <is>
          <t>ONE</t>
        </is>
      </c>
      <c r="J317" s="15" t="inlineStr">
        <is>
          <t>EC3</t>
        </is>
      </c>
      <c r="K317" s="15" t="inlineStr">
        <is>
          <t>MAS AMITY PTE LTD</t>
        </is>
      </c>
      <c r="L317" s="16" t="inlineStr">
        <is>
          <t>MAS Active (Pvt) Ltd - Linea Intimo</t>
        </is>
      </c>
      <c r="M317" s="15" t="inlineStr">
        <is>
          <t>N</t>
        </is>
      </c>
      <c r="N317" s="17" t="n">
        <v>454716220598</v>
      </c>
      <c r="O317" s="15" t="n">
        <v>19920517</v>
      </c>
      <c r="P317" s="18" t="inlineStr">
        <is>
          <t>LM1364S</t>
        </is>
      </c>
      <c r="Q317" s="18" t="n">
        <v>4</v>
      </c>
      <c r="R317" s="18" t="n">
        <v>0.276</v>
      </c>
      <c r="S317" s="15" t="n">
        <v>30.452</v>
      </c>
      <c r="T317" s="16" t="n">
        <v>45824</v>
      </c>
      <c r="U317" s="19" t="n">
        <v>45883</v>
      </c>
      <c r="V317" s="16" t="n">
        <v>45824</v>
      </c>
      <c r="W317" s="16" t="n">
        <v>45826</v>
      </c>
      <c r="X317" s="57">
        <f>W317-1</f>
        <v/>
      </c>
      <c r="Y317" s="63" t="n">
        <v>45832</v>
      </c>
      <c r="Z317" s="67" t="n">
        <v>45861</v>
      </c>
      <c r="AA317" s="71">
        <f>Z317+13</f>
        <v/>
      </c>
      <c r="AB317" s="20">
        <f>AA317-U317</f>
        <v/>
      </c>
      <c r="AC317" s="20" t="inlineStr">
        <is>
          <t>No</t>
        </is>
      </c>
      <c r="AD317" s="21" t="inlineStr">
        <is>
          <t>1 HBL</t>
        </is>
      </c>
      <c r="AE317" s="21" t="n"/>
      <c r="AF317" s="22" t="inlineStr">
        <is>
          <t>LW</t>
        </is>
      </c>
      <c r="AG317" s="23" t="inlineStr">
        <is>
          <t>NAC</t>
        </is>
      </c>
      <c r="AH317" s="24" t="n"/>
      <c r="AN317" s="24" t="n"/>
    </row>
    <row r="318" ht="12.75" customHeight="1">
      <c r="A318" s="15" t="n">
        <v>3254508</v>
      </c>
      <c r="B318" s="15" t="inlineStr">
        <is>
          <t>Flexport</t>
        </is>
      </c>
      <c r="C318" s="15" t="inlineStr">
        <is>
          <t>Colombo, LK</t>
        </is>
      </c>
      <c r="D318" s="15" t="inlineStr">
        <is>
          <t>New York, NY, US</t>
        </is>
      </c>
      <c r="E318" s="15" t="inlineStr">
        <is>
          <t>Mississauga, ON, CA</t>
        </is>
      </c>
      <c r="F318" s="15" t="inlineStr">
        <is>
          <t>OCEAN</t>
        </is>
      </c>
      <c r="G318" s="15" t="inlineStr">
        <is>
          <t>D. 1 x 40HC</t>
        </is>
      </c>
      <c r="H318" s="15" t="inlineStr">
        <is>
          <t>CFS/CY</t>
        </is>
      </c>
      <c r="I318" s="15" t="inlineStr">
        <is>
          <t>ONE</t>
        </is>
      </c>
      <c r="J318" s="15" t="inlineStr">
        <is>
          <t>EC3</t>
        </is>
      </c>
      <c r="K318" s="15" t="inlineStr">
        <is>
          <t>MAS AMITY PTE LTD</t>
        </is>
      </c>
      <c r="L318" s="16" t="inlineStr">
        <is>
          <t>MAS Active (Pvt) Ltd - Linea Intimo</t>
        </is>
      </c>
      <c r="M318" s="15" t="inlineStr">
        <is>
          <t>N</t>
        </is>
      </c>
      <c r="N318" s="17" t="n">
        <v>454716420390</v>
      </c>
      <c r="O318" s="15" t="n">
        <v>19920529</v>
      </c>
      <c r="P318" s="18" t="inlineStr">
        <is>
          <t>LM3F64S</t>
        </is>
      </c>
      <c r="Q318" s="18" t="n">
        <v>7</v>
      </c>
      <c r="R318" s="18" t="n">
        <v>0.474</v>
      </c>
      <c r="S318" s="15" t="n">
        <v>49.911</v>
      </c>
      <c r="T318" s="16" t="n">
        <v>45824</v>
      </c>
      <c r="U318" s="19" t="n">
        <v>45883</v>
      </c>
      <c r="V318" s="16" t="n">
        <v>45824</v>
      </c>
      <c r="W318" s="16" t="n">
        <v>45826</v>
      </c>
      <c r="X318" s="57">
        <f>W318-1</f>
        <v/>
      </c>
      <c r="Y318" s="63" t="n">
        <v>45832</v>
      </c>
      <c r="Z318" s="67" t="n">
        <v>45861</v>
      </c>
      <c r="AA318" s="71">
        <f>Z318+13</f>
        <v/>
      </c>
      <c r="AB318" s="20">
        <f>AA318-U318</f>
        <v/>
      </c>
      <c r="AC318" s="20" t="inlineStr">
        <is>
          <t>No</t>
        </is>
      </c>
      <c r="AD318" s="21" t="inlineStr">
        <is>
          <t>1 HBL</t>
        </is>
      </c>
      <c r="AE318" s="21" t="n"/>
      <c r="AF318" s="22" t="inlineStr">
        <is>
          <t>LW</t>
        </is>
      </c>
      <c r="AG318" s="23" t="inlineStr">
        <is>
          <t>NAC</t>
        </is>
      </c>
      <c r="AH318" s="24" t="n"/>
      <c r="AN318" s="24" t="n"/>
    </row>
    <row r="319" ht="12.75" customHeight="1">
      <c r="A319" s="15" t="n">
        <v>3254508</v>
      </c>
      <c r="B319" s="15" t="inlineStr">
        <is>
          <t>Flexport</t>
        </is>
      </c>
      <c r="C319" s="15" t="inlineStr">
        <is>
          <t>Colombo, LK</t>
        </is>
      </c>
      <c r="D319" s="15" t="inlineStr">
        <is>
          <t>New York, NY, US</t>
        </is>
      </c>
      <c r="E319" s="15" t="inlineStr">
        <is>
          <t>Mississauga, ON, CA</t>
        </is>
      </c>
      <c r="F319" s="15" t="inlineStr">
        <is>
          <t>OCEAN</t>
        </is>
      </c>
      <c r="G319" s="15" t="inlineStr">
        <is>
          <t>D. 1 x 40HC</t>
        </is>
      </c>
      <c r="H319" s="15" t="inlineStr">
        <is>
          <t>CFS/CY</t>
        </is>
      </c>
      <c r="I319" s="15" t="inlineStr">
        <is>
          <t>ONE</t>
        </is>
      </c>
      <c r="J319" s="15" t="inlineStr">
        <is>
          <t>EC3</t>
        </is>
      </c>
      <c r="K319" s="15" t="inlineStr">
        <is>
          <t>MAS AMITY PTE LTD</t>
        </is>
      </c>
      <c r="L319" s="16" t="inlineStr">
        <is>
          <t>MAS Active (Pvt) Ltd - Linea Intimo</t>
        </is>
      </c>
      <c r="M319" s="15" t="inlineStr">
        <is>
          <t>N</t>
        </is>
      </c>
      <c r="N319" s="17" t="n">
        <v>454716539002</v>
      </c>
      <c r="O319" s="15" t="n">
        <v>19920541</v>
      </c>
      <c r="P319" s="18" t="inlineStr">
        <is>
          <t>LM3F64S</t>
        </is>
      </c>
      <c r="Q319" s="18" t="n">
        <v>6</v>
      </c>
      <c r="R319" s="18" t="n">
        <v>0.434</v>
      </c>
      <c r="S319" s="15" t="n">
        <v>43.959</v>
      </c>
      <c r="T319" s="16" t="n">
        <v>45824</v>
      </c>
      <c r="U319" s="19" t="n">
        <v>45883</v>
      </c>
      <c r="V319" s="16" t="n">
        <v>45824</v>
      </c>
      <c r="W319" s="16" t="n">
        <v>45826</v>
      </c>
      <c r="X319" s="57">
        <f>W319-1</f>
        <v/>
      </c>
      <c r="Y319" s="63" t="n">
        <v>45832</v>
      </c>
      <c r="Z319" s="67" t="n">
        <v>45861</v>
      </c>
      <c r="AA319" s="71">
        <f>Z319+13</f>
        <v/>
      </c>
      <c r="AB319" s="20">
        <f>AA319-U319</f>
        <v/>
      </c>
      <c r="AC319" s="20" t="inlineStr">
        <is>
          <t>No</t>
        </is>
      </c>
      <c r="AD319" s="21" t="inlineStr">
        <is>
          <t>1 HBL</t>
        </is>
      </c>
      <c r="AE319" s="21" t="n"/>
      <c r="AF319" s="22" t="inlineStr">
        <is>
          <t>LW</t>
        </is>
      </c>
      <c r="AG319" s="23" t="inlineStr">
        <is>
          <t>NAC</t>
        </is>
      </c>
      <c r="AH319" s="24" t="n"/>
      <c r="AN319" s="24" t="n"/>
    </row>
    <row r="320" ht="12.75" customHeight="1">
      <c r="A320" s="15" t="n">
        <v>3254508</v>
      </c>
      <c r="B320" s="15" t="inlineStr">
        <is>
          <t>Flexport</t>
        </is>
      </c>
      <c r="C320" s="15" t="inlineStr">
        <is>
          <t>Colombo, LK</t>
        </is>
      </c>
      <c r="D320" s="15" t="inlineStr">
        <is>
          <t>New York, NY, US</t>
        </is>
      </c>
      <c r="E320" s="15" t="inlineStr">
        <is>
          <t>Mississauga, ON, CA</t>
        </is>
      </c>
      <c r="F320" s="15" t="inlineStr">
        <is>
          <t>OCEAN</t>
        </is>
      </c>
      <c r="G320" s="15" t="inlineStr">
        <is>
          <t>D. 1 x 40HC</t>
        </is>
      </c>
      <c r="H320" s="15" t="inlineStr">
        <is>
          <t>CFS/CY</t>
        </is>
      </c>
      <c r="I320" s="15" t="inlineStr">
        <is>
          <t>ONE</t>
        </is>
      </c>
      <c r="J320" s="15" t="inlineStr">
        <is>
          <t>EC3</t>
        </is>
      </c>
      <c r="K320" s="15" t="inlineStr">
        <is>
          <t>MAS AMITY PTE LTD</t>
        </is>
      </c>
      <c r="L320" s="16" t="inlineStr">
        <is>
          <t>MAS Active (Pvt) Ltd - Linea Intimo</t>
        </is>
      </c>
      <c r="M320" s="15" t="inlineStr">
        <is>
          <t>N</t>
        </is>
      </c>
      <c r="N320" s="17" t="n">
        <v>454716985952</v>
      </c>
      <c r="O320" s="15" t="n">
        <v>19920587</v>
      </c>
      <c r="P320" s="18" t="inlineStr">
        <is>
          <t>LM3FIKS</t>
        </is>
      </c>
      <c r="Q320" s="18" t="n">
        <v>3</v>
      </c>
      <c r="R320" s="18" t="n">
        <v>0.197</v>
      </c>
      <c r="S320" s="15" t="n">
        <v>29.829</v>
      </c>
      <c r="T320" s="16" t="n">
        <v>45824</v>
      </c>
      <c r="U320" s="19" t="n">
        <v>45883</v>
      </c>
      <c r="V320" s="16" t="n">
        <v>45824</v>
      </c>
      <c r="W320" s="16" t="n">
        <v>45826</v>
      </c>
      <c r="X320" s="57">
        <f>W320-1</f>
        <v/>
      </c>
      <c r="Y320" s="63" t="n">
        <v>45832</v>
      </c>
      <c r="Z320" s="67" t="n">
        <v>45861</v>
      </c>
      <c r="AA320" s="71">
        <f>Z320+13</f>
        <v/>
      </c>
      <c r="AB320" s="20">
        <f>AA320-U320</f>
        <v/>
      </c>
      <c r="AC320" s="20" t="inlineStr">
        <is>
          <t>No</t>
        </is>
      </c>
      <c r="AD320" s="21" t="inlineStr">
        <is>
          <t>1 HBL</t>
        </is>
      </c>
      <c r="AE320" s="21" t="n"/>
      <c r="AF320" s="22" t="inlineStr">
        <is>
          <t>LW</t>
        </is>
      </c>
      <c r="AG320" s="23" t="inlineStr">
        <is>
          <t>NAC</t>
        </is>
      </c>
      <c r="AH320" s="24" t="n"/>
      <c r="AN320" s="24" t="n"/>
    </row>
    <row r="321" ht="12.75" customHeight="1">
      <c r="A321" s="15" t="n">
        <v>3254508</v>
      </c>
      <c r="B321" s="15" t="inlineStr">
        <is>
          <t>Flexport</t>
        </is>
      </c>
      <c r="C321" s="15" t="inlineStr">
        <is>
          <t>Colombo, LK</t>
        </is>
      </c>
      <c r="D321" s="15" t="inlineStr">
        <is>
          <t>New York, NY, US</t>
        </is>
      </c>
      <c r="E321" s="15" t="inlineStr">
        <is>
          <t>Mississauga, ON, CA</t>
        </is>
      </c>
      <c r="F321" s="15" t="inlineStr">
        <is>
          <t>OCEAN</t>
        </is>
      </c>
      <c r="G321" s="15" t="inlineStr">
        <is>
          <t>D. 1 x 40HC</t>
        </is>
      </c>
      <c r="H321" s="15" t="inlineStr">
        <is>
          <t>CFS/CY</t>
        </is>
      </c>
      <c r="I321" s="15" t="inlineStr">
        <is>
          <t>ONE</t>
        </is>
      </c>
      <c r="J321" s="15" t="inlineStr">
        <is>
          <t>EC3</t>
        </is>
      </c>
      <c r="K321" s="15" t="inlineStr">
        <is>
          <t>MAS AMITY PTE LTD</t>
        </is>
      </c>
      <c r="L321" s="16" t="inlineStr">
        <is>
          <t>MAS Active (Pvt) Ltd - Linea Intimo</t>
        </is>
      </c>
      <c r="M321" s="15" t="inlineStr">
        <is>
          <t>N</t>
        </is>
      </c>
      <c r="N321" s="17" t="n">
        <v>454719838375</v>
      </c>
      <c r="O321" s="15" t="n">
        <v>19924393</v>
      </c>
      <c r="P321" s="18" t="inlineStr">
        <is>
          <t>LM3FHKS</t>
        </is>
      </c>
      <c r="Q321" s="18" t="n">
        <v>10</v>
      </c>
      <c r="R321" s="18" t="n">
        <v>0.79</v>
      </c>
      <c r="S321" s="15" t="n">
        <v>127.663</v>
      </c>
      <c r="T321" s="16" t="n">
        <v>45824</v>
      </c>
      <c r="U321" s="19" t="n">
        <v>45883</v>
      </c>
      <c r="V321" s="16" t="n">
        <v>45824</v>
      </c>
      <c r="W321" s="16" t="n">
        <v>45826</v>
      </c>
      <c r="X321" s="57">
        <f>W321-1</f>
        <v/>
      </c>
      <c r="Y321" s="63" t="n">
        <v>45832</v>
      </c>
      <c r="Z321" s="67" t="n">
        <v>45861</v>
      </c>
      <c r="AA321" s="71">
        <f>Z321+13</f>
        <v/>
      </c>
      <c r="AB321" s="20">
        <f>AA321-U321</f>
        <v/>
      </c>
      <c r="AC321" s="20" t="inlineStr">
        <is>
          <t>No</t>
        </is>
      </c>
      <c r="AD321" s="21" t="inlineStr">
        <is>
          <t>1 HBL</t>
        </is>
      </c>
      <c r="AE321" s="21" t="n"/>
      <c r="AF321" s="22" t="inlineStr">
        <is>
          <t>LW</t>
        </is>
      </c>
      <c r="AG321" s="23" t="inlineStr">
        <is>
          <t>NAC</t>
        </is>
      </c>
      <c r="AH321" s="24" t="n"/>
      <c r="AN321" s="24" t="n"/>
    </row>
    <row r="322" ht="12.75" customHeight="1">
      <c r="A322" s="15" t="n">
        <v>3254508</v>
      </c>
      <c r="B322" s="15" t="inlineStr">
        <is>
          <t>Flexport</t>
        </is>
      </c>
      <c r="C322" s="15" t="inlineStr">
        <is>
          <t>Colombo, LK</t>
        </is>
      </c>
      <c r="D322" s="15" t="inlineStr">
        <is>
          <t>New York, NY, US</t>
        </is>
      </c>
      <c r="E322" s="15" t="inlineStr">
        <is>
          <t>Mississauga, ON, CA</t>
        </is>
      </c>
      <c r="F322" s="15" t="inlineStr">
        <is>
          <t>OCEAN</t>
        </is>
      </c>
      <c r="G322" s="15" t="inlineStr">
        <is>
          <t>D. 1 x 40HC</t>
        </is>
      </c>
      <c r="H322" s="15" t="inlineStr">
        <is>
          <t>CFS/CY</t>
        </is>
      </c>
      <c r="I322" s="15" t="inlineStr">
        <is>
          <t>ONE</t>
        </is>
      </c>
      <c r="J322" s="15" t="inlineStr">
        <is>
          <t>EC3</t>
        </is>
      </c>
      <c r="K322" s="15" t="inlineStr">
        <is>
          <t>MAS AMITY PTE LTD</t>
        </is>
      </c>
      <c r="L322" s="16" t="inlineStr">
        <is>
          <t>MAS Active (Pvt) Ltd - Linea Intimo</t>
        </is>
      </c>
      <c r="M322" s="15" t="inlineStr">
        <is>
          <t>N</t>
        </is>
      </c>
      <c r="N322" s="17" t="n">
        <v>454719838790</v>
      </c>
      <c r="O322" s="15" t="n">
        <v>19924426</v>
      </c>
      <c r="P322" s="18" t="inlineStr">
        <is>
          <t>LM3FHKS</t>
        </is>
      </c>
      <c r="Q322" s="18" t="n">
        <v>4</v>
      </c>
      <c r="R322" s="18" t="n">
        <v>0.316</v>
      </c>
      <c r="S322" s="15" t="n">
        <v>45.778</v>
      </c>
      <c r="T322" s="16" t="n">
        <v>45824</v>
      </c>
      <c r="U322" s="19" t="n">
        <v>45883</v>
      </c>
      <c r="V322" s="16" t="n">
        <v>45824</v>
      </c>
      <c r="W322" s="16" t="n">
        <v>45826</v>
      </c>
      <c r="X322" s="57">
        <f>W322-1</f>
        <v/>
      </c>
      <c r="Y322" s="63" t="n">
        <v>45832</v>
      </c>
      <c r="Z322" s="67" t="n">
        <v>45861</v>
      </c>
      <c r="AA322" s="71">
        <f>Z322+13</f>
        <v/>
      </c>
      <c r="AB322" s="20">
        <f>AA322-U322</f>
        <v/>
      </c>
      <c r="AC322" s="20" t="inlineStr">
        <is>
          <t>No</t>
        </is>
      </c>
      <c r="AD322" s="21" t="inlineStr">
        <is>
          <t>1 HBL</t>
        </is>
      </c>
      <c r="AE322" s="21" t="n"/>
      <c r="AF322" s="22" t="inlineStr">
        <is>
          <t>LW</t>
        </is>
      </c>
      <c r="AG322" s="23" t="inlineStr">
        <is>
          <t>NAC</t>
        </is>
      </c>
      <c r="AH322" s="24" t="n"/>
      <c r="AN322" s="24" t="n"/>
    </row>
    <row r="323" ht="12.75" customHeight="1">
      <c r="A323" s="15" t="n">
        <v>3254508</v>
      </c>
      <c r="B323" s="15" t="inlineStr">
        <is>
          <t>Flexport</t>
        </is>
      </c>
      <c r="C323" s="15" t="inlineStr">
        <is>
          <t>Colombo, LK</t>
        </is>
      </c>
      <c r="D323" s="15" t="inlineStr">
        <is>
          <t>New York, NY, US</t>
        </is>
      </c>
      <c r="E323" s="15" t="inlineStr">
        <is>
          <t>Mississauga, ON, CA</t>
        </is>
      </c>
      <c r="F323" s="15" t="inlineStr">
        <is>
          <t>OCEAN</t>
        </is>
      </c>
      <c r="G323" s="15" t="inlineStr">
        <is>
          <t>D. 1 x 40HC</t>
        </is>
      </c>
      <c r="H323" s="15" t="inlineStr">
        <is>
          <t>CFS/CY</t>
        </is>
      </c>
      <c r="I323" s="15" t="inlineStr">
        <is>
          <t>ONE</t>
        </is>
      </c>
      <c r="J323" s="15" t="inlineStr">
        <is>
          <t>EC3</t>
        </is>
      </c>
      <c r="K323" s="15" t="inlineStr">
        <is>
          <t>MAS AMITY PTE LTD</t>
        </is>
      </c>
      <c r="L323" s="16" t="inlineStr">
        <is>
          <t>MAS Active (Pvt) Ltd - Linea Intimo</t>
        </is>
      </c>
      <c r="M323" s="15" t="inlineStr">
        <is>
          <t>N</t>
        </is>
      </c>
      <c r="N323" s="17" t="n">
        <v>454720839532</v>
      </c>
      <c r="O323" s="15" t="n">
        <v>19924453</v>
      </c>
      <c r="P323" s="18" t="inlineStr">
        <is>
          <t>LM3FHKS</t>
        </is>
      </c>
      <c r="Q323" s="18" t="n">
        <v>6</v>
      </c>
      <c r="R323" s="18" t="n">
        <v>0.434</v>
      </c>
      <c r="S323" s="15" t="n">
        <v>73.108</v>
      </c>
      <c r="T323" s="16" t="n">
        <v>45824</v>
      </c>
      <c r="U323" s="19" t="n">
        <v>45883</v>
      </c>
      <c r="V323" s="16" t="n">
        <v>45824</v>
      </c>
      <c r="W323" s="16" t="n">
        <v>45826</v>
      </c>
      <c r="X323" s="57">
        <f>W323-1</f>
        <v/>
      </c>
      <c r="Y323" s="63" t="n">
        <v>45832</v>
      </c>
      <c r="Z323" s="67" t="n">
        <v>45861</v>
      </c>
      <c r="AA323" s="71">
        <f>Z323+13</f>
        <v/>
      </c>
      <c r="AB323" s="20">
        <f>AA323-U323</f>
        <v/>
      </c>
      <c r="AC323" s="20" t="inlineStr">
        <is>
          <t>No</t>
        </is>
      </c>
      <c r="AD323" s="21" t="inlineStr">
        <is>
          <t>1 HBL</t>
        </is>
      </c>
      <c r="AE323" s="21" t="n"/>
      <c r="AF323" s="22" t="inlineStr">
        <is>
          <t>LW</t>
        </is>
      </c>
      <c r="AG323" s="23" t="inlineStr">
        <is>
          <t>NAC</t>
        </is>
      </c>
      <c r="AH323" s="24" t="n"/>
      <c r="AN323" s="24" t="n"/>
    </row>
    <row r="324" ht="12.75" customHeight="1">
      <c r="A324" s="15" t="n">
        <v>3254508</v>
      </c>
      <c r="B324" s="15" t="inlineStr">
        <is>
          <t>Flexport</t>
        </is>
      </c>
      <c r="C324" s="15" t="inlineStr">
        <is>
          <t>Colombo, LK</t>
        </is>
      </c>
      <c r="D324" s="15" t="inlineStr">
        <is>
          <t>New York, NY, US</t>
        </is>
      </c>
      <c r="E324" s="15" t="inlineStr">
        <is>
          <t>Mississauga, ON, CA</t>
        </is>
      </c>
      <c r="F324" s="15" t="inlineStr">
        <is>
          <t>OCEAN</t>
        </is>
      </c>
      <c r="G324" s="15" t="inlineStr">
        <is>
          <t>D. 1 x 40HC</t>
        </is>
      </c>
      <c r="H324" s="15" t="inlineStr">
        <is>
          <t>CFS/CY</t>
        </is>
      </c>
      <c r="I324" s="15" t="inlineStr">
        <is>
          <t>ONE</t>
        </is>
      </c>
      <c r="J324" s="15" t="inlineStr">
        <is>
          <t>EC3</t>
        </is>
      </c>
      <c r="K324" s="15" t="inlineStr">
        <is>
          <t>MAS AMITY PTE LTD</t>
        </is>
      </c>
      <c r="L324" s="16" t="inlineStr">
        <is>
          <t>MAS Active (Pvt) Ltd - Linea Intimo</t>
        </is>
      </c>
      <c r="M324" s="15" t="inlineStr">
        <is>
          <t>N</t>
        </is>
      </c>
      <c r="N324" s="17" t="n">
        <v>454720922371</v>
      </c>
      <c r="O324" s="15" t="n">
        <v>19924501</v>
      </c>
      <c r="P324" s="18" t="inlineStr">
        <is>
          <t>LM3FPES</t>
        </is>
      </c>
      <c r="Q324" s="18" t="n">
        <v>7</v>
      </c>
      <c r="R324" s="18" t="n">
        <v>0.553</v>
      </c>
      <c r="S324" s="15" t="n">
        <v>92.179</v>
      </c>
      <c r="T324" s="16" t="n">
        <v>45824</v>
      </c>
      <c r="U324" s="19" t="n">
        <v>45883</v>
      </c>
      <c r="V324" s="16" t="n">
        <v>45824</v>
      </c>
      <c r="W324" s="16" t="n">
        <v>45826</v>
      </c>
      <c r="X324" s="57">
        <f>W324-1</f>
        <v/>
      </c>
      <c r="Y324" s="63" t="n">
        <v>45832</v>
      </c>
      <c r="Z324" s="67" t="n">
        <v>45861</v>
      </c>
      <c r="AA324" s="71">
        <f>Z324+13</f>
        <v/>
      </c>
      <c r="AB324" s="20">
        <f>AA324-U324</f>
        <v/>
      </c>
      <c r="AC324" s="20" t="inlineStr">
        <is>
          <t>No</t>
        </is>
      </c>
      <c r="AD324" s="21" t="inlineStr">
        <is>
          <t>1 HBL</t>
        </is>
      </c>
      <c r="AE324" s="21" t="n"/>
      <c r="AF324" s="22" t="inlineStr">
        <is>
          <t>LW</t>
        </is>
      </c>
      <c r="AG324" s="23" t="inlineStr">
        <is>
          <t>NAC</t>
        </is>
      </c>
      <c r="AH324" s="24" t="n"/>
      <c r="AN324" s="24" t="n"/>
    </row>
    <row r="325" ht="12.75" customHeight="1">
      <c r="A325" s="15" t="n">
        <v>3254508</v>
      </c>
      <c r="B325" s="15" t="inlineStr">
        <is>
          <t>Flexport</t>
        </is>
      </c>
      <c r="C325" s="15" t="inlineStr">
        <is>
          <t>Colombo, LK</t>
        </is>
      </c>
      <c r="D325" s="15" t="inlineStr">
        <is>
          <t>New York, NY, US</t>
        </is>
      </c>
      <c r="E325" s="15" t="inlineStr">
        <is>
          <t>Mississauga, ON, CA</t>
        </is>
      </c>
      <c r="F325" s="15" t="inlineStr">
        <is>
          <t>OCEAN</t>
        </is>
      </c>
      <c r="G325" s="15" t="inlineStr">
        <is>
          <t>D. 1 x 40HC</t>
        </is>
      </c>
      <c r="H325" s="15" t="inlineStr">
        <is>
          <t>CFS/CY</t>
        </is>
      </c>
      <c r="I325" s="15" t="inlineStr">
        <is>
          <t>ONE</t>
        </is>
      </c>
      <c r="J325" s="15" t="inlineStr">
        <is>
          <t>EC3</t>
        </is>
      </c>
      <c r="K325" s="15" t="inlineStr">
        <is>
          <t>MAS AMITY PTE LTD</t>
        </is>
      </c>
      <c r="L325" s="16" t="inlineStr">
        <is>
          <t>MAS Active (Pvt) Ltd - Linea Intimo</t>
        </is>
      </c>
      <c r="M325" s="15" t="inlineStr">
        <is>
          <t>N</t>
        </is>
      </c>
      <c r="N325" s="17" t="n">
        <v>454721233456</v>
      </c>
      <c r="O325" s="15" t="n">
        <v>19924482</v>
      </c>
      <c r="P325" s="18" t="inlineStr">
        <is>
          <t>LM3FIKS</t>
        </is>
      </c>
      <c r="Q325" s="18" t="n">
        <v>5</v>
      </c>
      <c r="R325" s="18" t="n">
        <v>0.355</v>
      </c>
      <c r="S325" s="15" t="n">
        <v>54.092</v>
      </c>
      <c r="T325" s="16" t="n">
        <v>45824</v>
      </c>
      <c r="U325" s="19" t="n">
        <v>45883</v>
      </c>
      <c r="V325" s="16" t="n">
        <v>45824</v>
      </c>
      <c r="W325" s="16" t="n">
        <v>45826</v>
      </c>
      <c r="X325" s="57">
        <f>W325-1</f>
        <v/>
      </c>
      <c r="Y325" s="63" t="n">
        <v>45832</v>
      </c>
      <c r="Z325" s="67" t="n">
        <v>45861</v>
      </c>
      <c r="AA325" s="71">
        <f>Z325+13</f>
        <v/>
      </c>
      <c r="AB325" s="20">
        <f>AA325-U325</f>
        <v/>
      </c>
      <c r="AC325" s="20" t="inlineStr">
        <is>
          <t>No</t>
        </is>
      </c>
      <c r="AD325" s="21" t="inlineStr">
        <is>
          <t>1 HBL</t>
        </is>
      </c>
      <c r="AE325" s="21" t="n"/>
      <c r="AF325" s="22" t="inlineStr">
        <is>
          <t>LW</t>
        </is>
      </c>
      <c r="AG325" s="23" t="inlineStr">
        <is>
          <t>NAC</t>
        </is>
      </c>
      <c r="AH325" s="24" t="n"/>
      <c r="AN325" s="24" t="n"/>
    </row>
    <row r="326" ht="12.75" customHeight="1">
      <c r="A326" s="15" t="n">
        <v>3254508</v>
      </c>
      <c r="B326" s="15" t="inlineStr">
        <is>
          <t>Flexport</t>
        </is>
      </c>
      <c r="C326" s="15" t="inlineStr">
        <is>
          <t>Colombo, LK</t>
        </is>
      </c>
      <c r="D326" s="15" t="inlineStr">
        <is>
          <t>New York, NY, US</t>
        </is>
      </c>
      <c r="E326" s="15" t="inlineStr">
        <is>
          <t>Mississauga, ON, CA</t>
        </is>
      </c>
      <c r="F326" s="15" t="inlineStr">
        <is>
          <t>OCEAN</t>
        </is>
      </c>
      <c r="G326" s="15" t="inlineStr">
        <is>
          <t>D. 1 x 40HC</t>
        </is>
      </c>
      <c r="H326" s="15" t="inlineStr">
        <is>
          <t>CFS/CY</t>
        </is>
      </c>
      <c r="I326" s="15" t="inlineStr">
        <is>
          <t>ONE</t>
        </is>
      </c>
      <c r="J326" s="15" t="inlineStr">
        <is>
          <t>EC3</t>
        </is>
      </c>
      <c r="K326" s="15" t="inlineStr">
        <is>
          <t>MAS AMITY PTE LTD</t>
        </is>
      </c>
      <c r="L326" s="16" t="inlineStr">
        <is>
          <t>MAS Active (Pvt) Ltd - Linea Intimo</t>
        </is>
      </c>
      <c r="M326" s="15" t="inlineStr">
        <is>
          <t>N</t>
        </is>
      </c>
      <c r="N326" s="17" t="n">
        <v>454722313774</v>
      </c>
      <c r="O326" s="15" t="n">
        <v>91018402</v>
      </c>
      <c r="P326" s="18" t="inlineStr">
        <is>
          <t>LW1CHRS</t>
        </is>
      </c>
      <c r="Q326" s="18" t="n">
        <v>4</v>
      </c>
      <c r="R326" s="18" t="n">
        <v>0.198</v>
      </c>
      <c r="S326" s="15" t="n">
        <v>20.25</v>
      </c>
      <c r="T326" s="16" t="n">
        <v>45824</v>
      </c>
      <c r="U326" s="19" t="n">
        <v>45888</v>
      </c>
      <c r="V326" s="16" t="n">
        <v>45824</v>
      </c>
      <c r="W326" s="16" t="n">
        <v>45826</v>
      </c>
      <c r="X326" s="57">
        <f>W326-1</f>
        <v/>
      </c>
      <c r="Y326" s="63" t="n">
        <v>45832</v>
      </c>
      <c r="Z326" s="67" t="n">
        <v>45861</v>
      </c>
      <c r="AA326" s="71">
        <f>Z326+13</f>
        <v/>
      </c>
      <c r="AB326" s="20">
        <f>AA326-U326</f>
        <v/>
      </c>
      <c r="AC326" s="20" t="inlineStr">
        <is>
          <t>No</t>
        </is>
      </c>
      <c r="AD326" s="21" t="inlineStr">
        <is>
          <t>1 HBL</t>
        </is>
      </c>
      <c r="AE326" s="21" t="n"/>
      <c r="AF326" s="22" t="inlineStr">
        <is>
          <t>LW</t>
        </is>
      </c>
      <c r="AG326" s="23" t="inlineStr">
        <is>
          <t>NAC</t>
        </is>
      </c>
      <c r="AH326" s="24" t="n"/>
      <c r="AN326" s="24" t="n"/>
    </row>
    <row r="327" ht="12.75" customHeight="1">
      <c r="A327" s="15" t="n">
        <v>3254508</v>
      </c>
      <c r="B327" s="15" t="inlineStr">
        <is>
          <t>Flexport</t>
        </is>
      </c>
      <c r="C327" s="15" t="inlineStr">
        <is>
          <t>Colombo, LK</t>
        </is>
      </c>
      <c r="D327" s="15" t="inlineStr">
        <is>
          <t>New York, NY, US</t>
        </is>
      </c>
      <c r="E327" s="15" t="inlineStr">
        <is>
          <t>Mississauga, ON, CA</t>
        </is>
      </c>
      <c r="F327" s="15" t="inlineStr">
        <is>
          <t>OCEAN</t>
        </is>
      </c>
      <c r="G327" s="15" t="inlineStr">
        <is>
          <t>D. 1 x 40HC</t>
        </is>
      </c>
      <c r="H327" s="15" t="inlineStr">
        <is>
          <t>CFS/CY</t>
        </is>
      </c>
      <c r="I327" s="15" t="inlineStr">
        <is>
          <t>ONE</t>
        </is>
      </c>
      <c r="J327" s="15" t="inlineStr">
        <is>
          <t>EC3</t>
        </is>
      </c>
      <c r="K327" s="15" t="inlineStr">
        <is>
          <t>MAS AMITY PTE LTD</t>
        </is>
      </c>
      <c r="L327" s="16" t="inlineStr">
        <is>
          <t>MAS Active (Pvt) Ltd - Linea Intimo</t>
        </is>
      </c>
      <c r="M327" s="15" t="inlineStr">
        <is>
          <t>N</t>
        </is>
      </c>
      <c r="N327" s="17" t="n">
        <v>454722738479</v>
      </c>
      <c r="O327" s="15" t="n">
        <v>91018329</v>
      </c>
      <c r="P327" s="18" t="inlineStr">
        <is>
          <t>LW1CHRS</t>
        </is>
      </c>
      <c r="Q327" s="18" t="n">
        <v>9</v>
      </c>
      <c r="R327" s="18" t="n">
        <v>0.634</v>
      </c>
      <c r="S327" s="15" t="n">
        <v>73.73999999999999</v>
      </c>
      <c r="T327" s="16" t="n">
        <v>45824</v>
      </c>
      <c r="U327" s="19" t="n">
        <v>45888</v>
      </c>
      <c r="V327" s="16" t="n">
        <v>45824</v>
      </c>
      <c r="W327" s="16" t="n">
        <v>45826</v>
      </c>
      <c r="X327" s="57">
        <f>W327-1</f>
        <v/>
      </c>
      <c r="Y327" s="63" t="n">
        <v>45832</v>
      </c>
      <c r="Z327" s="67" t="n">
        <v>45861</v>
      </c>
      <c r="AA327" s="71">
        <f>Z327+13</f>
        <v/>
      </c>
      <c r="AB327" s="20">
        <f>AA327-U327</f>
        <v/>
      </c>
      <c r="AC327" s="20" t="inlineStr">
        <is>
          <t>No</t>
        </is>
      </c>
      <c r="AD327" s="21" t="inlineStr">
        <is>
          <t>1 HBL</t>
        </is>
      </c>
      <c r="AE327" s="21" t="n"/>
      <c r="AF327" s="22" t="inlineStr">
        <is>
          <t>LW</t>
        </is>
      </c>
      <c r="AG327" s="23" t="inlineStr">
        <is>
          <t>NAC</t>
        </is>
      </c>
      <c r="AH327" s="24" t="n"/>
      <c r="AN327" s="24" t="n"/>
    </row>
    <row r="328" ht="12.75" customHeight="1">
      <c r="A328" s="15" t="n">
        <v>3254508</v>
      </c>
      <c r="B328" s="15" t="inlineStr">
        <is>
          <t>Flexport</t>
        </is>
      </c>
      <c r="C328" s="15" t="inlineStr">
        <is>
          <t>Colombo, LK</t>
        </is>
      </c>
      <c r="D328" s="15" t="inlineStr">
        <is>
          <t>New York, NY, US</t>
        </is>
      </c>
      <c r="E328" s="15" t="inlineStr">
        <is>
          <t>Mississauga, ON, CA</t>
        </is>
      </c>
      <c r="F328" s="15" t="inlineStr">
        <is>
          <t>OCEAN</t>
        </is>
      </c>
      <c r="G328" s="15" t="inlineStr">
        <is>
          <t>D. 1 x 40HC</t>
        </is>
      </c>
      <c r="H328" s="15" t="inlineStr">
        <is>
          <t>CFS/CY</t>
        </is>
      </c>
      <c r="I328" s="15" t="inlineStr">
        <is>
          <t>ONE</t>
        </is>
      </c>
      <c r="J328" s="15" t="inlineStr">
        <is>
          <t>EC3</t>
        </is>
      </c>
      <c r="K328" s="15" t="inlineStr">
        <is>
          <t>MAS AMITY PTE LTD</t>
        </is>
      </c>
      <c r="L328" s="16" t="inlineStr">
        <is>
          <t>MAS Active (Pvt) Ltd - Linea Intimo</t>
        </is>
      </c>
      <c r="M328" s="15" t="inlineStr">
        <is>
          <t>N</t>
        </is>
      </c>
      <c r="N328" s="17" t="n">
        <v>454722776959</v>
      </c>
      <c r="O328" s="15" t="n">
        <v>91018462</v>
      </c>
      <c r="P328" s="18" t="inlineStr">
        <is>
          <t>LW1CHSS</t>
        </is>
      </c>
      <c r="Q328" s="18" t="n">
        <v>6</v>
      </c>
      <c r="R328" s="18" t="n">
        <v>0.436</v>
      </c>
      <c r="S328" s="15" t="n">
        <v>43.49</v>
      </c>
      <c r="T328" s="16" t="n">
        <v>45824</v>
      </c>
      <c r="U328" s="19" t="n">
        <v>45888</v>
      </c>
      <c r="V328" s="16" t="n">
        <v>45824</v>
      </c>
      <c r="W328" s="16" t="n">
        <v>45826</v>
      </c>
      <c r="X328" s="57">
        <f>W328-1</f>
        <v/>
      </c>
      <c r="Y328" s="63" t="n">
        <v>45832</v>
      </c>
      <c r="Z328" s="67" t="n">
        <v>45861</v>
      </c>
      <c r="AA328" s="71">
        <f>Z328+13</f>
        <v/>
      </c>
      <c r="AB328" s="20">
        <f>AA328-U328</f>
        <v/>
      </c>
      <c r="AC328" s="20" t="inlineStr">
        <is>
          <t>No</t>
        </is>
      </c>
      <c r="AD328" s="21" t="inlineStr">
        <is>
          <t>1 HBL</t>
        </is>
      </c>
      <c r="AE328" s="21" t="n"/>
      <c r="AF328" s="22" t="inlineStr">
        <is>
          <t>LW</t>
        </is>
      </c>
      <c r="AG328" s="23" t="inlineStr">
        <is>
          <t>NAC</t>
        </is>
      </c>
      <c r="AH328" s="24" t="n"/>
      <c r="AN328" s="24" t="n"/>
    </row>
    <row r="329" ht="12.75" customHeight="1">
      <c r="A329" s="15" t="n">
        <v>3254508</v>
      </c>
      <c r="B329" s="15" t="inlineStr">
        <is>
          <t>Flexport</t>
        </is>
      </c>
      <c r="C329" s="15" t="inlineStr">
        <is>
          <t>Colombo, LK</t>
        </is>
      </c>
      <c r="D329" s="15" t="inlineStr">
        <is>
          <t>New York, NY, US</t>
        </is>
      </c>
      <c r="E329" s="15" t="inlineStr">
        <is>
          <t>Mississauga, ON, CA</t>
        </is>
      </c>
      <c r="F329" s="15" t="inlineStr">
        <is>
          <t>OCEAN</t>
        </is>
      </c>
      <c r="G329" s="15" t="inlineStr">
        <is>
          <t>D. 1 x 40HC</t>
        </is>
      </c>
      <c r="H329" s="15" t="inlineStr">
        <is>
          <t>CFS/CY</t>
        </is>
      </c>
      <c r="I329" s="15" t="inlineStr">
        <is>
          <t>ONE</t>
        </is>
      </c>
      <c r="J329" s="15" t="inlineStr">
        <is>
          <t>EC3</t>
        </is>
      </c>
      <c r="K329" s="15" t="inlineStr">
        <is>
          <t>MAS AMITY PTE LTD</t>
        </is>
      </c>
      <c r="L329" s="16" t="inlineStr">
        <is>
          <t>MAS Active (Pvt) Ltd - Linea Intimo</t>
        </is>
      </c>
      <c r="M329" s="15" t="inlineStr">
        <is>
          <t>N</t>
        </is>
      </c>
      <c r="N329" s="17" t="n">
        <v>454723020703</v>
      </c>
      <c r="O329" s="15" t="n">
        <v>91018408</v>
      </c>
      <c r="P329" s="18" t="inlineStr">
        <is>
          <t>LW1CHSS</t>
        </is>
      </c>
      <c r="Q329" s="18" t="n">
        <v>3</v>
      </c>
      <c r="R329" s="18" t="n">
        <v>0.159</v>
      </c>
      <c r="S329" s="15" t="n">
        <v>13.97</v>
      </c>
      <c r="T329" s="16" t="n">
        <v>45824</v>
      </c>
      <c r="U329" s="19" t="n">
        <v>45888</v>
      </c>
      <c r="V329" s="16" t="n">
        <v>45824</v>
      </c>
      <c r="W329" s="16" t="n">
        <v>45826</v>
      </c>
      <c r="X329" s="57">
        <f>W329-1</f>
        <v/>
      </c>
      <c r="Y329" s="63" t="n">
        <v>45832</v>
      </c>
      <c r="Z329" s="67" t="n">
        <v>45861</v>
      </c>
      <c r="AA329" s="71">
        <f>Z329+13</f>
        <v/>
      </c>
      <c r="AB329" s="20">
        <f>AA329-U329</f>
        <v/>
      </c>
      <c r="AC329" s="20" t="inlineStr">
        <is>
          <t>No</t>
        </is>
      </c>
      <c r="AD329" s="21" t="inlineStr">
        <is>
          <t>1 HBL</t>
        </is>
      </c>
      <c r="AE329" s="21" t="n"/>
      <c r="AF329" s="22" t="inlineStr">
        <is>
          <t>LW</t>
        </is>
      </c>
      <c r="AG329" s="23" t="inlineStr">
        <is>
          <t>NAC</t>
        </is>
      </c>
      <c r="AH329" s="24" t="n"/>
      <c r="AN329" s="24" t="n"/>
    </row>
    <row r="330" ht="12.75" customHeight="1">
      <c r="A330" s="15" t="n">
        <v>3254508</v>
      </c>
      <c r="B330" s="15" t="inlineStr">
        <is>
          <t>Flexport</t>
        </is>
      </c>
      <c r="C330" s="15" t="inlineStr">
        <is>
          <t>Colombo, LK</t>
        </is>
      </c>
      <c r="D330" s="15" t="inlineStr">
        <is>
          <t>New York, NY, US</t>
        </is>
      </c>
      <c r="E330" s="15" t="inlineStr">
        <is>
          <t>Mississauga, ON, CA</t>
        </is>
      </c>
      <c r="F330" s="15" t="inlineStr">
        <is>
          <t>OCEAN</t>
        </is>
      </c>
      <c r="G330" s="15" t="inlineStr">
        <is>
          <t>D. 1 x 40HC</t>
        </is>
      </c>
      <c r="H330" s="15" t="inlineStr">
        <is>
          <t>CFS/CY</t>
        </is>
      </c>
      <c r="I330" s="15" t="inlineStr">
        <is>
          <t>ONE</t>
        </is>
      </c>
      <c r="J330" s="15" t="inlineStr">
        <is>
          <t>EC3</t>
        </is>
      </c>
      <c r="K330" s="15" t="inlineStr">
        <is>
          <t>MAS AMITY PTE LTD</t>
        </is>
      </c>
      <c r="L330" s="16" t="inlineStr">
        <is>
          <t>MAS Active (Pvt) Ltd - Linea Intimo</t>
        </is>
      </c>
      <c r="M330" s="15" t="inlineStr">
        <is>
          <t>N</t>
        </is>
      </c>
      <c r="N330" s="17" t="n">
        <v>454723057272</v>
      </c>
      <c r="O330" s="15" t="n">
        <v>91018606</v>
      </c>
      <c r="P330" s="18" t="inlineStr">
        <is>
          <t>LW1CHSS</t>
        </is>
      </c>
      <c r="Q330" s="18" t="n">
        <v>6</v>
      </c>
      <c r="R330" s="18" t="n">
        <v>0.397</v>
      </c>
      <c r="S330" s="15" t="n">
        <v>47.97</v>
      </c>
      <c r="T330" s="16" t="n">
        <v>45824</v>
      </c>
      <c r="U330" s="19" t="n">
        <v>45888</v>
      </c>
      <c r="V330" s="16" t="n">
        <v>45824</v>
      </c>
      <c r="W330" s="16" t="n">
        <v>45826</v>
      </c>
      <c r="X330" s="57">
        <f>W330-1</f>
        <v/>
      </c>
      <c r="Y330" s="63" t="n">
        <v>45832</v>
      </c>
      <c r="Z330" s="67" t="n">
        <v>45861</v>
      </c>
      <c r="AA330" s="71">
        <f>Z330+13</f>
        <v/>
      </c>
      <c r="AB330" s="20">
        <f>AA330-U330</f>
        <v/>
      </c>
      <c r="AC330" s="20" t="inlineStr">
        <is>
          <t>No</t>
        </is>
      </c>
      <c r="AD330" s="21" t="inlineStr">
        <is>
          <t>1 HBL</t>
        </is>
      </c>
      <c r="AE330" s="21" t="n"/>
      <c r="AF330" s="22" t="inlineStr">
        <is>
          <t>LW</t>
        </is>
      </c>
      <c r="AG330" s="23" t="inlineStr">
        <is>
          <t>NAC</t>
        </is>
      </c>
      <c r="AH330" s="24" t="n"/>
      <c r="AN330" s="24" t="n"/>
    </row>
    <row r="331" ht="12.75" customHeight="1">
      <c r="A331" s="15" t="n">
        <v>3254508</v>
      </c>
      <c r="B331" s="15" t="inlineStr">
        <is>
          <t>Flexport</t>
        </is>
      </c>
      <c r="C331" s="15" t="inlineStr">
        <is>
          <t>Colombo, LK</t>
        </is>
      </c>
      <c r="D331" s="15" t="inlineStr">
        <is>
          <t>New York, NY, US</t>
        </is>
      </c>
      <c r="E331" s="15" t="inlineStr">
        <is>
          <t>Mississauga, ON, CA</t>
        </is>
      </c>
      <c r="F331" s="15" t="inlineStr">
        <is>
          <t>OCEAN</t>
        </is>
      </c>
      <c r="G331" s="15" t="inlineStr">
        <is>
          <t>D. 1 x 40HC</t>
        </is>
      </c>
      <c r="H331" s="15" t="inlineStr">
        <is>
          <t>CFS/CY</t>
        </is>
      </c>
      <c r="I331" s="15" t="inlineStr">
        <is>
          <t>ONE</t>
        </is>
      </c>
      <c r="J331" s="15" t="inlineStr">
        <is>
          <t>EC3</t>
        </is>
      </c>
      <c r="K331" s="15" t="inlineStr">
        <is>
          <t>MAS AMITY PTE LTD</t>
        </is>
      </c>
      <c r="L331" s="16" t="inlineStr">
        <is>
          <t>MAS Active (Pvt) Ltd - Linea Intimo</t>
        </is>
      </c>
      <c r="M331" s="15" t="inlineStr">
        <is>
          <t>N</t>
        </is>
      </c>
      <c r="N331" s="17" t="n">
        <v>454723175180</v>
      </c>
      <c r="O331" s="15" t="n">
        <v>91018501</v>
      </c>
      <c r="P331" s="18" t="inlineStr">
        <is>
          <t>LW1CHSS</t>
        </is>
      </c>
      <c r="Q331" s="18" t="n">
        <v>2</v>
      </c>
      <c r="R331" s="18" t="n">
        <v>0.119</v>
      </c>
      <c r="S331" s="15" t="n">
        <v>11.13</v>
      </c>
      <c r="T331" s="16" t="n">
        <v>45824</v>
      </c>
      <c r="U331" s="19" t="n">
        <v>45888</v>
      </c>
      <c r="V331" s="16" t="n">
        <v>45824</v>
      </c>
      <c r="W331" s="16" t="n">
        <v>45826</v>
      </c>
      <c r="X331" s="57">
        <f>W331-1</f>
        <v/>
      </c>
      <c r="Y331" s="63" t="n">
        <v>45832</v>
      </c>
      <c r="Z331" s="67" t="n">
        <v>45861</v>
      </c>
      <c r="AA331" s="71">
        <f>Z331+13</f>
        <v/>
      </c>
      <c r="AB331" s="20">
        <f>AA331-U331</f>
        <v/>
      </c>
      <c r="AC331" s="20" t="inlineStr">
        <is>
          <t>No</t>
        </is>
      </c>
      <c r="AD331" s="21" t="inlineStr">
        <is>
          <t>1 HBL</t>
        </is>
      </c>
      <c r="AE331" s="21" t="n"/>
      <c r="AF331" s="22" t="inlineStr">
        <is>
          <t>LW</t>
        </is>
      </c>
      <c r="AG331" s="23" t="inlineStr">
        <is>
          <t>NAC</t>
        </is>
      </c>
      <c r="AH331" s="24" t="n"/>
      <c r="AN331" s="24" t="n"/>
    </row>
    <row r="332" ht="12.75" customHeight="1">
      <c r="A332" s="15" t="n">
        <v>3254508</v>
      </c>
      <c r="B332" s="15" t="inlineStr">
        <is>
          <t>Flexport</t>
        </is>
      </c>
      <c r="C332" s="15" t="inlineStr">
        <is>
          <t>Colombo, LK</t>
        </is>
      </c>
      <c r="D332" s="15" t="inlineStr">
        <is>
          <t>New York, NY, US</t>
        </is>
      </c>
      <c r="E332" s="15" t="inlineStr">
        <is>
          <t>Mississauga, ON, CA</t>
        </is>
      </c>
      <c r="F332" s="15" t="inlineStr">
        <is>
          <t>OCEAN</t>
        </is>
      </c>
      <c r="G332" s="15" t="inlineStr">
        <is>
          <t>D. 1 x 40HC</t>
        </is>
      </c>
      <c r="H332" s="15" t="inlineStr">
        <is>
          <t>CFS/CY</t>
        </is>
      </c>
      <c r="I332" s="15" t="inlineStr">
        <is>
          <t>ONE</t>
        </is>
      </c>
      <c r="J332" s="15" t="inlineStr">
        <is>
          <t>EC3</t>
        </is>
      </c>
      <c r="K332" s="15" t="inlineStr">
        <is>
          <t>MAS AMITY PTE LTD</t>
        </is>
      </c>
      <c r="L332" s="16" t="inlineStr">
        <is>
          <t>MAS Active (Pvt) Ltd - Linea Intimo</t>
        </is>
      </c>
      <c r="M332" s="15" t="inlineStr">
        <is>
          <t>N</t>
        </is>
      </c>
      <c r="N332" s="17" t="n">
        <v>454723268762</v>
      </c>
      <c r="O332" s="15" t="n">
        <v>91018828</v>
      </c>
      <c r="P332" s="18" t="inlineStr">
        <is>
          <t>LW1ERWS</t>
        </is>
      </c>
      <c r="Q332" s="18" t="n">
        <v>15</v>
      </c>
      <c r="R332" s="18" t="n">
        <v>1.185</v>
      </c>
      <c r="S332" s="15" t="n">
        <v>128.211</v>
      </c>
      <c r="T332" s="16" t="n">
        <v>45824</v>
      </c>
      <c r="U332" s="19" t="n">
        <v>45888</v>
      </c>
      <c r="V332" s="16" t="n">
        <v>45824</v>
      </c>
      <c r="W332" s="16" t="n">
        <v>45826</v>
      </c>
      <c r="X332" s="57">
        <f>W332-1</f>
        <v/>
      </c>
      <c r="Y332" s="63" t="n">
        <v>45832</v>
      </c>
      <c r="Z332" s="67" t="n">
        <v>45861</v>
      </c>
      <c r="AA332" s="71">
        <f>Z332+13</f>
        <v/>
      </c>
      <c r="AB332" s="20">
        <f>AA332-U332</f>
        <v/>
      </c>
      <c r="AC332" s="20" t="inlineStr">
        <is>
          <t>No</t>
        </is>
      </c>
      <c r="AD332" s="21" t="inlineStr">
        <is>
          <t>1 HBL</t>
        </is>
      </c>
      <c r="AE332" s="21" t="n"/>
      <c r="AF332" s="22" t="inlineStr">
        <is>
          <t>LW</t>
        </is>
      </c>
      <c r="AG332" s="23" t="inlineStr">
        <is>
          <t>NAC</t>
        </is>
      </c>
      <c r="AH332" s="24" t="n"/>
      <c r="AN332" s="24" t="n"/>
    </row>
    <row r="333" ht="12.75" customHeight="1">
      <c r="A333" s="15" t="n">
        <v>3254508</v>
      </c>
      <c r="B333" s="15" t="inlineStr">
        <is>
          <t>Flexport</t>
        </is>
      </c>
      <c r="C333" s="15" t="inlineStr">
        <is>
          <t>Colombo, LK</t>
        </is>
      </c>
      <c r="D333" s="15" t="inlineStr">
        <is>
          <t>New York, NY, US</t>
        </is>
      </c>
      <c r="E333" s="15" t="inlineStr">
        <is>
          <t>Mississauga, ON, CA</t>
        </is>
      </c>
      <c r="F333" s="15" t="inlineStr">
        <is>
          <t>OCEAN</t>
        </is>
      </c>
      <c r="G333" s="15" t="inlineStr">
        <is>
          <t>D. 1 x 40HC</t>
        </is>
      </c>
      <c r="H333" s="15" t="inlineStr">
        <is>
          <t>CFS/CY</t>
        </is>
      </c>
      <c r="I333" s="15" t="inlineStr">
        <is>
          <t>ONE</t>
        </is>
      </c>
      <c r="J333" s="15" t="inlineStr">
        <is>
          <t>EC3</t>
        </is>
      </c>
      <c r="K333" s="15" t="inlineStr">
        <is>
          <t>MAS AMITY PTE LTD</t>
        </is>
      </c>
      <c r="L333" s="16" t="inlineStr">
        <is>
          <t>MAS Active (Pvt) Ltd - Linea Intimo</t>
        </is>
      </c>
      <c r="M333" s="15" t="inlineStr">
        <is>
          <t>N</t>
        </is>
      </c>
      <c r="N333" s="17" t="n">
        <v>454723365495</v>
      </c>
      <c r="O333" s="15" t="n">
        <v>91018901</v>
      </c>
      <c r="P333" s="18" t="inlineStr">
        <is>
          <t>LW1DMJS</t>
        </is>
      </c>
      <c r="Q333" s="18" t="n">
        <v>6</v>
      </c>
      <c r="R333" s="18" t="n">
        <v>0.436</v>
      </c>
      <c r="S333" s="15" t="n">
        <v>40.33</v>
      </c>
      <c r="T333" s="16" t="n">
        <v>45824</v>
      </c>
      <c r="U333" s="19" t="n">
        <v>45888</v>
      </c>
      <c r="V333" s="16" t="n">
        <v>45824</v>
      </c>
      <c r="W333" s="16" t="n">
        <v>45826</v>
      </c>
      <c r="X333" s="57">
        <f>W333-1</f>
        <v/>
      </c>
      <c r="Y333" s="63" t="n">
        <v>45832</v>
      </c>
      <c r="Z333" s="67" t="n">
        <v>45861</v>
      </c>
      <c r="AA333" s="71">
        <f>Z333+13</f>
        <v/>
      </c>
      <c r="AB333" s="20">
        <f>AA333-U333</f>
        <v/>
      </c>
      <c r="AC333" s="20" t="inlineStr">
        <is>
          <t>No</t>
        </is>
      </c>
      <c r="AD333" s="21" t="inlineStr">
        <is>
          <t>1 HBL</t>
        </is>
      </c>
      <c r="AE333" s="21" t="n"/>
      <c r="AF333" s="22" t="inlineStr">
        <is>
          <t>LW</t>
        </is>
      </c>
      <c r="AG333" s="23" t="inlineStr">
        <is>
          <t>NAC</t>
        </is>
      </c>
      <c r="AH333" s="24" t="n"/>
      <c r="AN333" s="24" t="n"/>
    </row>
    <row r="334" ht="12.75" customHeight="1">
      <c r="A334" s="15" t="n">
        <v>3254508</v>
      </c>
      <c r="B334" s="15" t="inlineStr">
        <is>
          <t>Flexport</t>
        </is>
      </c>
      <c r="C334" s="15" t="inlineStr">
        <is>
          <t>Colombo, LK</t>
        </is>
      </c>
      <c r="D334" s="15" t="inlineStr">
        <is>
          <t>New York, NY, US</t>
        </is>
      </c>
      <c r="E334" s="15" t="inlineStr">
        <is>
          <t>Mississauga, ON, CA</t>
        </is>
      </c>
      <c r="F334" s="15" t="inlineStr">
        <is>
          <t>OCEAN</t>
        </is>
      </c>
      <c r="G334" s="15" t="inlineStr">
        <is>
          <t>D. 1 x 40HC</t>
        </is>
      </c>
      <c r="H334" s="15" t="inlineStr">
        <is>
          <t>CFS/CY</t>
        </is>
      </c>
      <c r="I334" s="15" t="inlineStr">
        <is>
          <t>ONE</t>
        </is>
      </c>
      <c r="J334" s="15" t="inlineStr">
        <is>
          <t>EC3</t>
        </is>
      </c>
      <c r="K334" s="15" t="inlineStr">
        <is>
          <t>MAS AMITY PTE LTD</t>
        </is>
      </c>
      <c r="L334" s="16" t="inlineStr">
        <is>
          <t>MAS Active (Pvt) Ltd - Linea Intimo</t>
        </is>
      </c>
      <c r="M334" s="15" t="inlineStr">
        <is>
          <t>N</t>
        </is>
      </c>
      <c r="N334" s="17" t="n">
        <v>454723855655</v>
      </c>
      <c r="O334" s="15" t="n">
        <v>91018918</v>
      </c>
      <c r="P334" s="18" t="inlineStr">
        <is>
          <t>LW1EKKS</t>
        </is>
      </c>
      <c r="Q334" s="18" t="n">
        <v>5</v>
      </c>
      <c r="R334" s="18" t="n">
        <v>0.237</v>
      </c>
      <c r="S334" s="15" t="n">
        <v>20.365</v>
      </c>
      <c r="T334" s="16" t="n">
        <v>45824</v>
      </c>
      <c r="U334" s="19" t="n">
        <v>45888</v>
      </c>
      <c r="V334" s="16" t="n">
        <v>45824</v>
      </c>
      <c r="W334" s="16" t="n">
        <v>45826</v>
      </c>
      <c r="X334" s="57">
        <f>W334-1</f>
        <v/>
      </c>
      <c r="Y334" s="63" t="n">
        <v>45832</v>
      </c>
      <c r="Z334" s="67" t="n">
        <v>45861</v>
      </c>
      <c r="AA334" s="71">
        <f>Z334+13</f>
        <v/>
      </c>
      <c r="AB334" s="20">
        <f>AA334-U334</f>
        <v/>
      </c>
      <c r="AC334" s="20" t="inlineStr">
        <is>
          <t>No</t>
        </is>
      </c>
      <c r="AD334" s="21" t="inlineStr">
        <is>
          <t>1 HBL</t>
        </is>
      </c>
      <c r="AE334" s="21" t="n"/>
      <c r="AF334" s="22" t="inlineStr">
        <is>
          <t>LW</t>
        </is>
      </c>
      <c r="AG334" s="23" t="inlineStr">
        <is>
          <t>NAC</t>
        </is>
      </c>
      <c r="AH334" s="24" t="n"/>
      <c r="AN334" s="24" t="n"/>
    </row>
    <row r="335" ht="12.75" customHeight="1">
      <c r="A335" s="15" t="n">
        <v>3254508</v>
      </c>
      <c r="B335" s="15" t="inlineStr">
        <is>
          <t>Flexport</t>
        </is>
      </c>
      <c r="C335" s="15" t="inlineStr">
        <is>
          <t>Colombo, LK</t>
        </is>
      </c>
      <c r="D335" s="15" t="inlineStr">
        <is>
          <t>New York, NY, US</t>
        </is>
      </c>
      <c r="E335" s="15" t="inlineStr">
        <is>
          <t>Mississauga, ON, CA</t>
        </is>
      </c>
      <c r="F335" s="15" t="inlineStr">
        <is>
          <t>OCEAN</t>
        </is>
      </c>
      <c r="G335" s="15" t="inlineStr">
        <is>
          <t>D. 1 x 40HC</t>
        </is>
      </c>
      <c r="H335" s="15" t="inlineStr">
        <is>
          <t>CFS/CY</t>
        </is>
      </c>
      <c r="I335" s="15" t="inlineStr">
        <is>
          <t>ONE</t>
        </is>
      </c>
      <c r="J335" s="15" t="inlineStr">
        <is>
          <t>EC3</t>
        </is>
      </c>
      <c r="K335" s="15" t="inlineStr">
        <is>
          <t>MAS AMITY PTE LTD</t>
        </is>
      </c>
      <c r="L335" s="16" t="inlineStr">
        <is>
          <t>MAS Active (Pvt) Ltd - Linea Intimo</t>
        </is>
      </c>
      <c r="M335" s="15" t="inlineStr">
        <is>
          <t>N</t>
        </is>
      </c>
      <c r="N335" s="17" t="n">
        <v>454724077022</v>
      </c>
      <c r="O335" s="15" t="n">
        <v>91018960</v>
      </c>
      <c r="P335" s="18" t="inlineStr">
        <is>
          <t>LW1EKKS</t>
        </is>
      </c>
      <c r="Q335" s="18" t="n">
        <v>6</v>
      </c>
      <c r="R335" s="18" t="n">
        <v>0.395</v>
      </c>
      <c r="S335" s="15" t="n">
        <v>44.572</v>
      </c>
      <c r="T335" s="16" t="n">
        <v>45824</v>
      </c>
      <c r="U335" s="19" t="n">
        <v>45888</v>
      </c>
      <c r="V335" s="16" t="n">
        <v>45824</v>
      </c>
      <c r="W335" s="16" t="n">
        <v>45826</v>
      </c>
      <c r="X335" s="57">
        <f>W335-1</f>
        <v/>
      </c>
      <c r="Y335" s="63" t="n">
        <v>45832</v>
      </c>
      <c r="Z335" s="67" t="n">
        <v>45861</v>
      </c>
      <c r="AA335" s="71">
        <f>Z335+13</f>
        <v/>
      </c>
      <c r="AB335" s="20">
        <f>AA335-U335</f>
        <v/>
      </c>
      <c r="AC335" s="20" t="inlineStr">
        <is>
          <t>No</t>
        </is>
      </c>
      <c r="AD335" s="21" t="inlineStr">
        <is>
          <t>1 HBL</t>
        </is>
      </c>
      <c r="AE335" s="21" t="n"/>
      <c r="AF335" s="22" t="inlineStr">
        <is>
          <t>LW</t>
        </is>
      </c>
      <c r="AG335" s="23" t="inlineStr">
        <is>
          <t>NAC</t>
        </is>
      </c>
      <c r="AH335" s="24" t="n"/>
      <c r="AN335" s="24" t="n"/>
    </row>
    <row r="336" ht="12.75" customHeight="1">
      <c r="A336" s="15" t="n">
        <v>3254508</v>
      </c>
      <c r="B336" s="15" t="inlineStr">
        <is>
          <t>Flexport</t>
        </is>
      </c>
      <c r="C336" s="15" t="inlineStr">
        <is>
          <t>Colombo, LK</t>
        </is>
      </c>
      <c r="D336" s="15" t="inlineStr">
        <is>
          <t>New York, NY, US</t>
        </is>
      </c>
      <c r="E336" s="15" t="inlineStr">
        <is>
          <t>Mississauga, ON, CA</t>
        </is>
      </c>
      <c r="F336" s="15" t="inlineStr">
        <is>
          <t>OCEAN</t>
        </is>
      </c>
      <c r="G336" s="15" t="inlineStr">
        <is>
          <t>D. 1 x 40HC</t>
        </is>
      </c>
      <c r="H336" s="15" t="inlineStr">
        <is>
          <t>CFS/CY</t>
        </is>
      </c>
      <c r="I336" s="15" t="inlineStr">
        <is>
          <t>ONE</t>
        </is>
      </c>
      <c r="J336" s="15" t="inlineStr">
        <is>
          <t>EC3</t>
        </is>
      </c>
      <c r="K336" s="15" t="inlineStr">
        <is>
          <t>MAS AMITY PTE LTD</t>
        </is>
      </c>
      <c r="L336" s="16" t="inlineStr">
        <is>
          <t>MAS Active (Pvt) Ltd - Linea Intimo</t>
        </is>
      </c>
      <c r="M336" s="15" t="inlineStr">
        <is>
          <t>N</t>
        </is>
      </c>
      <c r="N336" s="17" t="n">
        <v>454724077099</v>
      </c>
      <c r="O336" s="15" t="n">
        <v>91018961</v>
      </c>
      <c r="P336" s="18" t="inlineStr">
        <is>
          <t>LW1DMJS</t>
        </is>
      </c>
      <c r="Q336" s="18" t="n">
        <v>29</v>
      </c>
      <c r="R336" s="18" t="n">
        <v>2.251</v>
      </c>
      <c r="S336" s="15" t="n">
        <v>243.611</v>
      </c>
      <c r="T336" s="16" t="n">
        <v>45824</v>
      </c>
      <c r="U336" s="19" t="n">
        <v>45888</v>
      </c>
      <c r="V336" s="16" t="n">
        <v>45824</v>
      </c>
      <c r="W336" s="16" t="n">
        <v>45826</v>
      </c>
      <c r="X336" s="57">
        <f>W336-1</f>
        <v/>
      </c>
      <c r="Y336" s="63" t="n">
        <v>45832</v>
      </c>
      <c r="Z336" s="67" t="n">
        <v>45861</v>
      </c>
      <c r="AA336" s="71">
        <f>Z336+13</f>
        <v/>
      </c>
      <c r="AB336" s="20">
        <f>AA336-U336</f>
        <v/>
      </c>
      <c r="AC336" s="20" t="inlineStr">
        <is>
          <t>No</t>
        </is>
      </c>
      <c r="AD336" s="21" t="inlineStr">
        <is>
          <t>1 HBL</t>
        </is>
      </c>
      <c r="AE336" s="21" t="n"/>
      <c r="AF336" s="22" t="inlineStr">
        <is>
          <t>LW</t>
        </is>
      </c>
      <c r="AG336" s="23" t="inlineStr">
        <is>
          <t>NAC</t>
        </is>
      </c>
      <c r="AH336" s="24" t="n"/>
      <c r="AN336" s="24" t="n"/>
    </row>
    <row r="337" ht="12.75" customHeight="1">
      <c r="A337" s="15" t="n">
        <v>3254508</v>
      </c>
      <c r="B337" s="15" t="inlineStr">
        <is>
          <t>Flexport</t>
        </is>
      </c>
      <c r="C337" s="15" t="inlineStr">
        <is>
          <t>Colombo, LK</t>
        </is>
      </c>
      <c r="D337" s="15" t="inlineStr">
        <is>
          <t>New York, NY, US</t>
        </is>
      </c>
      <c r="E337" s="15" t="inlineStr">
        <is>
          <t>Mississauga, ON, CA</t>
        </is>
      </c>
      <c r="F337" s="15" t="inlineStr">
        <is>
          <t>OCEAN</t>
        </is>
      </c>
      <c r="G337" s="15" t="inlineStr">
        <is>
          <t>D. 1 x 40HC</t>
        </is>
      </c>
      <c r="H337" s="15" t="inlineStr">
        <is>
          <t>CFS/CY</t>
        </is>
      </c>
      <c r="I337" s="15" t="inlineStr">
        <is>
          <t>ONE</t>
        </is>
      </c>
      <c r="J337" s="15" t="inlineStr">
        <is>
          <t>EC3</t>
        </is>
      </c>
      <c r="K337" s="15" t="inlineStr">
        <is>
          <t>MAS AMITY PTE LTD</t>
        </is>
      </c>
      <c r="L337" s="16" t="inlineStr">
        <is>
          <t>MAS Active (Pvt) Ltd - Linea Intimo</t>
        </is>
      </c>
      <c r="M337" s="15" t="inlineStr">
        <is>
          <t>N</t>
        </is>
      </c>
      <c r="N337" s="17" t="n">
        <v>454724615265</v>
      </c>
      <c r="O337" s="15" t="n">
        <v>91019037</v>
      </c>
      <c r="P337" s="18" t="inlineStr">
        <is>
          <t>LW1ERWS</t>
        </is>
      </c>
      <c r="Q337" s="18" t="n">
        <v>5</v>
      </c>
      <c r="R337" s="18" t="n">
        <v>0.316</v>
      </c>
      <c r="S337" s="15" t="n">
        <v>24.443</v>
      </c>
      <c r="T337" s="16" t="n">
        <v>45824</v>
      </c>
      <c r="U337" s="19" t="n">
        <v>45888</v>
      </c>
      <c r="V337" s="16" t="n">
        <v>45824</v>
      </c>
      <c r="W337" s="16" t="n">
        <v>45826</v>
      </c>
      <c r="X337" s="57">
        <f>W337-1</f>
        <v/>
      </c>
      <c r="Y337" s="63" t="n">
        <v>45832</v>
      </c>
      <c r="Z337" s="67" t="n">
        <v>45861</v>
      </c>
      <c r="AA337" s="71">
        <f>Z337+13</f>
        <v/>
      </c>
      <c r="AB337" s="20">
        <f>AA337-U337</f>
        <v/>
      </c>
      <c r="AC337" s="20" t="inlineStr">
        <is>
          <t>No</t>
        </is>
      </c>
      <c r="AD337" s="21" t="inlineStr">
        <is>
          <t>1 HBL</t>
        </is>
      </c>
      <c r="AE337" s="21" t="n"/>
      <c r="AF337" s="22" t="inlineStr">
        <is>
          <t>LW</t>
        </is>
      </c>
      <c r="AG337" s="23" t="inlineStr">
        <is>
          <t>NAC</t>
        </is>
      </c>
      <c r="AH337" s="24" t="n"/>
      <c r="AN337" s="24" t="n"/>
    </row>
    <row r="338" ht="12.75" customHeight="1">
      <c r="A338" s="15" t="n">
        <v>3254508</v>
      </c>
      <c r="B338" s="15" t="inlineStr">
        <is>
          <t>Flexport</t>
        </is>
      </c>
      <c r="C338" s="15" t="inlineStr">
        <is>
          <t>Colombo, LK</t>
        </is>
      </c>
      <c r="D338" s="15" t="inlineStr">
        <is>
          <t>New York, NY, US</t>
        </is>
      </c>
      <c r="E338" s="15" t="inlineStr">
        <is>
          <t>Mississauga, ON, CA</t>
        </is>
      </c>
      <c r="F338" s="15" t="inlineStr">
        <is>
          <t>OCEAN</t>
        </is>
      </c>
      <c r="G338" s="15" t="inlineStr">
        <is>
          <t>D. 1 x 40HC</t>
        </is>
      </c>
      <c r="H338" s="15" t="inlineStr">
        <is>
          <t>CFS/CY</t>
        </is>
      </c>
      <c r="I338" s="15" t="inlineStr">
        <is>
          <t>ONE</t>
        </is>
      </c>
      <c r="J338" s="15" t="inlineStr">
        <is>
          <t>EC3</t>
        </is>
      </c>
      <c r="K338" s="15" t="inlineStr">
        <is>
          <t>MAS AMITY PTE LTD</t>
        </is>
      </c>
      <c r="L338" s="16" t="inlineStr">
        <is>
          <t>MAS Active (Pvt) Ltd - Linea Intimo</t>
        </is>
      </c>
      <c r="M338" s="15" t="inlineStr">
        <is>
          <t>N</t>
        </is>
      </c>
      <c r="N338" s="17" t="n">
        <v>454724642367</v>
      </c>
      <c r="O338" s="15" t="n">
        <v>91018987</v>
      </c>
      <c r="P338" s="18" t="inlineStr">
        <is>
          <t>LW1ERWS</t>
        </is>
      </c>
      <c r="Q338" s="18" t="n">
        <v>5</v>
      </c>
      <c r="R338" s="18" t="n">
        <v>0.395</v>
      </c>
      <c r="S338" s="15" t="n">
        <v>35.723</v>
      </c>
      <c r="T338" s="16" t="n">
        <v>45824</v>
      </c>
      <c r="U338" s="19" t="n">
        <v>45888</v>
      </c>
      <c r="V338" s="16" t="n">
        <v>45824</v>
      </c>
      <c r="W338" s="16" t="n">
        <v>45826</v>
      </c>
      <c r="X338" s="57">
        <f>W338-1</f>
        <v/>
      </c>
      <c r="Y338" s="63" t="n">
        <v>45832</v>
      </c>
      <c r="Z338" s="67" t="n">
        <v>45861</v>
      </c>
      <c r="AA338" s="71">
        <f>Z338+13</f>
        <v/>
      </c>
      <c r="AB338" s="20">
        <f>AA338-U338</f>
        <v/>
      </c>
      <c r="AC338" s="20" t="inlineStr">
        <is>
          <t>No</t>
        </is>
      </c>
      <c r="AD338" s="21" t="inlineStr">
        <is>
          <t>1 HBL</t>
        </is>
      </c>
      <c r="AE338" s="21" t="n"/>
      <c r="AF338" s="22" t="inlineStr">
        <is>
          <t>LW</t>
        </is>
      </c>
      <c r="AG338" s="23" t="inlineStr">
        <is>
          <t>NAC</t>
        </is>
      </c>
      <c r="AH338" s="24" t="n"/>
      <c r="AN338" s="24" t="n"/>
    </row>
    <row r="339" ht="12.75" customHeight="1">
      <c r="A339" s="15" t="n">
        <v>3254508</v>
      </c>
      <c r="B339" s="15" t="inlineStr">
        <is>
          <t>Flexport</t>
        </is>
      </c>
      <c r="C339" s="15" t="inlineStr">
        <is>
          <t>Colombo, LK</t>
        </is>
      </c>
      <c r="D339" s="15" t="inlineStr">
        <is>
          <t>New York, NY, US</t>
        </is>
      </c>
      <c r="E339" s="15" t="inlineStr">
        <is>
          <t>Mississauga, ON, CA</t>
        </is>
      </c>
      <c r="F339" s="15" t="inlineStr">
        <is>
          <t>OCEAN</t>
        </is>
      </c>
      <c r="G339" s="15" t="inlineStr">
        <is>
          <t>D. 1 x 40HC</t>
        </is>
      </c>
      <c r="H339" s="15" t="inlineStr">
        <is>
          <t>CFS/CY</t>
        </is>
      </c>
      <c r="I339" s="15" t="inlineStr">
        <is>
          <t>ONE</t>
        </is>
      </c>
      <c r="J339" s="15" t="inlineStr">
        <is>
          <t>EC3</t>
        </is>
      </c>
      <c r="K339" s="15" t="inlineStr">
        <is>
          <t>MAS AMITY PTE LTD</t>
        </is>
      </c>
      <c r="L339" s="16" t="inlineStr">
        <is>
          <t>MAS Active (Pvt) Ltd - Linea Intimo</t>
        </is>
      </c>
      <c r="M339" s="15" t="inlineStr">
        <is>
          <t>N</t>
        </is>
      </c>
      <c r="N339" s="17" t="n">
        <v>454724758343</v>
      </c>
      <c r="O339" s="15" t="n">
        <v>91019091</v>
      </c>
      <c r="P339" s="18" t="inlineStr">
        <is>
          <t>LW1FAPS</t>
        </is>
      </c>
      <c r="Q339" s="18" t="n">
        <v>5</v>
      </c>
      <c r="R339" s="18" t="n">
        <v>0.276</v>
      </c>
      <c r="S339" s="15" t="n">
        <v>20.167</v>
      </c>
      <c r="T339" s="16" t="n">
        <v>45824</v>
      </c>
      <c r="U339" s="19" t="n">
        <v>45888</v>
      </c>
      <c r="V339" s="16" t="n">
        <v>45824</v>
      </c>
      <c r="W339" s="16" t="n">
        <v>45826</v>
      </c>
      <c r="X339" s="57">
        <f>W339-1</f>
        <v/>
      </c>
      <c r="Y339" s="63" t="n">
        <v>45832</v>
      </c>
      <c r="Z339" s="67" t="n">
        <v>45861</v>
      </c>
      <c r="AA339" s="71">
        <f>Z339+13</f>
        <v/>
      </c>
      <c r="AB339" s="20">
        <f>AA339-U339</f>
        <v/>
      </c>
      <c r="AC339" s="20" t="inlineStr">
        <is>
          <t>No</t>
        </is>
      </c>
      <c r="AD339" s="21" t="inlineStr">
        <is>
          <t>1 HBL</t>
        </is>
      </c>
      <c r="AE339" s="21" t="n"/>
      <c r="AF339" s="22" t="inlineStr">
        <is>
          <t>LW</t>
        </is>
      </c>
      <c r="AG339" s="23" t="inlineStr">
        <is>
          <t>NAC</t>
        </is>
      </c>
      <c r="AH339" s="24" t="n"/>
      <c r="AN339" s="24" t="n"/>
    </row>
    <row r="340" ht="12.75" customHeight="1">
      <c r="A340" s="15" t="n">
        <v>3254508</v>
      </c>
      <c r="B340" s="15" t="inlineStr">
        <is>
          <t>Flexport</t>
        </is>
      </c>
      <c r="C340" s="15" t="inlineStr">
        <is>
          <t>Colombo, LK</t>
        </is>
      </c>
      <c r="D340" s="15" t="inlineStr">
        <is>
          <t>New York, NY, US</t>
        </is>
      </c>
      <c r="E340" s="15" t="inlineStr">
        <is>
          <t>Mississauga, ON, CA</t>
        </is>
      </c>
      <c r="F340" s="15" t="inlineStr">
        <is>
          <t>OCEAN</t>
        </is>
      </c>
      <c r="G340" s="15" t="inlineStr">
        <is>
          <t>D. 1 x 40HC</t>
        </is>
      </c>
      <c r="H340" s="15" t="inlineStr">
        <is>
          <t>CFS/CY</t>
        </is>
      </c>
      <c r="I340" s="15" t="inlineStr">
        <is>
          <t>ONE</t>
        </is>
      </c>
      <c r="J340" s="15" t="inlineStr">
        <is>
          <t>EC3</t>
        </is>
      </c>
      <c r="K340" s="15" t="inlineStr">
        <is>
          <t>MAS AMITY PTE LTD</t>
        </is>
      </c>
      <c r="L340" s="16" t="inlineStr">
        <is>
          <t>MAS Active (Pvt) Ltd - Linea Intimo</t>
        </is>
      </c>
      <c r="M340" s="15" t="inlineStr">
        <is>
          <t>N</t>
        </is>
      </c>
      <c r="N340" s="17" t="n">
        <v>454724803920</v>
      </c>
      <c r="O340" s="15" t="n">
        <v>91019028</v>
      </c>
      <c r="P340" s="18" t="inlineStr">
        <is>
          <t>LW1DMJS</t>
        </is>
      </c>
      <c r="Q340" s="18" t="n">
        <v>9</v>
      </c>
      <c r="R340" s="18" t="n">
        <v>0.671</v>
      </c>
      <c r="S340" s="15" t="n">
        <v>64.886</v>
      </c>
      <c r="T340" s="16" t="n">
        <v>45824</v>
      </c>
      <c r="U340" s="19" t="n">
        <v>45888</v>
      </c>
      <c r="V340" s="16" t="n">
        <v>45824</v>
      </c>
      <c r="W340" s="16" t="n">
        <v>45826</v>
      </c>
      <c r="X340" s="57">
        <f>W340-1</f>
        <v/>
      </c>
      <c r="Y340" s="63" t="n">
        <v>45832</v>
      </c>
      <c r="Z340" s="67" t="n">
        <v>45861</v>
      </c>
      <c r="AA340" s="71">
        <f>Z340+13</f>
        <v/>
      </c>
      <c r="AB340" s="20">
        <f>AA340-U340</f>
        <v/>
      </c>
      <c r="AC340" s="20" t="inlineStr">
        <is>
          <t>No</t>
        </is>
      </c>
      <c r="AD340" s="21" t="inlineStr">
        <is>
          <t>1 HBL</t>
        </is>
      </c>
      <c r="AE340" s="21" t="n"/>
      <c r="AF340" s="22" t="inlineStr">
        <is>
          <t>LW</t>
        </is>
      </c>
      <c r="AG340" s="23" t="inlineStr">
        <is>
          <t>NAC</t>
        </is>
      </c>
      <c r="AH340" s="24" t="n"/>
      <c r="AN340" s="24" t="n"/>
    </row>
    <row r="341" ht="12.75" customHeight="1">
      <c r="A341" s="15" t="n">
        <v>3254508</v>
      </c>
      <c r="B341" s="15" t="inlineStr">
        <is>
          <t>Flexport</t>
        </is>
      </c>
      <c r="C341" s="15" t="inlineStr">
        <is>
          <t>Colombo, LK</t>
        </is>
      </c>
      <c r="D341" s="15" t="inlineStr">
        <is>
          <t>New York, NY, US</t>
        </is>
      </c>
      <c r="E341" s="15" t="inlineStr">
        <is>
          <t>Mississauga, ON, CA</t>
        </is>
      </c>
      <c r="F341" s="15" t="inlineStr">
        <is>
          <t>OCEAN</t>
        </is>
      </c>
      <c r="G341" s="15" t="inlineStr">
        <is>
          <t>D. 1 x 40HC</t>
        </is>
      </c>
      <c r="H341" s="15" t="inlineStr">
        <is>
          <t>CFS/CY</t>
        </is>
      </c>
      <c r="I341" s="15" t="inlineStr">
        <is>
          <t>ONE</t>
        </is>
      </c>
      <c r="J341" s="15" t="inlineStr">
        <is>
          <t>EC3</t>
        </is>
      </c>
      <c r="K341" s="15" t="inlineStr">
        <is>
          <t>MAS AMITY PTE LTD</t>
        </is>
      </c>
      <c r="L341" s="16" t="inlineStr">
        <is>
          <t>MAS Active (Pvt) Ltd - Linea Intimo</t>
        </is>
      </c>
      <c r="M341" s="15" t="inlineStr">
        <is>
          <t>N</t>
        </is>
      </c>
      <c r="N341" s="17" t="n">
        <v>454725048506</v>
      </c>
      <c r="O341" s="15" t="n">
        <v>91019041</v>
      </c>
      <c r="P341" s="18" t="inlineStr">
        <is>
          <t>LW1DMJS</t>
        </is>
      </c>
      <c r="Q341" s="18" t="n">
        <v>18</v>
      </c>
      <c r="R341" s="18" t="n">
        <v>1.428</v>
      </c>
      <c r="S341" s="15" t="n">
        <v>149.72</v>
      </c>
      <c r="T341" s="16" t="n">
        <v>45824</v>
      </c>
      <c r="U341" s="19" t="n">
        <v>45888</v>
      </c>
      <c r="V341" s="16" t="n">
        <v>45824</v>
      </c>
      <c r="W341" s="16" t="n">
        <v>45826</v>
      </c>
      <c r="X341" s="57">
        <f>W341-1</f>
        <v/>
      </c>
      <c r="Y341" s="63" t="n">
        <v>45832</v>
      </c>
      <c r="Z341" s="67" t="n">
        <v>45861</v>
      </c>
      <c r="AA341" s="71">
        <f>Z341+13</f>
        <v/>
      </c>
      <c r="AB341" s="20">
        <f>AA341-U341</f>
        <v/>
      </c>
      <c r="AC341" s="20" t="inlineStr">
        <is>
          <t>No</t>
        </is>
      </c>
      <c r="AD341" s="21" t="inlineStr">
        <is>
          <t>1 HBL</t>
        </is>
      </c>
      <c r="AE341" s="21" t="n"/>
      <c r="AF341" s="22" t="inlineStr">
        <is>
          <t>LW</t>
        </is>
      </c>
      <c r="AG341" s="23" t="inlineStr">
        <is>
          <t>NAC</t>
        </is>
      </c>
      <c r="AH341" s="24" t="n"/>
      <c r="AN341" s="24" t="n"/>
    </row>
    <row r="342" ht="12.75" customHeight="1">
      <c r="A342" s="15" t="n">
        <v>3254508</v>
      </c>
      <c r="B342" s="15" t="inlineStr">
        <is>
          <t>Flexport</t>
        </is>
      </c>
      <c r="C342" s="15" t="inlineStr">
        <is>
          <t>Colombo, LK</t>
        </is>
      </c>
      <c r="D342" s="15" t="inlineStr">
        <is>
          <t>New York, NY, US</t>
        </is>
      </c>
      <c r="E342" s="15" t="inlineStr">
        <is>
          <t>Mississauga, ON, CA</t>
        </is>
      </c>
      <c r="F342" s="15" t="inlineStr">
        <is>
          <t>OCEAN</t>
        </is>
      </c>
      <c r="G342" s="15" t="inlineStr">
        <is>
          <t>D. 1 x 40HC</t>
        </is>
      </c>
      <c r="H342" s="15" t="inlineStr">
        <is>
          <t>CFS/CY</t>
        </is>
      </c>
      <c r="I342" s="15" t="inlineStr">
        <is>
          <t>ONE</t>
        </is>
      </c>
      <c r="J342" s="15" t="inlineStr">
        <is>
          <t>EC3</t>
        </is>
      </c>
      <c r="K342" s="15" t="inlineStr">
        <is>
          <t>MAS AMITY PTE LTD</t>
        </is>
      </c>
      <c r="L342" s="16" t="inlineStr">
        <is>
          <t>MAS Active (Pvt) Ltd - Linea Intimo</t>
        </is>
      </c>
      <c r="M342" s="15" t="inlineStr">
        <is>
          <t>N</t>
        </is>
      </c>
      <c r="N342" s="17" t="n">
        <v>454725071476</v>
      </c>
      <c r="O342" s="15" t="n">
        <v>91019056</v>
      </c>
      <c r="P342" s="18" t="inlineStr">
        <is>
          <t>LW1ERWS</t>
        </is>
      </c>
      <c r="Q342" s="18" t="n">
        <v>14</v>
      </c>
      <c r="R342" s="18" t="n">
        <v>1.106</v>
      </c>
      <c r="S342" s="15" t="n">
        <v>113.415</v>
      </c>
      <c r="T342" s="16" t="n">
        <v>45824</v>
      </c>
      <c r="U342" s="19" t="n">
        <v>45888</v>
      </c>
      <c r="V342" s="16" t="n">
        <v>45824</v>
      </c>
      <c r="W342" s="16" t="n">
        <v>45826</v>
      </c>
      <c r="X342" s="57">
        <f>W342-1</f>
        <v/>
      </c>
      <c r="Y342" s="63" t="n">
        <v>45832</v>
      </c>
      <c r="Z342" s="67" t="n">
        <v>45861</v>
      </c>
      <c r="AA342" s="71">
        <f>Z342+13</f>
        <v/>
      </c>
      <c r="AB342" s="20">
        <f>AA342-U342</f>
        <v/>
      </c>
      <c r="AC342" s="20" t="inlineStr">
        <is>
          <t>No</t>
        </is>
      </c>
      <c r="AD342" s="21" t="inlineStr">
        <is>
          <t>1 HBL</t>
        </is>
      </c>
      <c r="AE342" s="21" t="n"/>
      <c r="AF342" s="22" t="inlineStr">
        <is>
          <t>LW</t>
        </is>
      </c>
      <c r="AG342" s="23" t="inlineStr">
        <is>
          <t>NAC</t>
        </is>
      </c>
      <c r="AH342" s="24" t="n"/>
      <c r="AN342" s="24" t="n"/>
    </row>
    <row r="343" ht="12.75" customHeight="1">
      <c r="A343" s="15" t="n">
        <v>3254508</v>
      </c>
      <c r="B343" s="15" t="inlineStr">
        <is>
          <t>Flexport</t>
        </is>
      </c>
      <c r="C343" s="15" t="inlineStr">
        <is>
          <t>Colombo, LK</t>
        </is>
      </c>
      <c r="D343" s="15" t="inlineStr">
        <is>
          <t>New York, NY, US</t>
        </is>
      </c>
      <c r="E343" s="15" t="inlineStr">
        <is>
          <t>Mississauga, ON, CA</t>
        </is>
      </c>
      <c r="F343" s="15" t="inlineStr">
        <is>
          <t>OCEAN</t>
        </is>
      </c>
      <c r="G343" s="15" t="inlineStr">
        <is>
          <t>D. 1 x 40HC</t>
        </is>
      </c>
      <c r="H343" s="15" t="inlineStr">
        <is>
          <t>CFS/CY</t>
        </is>
      </c>
      <c r="I343" s="15" t="inlineStr">
        <is>
          <t>ONE</t>
        </is>
      </c>
      <c r="J343" s="15" t="inlineStr">
        <is>
          <t>EC3</t>
        </is>
      </c>
      <c r="K343" s="15" t="inlineStr">
        <is>
          <t>MAS AMITY PTE LTD</t>
        </is>
      </c>
      <c r="L343" s="16" t="inlineStr">
        <is>
          <t>MAS Active (Pvt) Ltd - Linea Intimo</t>
        </is>
      </c>
      <c r="M343" s="15" t="inlineStr">
        <is>
          <t>N</t>
        </is>
      </c>
      <c r="N343" s="17" t="n">
        <v>454725479476</v>
      </c>
      <c r="O343" s="15" t="n">
        <v>91019208</v>
      </c>
      <c r="P343" s="18" t="inlineStr">
        <is>
          <t>LW1FAPS</t>
        </is>
      </c>
      <c r="Q343" s="18" t="n">
        <v>2</v>
      </c>
      <c r="R343" s="18" t="n">
        <v>0.079</v>
      </c>
      <c r="S343" s="15" t="n">
        <v>4.514</v>
      </c>
      <c r="T343" s="16" t="n">
        <v>45824</v>
      </c>
      <c r="U343" s="19" t="n">
        <v>45888</v>
      </c>
      <c r="V343" s="16" t="n">
        <v>45824</v>
      </c>
      <c r="W343" s="16" t="n">
        <v>45826</v>
      </c>
      <c r="X343" s="57">
        <f>W343-1</f>
        <v/>
      </c>
      <c r="Y343" s="63" t="n">
        <v>45832</v>
      </c>
      <c r="Z343" s="67" t="n">
        <v>45861</v>
      </c>
      <c r="AA343" s="71">
        <f>Z343+13</f>
        <v/>
      </c>
      <c r="AB343" s="20">
        <f>AA343-U343</f>
        <v/>
      </c>
      <c r="AC343" s="20" t="inlineStr">
        <is>
          <t>No</t>
        </is>
      </c>
      <c r="AD343" s="21" t="inlineStr">
        <is>
          <t>1 HBL</t>
        </is>
      </c>
      <c r="AE343" s="21" t="n"/>
      <c r="AF343" s="22" t="inlineStr">
        <is>
          <t>LW</t>
        </is>
      </c>
      <c r="AG343" s="23" t="inlineStr">
        <is>
          <t>NAC</t>
        </is>
      </c>
      <c r="AH343" s="24" t="n"/>
      <c r="AN343" s="24" t="n"/>
    </row>
    <row r="344" ht="12.75" customHeight="1">
      <c r="A344" s="15" t="n">
        <v>3254508</v>
      </c>
      <c r="B344" s="15" t="inlineStr">
        <is>
          <t>Flexport</t>
        </is>
      </c>
      <c r="C344" s="15" t="inlineStr">
        <is>
          <t>Colombo, LK</t>
        </is>
      </c>
      <c r="D344" s="15" t="inlineStr">
        <is>
          <t>New York, NY, US</t>
        </is>
      </c>
      <c r="E344" s="15" t="inlineStr">
        <is>
          <t>Mississauga, ON, CA</t>
        </is>
      </c>
      <c r="F344" s="15" t="inlineStr">
        <is>
          <t>OCEAN</t>
        </is>
      </c>
      <c r="G344" s="15" t="inlineStr">
        <is>
          <t>D. 1 x 40HC</t>
        </is>
      </c>
      <c r="H344" s="15" t="inlineStr">
        <is>
          <t>CFS/CY</t>
        </is>
      </c>
      <c r="I344" s="15" t="inlineStr">
        <is>
          <t>ONE</t>
        </is>
      </c>
      <c r="J344" s="15" t="inlineStr">
        <is>
          <t>EC3</t>
        </is>
      </c>
      <c r="K344" s="15" t="inlineStr">
        <is>
          <t>MAS AMITY PTE LTD</t>
        </is>
      </c>
      <c r="L344" s="16" t="inlineStr">
        <is>
          <t>MAS Active (Pvt) Ltd - Linea Intimo</t>
        </is>
      </c>
      <c r="M344" s="15" t="inlineStr">
        <is>
          <t>N</t>
        </is>
      </c>
      <c r="N344" s="17" t="n">
        <v>454725529445</v>
      </c>
      <c r="O344" s="15" t="n">
        <v>91019190</v>
      </c>
      <c r="P344" s="18" t="inlineStr">
        <is>
          <t>LW1FAPS</t>
        </is>
      </c>
      <c r="Q344" s="18" t="n">
        <v>2</v>
      </c>
      <c r="R344" s="18" t="n">
        <v>0.118</v>
      </c>
      <c r="S344" s="15" t="n">
        <v>5.495</v>
      </c>
      <c r="T344" s="16" t="n">
        <v>45824</v>
      </c>
      <c r="U344" s="19" t="n">
        <v>45888</v>
      </c>
      <c r="V344" s="16" t="n">
        <v>45824</v>
      </c>
      <c r="W344" s="16" t="n">
        <v>45826</v>
      </c>
      <c r="X344" s="57">
        <f>W344-1</f>
        <v/>
      </c>
      <c r="Y344" s="63" t="n">
        <v>45832</v>
      </c>
      <c r="Z344" s="67" t="n">
        <v>45861</v>
      </c>
      <c r="AA344" s="71">
        <f>Z344+13</f>
        <v/>
      </c>
      <c r="AB344" s="20">
        <f>AA344-U344</f>
        <v/>
      </c>
      <c r="AC344" s="20" t="inlineStr">
        <is>
          <t>No</t>
        </is>
      </c>
      <c r="AD344" s="21" t="inlineStr">
        <is>
          <t>1 HBL</t>
        </is>
      </c>
      <c r="AE344" s="21" t="n"/>
      <c r="AF344" s="22" t="inlineStr">
        <is>
          <t>LW</t>
        </is>
      </c>
      <c r="AG344" s="23" t="inlineStr">
        <is>
          <t>NAC</t>
        </is>
      </c>
      <c r="AH344" s="24" t="n"/>
      <c r="AN344" s="24" t="n"/>
    </row>
    <row r="345" ht="12.75" customHeight="1">
      <c r="A345" s="15" t="n">
        <v>3254508</v>
      </c>
      <c r="B345" s="15" t="inlineStr">
        <is>
          <t>Flexport</t>
        </is>
      </c>
      <c r="C345" s="15" t="inlineStr">
        <is>
          <t>Colombo, LK</t>
        </is>
      </c>
      <c r="D345" s="15" t="inlineStr">
        <is>
          <t>New York, NY, US</t>
        </is>
      </c>
      <c r="E345" s="15" t="inlineStr">
        <is>
          <t>Mississauga, ON, CA</t>
        </is>
      </c>
      <c r="F345" s="15" t="inlineStr">
        <is>
          <t>OCEAN</t>
        </is>
      </c>
      <c r="G345" s="15" t="inlineStr">
        <is>
          <t>D. 1 x 40HC</t>
        </is>
      </c>
      <c r="H345" s="15" t="inlineStr">
        <is>
          <t>CFS/CY</t>
        </is>
      </c>
      <c r="I345" s="15" t="inlineStr">
        <is>
          <t>ONE</t>
        </is>
      </c>
      <c r="J345" s="15" t="inlineStr">
        <is>
          <t>EC3</t>
        </is>
      </c>
      <c r="K345" s="15" t="inlineStr">
        <is>
          <t>MAS AMITY PTE LTD</t>
        </is>
      </c>
      <c r="L345" s="16" t="inlineStr">
        <is>
          <t>MAS Active (Pvt) Ltd - Linea Intimo</t>
        </is>
      </c>
      <c r="M345" s="15" t="inlineStr">
        <is>
          <t>N</t>
        </is>
      </c>
      <c r="N345" s="17" t="n">
        <v>454725656610</v>
      </c>
      <c r="O345" s="15" t="n">
        <v>91019224</v>
      </c>
      <c r="P345" s="18" t="inlineStr">
        <is>
          <t>LW1FAPS</t>
        </is>
      </c>
      <c r="Q345" s="18" t="n">
        <v>2</v>
      </c>
      <c r="R345" s="18" t="n">
        <v>0.118</v>
      </c>
      <c r="S345" s="15" t="n">
        <v>7.981</v>
      </c>
      <c r="T345" s="16" t="n">
        <v>45824</v>
      </c>
      <c r="U345" s="19" t="n">
        <v>45888</v>
      </c>
      <c r="V345" s="16" t="n">
        <v>45824</v>
      </c>
      <c r="W345" s="16" t="n">
        <v>45826</v>
      </c>
      <c r="X345" s="57">
        <f>W345-1</f>
        <v/>
      </c>
      <c r="Y345" s="63" t="n">
        <v>45832</v>
      </c>
      <c r="Z345" s="67" t="n">
        <v>45861</v>
      </c>
      <c r="AA345" s="71">
        <f>Z345+13</f>
        <v/>
      </c>
      <c r="AB345" s="20">
        <f>AA345-U345</f>
        <v/>
      </c>
      <c r="AC345" s="20" t="inlineStr">
        <is>
          <t>No</t>
        </is>
      </c>
      <c r="AD345" s="21" t="inlineStr">
        <is>
          <t>1 HBL</t>
        </is>
      </c>
      <c r="AE345" s="21" t="n"/>
      <c r="AF345" s="22" t="inlineStr">
        <is>
          <t>LW</t>
        </is>
      </c>
      <c r="AG345" s="23" t="inlineStr">
        <is>
          <t>NAC</t>
        </is>
      </c>
      <c r="AH345" s="24" t="n"/>
      <c r="AN345" s="24" t="n"/>
    </row>
    <row r="346" ht="12.75" customHeight="1">
      <c r="A346" s="15" t="n">
        <v>3254508</v>
      </c>
      <c r="B346" s="15" t="inlineStr">
        <is>
          <t>Flexport</t>
        </is>
      </c>
      <c r="C346" s="15" t="inlineStr">
        <is>
          <t>Colombo, LK</t>
        </is>
      </c>
      <c r="D346" s="15" t="inlineStr">
        <is>
          <t>New York, NY, US</t>
        </is>
      </c>
      <c r="E346" s="15" t="inlineStr">
        <is>
          <t>Mississauga, ON, CA</t>
        </is>
      </c>
      <c r="F346" s="15" t="inlineStr">
        <is>
          <t>OCEAN</t>
        </is>
      </c>
      <c r="G346" s="15" t="inlineStr">
        <is>
          <t>D. 1 x 40HC</t>
        </is>
      </c>
      <c r="H346" s="15" t="inlineStr">
        <is>
          <t>CFS/CY</t>
        </is>
      </c>
      <c r="I346" s="15" t="inlineStr">
        <is>
          <t>ONE</t>
        </is>
      </c>
      <c r="J346" s="15" t="inlineStr">
        <is>
          <t>EC3</t>
        </is>
      </c>
      <c r="K346" s="15" t="inlineStr">
        <is>
          <t>MAS AMITY PTE LTD</t>
        </is>
      </c>
      <c r="L346" s="16" t="inlineStr">
        <is>
          <t>MAS Active (Pvt) Ltd - Linea Intimo</t>
        </is>
      </c>
      <c r="M346" s="15" t="inlineStr">
        <is>
          <t>N</t>
        </is>
      </c>
      <c r="N346" s="17" t="n">
        <v>454725757512</v>
      </c>
      <c r="O346" s="15" t="n">
        <v>91019235</v>
      </c>
      <c r="P346" s="18" t="inlineStr">
        <is>
          <t>LW1FH4S</t>
        </is>
      </c>
      <c r="Q346" s="18" t="n">
        <v>5</v>
      </c>
      <c r="R346" s="18" t="n">
        <v>0.316</v>
      </c>
      <c r="S346" s="15" t="n">
        <v>48.902</v>
      </c>
      <c r="T346" s="16" t="n">
        <v>45824</v>
      </c>
      <c r="U346" s="19" t="n">
        <v>45888</v>
      </c>
      <c r="V346" s="16" t="n">
        <v>45824</v>
      </c>
      <c r="W346" s="16" t="n">
        <v>45826</v>
      </c>
      <c r="X346" s="57">
        <f>W346-1</f>
        <v/>
      </c>
      <c r="Y346" s="63" t="n">
        <v>45832</v>
      </c>
      <c r="Z346" s="67" t="n">
        <v>45861</v>
      </c>
      <c r="AA346" s="71">
        <f>Z346+13</f>
        <v/>
      </c>
      <c r="AB346" s="20">
        <f>AA346-U346</f>
        <v/>
      </c>
      <c r="AC346" s="20" t="inlineStr">
        <is>
          <t>No</t>
        </is>
      </c>
      <c r="AD346" s="21" t="inlineStr">
        <is>
          <t>1 HBL</t>
        </is>
      </c>
      <c r="AE346" s="21" t="n"/>
      <c r="AF346" s="22" t="inlineStr">
        <is>
          <t>LW</t>
        </is>
      </c>
      <c r="AG346" s="23" t="inlineStr">
        <is>
          <t>NAC</t>
        </is>
      </c>
      <c r="AH346" s="24" t="n"/>
      <c r="AN346" s="24" t="n"/>
    </row>
    <row r="347" ht="12.75" customHeight="1">
      <c r="A347" s="15" t="n">
        <v>3254508</v>
      </c>
      <c r="B347" s="15" t="inlineStr">
        <is>
          <t>Flexport</t>
        </is>
      </c>
      <c r="C347" s="15" t="inlineStr">
        <is>
          <t>Colombo, LK</t>
        </is>
      </c>
      <c r="D347" s="15" t="inlineStr">
        <is>
          <t>New York, NY, US</t>
        </is>
      </c>
      <c r="E347" s="15" t="inlineStr">
        <is>
          <t>Mississauga, ON, CA</t>
        </is>
      </c>
      <c r="F347" s="15" t="inlineStr">
        <is>
          <t>OCEAN</t>
        </is>
      </c>
      <c r="G347" s="15" t="inlineStr">
        <is>
          <t>D. 1 x 40HC</t>
        </is>
      </c>
      <c r="H347" s="15" t="inlineStr">
        <is>
          <t>CFS/CY</t>
        </is>
      </c>
      <c r="I347" s="15" t="inlineStr">
        <is>
          <t>ONE</t>
        </is>
      </c>
      <c r="J347" s="15" t="inlineStr">
        <is>
          <t>EC3</t>
        </is>
      </c>
      <c r="K347" s="15" t="inlineStr">
        <is>
          <t>MAS AMITY PTE LTD</t>
        </is>
      </c>
      <c r="L347" s="16" t="inlineStr">
        <is>
          <t>MAS Active (Pvt) Ltd - Linea Intimo</t>
        </is>
      </c>
      <c r="M347" s="15" t="inlineStr">
        <is>
          <t>N</t>
        </is>
      </c>
      <c r="N347" s="17" t="n">
        <v>454725863744</v>
      </c>
      <c r="O347" s="15" t="n">
        <v>91019242</v>
      </c>
      <c r="P347" s="18" t="inlineStr">
        <is>
          <t>LW1FH4S</t>
        </is>
      </c>
      <c r="Q347" s="18" t="n">
        <v>2</v>
      </c>
      <c r="R347" s="18" t="n">
        <v>0.079</v>
      </c>
      <c r="S347" s="15" t="n">
        <v>13.1</v>
      </c>
      <c r="T347" s="16" t="n">
        <v>45824</v>
      </c>
      <c r="U347" s="19" t="n">
        <v>45888</v>
      </c>
      <c r="V347" s="16" t="n">
        <v>45824</v>
      </c>
      <c r="W347" s="16" t="n">
        <v>45826</v>
      </c>
      <c r="X347" s="57">
        <f>W347-1</f>
        <v/>
      </c>
      <c r="Y347" s="63" t="n">
        <v>45832</v>
      </c>
      <c r="Z347" s="67" t="n">
        <v>45861</v>
      </c>
      <c r="AA347" s="71">
        <f>Z347+13</f>
        <v/>
      </c>
      <c r="AB347" s="20">
        <f>AA347-U347</f>
        <v/>
      </c>
      <c r="AC347" s="20" t="inlineStr">
        <is>
          <t>No</t>
        </is>
      </c>
      <c r="AD347" s="21" t="inlineStr">
        <is>
          <t>1 HBL</t>
        </is>
      </c>
      <c r="AE347" s="21" t="n"/>
      <c r="AF347" s="22" t="inlineStr">
        <is>
          <t>LW</t>
        </is>
      </c>
      <c r="AG347" s="23" t="inlineStr">
        <is>
          <t>NAC</t>
        </is>
      </c>
      <c r="AH347" s="24" t="n"/>
      <c r="AN347" s="24" t="n"/>
    </row>
    <row r="348" ht="12.75" customHeight="1">
      <c r="A348" s="15" t="n">
        <v>3254508</v>
      </c>
      <c r="B348" s="15" t="inlineStr">
        <is>
          <t>Flexport</t>
        </is>
      </c>
      <c r="C348" s="15" t="inlineStr">
        <is>
          <t>Colombo, LK</t>
        </is>
      </c>
      <c r="D348" s="15" t="inlineStr">
        <is>
          <t>New York, NY, US</t>
        </is>
      </c>
      <c r="E348" s="15" t="inlineStr">
        <is>
          <t>Mississauga, ON, CA</t>
        </is>
      </c>
      <c r="F348" s="15" t="inlineStr">
        <is>
          <t>OCEAN</t>
        </is>
      </c>
      <c r="G348" s="15" t="inlineStr">
        <is>
          <t>D. 1 x 40HC</t>
        </is>
      </c>
      <c r="H348" s="15" t="inlineStr">
        <is>
          <t>CFS/CY</t>
        </is>
      </c>
      <c r="I348" s="15" t="inlineStr">
        <is>
          <t>ONE</t>
        </is>
      </c>
      <c r="J348" s="15" t="inlineStr">
        <is>
          <t>EC3</t>
        </is>
      </c>
      <c r="K348" s="15" t="inlineStr">
        <is>
          <t>MAS AMITY PTE LTD</t>
        </is>
      </c>
      <c r="L348" s="16" t="inlineStr">
        <is>
          <t>MAS Active (Pvt) Ltd - Linea Intimo</t>
        </is>
      </c>
      <c r="M348" s="15" t="inlineStr">
        <is>
          <t>N</t>
        </is>
      </c>
      <c r="N348" s="17" t="n">
        <v>454725864133</v>
      </c>
      <c r="O348" s="15" t="n">
        <v>91019333</v>
      </c>
      <c r="P348" s="18" t="inlineStr">
        <is>
          <t>LW1FAPS</t>
        </is>
      </c>
      <c r="Q348" s="18" t="n">
        <v>4</v>
      </c>
      <c r="R348" s="18" t="n">
        <v>0.276</v>
      </c>
      <c r="S348" s="15" t="n">
        <v>16.83</v>
      </c>
      <c r="T348" s="16" t="n">
        <v>45824</v>
      </c>
      <c r="U348" s="19" t="n">
        <v>45888</v>
      </c>
      <c r="V348" s="16" t="n">
        <v>45824</v>
      </c>
      <c r="W348" s="16" t="n">
        <v>45826</v>
      </c>
      <c r="X348" s="57">
        <f>W348-1</f>
        <v/>
      </c>
      <c r="Y348" s="63" t="n">
        <v>45832</v>
      </c>
      <c r="Z348" s="67" t="n">
        <v>45861</v>
      </c>
      <c r="AA348" s="71">
        <f>Z348+13</f>
        <v/>
      </c>
      <c r="AB348" s="20">
        <f>AA348-U348</f>
        <v/>
      </c>
      <c r="AC348" s="20" t="inlineStr">
        <is>
          <t>No</t>
        </is>
      </c>
      <c r="AD348" s="21" t="inlineStr">
        <is>
          <t>1 HBL</t>
        </is>
      </c>
      <c r="AE348" s="21" t="n"/>
      <c r="AF348" s="22" t="inlineStr">
        <is>
          <t>LW</t>
        </is>
      </c>
      <c r="AG348" s="23" t="inlineStr">
        <is>
          <t>NAC</t>
        </is>
      </c>
      <c r="AH348" s="24" t="n"/>
      <c r="AN348" s="24" t="n"/>
    </row>
    <row r="349" ht="12.75" customHeight="1">
      <c r="A349" s="15" t="n">
        <v>3254508</v>
      </c>
      <c r="B349" s="15" t="inlineStr">
        <is>
          <t>Flexport</t>
        </is>
      </c>
      <c r="C349" s="15" t="inlineStr">
        <is>
          <t>Colombo, LK</t>
        </is>
      </c>
      <c r="D349" s="15" t="inlineStr">
        <is>
          <t>New York, NY, US</t>
        </is>
      </c>
      <c r="E349" s="15" t="inlineStr">
        <is>
          <t>Mississauga, ON, CA</t>
        </is>
      </c>
      <c r="F349" s="15" t="inlineStr">
        <is>
          <t>OCEAN</t>
        </is>
      </c>
      <c r="G349" s="15" t="inlineStr">
        <is>
          <t>D. 1 x 40HC</t>
        </is>
      </c>
      <c r="H349" s="15" t="inlineStr">
        <is>
          <t>CFS/CY</t>
        </is>
      </c>
      <c r="I349" s="15" t="inlineStr">
        <is>
          <t>ONE</t>
        </is>
      </c>
      <c r="J349" s="15" t="inlineStr">
        <is>
          <t>EC3</t>
        </is>
      </c>
      <c r="K349" s="15" t="inlineStr">
        <is>
          <t>MAS AMITY PTE LTD</t>
        </is>
      </c>
      <c r="L349" s="16" t="inlineStr">
        <is>
          <t>MAS Active (Pvt) Ltd - Linea Intimo</t>
        </is>
      </c>
      <c r="M349" s="15" t="inlineStr">
        <is>
          <t>N</t>
        </is>
      </c>
      <c r="N349" s="17" t="n">
        <v>454725919857</v>
      </c>
      <c r="O349" s="15" t="n">
        <v>91019338</v>
      </c>
      <c r="P349" s="18" t="inlineStr">
        <is>
          <t>LW1FAPS</t>
        </is>
      </c>
      <c r="Q349" s="18" t="n">
        <v>5</v>
      </c>
      <c r="R349" s="18" t="n">
        <v>0.355</v>
      </c>
      <c r="S349" s="15" t="n">
        <v>24.841</v>
      </c>
      <c r="T349" s="16" t="n">
        <v>45824</v>
      </c>
      <c r="U349" s="19" t="n">
        <v>45888</v>
      </c>
      <c r="V349" s="16" t="n">
        <v>45824</v>
      </c>
      <c r="W349" s="16" t="n">
        <v>45826</v>
      </c>
      <c r="X349" s="57">
        <f>W349-1</f>
        <v/>
      </c>
      <c r="Y349" s="63" t="n">
        <v>45832</v>
      </c>
      <c r="Z349" s="67" t="n">
        <v>45861</v>
      </c>
      <c r="AA349" s="71">
        <f>Z349+13</f>
        <v/>
      </c>
      <c r="AB349" s="20">
        <f>AA349-U349</f>
        <v/>
      </c>
      <c r="AC349" s="20" t="inlineStr">
        <is>
          <t>No</t>
        </is>
      </c>
      <c r="AD349" s="21" t="inlineStr">
        <is>
          <t>1 HBL</t>
        </is>
      </c>
      <c r="AE349" s="21" t="n"/>
      <c r="AF349" s="22" t="inlineStr">
        <is>
          <t>LW</t>
        </is>
      </c>
      <c r="AG349" s="23" t="inlineStr">
        <is>
          <t>NAC</t>
        </is>
      </c>
      <c r="AH349" s="24" t="n"/>
      <c r="AN349" s="24" t="n"/>
    </row>
    <row r="350" ht="12.75" customHeight="1">
      <c r="A350" s="15" t="n">
        <v>3254508</v>
      </c>
      <c r="B350" s="15" t="inlineStr">
        <is>
          <t>Flexport</t>
        </is>
      </c>
      <c r="C350" s="15" t="inlineStr">
        <is>
          <t>Colombo, LK</t>
        </is>
      </c>
      <c r="D350" s="15" t="inlineStr">
        <is>
          <t>New York, NY, US</t>
        </is>
      </c>
      <c r="E350" s="15" t="inlineStr">
        <is>
          <t>Mississauga, ON, CA</t>
        </is>
      </c>
      <c r="F350" s="15" t="inlineStr">
        <is>
          <t>OCEAN</t>
        </is>
      </c>
      <c r="G350" s="15" t="inlineStr">
        <is>
          <t>D. 1 x 40HC</t>
        </is>
      </c>
      <c r="H350" s="15" t="inlineStr">
        <is>
          <t>CFS/CY</t>
        </is>
      </c>
      <c r="I350" s="15" t="inlineStr">
        <is>
          <t>ONE</t>
        </is>
      </c>
      <c r="J350" s="15" t="inlineStr">
        <is>
          <t>EC3</t>
        </is>
      </c>
      <c r="K350" s="15" t="inlineStr">
        <is>
          <t>MAS AMITY PTE LTD</t>
        </is>
      </c>
      <c r="L350" s="16" t="inlineStr">
        <is>
          <t>MAS Active (Pvt) Ltd – Sleekline</t>
        </is>
      </c>
      <c r="M350" s="15" t="inlineStr">
        <is>
          <t>N</t>
        </is>
      </c>
      <c r="N350" s="17" t="n">
        <v>454770292169</v>
      </c>
      <c r="O350" s="15" t="n">
        <v>19936234</v>
      </c>
      <c r="P350" s="18" t="inlineStr">
        <is>
          <t>LM9B91S</t>
        </is>
      </c>
      <c r="Q350" s="18" t="n">
        <v>3</v>
      </c>
      <c r="R350" s="18" t="n">
        <v>0.238</v>
      </c>
      <c r="S350" s="15" t="n">
        <v>25.31</v>
      </c>
      <c r="T350" s="16" t="n">
        <v>45824</v>
      </c>
      <c r="U350" s="19" t="n">
        <v>45883</v>
      </c>
      <c r="V350" s="16" t="n">
        <v>45824</v>
      </c>
      <c r="W350" s="16" t="n">
        <v>45826</v>
      </c>
      <c r="X350" s="57">
        <f>W350-1</f>
        <v/>
      </c>
      <c r="Y350" s="63" t="n">
        <v>45832</v>
      </c>
      <c r="Z350" s="67" t="n">
        <v>45861</v>
      </c>
      <c r="AA350" s="71">
        <f>Z350+13</f>
        <v/>
      </c>
      <c r="AB350" s="20">
        <f>AA350-U350</f>
        <v/>
      </c>
      <c r="AC350" s="20" t="inlineStr">
        <is>
          <t>No</t>
        </is>
      </c>
      <c r="AD350" s="21" t="inlineStr">
        <is>
          <t>1 HBL</t>
        </is>
      </c>
      <c r="AE350" s="21" t="n"/>
      <c r="AF350" s="22" t="inlineStr">
        <is>
          <t>LW</t>
        </is>
      </c>
      <c r="AG350" s="23" t="inlineStr">
        <is>
          <t>NAC</t>
        </is>
      </c>
      <c r="AH350" s="24" t="n"/>
      <c r="AN350" s="24" t="n"/>
    </row>
    <row r="351" ht="12.75" customHeight="1">
      <c r="A351" s="15" t="n">
        <v>3254508</v>
      </c>
      <c r="B351" s="15" t="inlineStr">
        <is>
          <t>Flexport</t>
        </is>
      </c>
      <c r="C351" s="15" t="inlineStr">
        <is>
          <t>Colombo, LK</t>
        </is>
      </c>
      <c r="D351" s="15" t="inlineStr">
        <is>
          <t>New York, NY, US</t>
        </is>
      </c>
      <c r="E351" s="15" t="inlineStr">
        <is>
          <t>Mississauga, ON, CA</t>
        </is>
      </c>
      <c r="F351" s="15" t="inlineStr">
        <is>
          <t>OCEAN</t>
        </is>
      </c>
      <c r="G351" s="15" t="inlineStr">
        <is>
          <t>D. 1 x 40HC</t>
        </is>
      </c>
      <c r="H351" s="15" t="inlineStr">
        <is>
          <t>CFS/CY</t>
        </is>
      </c>
      <c r="I351" s="15" t="inlineStr">
        <is>
          <t>ONE</t>
        </is>
      </c>
      <c r="J351" s="15" t="inlineStr">
        <is>
          <t>EC3</t>
        </is>
      </c>
      <c r="K351" s="15" t="inlineStr">
        <is>
          <t>MAS AMITY PTE LTD</t>
        </is>
      </c>
      <c r="L351" s="16" t="inlineStr">
        <is>
          <t>MAS Active (Pvt) Ltd – Sleekline</t>
        </is>
      </c>
      <c r="M351" s="15" t="inlineStr">
        <is>
          <t>N</t>
        </is>
      </c>
      <c r="N351" s="17" t="n">
        <v>454776741148</v>
      </c>
      <c r="O351" s="15" t="n">
        <v>19936208</v>
      </c>
      <c r="P351" s="18" t="inlineStr">
        <is>
          <t>LM9B91S</t>
        </is>
      </c>
      <c r="Q351" s="18" t="n">
        <v>3</v>
      </c>
      <c r="R351" s="18" t="n">
        <v>0.238</v>
      </c>
      <c r="S351" s="15" t="n">
        <v>28.77</v>
      </c>
      <c r="T351" s="16" t="n">
        <v>45824</v>
      </c>
      <c r="U351" s="19" t="n">
        <v>45883</v>
      </c>
      <c r="V351" s="16" t="n">
        <v>45824</v>
      </c>
      <c r="W351" s="16" t="n">
        <v>45826</v>
      </c>
      <c r="X351" s="57">
        <f>W351-1</f>
        <v/>
      </c>
      <c r="Y351" s="63" t="n">
        <v>45832</v>
      </c>
      <c r="Z351" s="67" t="n">
        <v>45861</v>
      </c>
      <c r="AA351" s="71">
        <f>Z351+13</f>
        <v/>
      </c>
      <c r="AB351" s="20">
        <f>AA351-U351</f>
        <v/>
      </c>
      <c r="AC351" s="20" t="inlineStr">
        <is>
          <t>No</t>
        </is>
      </c>
      <c r="AD351" s="21" t="inlineStr">
        <is>
          <t>1 HBL</t>
        </is>
      </c>
      <c r="AE351" s="21" t="n"/>
      <c r="AF351" s="22" t="inlineStr">
        <is>
          <t>LW</t>
        </is>
      </c>
      <c r="AG351" s="23" t="inlineStr">
        <is>
          <t>NAC</t>
        </is>
      </c>
      <c r="AH351" s="24" t="n"/>
      <c r="AN351" s="24" t="n"/>
    </row>
    <row r="352" ht="12.75" customHeight="1">
      <c r="A352" s="15" t="n">
        <v>3254508</v>
      </c>
      <c r="B352" s="15" t="inlineStr">
        <is>
          <t>Flexport</t>
        </is>
      </c>
      <c r="C352" s="15" t="inlineStr">
        <is>
          <t>Colombo, LK</t>
        </is>
      </c>
      <c r="D352" s="15" t="inlineStr">
        <is>
          <t>New York, NY, US</t>
        </is>
      </c>
      <c r="E352" s="15" t="inlineStr">
        <is>
          <t>Mississauga, ON, CA</t>
        </is>
      </c>
      <c r="F352" s="15" t="inlineStr">
        <is>
          <t>OCEAN</t>
        </is>
      </c>
      <c r="G352" s="15" t="inlineStr">
        <is>
          <t>D. 1 x 40HC</t>
        </is>
      </c>
      <c r="H352" s="15" t="inlineStr">
        <is>
          <t>CFS/CY</t>
        </is>
      </c>
      <c r="I352" s="15" t="inlineStr">
        <is>
          <t>ONE</t>
        </is>
      </c>
      <c r="J352" s="15" t="inlineStr">
        <is>
          <t>EC3</t>
        </is>
      </c>
      <c r="K352" s="15" t="inlineStr">
        <is>
          <t>MAS AMITY PTE LTD</t>
        </is>
      </c>
      <c r="L352" s="16" t="inlineStr">
        <is>
          <t>MAS Active (Pvt) Ltd – Sleekline</t>
        </is>
      </c>
      <c r="M352" s="15" t="inlineStr">
        <is>
          <t>N</t>
        </is>
      </c>
      <c r="N352" s="17" t="n">
        <v>454776741208</v>
      </c>
      <c r="O352" s="15" t="n">
        <v>19940790</v>
      </c>
      <c r="P352" s="18" t="inlineStr">
        <is>
          <t>LM9B17S</t>
        </is>
      </c>
      <c r="Q352" s="18" t="n">
        <v>1</v>
      </c>
      <c r="R352" s="18" t="n">
        <v>0.079</v>
      </c>
      <c r="S352" s="15" t="n">
        <v>10.67</v>
      </c>
      <c r="T352" s="16" t="n">
        <v>45824</v>
      </c>
      <c r="U352" s="19" t="n">
        <v>45883</v>
      </c>
      <c r="V352" s="16" t="n">
        <v>45824</v>
      </c>
      <c r="W352" s="16" t="n">
        <v>45826</v>
      </c>
      <c r="X352" s="57">
        <f>W352-1</f>
        <v/>
      </c>
      <c r="Y352" s="63" t="n">
        <v>45832</v>
      </c>
      <c r="Z352" s="67" t="n">
        <v>45861</v>
      </c>
      <c r="AA352" s="71">
        <f>Z352+13</f>
        <v/>
      </c>
      <c r="AB352" s="20">
        <f>AA352-U352</f>
        <v/>
      </c>
      <c r="AC352" s="20" t="inlineStr">
        <is>
          <t>No</t>
        </is>
      </c>
      <c r="AD352" s="21" t="inlineStr">
        <is>
          <t>1 HBL</t>
        </is>
      </c>
      <c r="AE352" s="21" t="n"/>
      <c r="AF352" s="22" t="inlineStr">
        <is>
          <t>LW</t>
        </is>
      </c>
      <c r="AG352" s="23" t="inlineStr">
        <is>
          <t>NAC</t>
        </is>
      </c>
      <c r="AH352" s="24" t="n"/>
      <c r="AN352" s="24" t="n"/>
    </row>
    <row r="353" ht="12.75" customHeight="1">
      <c r="A353" s="15" t="n">
        <v>3254508</v>
      </c>
      <c r="B353" s="15" t="inlineStr">
        <is>
          <t>Flexport</t>
        </is>
      </c>
      <c r="C353" s="15" t="inlineStr">
        <is>
          <t>Colombo, LK</t>
        </is>
      </c>
      <c r="D353" s="15" t="inlineStr">
        <is>
          <t>New York, NY, US</t>
        </is>
      </c>
      <c r="E353" s="15" t="inlineStr">
        <is>
          <t>Mississauga, ON, CA</t>
        </is>
      </c>
      <c r="F353" s="15" t="inlineStr">
        <is>
          <t>OCEAN</t>
        </is>
      </c>
      <c r="G353" s="15" t="inlineStr">
        <is>
          <t>D. 1 x 40HC</t>
        </is>
      </c>
      <c r="H353" s="15" t="inlineStr">
        <is>
          <t>CFS/CY</t>
        </is>
      </c>
      <c r="I353" s="15" t="inlineStr">
        <is>
          <t>ONE</t>
        </is>
      </c>
      <c r="J353" s="15" t="inlineStr">
        <is>
          <t>EC3</t>
        </is>
      </c>
      <c r="K353" s="15" t="inlineStr">
        <is>
          <t>MAS AMITY PTE LTD</t>
        </is>
      </c>
      <c r="L353" s="16" t="inlineStr">
        <is>
          <t>MAS Active (Pvt) Ltd – Sleekline</t>
        </is>
      </c>
      <c r="M353" s="15" t="inlineStr">
        <is>
          <t>N</t>
        </is>
      </c>
      <c r="N353" s="17" t="n">
        <v>454776867307</v>
      </c>
      <c r="O353" s="15" t="n">
        <v>19927212</v>
      </c>
      <c r="P353" s="18" t="inlineStr">
        <is>
          <t>LM9B17S</t>
        </is>
      </c>
      <c r="Q353" s="18" t="n">
        <v>1</v>
      </c>
      <c r="R353" s="18" t="n">
        <v>0.079</v>
      </c>
      <c r="S353" s="15" t="n">
        <v>10.03</v>
      </c>
      <c r="T353" s="16" t="n">
        <v>45824</v>
      </c>
      <c r="U353" s="19" t="n">
        <v>45883</v>
      </c>
      <c r="V353" s="16" t="n">
        <v>45824</v>
      </c>
      <c r="W353" s="16" t="n">
        <v>45826</v>
      </c>
      <c r="X353" s="57">
        <f>W353-1</f>
        <v/>
      </c>
      <c r="Y353" s="63" t="n">
        <v>45832</v>
      </c>
      <c r="Z353" s="67" t="n">
        <v>45861</v>
      </c>
      <c r="AA353" s="71">
        <f>Z353+13</f>
        <v/>
      </c>
      <c r="AB353" s="20">
        <f>AA353-U353</f>
        <v/>
      </c>
      <c r="AC353" s="20" t="inlineStr">
        <is>
          <t>No</t>
        </is>
      </c>
      <c r="AD353" s="21" t="inlineStr">
        <is>
          <t>1 HBL</t>
        </is>
      </c>
      <c r="AE353" s="21" t="n"/>
      <c r="AF353" s="22" t="inlineStr">
        <is>
          <t>LW</t>
        </is>
      </c>
      <c r="AG353" s="23" t="inlineStr">
        <is>
          <t>NAC</t>
        </is>
      </c>
      <c r="AH353" s="24" t="n"/>
      <c r="AN353" s="24" t="n"/>
    </row>
    <row r="354" ht="12.75" customHeight="1">
      <c r="A354" s="15" t="n">
        <v>3254508</v>
      </c>
      <c r="B354" s="15" t="inlineStr">
        <is>
          <t>Flexport</t>
        </is>
      </c>
      <c r="C354" s="15" t="inlineStr">
        <is>
          <t>Colombo, LK</t>
        </is>
      </c>
      <c r="D354" s="15" t="inlineStr">
        <is>
          <t>New York, NY, US</t>
        </is>
      </c>
      <c r="E354" s="15" t="inlineStr">
        <is>
          <t>Mississauga, ON, CA</t>
        </is>
      </c>
      <c r="F354" s="15" t="inlineStr">
        <is>
          <t>OCEAN</t>
        </is>
      </c>
      <c r="G354" s="15" t="inlineStr">
        <is>
          <t>D. 1 x 40HC</t>
        </is>
      </c>
      <c r="H354" s="15" t="inlineStr">
        <is>
          <t>CFS/CY</t>
        </is>
      </c>
      <c r="I354" s="15" t="inlineStr">
        <is>
          <t>ONE</t>
        </is>
      </c>
      <c r="J354" s="15" t="inlineStr">
        <is>
          <t>EC3</t>
        </is>
      </c>
      <c r="K354" s="15" t="inlineStr">
        <is>
          <t>MAS AMITY PTE LTD</t>
        </is>
      </c>
      <c r="L354" s="16" t="inlineStr">
        <is>
          <t>MAS Active (Pvt) Ltd – Sleekline</t>
        </is>
      </c>
      <c r="M354" s="15" t="inlineStr">
        <is>
          <t>N</t>
        </is>
      </c>
      <c r="N354" s="17" t="n">
        <v>454777443457</v>
      </c>
      <c r="O354" s="15" t="n">
        <v>19927350</v>
      </c>
      <c r="P354" s="18" t="inlineStr">
        <is>
          <t>LM9B20S</t>
        </is>
      </c>
      <c r="Q354" s="18" t="n">
        <v>4</v>
      </c>
      <c r="R354" s="18" t="n">
        <v>0.278</v>
      </c>
      <c r="S354" s="15" t="n">
        <v>44.89</v>
      </c>
      <c r="T354" s="16" t="n">
        <v>45824</v>
      </c>
      <c r="U354" s="19" t="n">
        <v>45883</v>
      </c>
      <c r="V354" s="16" t="n">
        <v>45824</v>
      </c>
      <c r="W354" s="16" t="n">
        <v>45826</v>
      </c>
      <c r="X354" s="57">
        <f>W354-1</f>
        <v/>
      </c>
      <c r="Y354" s="63" t="n">
        <v>45832</v>
      </c>
      <c r="Z354" s="67" t="n">
        <v>45861</v>
      </c>
      <c r="AA354" s="71">
        <f>Z354+13</f>
        <v/>
      </c>
      <c r="AB354" s="20">
        <f>AA354-U354</f>
        <v/>
      </c>
      <c r="AC354" s="20" t="inlineStr">
        <is>
          <t>No</t>
        </is>
      </c>
      <c r="AD354" s="21" t="inlineStr">
        <is>
          <t>1 HBL</t>
        </is>
      </c>
      <c r="AE354" s="21" t="n"/>
      <c r="AF354" s="22" t="inlineStr">
        <is>
          <t>LW</t>
        </is>
      </c>
      <c r="AG354" s="23" t="inlineStr">
        <is>
          <t>NAC</t>
        </is>
      </c>
      <c r="AH354" s="24" t="n"/>
      <c r="AN354" s="24" t="n"/>
    </row>
    <row r="355" ht="12.75" customHeight="1">
      <c r="A355" s="15" t="n">
        <v>3254508</v>
      </c>
      <c r="B355" s="15" t="inlineStr">
        <is>
          <t>Flexport</t>
        </is>
      </c>
      <c r="C355" s="15" t="inlineStr">
        <is>
          <t>Colombo, LK</t>
        </is>
      </c>
      <c r="D355" s="15" t="inlineStr">
        <is>
          <t>New York, NY, US</t>
        </is>
      </c>
      <c r="E355" s="15" t="inlineStr">
        <is>
          <t>Mississauga, ON, CA</t>
        </is>
      </c>
      <c r="F355" s="15" t="inlineStr">
        <is>
          <t>OCEAN</t>
        </is>
      </c>
      <c r="G355" s="15" t="inlineStr">
        <is>
          <t>D. 1 x 40HC</t>
        </is>
      </c>
      <c r="H355" s="15" t="inlineStr">
        <is>
          <t>CFS/CY</t>
        </is>
      </c>
      <c r="I355" s="15" t="inlineStr">
        <is>
          <t>ONE</t>
        </is>
      </c>
      <c r="J355" s="15" t="inlineStr">
        <is>
          <t>EC3</t>
        </is>
      </c>
      <c r="K355" s="15" t="inlineStr">
        <is>
          <t>MAS AMITY PTE LTD</t>
        </is>
      </c>
      <c r="L355" s="16" t="inlineStr">
        <is>
          <t>MAS Active (Pvt) Ltd – Sleekline</t>
        </is>
      </c>
      <c r="M355" s="15" t="inlineStr">
        <is>
          <t>N</t>
        </is>
      </c>
      <c r="N355" s="17" t="n">
        <v>454777445244</v>
      </c>
      <c r="O355" s="15" t="n">
        <v>19927252</v>
      </c>
      <c r="P355" s="18" t="inlineStr">
        <is>
          <t>LM9B17S</t>
        </is>
      </c>
      <c r="Q355" s="18" t="n">
        <v>1</v>
      </c>
      <c r="R355" s="18" t="n">
        <v>0.079</v>
      </c>
      <c r="S355" s="15" t="n">
        <v>12.05</v>
      </c>
      <c r="T355" s="16" t="n">
        <v>45824</v>
      </c>
      <c r="U355" s="19" t="n">
        <v>45883</v>
      </c>
      <c r="V355" s="16" t="n">
        <v>45824</v>
      </c>
      <c r="W355" s="16" t="n">
        <v>45826</v>
      </c>
      <c r="X355" s="57">
        <f>W355-1</f>
        <v/>
      </c>
      <c r="Y355" s="63" t="n">
        <v>45832</v>
      </c>
      <c r="Z355" s="67" t="n">
        <v>45861</v>
      </c>
      <c r="AA355" s="71">
        <f>Z355+13</f>
        <v/>
      </c>
      <c r="AB355" s="20">
        <f>AA355-U355</f>
        <v/>
      </c>
      <c r="AC355" s="20" t="inlineStr">
        <is>
          <t>No</t>
        </is>
      </c>
      <c r="AD355" s="21" t="inlineStr">
        <is>
          <t>1 HBL</t>
        </is>
      </c>
      <c r="AE355" s="21" t="n"/>
      <c r="AF355" s="22" t="inlineStr">
        <is>
          <t>LW</t>
        </is>
      </c>
      <c r="AG355" s="23" t="inlineStr">
        <is>
          <t>NAC</t>
        </is>
      </c>
      <c r="AH355" s="24" t="n"/>
      <c r="AN355" s="24" t="n"/>
    </row>
    <row r="356" ht="12.75" customHeight="1">
      <c r="A356" s="15" t="n">
        <v>3254508</v>
      </c>
      <c r="B356" s="15" t="inlineStr">
        <is>
          <t>Flexport</t>
        </is>
      </c>
      <c r="C356" s="15" t="inlineStr">
        <is>
          <t>Colombo, LK</t>
        </is>
      </c>
      <c r="D356" s="15" t="inlineStr">
        <is>
          <t>New York, NY, US</t>
        </is>
      </c>
      <c r="E356" s="15" t="inlineStr">
        <is>
          <t>Mississauga, ON, CA</t>
        </is>
      </c>
      <c r="F356" s="15" t="inlineStr">
        <is>
          <t>OCEAN</t>
        </is>
      </c>
      <c r="G356" s="15" t="inlineStr">
        <is>
          <t>D. 1 x 40HC</t>
        </is>
      </c>
      <c r="H356" s="15" t="inlineStr">
        <is>
          <t>CFS/CY</t>
        </is>
      </c>
      <c r="I356" s="15" t="inlineStr">
        <is>
          <t>ONE</t>
        </is>
      </c>
      <c r="J356" s="15" t="inlineStr">
        <is>
          <t>EC3</t>
        </is>
      </c>
      <c r="K356" s="15" t="inlineStr">
        <is>
          <t>MAS AMITY PTE LTD</t>
        </is>
      </c>
      <c r="L356" s="16" t="inlineStr">
        <is>
          <t>MAS Active (Pvt) Ltd – Sleekline</t>
        </is>
      </c>
      <c r="M356" s="15" t="inlineStr">
        <is>
          <t>N</t>
        </is>
      </c>
      <c r="N356" s="17" t="n">
        <v>454777445314</v>
      </c>
      <c r="O356" s="15" t="n">
        <v>19936171</v>
      </c>
      <c r="P356" s="18" t="inlineStr">
        <is>
          <t>LM9B20S</t>
        </is>
      </c>
      <c r="Q356" s="18" t="n">
        <v>3</v>
      </c>
      <c r="R356" s="18" t="n">
        <v>0.238</v>
      </c>
      <c r="S356" s="15" t="n">
        <v>33.02</v>
      </c>
      <c r="T356" s="16" t="n">
        <v>45824</v>
      </c>
      <c r="U356" s="19" t="n">
        <v>45883</v>
      </c>
      <c r="V356" s="16" t="n">
        <v>45824</v>
      </c>
      <c r="W356" s="16" t="n">
        <v>45826</v>
      </c>
      <c r="X356" s="57">
        <f>W356-1</f>
        <v/>
      </c>
      <c r="Y356" s="63" t="n">
        <v>45832</v>
      </c>
      <c r="Z356" s="67" t="n">
        <v>45861</v>
      </c>
      <c r="AA356" s="71">
        <f>Z356+13</f>
        <v/>
      </c>
      <c r="AB356" s="20">
        <f>AA356-U356</f>
        <v/>
      </c>
      <c r="AC356" s="20" t="inlineStr">
        <is>
          <t>No</t>
        </is>
      </c>
      <c r="AD356" s="21" t="inlineStr">
        <is>
          <t>1 HBL</t>
        </is>
      </c>
      <c r="AE356" s="21" t="n"/>
      <c r="AF356" s="22" t="inlineStr">
        <is>
          <t>LW</t>
        </is>
      </c>
      <c r="AG356" s="23" t="inlineStr">
        <is>
          <t>NAC</t>
        </is>
      </c>
      <c r="AH356" s="24" t="n"/>
      <c r="AN356" s="24" t="n"/>
    </row>
    <row r="357" ht="12.75" customHeight="1">
      <c r="A357" s="15" t="n">
        <v>3254508</v>
      </c>
      <c r="B357" s="15" t="inlineStr">
        <is>
          <t>Flexport</t>
        </is>
      </c>
      <c r="C357" s="15" t="inlineStr">
        <is>
          <t>Colombo, LK</t>
        </is>
      </c>
      <c r="D357" s="15" t="inlineStr">
        <is>
          <t>New York, NY, US</t>
        </is>
      </c>
      <c r="E357" s="15" t="inlineStr">
        <is>
          <t>Mississauga, ON, CA</t>
        </is>
      </c>
      <c r="F357" s="15" t="inlineStr">
        <is>
          <t>OCEAN</t>
        </is>
      </c>
      <c r="G357" s="15" t="inlineStr">
        <is>
          <t>D. 1 x 40HC</t>
        </is>
      </c>
      <c r="H357" s="15" t="inlineStr">
        <is>
          <t>CFS/CY</t>
        </is>
      </c>
      <c r="I357" s="15" t="inlineStr">
        <is>
          <t>ONE</t>
        </is>
      </c>
      <c r="J357" s="15" t="inlineStr">
        <is>
          <t>EC3</t>
        </is>
      </c>
      <c r="K357" s="15" t="inlineStr">
        <is>
          <t>MAS AMITY PTE LTD</t>
        </is>
      </c>
      <c r="L357" s="16" t="inlineStr">
        <is>
          <t>MAS Active(Pvt) Ltd – CONTOURLINE</t>
        </is>
      </c>
      <c r="M357" s="15" t="inlineStr">
        <is>
          <t>N</t>
        </is>
      </c>
      <c r="N357" s="17" t="n">
        <v>452907207315</v>
      </c>
      <c r="O357" s="15" t="n">
        <v>19939403</v>
      </c>
      <c r="P357" s="18" t="inlineStr">
        <is>
          <t>LM7BI2S</t>
        </is>
      </c>
      <c r="Q357" s="18" t="n">
        <v>1</v>
      </c>
      <c r="R357" s="18" t="n">
        <v>0.079</v>
      </c>
      <c r="S357" s="15" t="n">
        <v>8.788</v>
      </c>
      <c r="T357" s="16" t="n">
        <v>45824</v>
      </c>
      <c r="U357" s="19" t="n">
        <v>45883</v>
      </c>
      <c r="V357" s="16" t="n">
        <v>45824</v>
      </c>
      <c r="W357" s="16" t="n">
        <v>45826</v>
      </c>
      <c r="X357" s="57">
        <f>W357-1</f>
        <v/>
      </c>
      <c r="Y357" s="63" t="n">
        <v>45832</v>
      </c>
      <c r="Z357" s="67" t="n">
        <v>45861</v>
      </c>
      <c r="AA357" s="71">
        <f>Z357+13</f>
        <v/>
      </c>
      <c r="AB357" s="20">
        <f>AA357-U357</f>
        <v/>
      </c>
      <c r="AC357" s="20" t="inlineStr">
        <is>
          <t>No</t>
        </is>
      </c>
      <c r="AD357" s="21" t="inlineStr">
        <is>
          <t>1 HBL</t>
        </is>
      </c>
      <c r="AE357" s="21" t="n"/>
      <c r="AF357" s="22" t="inlineStr">
        <is>
          <t>LW</t>
        </is>
      </c>
      <c r="AG357" s="23" t="inlineStr">
        <is>
          <t>NAC</t>
        </is>
      </c>
      <c r="AH357" s="24" t="n"/>
      <c r="AN357" s="24" t="n"/>
    </row>
    <row r="358" ht="12.75" customHeight="1">
      <c r="A358" s="15" t="n">
        <v>3254508</v>
      </c>
      <c r="B358" s="15" t="inlineStr">
        <is>
          <t>Flexport</t>
        </is>
      </c>
      <c r="C358" s="15" t="inlineStr">
        <is>
          <t>Colombo, LK</t>
        </is>
      </c>
      <c r="D358" s="15" t="inlineStr">
        <is>
          <t>New York, NY, US</t>
        </is>
      </c>
      <c r="E358" s="15" t="inlineStr">
        <is>
          <t>Mississauga, ON, CA</t>
        </is>
      </c>
      <c r="F358" s="15" t="inlineStr">
        <is>
          <t>OCEAN</t>
        </is>
      </c>
      <c r="G358" s="15" t="inlineStr">
        <is>
          <t>D. 1 x 40HC</t>
        </is>
      </c>
      <c r="H358" s="15" t="inlineStr">
        <is>
          <t>CFS/CY</t>
        </is>
      </c>
      <c r="I358" s="15" t="inlineStr">
        <is>
          <t>ONE</t>
        </is>
      </c>
      <c r="J358" s="15" t="inlineStr">
        <is>
          <t>EC3</t>
        </is>
      </c>
      <c r="K358" s="15" t="inlineStr">
        <is>
          <t>MAS AMITY PTE LTD</t>
        </is>
      </c>
      <c r="L358" s="16" t="inlineStr">
        <is>
          <t>MAS Active(Pvt) Ltd – CONTOURLINE</t>
        </is>
      </c>
      <c r="M358" s="15" t="inlineStr">
        <is>
          <t>N</t>
        </is>
      </c>
      <c r="N358" s="17" t="n">
        <v>452907209433</v>
      </c>
      <c r="O358" s="15" t="n">
        <v>19939664</v>
      </c>
      <c r="P358" s="18" t="inlineStr">
        <is>
          <t>LW6CLQS</t>
        </is>
      </c>
      <c r="Q358" s="18" t="n">
        <v>9</v>
      </c>
      <c r="R358" s="18" t="n">
        <v>0.711</v>
      </c>
      <c r="S358" s="15" t="n">
        <v>125.505</v>
      </c>
      <c r="T358" s="16" t="n">
        <v>45824</v>
      </c>
      <c r="U358" s="19" t="n">
        <v>45883</v>
      </c>
      <c r="V358" s="16" t="n">
        <v>45824</v>
      </c>
      <c r="W358" s="16" t="n">
        <v>45826</v>
      </c>
      <c r="X358" s="57">
        <f>W358-1</f>
        <v/>
      </c>
      <c r="Y358" s="63" t="n">
        <v>45832</v>
      </c>
      <c r="Z358" s="67" t="n">
        <v>45861</v>
      </c>
      <c r="AA358" s="71">
        <f>Z358+13</f>
        <v/>
      </c>
      <c r="AB358" s="20">
        <f>AA358-U358</f>
        <v/>
      </c>
      <c r="AC358" s="20" t="inlineStr">
        <is>
          <t>No</t>
        </is>
      </c>
      <c r="AD358" s="21" t="inlineStr">
        <is>
          <t>1 HBL</t>
        </is>
      </c>
      <c r="AE358" s="21" t="n"/>
      <c r="AF358" s="22" t="inlineStr">
        <is>
          <t>LW</t>
        </is>
      </c>
      <c r="AG358" s="23" t="inlineStr">
        <is>
          <t>NAC</t>
        </is>
      </c>
      <c r="AH358" s="24" t="n"/>
      <c r="AN358" s="24" t="n"/>
    </row>
    <row r="359" ht="12.75" customHeight="1">
      <c r="A359" s="15" t="n">
        <v>3254508</v>
      </c>
      <c r="B359" s="15" t="inlineStr">
        <is>
          <t>Flexport</t>
        </is>
      </c>
      <c r="C359" s="15" t="inlineStr">
        <is>
          <t>Colombo, LK</t>
        </is>
      </c>
      <c r="D359" s="15" t="inlineStr">
        <is>
          <t>New York, NY, US</t>
        </is>
      </c>
      <c r="E359" s="15" t="inlineStr">
        <is>
          <t>Mississauga, ON, CA</t>
        </is>
      </c>
      <c r="F359" s="15" t="inlineStr">
        <is>
          <t>OCEAN</t>
        </is>
      </c>
      <c r="G359" s="15" t="inlineStr">
        <is>
          <t>D. 1 x 40HC</t>
        </is>
      </c>
      <c r="H359" s="15" t="inlineStr">
        <is>
          <t>CFS/CY</t>
        </is>
      </c>
      <c r="I359" s="15" t="inlineStr">
        <is>
          <t>ONE</t>
        </is>
      </c>
      <c r="J359" s="15" t="inlineStr">
        <is>
          <t>EC3</t>
        </is>
      </c>
      <c r="K359" s="15" t="inlineStr">
        <is>
          <t>MAS AMITY PTE LTD</t>
        </is>
      </c>
      <c r="L359" s="16" t="inlineStr">
        <is>
          <t>MAS Active(Pvt) Ltd – CONTOURLINE</t>
        </is>
      </c>
      <c r="M359" s="15" t="inlineStr">
        <is>
          <t>N</t>
        </is>
      </c>
      <c r="N359" s="17" t="n">
        <v>452907289795</v>
      </c>
      <c r="O359" s="15" t="n">
        <v>19925418</v>
      </c>
      <c r="P359" s="18" t="inlineStr">
        <is>
          <t>LW5FARS</t>
        </is>
      </c>
      <c r="Q359" s="18" t="n">
        <v>1</v>
      </c>
      <c r="R359" s="18" t="n">
        <v>0.039</v>
      </c>
      <c r="S359" s="15" t="n">
        <v>1.638</v>
      </c>
      <c r="T359" s="16" t="n">
        <v>45824</v>
      </c>
      <c r="U359" s="19" t="n">
        <v>45883</v>
      </c>
      <c r="V359" s="16" t="n">
        <v>45824</v>
      </c>
      <c r="W359" s="16" t="n">
        <v>45826</v>
      </c>
      <c r="X359" s="57">
        <f>W359-1</f>
        <v/>
      </c>
      <c r="Y359" s="63" t="n">
        <v>45832</v>
      </c>
      <c r="Z359" s="67" t="n">
        <v>45861</v>
      </c>
      <c r="AA359" s="71">
        <f>Z359+13</f>
        <v/>
      </c>
      <c r="AB359" s="20">
        <f>AA359-U359</f>
        <v/>
      </c>
      <c r="AC359" s="20" t="inlineStr">
        <is>
          <t>No</t>
        </is>
      </c>
      <c r="AD359" s="21" t="inlineStr">
        <is>
          <t>1 HBL</t>
        </is>
      </c>
      <c r="AE359" s="21" t="n"/>
      <c r="AF359" s="22" t="inlineStr">
        <is>
          <t>LW</t>
        </is>
      </c>
      <c r="AG359" s="23" t="inlineStr">
        <is>
          <t>NAC</t>
        </is>
      </c>
      <c r="AH359" s="24" t="n"/>
      <c r="AN359" s="24" t="n"/>
    </row>
    <row r="360" ht="12.75" customHeight="1">
      <c r="A360" s="15" t="n">
        <v>3254508</v>
      </c>
      <c r="B360" s="15" t="inlineStr">
        <is>
          <t>Flexport</t>
        </is>
      </c>
      <c r="C360" s="15" t="inlineStr">
        <is>
          <t>Colombo, LK</t>
        </is>
      </c>
      <c r="D360" s="15" t="inlineStr">
        <is>
          <t>New York, NY, US</t>
        </is>
      </c>
      <c r="E360" s="15" t="inlineStr">
        <is>
          <t>Mississauga, ON, CA</t>
        </is>
      </c>
      <c r="F360" s="15" t="inlineStr">
        <is>
          <t>OCEAN</t>
        </is>
      </c>
      <c r="G360" s="15" t="inlineStr">
        <is>
          <t>D. 1 x 40HC</t>
        </is>
      </c>
      <c r="H360" s="15" t="inlineStr">
        <is>
          <t>CFS/CY</t>
        </is>
      </c>
      <c r="I360" s="15" t="inlineStr">
        <is>
          <t>ONE</t>
        </is>
      </c>
      <c r="J360" s="15" t="inlineStr">
        <is>
          <t>EC3</t>
        </is>
      </c>
      <c r="K360" s="15" t="inlineStr">
        <is>
          <t>MAS AMITY PTE LTD</t>
        </is>
      </c>
      <c r="L360" s="16" t="inlineStr">
        <is>
          <t>MAS Active(Pvt) Ltd – CONTOURLINE</t>
        </is>
      </c>
      <c r="M360" s="15" t="inlineStr">
        <is>
          <t>N</t>
        </is>
      </c>
      <c r="N360" s="17" t="n">
        <v>452910674494</v>
      </c>
      <c r="O360" s="15" t="n">
        <v>19939445</v>
      </c>
      <c r="P360" s="18" t="inlineStr">
        <is>
          <t>LW5ENMS</t>
        </is>
      </c>
      <c r="Q360" s="18" t="n">
        <v>5</v>
      </c>
      <c r="R360" s="18" t="n">
        <v>0.395</v>
      </c>
      <c r="S360" s="15" t="n">
        <v>70.06</v>
      </c>
      <c r="T360" s="16" t="n">
        <v>45824</v>
      </c>
      <c r="U360" s="19" t="n">
        <v>45883</v>
      </c>
      <c r="V360" s="16" t="n">
        <v>45824</v>
      </c>
      <c r="W360" s="16" t="n">
        <v>45826</v>
      </c>
      <c r="X360" s="57">
        <f>W360-1</f>
        <v/>
      </c>
      <c r="Y360" s="63" t="n">
        <v>45832</v>
      </c>
      <c r="Z360" s="67" t="n">
        <v>45861</v>
      </c>
      <c r="AA360" s="71">
        <f>Z360+13</f>
        <v/>
      </c>
      <c r="AB360" s="20">
        <f>AA360-U360</f>
        <v/>
      </c>
      <c r="AC360" s="20" t="inlineStr">
        <is>
          <t>No</t>
        </is>
      </c>
      <c r="AD360" s="21" t="inlineStr">
        <is>
          <t>1 HBL</t>
        </is>
      </c>
      <c r="AE360" s="21" t="n"/>
      <c r="AF360" s="22" t="inlineStr">
        <is>
          <t>LW</t>
        </is>
      </c>
      <c r="AG360" s="23" t="inlineStr">
        <is>
          <t>NAC</t>
        </is>
      </c>
      <c r="AH360" s="24" t="n"/>
      <c r="AN360" s="24" t="n"/>
    </row>
    <row r="361" ht="12.75" customHeight="1">
      <c r="A361" s="15" t="n">
        <v>3254508</v>
      </c>
      <c r="B361" s="15" t="inlineStr">
        <is>
          <t>Flexport</t>
        </is>
      </c>
      <c r="C361" s="15" t="inlineStr">
        <is>
          <t>Colombo, LK</t>
        </is>
      </c>
      <c r="D361" s="15" t="inlineStr">
        <is>
          <t>New York, NY, US</t>
        </is>
      </c>
      <c r="E361" s="15" t="inlineStr">
        <is>
          <t>Mississauga, ON, CA</t>
        </is>
      </c>
      <c r="F361" s="15" t="inlineStr">
        <is>
          <t>OCEAN</t>
        </is>
      </c>
      <c r="G361" s="15" t="inlineStr">
        <is>
          <t>D. 1 x 40HC</t>
        </is>
      </c>
      <c r="H361" s="15" t="inlineStr">
        <is>
          <t>CFS/CY</t>
        </is>
      </c>
      <c r="I361" s="15" t="inlineStr">
        <is>
          <t>ONE</t>
        </is>
      </c>
      <c r="J361" s="15" t="inlineStr">
        <is>
          <t>EC3</t>
        </is>
      </c>
      <c r="K361" s="15" t="inlineStr">
        <is>
          <t>MAS AMITY PTE LTD</t>
        </is>
      </c>
      <c r="L361" s="16" t="inlineStr">
        <is>
          <t>MAS Active(Pvt) Ltd – CONTOURLINE</t>
        </is>
      </c>
      <c r="M361" s="15" t="inlineStr">
        <is>
          <t>N</t>
        </is>
      </c>
      <c r="N361" s="17" t="n">
        <v>452914344646</v>
      </c>
      <c r="O361" s="15" t="n">
        <v>19939843</v>
      </c>
      <c r="P361" s="18" t="inlineStr">
        <is>
          <t>LM7BI2S</t>
        </is>
      </c>
      <c r="Q361" s="18" t="n">
        <v>8</v>
      </c>
      <c r="R361" s="18" t="n">
        <v>0.632</v>
      </c>
      <c r="S361" s="15" t="n">
        <v>93.913</v>
      </c>
      <c r="T361" s="16" t="n">
        <v>45824</v>
      </c>
      <c r="U361" s="19" t="n">
        <v>45883</v>
      </c>
      <c r="V361" s="16" t="n">
        <v>45824</v>
      </c>
      <c r="W361" s="16" t="n">
        <v>45826</v>
      </c>
      <c r="X361" s="57">
        <f>W361-1</f>
        <v/>
      </c>
      <c r="Y361" s="63" t="n">
        <v>45832</v>
      </c>
      <c r="Z361" s="67" t="n">
        <v>45861</v>
      </c>
      <c r="AA361" s="71">
        <f>Z361+13</f>
        <v/>
      </c>
      <c r="AB361" s="20">
        <f>AA361-U361</f>
        <v/>
      </c>
      <c r="AC361" s="20" t="inlineStr">
        <is>
          <t>No</t>
        </is>
      </c>
      <c r="AD361" s="21" t="inlineStr">
        <is>
          <t>1 HBL</t>
        </is>
      </c>
      <c r="AE361" s="21" t="n"/>
      <c r="AF361" s="22" t="inlineStr">
        <is>
          <t>LW</t>
        </is>
      </c>
      <c r="AG361" s="23" t="inlineStr">
        <is>
          <t>NAC</t>
        </is>
      </c>
      <c r="AH361" s="24" t="n"/>
      <c r="AN361" s="24" t="n"/>
    </row>
    <row r="362" ht="12.75" customHeight="1">
      <c r="A362" s="15" t="n">
        <v>3254508</v>
      </c>
      <c r="B362" s="15" t="inlineStr">
        <is>
          <t>Flexport</t>
        </is>
      </c>
      <c r="C362" s="15" t="inlineStr">
        <is>
          <t>Colombo, LK</t>
        </is>
      </c>
      <c r="D362" s="15" t="inlineStr">
        <is>
          <t>New York, NY, US</t>
        </is>
      </c>
      <c r="E362" s="15" t="inlineStr">
        <is>
          <t>Mississauga, ON, CA</t>
        </is>
      </c>
      <c r="F362" s="15" t="inlineStr">
        <is>
          <t>OCEAN</t>
        </is>
      </c>
      <c r="G362" s="15" t="inlineStr">
        <is>
          <t>D. 1 x 40HC</t>
        </is>
      </c>
      <c r="H362" s="15" t="inlineStr">
        <is>
          <t>CFS/CY</t>
        </is>
      </c>
      <c r="I362" s="15" t="inlineStr">
        <is>
          <t>ONE</t>
        </is>
      </c>
      <c r="J362" s="15" t="inlineStr">
        <is>
          <t>EC3</t>
        </is>
      </c>
      <c r="K362" s="15" t="inlineStr">
        <is>
          <t>MAS AMITY PTE LTD</t>
        </is>
      </c>
      <c r="L362" s="16" t="inlineStr">
        <is>
          <t>MAS Active(Pvt) Ltd – CONTOURLINE</t>
        </is>
      </c>
      <c r="M362" s="15" t="inlineStr">
        <is>
          <t>N</t>
        </is>
      </c>
      <c r="N362" s="17" t="n">
        <v>452914765943</v>
      </c>
      <c r="O362" s="15" t="n">
        <v>19939735</v>
      </c>
      <c r="P362" s="18" t="inlineStr">
        <is>
          <t>LM3FBSS</t>
        </is>
      </c>
      <c r="Q362" s="18" t="n">
        <v>9</v>
      </c>
      <c r="R362" s="18" t="n">
        <v>0.711</v>
      </c>
      <c r="S362" s="15" t="n">
        <v>120.451</v>
      </c>
      <c r="T362" s="16" t="n">
        <v>45824</v>
      </c>
      <c r="U362" s="19" t="n">
        <v>45883</v>
      </c>
      <c r="V362" s="16" t="n">
        <v>45824</v>
      </c>
      <c r="W362" s="16" t="n">
        <v>45826</v>
      </c>
      <c r="X362" s="57">
        <f>W362-1</f>
        <v/>
      </c>
      <c r="Y362" s="63" t="n">
        <v>45832</v>
      </c>
      <c r="Z362" s="67" t="n">
        <v>45861</v>
      </c>
      <c r="AA362" s="71">
        <f>Z362+13</f>
        <v/>
      </c>
      <c r="AB362" s="20">
        <f>AA362-U362</f>
        <v/>
      </c>
      <c r="AC362" s="20" t="inlineStr">
        <is>
          <t>No</t>
        </is>
      </c>
      <c r="AD362" s="21" t="inlineStr">
        <is>
          <t>1 HBL</t>
        </is>
      </c>
      <c r="AE362" s="21" t="n"/>
      <c r="AF362" s="22" t="inlineStr">
        <is>
          <t>LW</t>
        </is>
      </c>
      <c r="AG362" s="23" t="inlineStr">
        <is>
          <t>NAC</t>
        </is>
      </c>
      <c r="AH362" s="24" t="n"/>
      <c r="AN362" s="24" t="n"/>
    </row>
    <row r="363" ht="12.75" customHeight="1">
      <c r="A363" s="15" t="n">
        <v>3254508</v>
      </c>
      <c r="B363" s="15" t="inlineStr">
        <is>
          <t>Flexport</t>
        </is>
      </c>
      <c r="C363" s="15" t="inlineStr">
        <is>
          <t>Colombo, LK</t>
        </is>
      </c>
      <c r="D363" s="15" t="inlineStr">
        <is>
          <t>New York, NY, US</t>
        </is>
      </c>
      <c r="E363" s="15" t="inlineStr">
        <is>
          <t>Mississauga, ON, CA</t>
        </is>
      </c>
      <c r="F363" s="15" t="inlineStr">
        <is>
          <t>OCEAN</t>
        </is>
      </c>
      <c r="G363" s="15" t="inlineStr">
        <is>
          <t>D. 1 x 40HC</t>
        </is>
      </c>
      <c r="H363" s="15" t="inlineStr">
        <is>
          <t>CFS/CY</t>
        </is>
      </c>
      <c r="I363" s="15" t="inlineStr">
        <is>
          <t>ONE</t>
        </is>
      </c>
      <c r="J363" s="15" t="inlineStr">
        <is>
          <t>EC3</t>
        </is>
      </c>
      <c r="K363" s="15" t="inlineStr">
        <is>
          <t>MAS AMITY PTE LTD</t>
        </is>
      </c>
      <c r="L363" s="16" t="inlineStr">
        <is>
          <t>MAS Active(Pvt) Ltd – CONTOURLINE</t>
        </is>
      </c>
      <c r="M363" s="15" t="inlineStr">
        <is>
          <t>N</t>
        </is>
      </c>
      <c r="N363" s="17" t="n">
        <v>454980124369</v>
      </c>
      <c r="O363" s="15" t="n">
        <v>19896672</v>
      </c>
      <c r="P363" s="18" t="inlineStr">
        <is>
          <t>LW1DRKS</t>
        </is>
      </c>
      <c r="Q363" s="18" t="n">
        <v>1</v>
      </c>
      <c r="R363" s="18" t="n">
        <v>0.079</v>
      </c>
      <c r="S363" s="15" t="n">
        <v>10.882</v>
      </c>
      <c r="T363" s="16" t="n">
        <v>45824</v>
      </c>
      <c r="U363" s="19" t="n">
        <v>45883</v>
      </c>
      <c r="V363" s="16" t="n">
        <v>45824</v>
      </c>
      <c r="W363" s="16" t="n">
        <v>45826</v>
      </c>
      <c r="X363" s="57">
        <f>W363-1</f>
        <v/>
      </c>
      <c r="Y363" s="63" t="n">
        <v>45832</v>
      </c>
      <c r="Z363" s="67" t="n">
        <v>45861</v>
      </c>
      <c r="AA363" s="71">
        <f>Z363+13</f>
        <v/>
      </c>
      <c r="AB363" s="20">
        <f>AA363-U363</f>
        <v/>
      </c>
      <c r="AC363" s="20" t="inlineStr">
        <is>
          <t>No</t>
        </is>
      </c>
      <c r="AD363" s="21" t="inlineStr">
        <is>
          <t>1 HBL</t>
        </is>
      </c>
      <c r="AE363" s="21" t="n"/>
      <c r="AF363" s="22" t="inlineStr">
        <is>
          <t>LW</t>
        </is>
      </c>
      <c r="AG363" s="23" t="inlineStr">
        <is>
          <t>NAC</t>
        </is>
      </c>
      <c r="AH363" s="24" t="n"/>
      <c r="AN363" s="24" t="n"/>
    </row>
    <row r="364" ht="12.75" customHeight="1">
      <c r="A364" s="15" t="n">
        <v>3254508</v>
      </c>
      <c r="B364" s="15" t="inlineStr">
        <is>
          <t>Flexport</t>
        </is>
      </c>
      <c r="C364" s="15" t="inlineStr">
        <is>
          <t>Colombo, LK</t>
        </is>
      </c>
      <c r="D364" s="15" t="inlineStr">
        <is>
          <t>New York, NY, US</t>
        </is>
      </c>
      <c r="E364" s="15" t="inlineStr">
        <is>
          <t>Mississauga, ON, CA</t>
        </is>
      </c>
      <c r="F364" s="15" t="inlineStr">
        <is>
          <t>OCEAN</t>
        </is>
      </c>
      <c r="G364" s="15" t="inlineStr">
        <is>
          <t>D. 1 x 40HC</t>
        </is>
      </c>
      <c r="H364" s="15" t="inlineStr">
        <is>
          <t>CFS/CY</t>
        </is>
      </c>
      <c r="I364" s="15" t="inlineStr">
        <is>
          <t>ONE</t>
        </is>
      </c>
      <c r="J364" s="15" t="inlineStr">
        <is>
          <t>EC3</t>
        </is>
      </c>
      <c r="K364" s="15" t="inlineStr">
        <is>
          <t>MAS AMITY PTE LTD</t>
        </is>
      </c>
      <c r="L364" s="16" t="inlineStr">
        <is>
          <t>MAS Active(Pvt) Ltd – CONTOURLINE</t>
        </is>
      </c>
      <c r="M364" s="15" t="inlineStr">
        <is>
          <t>N</t>
        </is>
      </c>
      <c r="N364" s="17" t="n">
        <v>454984993809</v>
      </c>
      <c r="O364" s="15" t="n">
        <v>19896697</v>
      </c>
      <c r="P364" s="18" t="inlineStr">
        <is>
          <t>LW1DRKS</t>
        </is>
      </c>
      <c r="Q364" s="18" t="n">
        <v>3</v>
      </c>
      <c r="R364" s="18" t="n">
        <v>0.237</v>
      </c>
      <c r="S364" s="15" t="n">
        <v>31.954</v>
      </c>
      <c r="T364" s="16" t="n">
        <v>45824</v>
      </c>
      <c r="U364" s="19" t="n">
        <v>45883</v>
      </c>
      <c r="V364" s="16" t="n">
        <v>45824</v>
      </c>
      <c r="W364" s="16" t="n">
        <v>45826</v>
      </c>
      <c r="X364" s="57">
        <f>W364-1</f>
        <v/>
      </c>
      <c r="Y364" s="63" t="n">
        <v>45832</v>
      </c>
      <c r="Z364" s="67" t="n">
        <v>45861</v>
      </c>
      <c r="AA364" s="71">
        <f>Z364+13</f>
        <v/>
      </c>
      <c r="AB364" s="20">
        <f>AA364-U364</f>
        <v/>
      </c>
      <c r="AC364" s="20" t="inlineStr">
        <is>
          <t>No</t>
        </is>
      </c>
      <c r="AD364" s="21" t="inlineStr">
        <is>
          <t>1 HBL</t>
        </is>
      </c>
      <c r="AE364" s="21" t="n"/>
      <c r="AF364" s="22" t="inlineStr">
        <is>
          <t>LW</t>
        </is>
      </c>
      <c r="AG364" s="23" t="inlineStr">
        <is>
          <t>NAC</t>
        </is>
      </c>
      <c r="AH364" s="24" t="n"/>
      <c r="AN364" s="24" t="n"/>
    </row>
    <row r="365" ht="12.75" customHeight="1">
      <c r="A365" s="15" t="n">
        <v>3254508</v>
      </c>
      <c r="B365" s="15" t="inlineStr">
        <is>
          <t>Flexport</t>
        </is>
      </c>
      <c r="C365" s="15" t="inlineStr">
        <is>
          <t>Colombo, LK</t>
        </is>
      </c>
      <c r="D365" s="15" t="inlineStr">
        <is>
          <t>New York, NY, US</t>
        </is>
      </c>
      <c r="E365" s="15" t="inlineStr">
        <is>
          <t>Mississauga, ON, CA</t>
        </is>
      </c>
      <c r="F365" s="15" t="inlineStr">
        <is>
          <t>OCEAN</t>
        </is>
      </c>
      <c r="G365" s="15" t="inlineStr">
        <is>
          <t>D. 1 x 40HC</t>
        </is>
      </c>
      <c r="H365" s="15" t="inlineStr">
        <is>
          <t>CFS/CY</t>
        </is>
      </c>
      <c r="I365" s="15" t="inlineStr">
        <is>
          <t>ONE</t>
        </is>
      </c>
      <c r="J365" s="15" t="inlineStr">
        <is>
          <t>EC3</t>
        </is>
      </c>
      <c r="K365" s="15" t="inlineStr">
        <is>
          <t>MAS AMITY PTE LTD</t>
        </is>
      </c>
      <c r="L365" s="16" t="inlineStr">
        <is>
          <t>MAS Fabrics (Pvt) Ltd Intimo</t>
        </is>
      </c>
      <c r="M365" s="15" t="inlineStr">
        <is>
          <t>N</t>
        </is>
      </c>
      <c r="N365" s="17" t="n">
        <v>454700184543</v>
      </c>
      <c r="O365" s="15" t="n">
        <v>19910666</v>
      </c>
      <c r="P365" s="18" t="inlineStr">
        <is>
          <t>LW3JSMS</t>
        </is>
      </c>
      <c r="Q365" s="18" t="n">
        <v>4</v>
      </c>
      <c r="R365" s="18" t="n">
        <v>0.276</v>
      </c>
      <c r="S365" s="15" t="n">
        <v>28.502</v>
      </c>
      <c r="T365" s="16" t="n">
        <v>45824</v>
      </c>
      <c r="U365" s="19" t="n">
        <v>45883</v>
      </c>
      <c r="V365" s="16" t="n">
        <v>45824</v>
      </c>
      <c r="W365" s="16" t="n">
        <v>45826</v>
      </c>
      <c r="X365" s="57">
        <f>W365-1</f>
        <v/>
      </c>
      <c r="Y365" s="63" t="n">
        <v>45832</v>
      </c>
      <c r="Z365" s="67" t="n">
        <v>45861</v>
      </c>
      <c r="AA365" s="71">
        <f>Z365+13</f>
        <v/>
      </c>
      <c r="AB365" s="20">
        <f>AA365-U365</f>
        <v/>
      </c>
      <c r="AC365" s="20" t="inlineStr">
        <is>
          <t>No</t>
        </is>
      </c>
      <c r="AD365" s="21" t="inlineStr">
        <is>
          <t>1 HBL</t>
        </is>
      </c>
      <c r="AE365" s="21" t="n"/>
      <c r="AF365" s="22" t="inlineStr">
        <is>
          <t>LW</t>
        </is>
      </c>
      <c r="AG365" s="23" t="inlineStr">
        <is>
          <t>NAC</t>
        </is>
      </c>
      <c r="AH365" s="24" t="n"/>
      <c r="AN365" s="24" t="n"/>
    </row>
    <row r="366" ht="12.75" customHeight="1">
      <c r="A366" s="15" t="n">
        <v>3254508</v>
      </c>
      <c r="B366" s="15" t="inlineStr">
        <is>
          <t>Flexport</t>
        </is>
      </c>
      <c r="C366" s="15" t="inlineStr">
        <is>
          <t>Colombo, LK</t>
        </is>
      </c>
      <c r="D366" s="15" t="inlineStr">
        <is>
          <t>New York, NY, US</t>
        </is>
      </c>
      <c r="E366" s="15" t="inlineStr">
        <is>
          <t>Mississauga, ON, CA</t>
        </is>
      </c>
      <c r="F366" s="15" t="inlineStr">
        <is>
          <t>OCEAN</t>
        </is>
      </c>
      <c r="G366" s="15" t="inlineStr">
        <is>
          <t>D. 1 x 40HC</t>
        </is>
      </c>
      <c r="H366" s="15" t="inlineStr">
        <is>
          <t>CFS/CY</t>
        </is>
      </c>
      <c r="I366" s="15" t="inlineStr">
        <is>
          <t>ONE</t>
        </is>
      </c>
      <c r="J366" s="15" t="inlineStr">
        <is>
          <t>EC3</t>
        </is>
      </c>
      <c r="K366" s="15" t="inlineStr">
        <is>
          <t>MAS AMITY PTE LTD</t>
        </is>
      </c>
      <c r="L366" s="16" t="inlineStr">
        <is>
          <t>MAS Fabrics (Pvt) Ltd Intimo</t>
        </is>
      </c>
      <c r="M366" s="15" t="inlineStr">
        <is>
          <t>N</t>
        </is>
      </c>
      <c r="N366" s="17" t="n">
        <v>454701118584</v>
      </c>
      <c r="O366" s="15" t="n">
        <v>19910576</v>
      </c>
      <c r="P366" s="18" t="inlineStr">
        <is>
          <t>LW3JE8S</t>
        </is>
      </c>
      <c r="Q366" s="18" t="n">
        <v>7</v>
      </c>
      <c r="R366" s="18" t="n">
        <v>0.513</v>
      </c>
      <c r="S366" s="15" t="n">
        <v>69.652</v>
      </c>
      <c r="T366" s="16" t="n">
        <v>45824</v>
      </c>
      <c r="U366" s="19" t="n">
        <v>45883</v>
      </c>
      <c r="V366" s="16" t="n">
        <v>45824</v>
      </c>
      <c r="W366" s="16" t="n">
        <v>45826</v>
      </c>
      <c r="X366" s="57">
        <f>W366-1</f>
        <v/>
      </c>
      <c r="Y366" s="63" t="n">
        <v>45832</v>
      </c>
      <c r="Z366" s="67" t="n">
        <v>45861</v>
      </c>
      <c r="AA366" s="71">
        <f>Z366+13</f>
        <v/>
      </c>
      <c r="AB366" s="20">
        <f>AA366-U366</f>
        <v/>
      </c>
      <c r="AC366" s="20" t="inlineStr">
        <is>
          <t>No</t>
        </is>
      </c>
      <c r="AD366" s="21" t="inlineStr">
        <is>
          <t>1 HBL</t>
        </is>
      </c>
      <c r="AE366" s="21" t="n"/>
      <c r="AF366" s="22" t="inlineStr">
        <is>
          <t>LW</t>
        </is>
      </c>
      <c r="AG366" s="23" t="inlineStr">
        <is>
          <t>NAC</t>
        </is>
      </c>
      <c r="AH366" s="24" t="n"/>
      <c r="AN366" s="24" t="n"/>
    </row>
    <row r="367" ht="12.75" customHeight="1">
      <c r="A367" s="15" t="n">
        <v>3254508</v>
      </c>
      <c r="B367" s="15" t="inlineStr">
        <is>
          <t>Flexport</t>
        </is>
      </c>
      <c r="C367" s="15" t="inlineStr">
        <is>
          <t>Colombo, LK</t>
        </is>
      </c>
      <c r="D367" s="15" t="inlineStr">
        <is>
          <t>New York, NY, US</t>
        </is>
      </c>
      <c r="E367" s="15" t="inlineStr">
        <is>
          <t>Mississauga, ON, CA</t>
        </is>
      </c>
      <c r="F367" s="15" t="inlineStr">
        <is>
          <t>OCEAN</t>
        </is>
      </c>
      <c r="G367" s="15" t="inlineStr">
        <is>
          <t>D. 1 x 40HC</t>
        </is>
      </c>
      <c r="H367" s="15" t="inlineStr">
        <is>
          <t>CFS/CY</t>
        </is>
      </c>
      <c r="I367" s="15" t="inlineStr">
        <is>
          <t>ONE</t>
        </is>
      </c>
      <c r="J367" s="15" t="inlineStr">
        <is>
          <t>EC3</t>
        </is>
      </c>
      <c r="K367" s="15" t="inlineStr">
        <is>
          <t>MAS AMITY PTE LTD</t>
        </is>
      </c>
      <c r="L367" s="16" t="inlineStr">
        <is>
          <t>MAS Fabrics (Pvt) Ltd Intimo</t>
        </is>
      </c>
      <c r="M367" s="15" t="inlineStr">
        <is>
          <t>N</t>
        </is>
      </c>
      <c r="N367" s="17" t="n">
        <v>454701898077</v>
      </c>
      <c r="O367" s="15" t="n">
        <v>19910605</v>
      </c>
      <c r="P367" s="18" t="inlineStr">
        <is>
          <t>LW3JE8S</t>
        </is>
      </c>
      <c r="Q367" s="18" t="n">
        <v>5</v>
      </c>
      <c r="R367" s="18" t="n">
        <v>0.276</v>
      </c>
      <c r="S367" s="15" t="n">
        <v>29.954</v>
      </c>
      <c r="T367" s="16" t="n">
        <v>45824</v>
      </c>
      <c r="U367" s="19" t="n">
        <v>45883</v>
      </c>
      <c r="V367" s="16" t="n">
        <v>45824</v>
      </c>
      <c r="W367" s="16" t="n">
        <v>45826</v>
      </c>
      <c r="X367" s="57">
        <f>W367-1</f>
        <v/>
      </c>
      <c r="Y367" s="63" t="n">
        <v>45832</v>
      </c>
      <c r="Z367" s="67" t="n">
        <v>45861</v>
      </c>
      <c r="AA367" s="71">
        <f>Z367+13</f>
        <v/>
      </c>
      <c r="AB367" s="20">
        <f>AA367-U367</f>
        <v/>
      </c>
      <c r="AC367" s="20" t="inlineStr">
        <is>
          <t>No</t>
        </is>
      </c>
      <c r="AD367" s="21" t="inlineStr">
        <is>
          <t>1 HBL</t>
        </is>
      </c>
      <c r="AE367" s="21" t="n"/>
      <c r="AF367" s="22" t="inlineStr">
        <is>
          <t>LW</t>
        </is>
      </c>
      <c r="AG367" s="23" t="inlineStr">
        <is>
          <t>NAC</t>
        </is>
      </c>
      <c r="AH367" s="24" t="n"/>
      <c r="AN367" s="24" t="n"/>
    </row>
    <row r="368" ht="12.75" customHeight="1">
      <c r="A368" s="15" t="n">
        <v>3254508</v>
      </c>
      <c r="B368" s="15" t="inlineStr">
        <is>
          <t>Flexport</t>
        </is>
      </c>
      <c r="C368" s="15" t="inlineStr">
        <is>
          <t>Colombo, LK</t>
        </is>
      </c>
      <c r="D368" s="15" t="inlineStr">
        <is>
          <t>New York, NY, US</t>
        </is>
      </c>
      <c r="E368" s="15" t="inlineStr">
        <is>
          <t>Mississauga, ON, CA</t>
        </is>
      </c>
      <c r="F368" s="15" t="inlineStr">
        <is>
          <t>OCEAN</t>
        </is>
      </c>
      <c r="G368" s="15" t="inlineStr">
        <is>
          <t>D. 1 x 40HC</t>
        </is>
      </c>
      <c r="H368" s="15" t="inlineStr">
        <is>
          <t>CFS/CY</t>
        </is>
      </c>
      <c r="I368" s="15" t="inlineStr">
        <is>
          <t>ONE</t>
        </is>
      </c>
      <c r="J368" s="15" t="inlineStr">
        <is>
          <t>EC3</t>
        </is>
      </c>
      <c r="K368" s="15" t="inlineStr">
        <is>
          <t>MAS AMITY PTE LTD</t>
        </is>
      </c>
      <c r="L368" s="16" t="inlineStr">
        <is>
          <t>MAS Fabrics (Pvt) Ltd Intimo</t>
        </is>
      </c>
      <c r="M368" s="15" t="inlineStr">
        <is>
          <t>N</t>
        </is>
      </c>
      <c r="N368" s="17" t="n">
        <v>454701899241</v>
      </c>
      <c r="O368" s="15" t="n">
        <v>19910832</v>
      </c>
      <c r="P368" s="18" t="inlineStr">
        <is>
          <t>LW3GH4S</t>
        </is>
      </c>
      <c r="Q368" s="18" t="n">
        <v>5</v>
      </c>
      <c r="R368" s="18" t="n">
        <v>0.355</v>
      </c>
      <c r="S368" s="15" t="n">
        <v>49.962</v>
      </c>
      <c r="T368" s="16" t="n">
        <v>45824</v>
      </c>
      <c r="U368" s="19" t="n">
        <v>45883</v>
      </c>
      <c r="V368" s="16" t="n">
        <v>45824</v>
      </c>
      <c r="W368" s="16" t="n">
        <v>45826</v>
      </c>
      <c r="X368" s="57">
        <f>W368-1</f>
        <v/>
      </c>
      <c r="Y368" s="63" t="n">
        <v>45832</v>
      </c>
      <c r="Z368" s="67" t="n">
        <v>45861</v>
      </c>
      <c r="AA368" s="71">
        <f>Z368+13</f>
        <v/>
      </c>
      <c r="AB368" s="20">
        <f>AA368-U368</f>
        <v/>
      </c>
      <c r="AC368" s="20" t="inlineStr">
        <is>
          <t>No</t>
        </is>
      </c>
      <c r="AD368" s="21" t="inlineStr">
        <is>
          <t>1 HBL</t>
        </is>
      </c>
      <c r="AE368" s="21" t="n"/>
      <c r="AF368" s="22" t="inlineStr">
        <is>
          <t>LW</t>
        </is>
      </c>
      <c r="AG368" s="23" t="inlineStr">
        <is>
          <t>NAC</t>
        </is>
      </c>
      <c r="AH368" s="24" t="n"/>
      <c r="AN368" s="24" t="n"/>
    </row>
    <row r="369" ht="12.75" customHeight="1">
      <c r="A369" s="15" t="n">
        <v>3254508</v>
      </c>
      <c r="B369" s="15" t="inlineStr">
        <is>
          <t>Flexport</t>
        </is>
      </c>
      <c r="C369" s="15" t="inlineStr">
        <is>
          <t>Colombo, LK</t>
        </is>
      </c>
      <c r="D369" s="15" t="inlineStr">
        <is>
          <t>New York, NY, US</t>
        </is>
      </c>
      <c r="E369" s="15" t="inlineStr">
        <is>
          <t>Mississauga, ON, CA</t>
        </is>
      </c>
      <c r="F369" s="15" t="inlineStr">
        <is>
          <t>OCEAN</t>
        </is>
      </c>
      <c r="G369" s="15" t="inlineStr">
        <is>
          <t>D. 1 x 40HC</t>
        </is>
      </c>
      <c r="H369" s="15" t="inlineStr">
        <is>
          <t>CFS/CY</t>
        </is>
      </c>
      <c r="I369" s="15" t="inlineStr">
        <is>
          <t>ONE</t>
        </is>
      </c>
      <c r="J369" s="15" t="inlineStr">
        <is>
          <t>EC3</t>
        </is>
      </c>
      <c r="K369" s="15" t="inlineStr">
        <is>
          <t>MAS AMITY PTE LTD</t>
        </is>
      </c>
      <c r="L369" s="16" t="inlineStr">
        <is>
          <t>MAS Fabrics (Pvt) Ltd Intimo</t>
        </is>
      </c>
      <c r="M369" s="15" t="inlineStr">
        <is>
          <t>N</t>
        </is>
      </c>
      <c r="N369" s="17" t="n">
        <v>454702650660</v>
      </c>
      <c r="O369" s="15" t="n">
        <v>19910987</v>
      </c>
      <c r="P369" s="18" t="inlineStr">
        <is>
          <t>LW3GZHS</t>
        </is>
      </c>
      <c r="Q369" s="18" t="n">
        <v>5</v>
      </c>
      <c r="R369" s="18" t="n">
        <v>0.316</v>
      </c>
      <c r="S369" s="15" t="n">
        <v>27.946</v>
      </c>
      <c r="T369" s="16" t="n">
        <v>45824</v>
      </c>
      <c r="U369" s="19" t="n">
        <v>45883</v>
      </c>
      <c r="V369" s="16" t="n">
        <v>45824</v>
      </c>
      <c r="W369" s="16" t="n">
        <v>45826</v>
      </c>
      <c r="X369" s="57">
        <f>W369-1</f>
        <v/>
      </c>
      <c r="Y369" s="63" t="n">
        <v>45832</v>
      </c>
      <c r="Z369" s="67" t="n">
        <v>45861</v>
      </c>
      <c r="AA369" s="71">
        <f>Z369+13</f>
        <v/>
      </c>
      <c r="AB369" s="20">
        <f>AA369-U369</f>
        <v/>
      </c>
      <c r="AC369" s="20" t="inlineStr">
        <is>
          <t>No</t>
        </is>
      </c>
      <c r="AD369" s="21" t="inlineStr">
        <is>
          <t>1 HBL</t>
        </is>
      </c>
      <c r="AE369" s="21" t="n"/>
      <c r="AF369" s="22" t="inlineStr">
        <is>
          <t>LW</t>
        </is>
      </c>
      <c r="AG369" s="23" t="inlineStr">
        <is>
          <t>NAC</t>
        </is>
      </c>
      <c r="AH369" s="24" t="n"/>
      <c r="AN369" s="24" t="n"/>
    </row>
    <row r="370" ht="12.75" customHeight="1">
      <c r="A370" s="15" t="n">
        <v>3254508</v>
      </c>
      <c r="B370" s="15" t="inlineStr">
        <is>
          <t>Flexport</t>
        </is>
      </c>
      <c r="C370" s="15" t="inlineStr">
        <is>
          <t>Colombo, LK</t>
        </is>
      </c>
      <c r="D370" s="15" t="inlineStr">
        <is>
          <t>New York, NY, US</t>
        </is>
      </c>
      <c r="E370" s="15" t="inlineStr">
        <is>
          <t>Mississauga, ON, CA</t>
        </is>
      </c>
      <c r="F370" s="15" t="inlineStr">
        <is>
          <t>OCEAN</t>
        </is>
      </c>
      <c r="G370" s="15" t="inlineStr">
        <is>
          <t>D. 1 x 40HC</t>
        </is>
      </c>
      <c r="H370" s="15" t="inlineStr">
        <is>
          <t>CFS/CY</t>
        </is>
      </c>
      <c r="I370" s="15" t="inlineStr">
        <is>
          <t>ONE</t>
        </is>
      </c>
      <c r="J370" s="15" t="inlineStr">
        <is>
          <t>EC3</t>
        </is>
      </c>
      <c r="K370" s="15" t="inlineStr">
        <is>
          <t>MAS AMITY PTE LTD</t>
        </is>
      </c>
      <c r="L370" s="16" t="inlineStr">
        <is>
          <t>MAS Fabrics (Pvt) Ltd Intimo</t>
        </is>
      </c>
      <c r="M370" s="15" t="inlineStr">
        <is>
          <t>N</t>
        </is>
      </c>
      <c r="N370" s="17" t="n">
        <v>454702745689</v>
      </c>
      <c r="O370" s="15" t="n">
        <v>19910879</v>
      </c>
      <c r="P370" s="18" t="inlineStr">
        <is>
          <t>LW3GH4S</t>
        </is>
      </c>
      <c r="Q370" s="18" t="n">
        <v>4</v>
      </c>
      <c r="R370" s="18" t="n">
        <v>0.276</v>
      </c>
      <c r="S370" s="15" t="n">
        <v>35.795</v>
      </c>
      <c r="T370" s="16" t="n">
        <v>45824</v>
      </c>
      <c r="U370" s="19" t="n">
        <v>45883</v>
      </c>
      <c r="V370" s="16" t="n">
        <v>45824</v>
      </c>
      <c r="W370" s="16" t="n">
        <v>45826</v>
      </c>
      <c r="X370" s="57">
        <f>W370-1</f>
        <v/>
      </c>
      <c r="Y370" s="63" t="n">
        <v>45832</v>
      </c>
      <c r="Z370" s="67" t="n">
        <v>45861</v>
      </c>
      <c r="AA370" s="71">
        <f>Z370+13</f>
        <v/>
      </c>
      <c r="AB370" s="20">
        <f>AA370-U370</f>
        <v/>
      </c>
      <c r="AC370" s="20" t="inlineStr">
        <is>
          <t>No</t>
        </is>
      </c>
      <c r="AD370" s="21" t="inlineStr">
        <is>
          <t>1 HBL</t>
        </is>
      </c>
      <c r="AE370" s="21" t="n"/>
      <c r="AF370" s="22" t="inlineStr">
        <is>
          <t>LW</t>
        </is>
      </c>
      <c r="AG370" s="23" t="inlineStr">
        <is>
          <t>NAC</t>
        </is>
      </c>
      <c r="AH370" s="24" t="n"/>
      <c r="AN370" s="24" t="n"/>
    </row>
    <row r="371" ht="12.75" customHeight="1">
      <c r="A371" s="15" t="n">
        <v>3254508</v>
      </c>
      <c r="B371" s="15" t="inlineStr">
        <is>
          <t>Flexport</t>
        </is>
      </c>
      <c r="C371" s="15" t="inlineStr">
        <is>
          <t>Colombo, LK</t>
        </is>
      </c>
      <c r="D371" s="15" t="inlineStr">
        <is>
          <t>New York, NY, US</t>
        </is>
      </c>
      <c r="E371" s="15" t="inlineStr">
        <is>
          <t>Mississauga, ON, CA</t>
        </is>
      </c>
      <c r="F371" s="15" t="inlineStr">
        <is>
          <t>OCEAN</t>
        </is>
      </c>
      <c r="G371" s="15" t="inlineStr">
        <is>
          <t>D. 1 x 40HC</t>
        </is>
      </c>
      <c r="H371" s="15" t="inlineStr">
        <is>
          <t>CFS/CY</t>
        </is>
      </c>
      <c r="I371" s="15" t="inlineStr">
        <is>
          <t>ONE</t>
        </is>
      </c>
      <c r="J371" s="15" t="inlineStr">
        <is>
          <t>EC3</t>
        </is>
      </c>
      <c r="K371" s="15" t="inlineStr">
        <is>
          <t>MAS AMITY PTE LTD</t>
        </is>
      </c>
      <c r="L371" s="16" t="inlineStr">
        <is>
          <t>MAS Fabrics (Pvt) Ltd Intimo</t>
        </is>
      </c>
      <c r="M371" s="15" t="inlineStr">
        <is>
          <t>N</t>
        </is>
      </c>
      <c r="N371" s="17" t="n">
        <v>454703022457</v>
      </c>
      <c r="O371" s="15" t="n">
        <v>19911053</v>
      </c>
      <c r="P371" s="18" t="inlineStr">
        <is>
          <t>LW3JE8S</t>
        </is>
      </c>
      <c r="Q371" s="18" t="n">
        <v>10</v>
      </c>
      <c r="R371" s="18" t="n">
        <v>0.711</v>
      </c>
      <c r="S371" s="15" t="n">
        <v>99.136</v>
      </c>
      <c r="T371" s="16" t="n">
        <v>45824</v>
      </c>
      <c r="U371" s="19" t="n">
        <v>45883</v>
      </c>
      <c r="V371" s="16" t="n">
        <v>45824</v>
      </c>
      <c r="W371" s="16" t="n">
        <v>45826</v>
      </c>
      <c r="X371" s="57">
        <f>W371-1</f>
        <v/>
      </c>
      <c r="Y371" s="63" t="n">
        <v>45832</v>
      </c>
      <c r="Z371" s="67" t="n">
        <v>45861</v>
      </c>
      <c r="AA371" s="71">
        <f>Z371+13</f>
        <v/>
      </c>
      <c r="AB371" s="20">
        <f>AA371-U371</f>
        <v/>
      </c>
      <c r="AC371" s="20" t="inlineStr">
        <is>
          <t>No</t>
        </is>
      </c>
      <c r="AD371" s="21" t="inlineStr">
        <is>
          <t>1 HBL</t>
        </is>
      </c>
      <c r="AE371" s="21" t="n"/>
      <c r="AF371" s="22" t="inlineStr">
        <is>
          <t>LW</t>
        </is>
      </c>
      <c r="AG371" s="23" t="inlineStr">
        <is>
          <t>NAC</t>
        </is>
      </c>
      <c r="AH371" s="24" t="n"/>
      <c r="AN371" s="24" t="n"/>
    </row>
    <row r="372" ht="12.75" customHeight="1">
      <c r="A372" s="15" t="n">
        <v>3254508</v>
      </c>
      <c r="B372" s="15" t="inlineStr">
        <is>
          <t>Flexport</t>
        </is>
      </c>
      <c r="C372" s="15" t="inlineStr">
        <is>
          <t>Colombo, LK</t>
        </is>
      </c>
      <c r="D372" s="15" t="inlineStr">
        <is>
          <t>New York, NY, US</t>
        </is>
      </c>
      <c r="E372" s="15" t="inlineStr">
        <is>
          <t>Mississauga, ON, CA</t>
        </is>
      </c>
      <c r="F372" s="15" t="inlineStr">
        <is>
          <t>OCEAN</t>
        </is>
      </c>
      <c r="G372" s="15" t="inlineStr">
        <is>
          <t>D. 1 x 40HC</t>
        </is>
      </c>
      <c r="H372" s="15" t="inlineStr">
        <is>
          <t>CFS/CY</t>
        </is>
      </c>
      <c r="I372" s="15" t="inlineStr">
        <is>
          <t>ONE</t>
        </is>
      </c>
      <c r="J372" s="15" t="inlineStr">
        <is>
          <t>EC3</t>
        </is>
      </c>
      <c r="K372" s="15" t="inlineStr">
        <is>
          <t>MAS AMITY PTE LTD</t>
        </is>
      </c>
      <c r="L372" s="16" t="inlineStr">
        <is>
          <t>MAS Fabrics (Pvt) Ltd Intimo</t>
        </is>
      </c>
      <c r="M372" s="15" t="inlineStr">
        <is>
          <t>N</t>
        </is>
      </c>
      <c r="N372" s="17" t="n">
        <v>454703722960</v>
      </c>
      <c r="O372" s="15" t="n">
        <v>19911110</v>
      </c>
      <c r="P372" s="18" t="inlineStr">
        <is>
          <t>LW3JE8S</t>
        </is>
      </c>
      <c r="Q372" s="18" t="n">
        <v>13</v>
      </c>
      <c r="R372" s="18" t="n">
        <v>0.948</v>
      </c>
      <c r="S372" s="15" t="n">
        <v>132.41</v>
      </c>
      <c r="T372" s="16" t="n">
        <v>45824</v>
      </c>
      <c r="U372" s="19" t="n">
        <v>45883</v>
      </c>
      <c r="V372" s="16" t="n">
        <v>45824</v>
      </c>
      <c r="W372" s="16" t="n">
        <v>45826</v>
      </c>
      <c r="X372" s="57">
        <f>W372-1</f>
        <v/>
      </c>
      <c r="Y372" s="63" t="n">
        <v>45832</v>
      </c>
      <c r="Z372" s="67" t="n">
        <v>45861</v>
      </c>
      <c r="AA372" s="71">
        <f>Z372+13</f>
        <v/>
      </c>
      <c r="AB372" s="20">
        <f>AA372-U372</f>
        <v/>
      </c>
      <c r="AC372" s="20" t="inlineStr">
        <is>
          <t>No</t>
        </is>
      </c>
      <c r="AD372" s="21" t="inlineStr">
        <is>
          <t>1 HBL</t>
        </is>
      </c>
      <c r="AE372" s="21" t="n"/>
      <c r="AF372" s="22" t="inlineStr">
        <is>
          <t>LW</t>
        </is>
      </c>
      <c r="AG372" s="23" t="inlineStr">
        <is>
          <t>NAC</t>
        </is>
      </c>
      <c r="AH372" s="24" t="n"/>
      <c r="AN372" s="24" t="n"/>
    </row>
    <row r="373" ht="12.75" customHeight="1">
      <c r="A373" s="15" t="n">
        <v>3254508</v>
      </c>
      <c r="B373" s="15" t="inlineStr">
        <is>
          <t>Flexport</t>
        </is>
      </c>
      <c r="C373" s="15" t="inlineStr">
        <is>
          <t>Colombo, LK</t>
        </is>
      </c>
      <c r="D373" s="15" t="inlineStr">
        <is>
          <t>New York, NY, US</t>
        </is>
      </c>
      <c r="E373" s="15" t="inlineStr">
        <is>
          <t>Mississauga, ON, CA</t>
        </is>
      </c>
      <c r="F373" s="15" t="inlineStr">
        <is>
          <t>OCEAN</t>
        </is>
      </c>
      <c r="G373" s="15" t="inlineStr">
        <is>
          <t>D. 1 x 40HC</t>
        </is>
      </c>
      <c r="H373" s="15" t="inlineStr">
        <is>
          <t>CFS/CY</t>
        </is>
      </c>
      <c r="I373" s="15" t="inlineStr">
        <is>
          <t>ONE</t>
        </is>
      </c>
      <c r="J373" s="15" t="inlineStr">
        <is>
          <t>EC3</t>
        </is>
      </c>
      <c r="K373" s="15" t="inlineStr">
        <is>
          <t>MAS AMITY PTE LTD</t>
        </is>
      </c>
      <c r="L373" s="16" t="inlineStr">
        <is>
          <t>MAS Fabrics (Pvt) Ltd Intimo</t>
        </is>
      </c>
      <c r="M373" s="15" t="inlineStr">
        <is>
          <t>N</t>
        </is>
      </c>
      <c r="N373" s="17" t="n">
        <v>454703992680</v>
      </c>
      <c r="O373" s="15" t="n">
        <v>19911259</v>
      </c>
      <c r="P373" s="18" t="inlineStr">
        <is>
          <t>LW3JSMS</t>
        </is>
      </c>
      <c r="Q373" s="18" t="n">
        <v>7</v>
      </c>
      <c r="R373" s="18" t="n">
        <v>0.474</v>
      </c>
      <c r="S373" s="15" t="n">
        <v>54.56</v>
      </c>
      <c r="T373" s="16" t="n">
        <v>45824</v>
      </c>
      <c r="U373" s="19" t="n">
        <v>45883</v>
      </c>
      <c r="V373" s="16" t="n">
        <v>45824</v>
      </c>
      <c r="W373" s="16" t="n">
        <v>45826</v>
      </c>
      <c r="X373" s="57">
        <f>W373-1</f>
        <v/>
      </c>
      <c r="Y373" s="63" t="n">
        <v>45832</v>
      </c>
      <c r="Z373" s="67" t="n">
        <v>45861</v>
      </c>
      <c r="AA373" s="71">
        <f>Z373+13</f>
        <v/>
      </c>
      <c r="AB373" s="20">
        <f>AA373-U373</f>
        <v/>
      </c>
      <c r="AC373" s="20" t="inlineStr">
        <is>
          <t>No</t>
        </is>
      </c>
      <c r="AD373" s="21" t="inlineStr">
        <is>
          <t>1 HBL</t>
        </is>
      </c>
      <c r="AE373" s="21" t="n"/>
      <c r="AF373" s="22" t="inlineStr">
        <is>
          <t>LW</t>
        </is>
      </c>
      <c r="AG373" s="23" t="inlineStr">
        <is>
          <t>NAC</t>
        </is>
      </c>
      <c r="AH373" s="24" t="n"/>
      <c r="AN373" s="24" t="n"/>
    </row>
    <row r="374" ht="12.75" customHeight="1">
      <c r="A374" s="15" t="n">
        <v>3254508</v>
      </c>
      <c r="B374" s="15" t="inlineStr">
        <is>
          <t>Flexport</t>
        </is>
      </c>
      <c r="C374" s="15" t="inlineStr">
        <is>
          <t>Colombo, LK</t>
        </is>
      </c>
      <c r="D374" s="15" t="inlineStr">
        <is>
          <t>New York, NY, US</t>
        </is>
      </c>
      <c r="E374" s="15" t="inlineStr">
        <is>
          <t>Mississauga, ON, CA</t>
        </is>
      </c>
      <c r="F374" s="15" t="inlineStr">
        <is>
          <t>OCEAN</t>
        </is>
      </c>
      <c r="G374" s="15" t="inlineStr">
        <is>
          <t>D. 1 x 40HC</t>
        </is>
      </c>
      <c r="H374" s="15" t="inlineStr">
        <is>
          <t>CFS/CY</t>
        </is>
      </c>
      <c r="I374" s="15" t="inlineStr">
        <is>
          <t>ONE</t>
        </is>
      </c>
      <c r="J374" s="15" t="inlineStr">
        <is>
          <t>EC3</t>
        </is>
      </c>
      <c r="K374" s="15" t="inlineStr">
        <is>
          <t>MAS AMITY PTE LTD</t>
        </is>
      </c>
      <c r="L374" s="16" t="inlineStr">
        <is>
          <t>MAS Fabrics (Pvt) Ltd Intimo</t>
        </is>
      </c>
      <c r="M374" s="15" t="inlineStr">
        <is>
          <t>N</t>
        </is>
      </c>
      <c r="N374" s="17" t="n">
        <v>454704210198</v>
      </c>
      <c r="O374" s="15" t="n">
        <v>19911317</v>
      </c>
      <c r="P374" s="18" t="inlineStr">
        <is>
          <t>LM3FG2S</t>
        </is>
      </c>
      <c r="Q374" s="18" t="n">
        <v>6</v>
      </c>
      <c r="R374" s="18" t="n">
        <v>0.434</v>
      </c>
      <c r="S374" s="15" t="n">
        <v>58.66</v>
      </c>
      <c r="T374" s="16" t="n">
        <v>45824</v>
      </c>
      <c r="U374" s="19" t="n">
        <v>45883</v>
      </c>
      <c r="V374" s="16" t="n">
        <v>45824</v>
      </c>
      <c r="W374" s="16" t="n">
        <v>45826</v>
      </c>
      <c r="X374" s="57">
        <f>W374-1</f>
        <v/>
      </c>
      <c r="Y374" s="63" t="n">
        <v>45832</v>
      </c>
      <c r="Z374" s="67" t="n">
        <v>45861</v>
      </c>
      <c r="AA374" s="71">
        <f>Z374+13</f>
        <v/>
      </c>
      <c r="AB374" s="20">
        <f>AA374-U374</f>
        <v/>
      </c>
      <c r="AC374" s="20" t="inlineStr">
        <is>
          <t>No</t>
        </is>
      </c>
      <c r="AD374" s="21" t="inlineStr">
        <is>
          <t>1 HBL</t>
        </is>
      </c>
      <c r="AE374" s="21" t="n"/>
      <c r="AF374" s="22" t="inlineStr">
        <is>
          <t>LW</t>
        </is>
      </c>
      <c r="AG374" s="23" t="inlineStr">
        <is>
          <t>NAC</t>
        </is>
      </c>
      <c r="AH374" s="24" t="n"/>
      <c r="AN374" s="24" t="n"/>
    </row>
    <row r="375" ht="12.75" customHeight="1">
      <c r="A375" s="15" t="n">
        <v>3254508</v>
      </c>
      <c r="B375" s="15" t="inlineStr">
        <is>
          <t>Flexport</t>
        </is>
      </c>
      <c r="C375" s="15" t="inlineStr">
        <is>
          <t>Colombo, LK</t>
        </is>
      </c>
      <c r="D375" s="15" t="inlineStr">
        <is>
          <t>New York, NY, US</t>
        </is>
      </c>
      <c r="E375" s="15" t="inlineStr">
        <is>
          <t>Mississauga, ON, CA</t>
        </is>
      </c>
      <c r="F375" s="15" t="inlineStr">
        <is>
          <t>OCEAN</t>
        </is>
      </c>
      <c r="G375" s="15" t="inlineStr">
        <is>
          <t>D. 1 x 40HC</t>
        </is>
      </c>
      <c r="H375" s="15" t="inlineStr">
        <is>
          <t>CFS/CY</t>
        </is>
      </c>
      <c r="I375" s="15" t="inlineStr">
        <is>
          <t>ONE</t>
        </is>
      </c>
      <c r="J375" s="15" t="inlineStr">
        <is>
          <t>EC3</t>
        </is>
      </c>
      <c r="K375" s="15" t="inlineStr">
        <is>
          <t>MAS AMITY PTE LTD</t>
        </is>
      </c>
      <c r="L375" s="16" t="inlineStr">
        <is>
          <t>MAS Fabrics (Pvt) Ltd Intimo</t>
        </is>
      </c>
      <c r="M375" s="15" t="inlineStr">
        <is>
          <t>N</t>
        </is>
      </c>
      <c r="N375" s="17" t="n">
        <v>454711350541</v>
      </c>
      <c r="O375" s="15" t="n">
        <v>19919974</v>
      </c>
      <c r="P375" s="18" t="inlineStr">
        <is>
          <t>LW3FQFS</t>
        </is>
      </c>
      <c r="Q375" s="18" t="n">
        <v>4</v>
      </c>
      <c r="R375" s="18" t="n">
        <v>0.276</v>
      </c>
      <c r="S375" s="15" t="n">
        <v>21.507</v>
      </c>
      <c r="T375" s="16" t="n">
        <v>45824</v>
      </c>
      <c r="U375" s="19" t="n">
        <v>45883</v>
      </c>
      <c r="V375" s="16" t="n">
        <v>45824</v>
      </c>
      <c r="W375" s="16" t="n">
        <v>45826</v>
      </c>
      <c r="X375" s="57">
        <f>W375-1</f>
        <v/>
      </c>
      <c r="Y375" s="63" t="n">
        <v>45832</v>
      </c>
      <c r="Z375" s="67" t="n">
        <v>45861</v>
      </c>
      <c r="AA375" s="71">
        <f>Z375+13</f>
        <v/>
      </c>
      <c r="AB375" s="20">
        <f>AA375-U375</f>
        <v/>
      </c>
      <c r="AC375" s="20" t="inlineStr">
        <is>
          <t>No</t>
        </is>
      </c>
      <c r="AD375" s="21" t="inlineStr">
        <is>
          <t>1 HBL</t>
        </is>
      </c>
      <c r="AE375" s="21" t="n"/>
      <c r="AF375" s="22" t="inlineStr">
        <is>
          <t>LW</t>
        </is>
      </c>
      <c r="AG375" s="23" t="inlineStr">
        <is>
          <t>NAC</t>
        </is>
      </c>
      <c r="AH375" s="24" t="n"/>
      <c r="AN375" s="24" t="n"/>
    </row>
    <row r="376" ht="12.75" customHeight="1">
      <c r="A376" s="15" t="n">
        <v>3254508</v>
      </c>
      <c r="B376" s="15" t="inlineStr">
        <is>
          <t>Flexport</t>
        </is>
      </c>
      <c r="C376" s="15" t="inlineStr">
        <is>
          <t>Colombo, LK</t>
        </is>
      </c>
      <c r="D376" s="15" t="inlineStr">
        <is>
          <t>New York, NY, US</t>
        </is>
      </c>
      <c r="E376" s="15" t="inlineStr">
        <is>
          <t>Mississauga, ON, CA</t>
        </is>
      </c>
      <c r="F376" s="15" t="inlineStr">
        <is>
          <t>OCEAN</t>
        </is>
      </c>
      <c r="G376" s="15" t="inlineStr">
        <is>
          <t>D. 1 x 40HC</t>
        </is>
      </c>
      <c r="H376" s="15" t="inlineStr">
        <is>
          <t>CFS/CY</t>
        </is>
      </c>
      <c r="I376" s="15" t="inlineStr">
        <is>
          <t>ONE</t>
        </is>
      </c>
      <c r="J376" s="15" t="inlineStr">
        <is>
          <t>EC3</t>
        </is>
      </c>
      <c r="K376" s="15" t="inlineStr">
        <is>
          <t>MAS AMITY PTE LTD</t>
        </is>
      </c>
      <c r="L376" s="16" t="inlineStr">
        <is>
          <t>MAS Fabrics (Pvt) Ltd Intimo</t>
        </is>
      </c>
      <c r="M376" s="15" t="inlineStr">
        <is>
          <t>N</t>
        </is>
      </c>
      <c r="N376" s="17" t="n">
        <v>454711488388</v>
      </c>
      <c r="O376" s="15" t="n">
        <v>19919960</v>
      </c>
      <c r="P376" s="18" t="inlineStr">
        <is>
          <t>LW3DFNS</t>
        </is>
      </c>
      <c r="Q376" s="18" t="n">
        <v>7</v>
      </c>
      <c r="R376" s="18" t="n">
        <v>0.436</v>
      </c>
      <c r="S376" s="15" t="n">
        <v>57.61</v>
      </c>
      <c r="T376" s="16" t="n">
        <v>45824</v>
      </c>
      <c r="U376" s="19" t="n">
        <v>45883</v>
      </c>
      <c r="V376" s="16" t="n">
        <v>45824</v>
      </c>
      <c r="W376" s="16" t="n">
        <v>45826</v>
      </c>
      <c r="X376" s="57">
        <f>W376-1</f>
        <v/>
      </c>
      <c r="Y376" s="63" t="n">
        <v>45832</v>
      </c>
      <c r="Z376" s="67" t="n">
        <v>45861</v>
      </c>
      <c r="AA376" s="71">
        <f>Z376+13</f>
        <v/>
      </c>
      <c r="AB376" s="20">
        <f>AA376-U376</f>
        <v/>
      </c>
      <c r="AC376" s="20" t="inlineStr">
        <is>
          <t>No</t>
        </is>
      </c>
      <c r="AD376" s="21" t="inlineStr">
        <is>
          <t>1 HBL</t>
        </is>
      </c>
      <c r="AE376" s="21" t="n"/>
      <c r="AF376" s="22" t="inlineStr">
        <is>
          <t>LW</t>
        </is>
      </c>
      <c r="AG376" s="23" t="inlineStr">
        <is>
          <t>NAC</t>
        </is>
      </c>
      <c r="AH376" s="24" t="n"/>
      <c r="AN376" s="24" t="n"/>
    </row>
    <row r="377" ht="12.75" customHeight="1">
      <c r="A377" s="15" t="n">
        <v>3254508</v>
      </c>
      <c r="B377" s="15" t="inlineStr">
        <is>
          <t>Flexport</t>
        </is>
      </c>
      <c r="C377" s="15" t="inlineStr">
        <is>
          <t>Colombo, LK</t>
        </is>
      </c>
      <c r="D377" s="15" t="inlineStr">
        <is>
          <t>New York, NY, US</t>
        </is>
      </c>
      <c r="E377" s="15" t="inlineStr">
        <is>
          <t>Mississauga, ON, CA</t>
        </is>
      </c>
      <c r="F377" s="15" t="inlineStr">
        <is>
          <t>OCEAN</t>
        </is>
      </c>
      <c r="G377" s="15" t="inlineStr">
        <is>
          <t>D. 1 x 40HC</t>
        </is>
      </c>
      <c r="H377" s="15" t="inlineStr">
        <is>
          <t>CFS/CY</t>
        </is>
      </c>
      <c r="I377" s="15" t="inlineStr">
        <is>
          <t>ONE</t>
        </is>
      </c>
      <c r="J377" s="15" t="inlineStr">
        <is>
          <t>EC3</t>
        </is>
      </c>
      <c r="K377" s="15" t="inlineStr">
        <is>
          <t>MAS AMITY PTE LTD</t>
        </is>
      </c>
      <c r="L377" s="16" t="inlineStr">
        <is>
          <t>MAS Fabrics (Pvt) Ltd Intimo</t>
        </is>
      </c>
      <c r="M377" s="15" t="inlineStr">
        <is>
          <t>N</t>
        </is>
      </c>
      <c r="N377" s="17" t="n">
        <v>454711982979</v>
      </c>
      <c r="O377" s="15" t="n">
        <v>19920044</v>
      </c>
      <c r="P377" s="18" t="inlineStr">
        <is>
          <t>LW3FQFS</t>
        </is>
      </c>
      <c r="Q377" s="18" t="n">
        <v>8</v>
      </c>
      <c r="R377" s="18" t="n">
        <v>0.632</v>
      </c>
      <c r="S377" s="15" t="n">
        <v>61.884</v>
      </c>
      <c r="T377" s="16" t="n">
        <v>45824</v>
      </c>
      <c r="U377" s="19" t="n">
        <v>45883</v>
      </c>
      <c r="V377" s="16" t="n">
        <v>45824</v>
      </c>
      <c r="W377" s="16" t="n">
        <v>45826</v>
      </c>
      <c r="X377" s="57">
        <f>W377-1</f>
        <v/>
      </c>
      <c r="Y377" s="63" t="n">
        <v>45832</v>
      </c>
      <c r="Z377" s="67" t="n">
        <v>45861</v>
      </c>
      <c r="AA377" s="71">
        <f>Z377+13</f>
        <v/>
      </c>
      <c r="AB377" s="20">
        <f>AA377-U377</f>
        <v/>
      </c>
      <c r="AC377" s="20" t="inlineStr">
        <is>
          <t>No</t>
        </is>
      </c>
      <c r="AD377" s="21" t="inlineStr">
        <is>
          <t>1 HBL</t>
        </is>
      </c>
      <c r="AE377" s="21" t="n"/>
      <c r="AF377" s="22" t="inlineStr">
        <is>
          <t>LW</t>
        </is>
      </c>
      <c r="AG377" s="23" t="inlineStr">
        <is>
          <t>NAC</t>
        </is>
      </c>
      <c r="AH377" s="24" t="n"/>
      <c r="AN377" s="24" t="n"/>
    </row>
    <row r="378" ht="12.75" customHeight="1">
      <c r="A378" s="15" t="n">
        <v>3254508</v>
      </c>
      <c r="B378" s="15" t="inlineStr">
        <is>
          <t>Flexport</t>
        </is>
      </c>
      <c r="C378" s="15" t="inlineStr">
        <is>
          <t>Colombo, LK</t>
        </is>
      </c>
      <c r="D378" s="15" t="inlineStr">
        <is>
          <t>New York, NY, US</t>
        </is>
      </c>
      <c r="E378" s="15" t="inlineStr">
        <is>
          <t>Mississauga, ON, CA</t>
        </is>
      </c>
      <c r="F378" s="15" t="inlineStr">
        <is>
          <t>OCEAN</t>
        </is>
      </c>
      <c r="G378" s="15" t="inlineStr">
        <is>
          <t>D. 1 x 40HC</t>
        </is>
      </c>
      <c r="H378" s="15" t="inlineStr">
        <is>
          <t>CFS/CY</t>
        </is>
      </c>
      <c r="I378" s="15" t="inlineStr">
        <is>
          <t>ONE</t>
        </is>
      </c>
      <c r="J378" s="15" t="inlineStr">
        <is>
          <t>EC3</t>
        </is>
      </c>
      <c r="K378" s="15" t="inlineStr">
        <is>
          <t>MAS AMITY PTE LTD</t>
        </is>
      </c>
      <c r="L378" s="16" t="inlineStr">
        <is>
          <t>MAS Fabrics (Pvt) Ltd Intimo</t>
        </is>
      </c>
      <c r="M378" s="15" t="inlineStr">
        <is>
          <t>N</t>
        </is>
      </c>
      <c r="N378" s="17" t="n">
        <v>454712171432</v>
      </c>
      <c r="O378" s="15" t="n">
        <v>19919987</v>
      </c>
      <c r="P378" s="18" t="inlineStr">
        <is>
          <t>LW3GH4S</t>
        </is>
      </c>
      <c r="Q378" s="18" t="n">
        <v>5</v>
      </c>
      <c r="R378" s="18" t="n">
        <v>0.197</v>
      </c>
      <c r="S378" s="15" t="n">
        <v>21.174</v>
      </c>
      <c r="T378" s="16" t="n">
        <v>45824</v>
      </c>
      <c r="U378" s="19" t="n">
        <v>45883</v>
      </c>
      <c r="V378" s="16" t="n">
        <v>45824</v>
      </c>
      <c r="W378" s="16" t="n">
        <v>45826</v>
      </c>
      <c r="X378" s="57">
        <f>W378-1</f>
        <v/>
      </c>
      <c r="Y378" s="63" t="n">
        <v>45832</v>
      </c>
      <c r="Z378" s="67" t="n">
        <v>45861</v>
      </c>
      <c r="AA378" s="71">
        <f>Z378+13</f>
        <v/>
      </c>
      <c r="AB378" s="20">
        <f>AA378-U378</f>
        <v/>
      </c>
      <c r="AC378" s="20" t="inlineStr">
        <is>
          <t>No</t>
        </is>
      </c>
      <c r="AD378" s="21" t="inlineStr">
        <is>
          <t>1 HBL</t>
        </is>
      </c>
      <c r="AE378" s="21" t="n"/>
      <c r="AF378" s="22" t="inlineStr">
        <is>
          <t>LW</t>
        </is>
      </c>
      <c r="AG378" s="23" t="inlineStr">
        <is>
          <t>NAC</t>
        </is>
      </c>
      <c r="AH378" s="24" t="n"/>
      <c r="AN378" s="24" t="n"/>
    </row>
    <row r="379" ht="12.75" customHeight="1">
      <c r="A379" s="15" t="n">
        <v>3254508</v>
      </c>
      <c r="B379" s="15" t="inlineStr">
        <is>
          <t>Flexport</t>
        </is>
      </c>
      <c r="C379" s="15" t="inlineStr">
        <is>
          <t>Colombo, LK</t>
        </is>
      </c>
      <c r="D379" s="15" t="inlineStr">
        <is>
          <t>New York, NY, US</t>
        </is>
      </c>
      <c r="E379" s="15" t="inlineStr">
        <is>
          <t>Mississauga, ON, CA</t>
        </is>
      </c>
      <c r="F379" s="15" t="inlineStr">
        <is>
          <t>OCEAN</t>
        </is>
      </c>
      <c r="G379" s="15" t="inlineStr">
        <is>
          <t>D. 1 x 40HC</t>
        </is>
      </c>
      <c r="H379" s="15" t="inlineStr">
        <is>
          <t>CFS/CY</t>
        </is>
      </c>
      <c r="I379" s="15" t="inlineStr">
        <is>
          <t>ONE</t>
        </is>
      </c>
      <c r="J379" s="15" t="inlineStr">
        <is>
          <t>EC3</t>
        </is>
      </c>
      <c r="K379" s="15" t="inlineStr">
        <is>
          <t>MAS AMITY PTE LTD</t>
        </is>
      </c>
      <c r="L379" s="16" t="inlineStr">
        <is>
          <t>MAS Fabrics (Pvt) Ltd Intimo</t>
        </is>
      </c>
      <c r="M379" s="15" t="inlineStr">
        <is>
          <t>N</t>
        </is>
      </c>
      <c r="N379" s="17" t="n">
        <v>454712183469</v>
      </c>
      <c r="O379" s="15" t="n">
        <v>19919981</v>
      </c>
      <c r="P379" s="18" t="inlineStr">
        <is>
          <t>LW3GH4S</t>
        </is>
      </c>
      <c r="Q379" s="18" t="n">
        <v>5</v>
      </c>
      <c r="R379" s="18" t="n">
        <v>0.276</v>
      </c>
      <c r="S379" s="15" t="n">
        <v>30.889</v>
      </c>
      <c r="T379" s="16" t="n">
        <v>45824</v>
      </c>
      <c r="U379" s="19" t="n">
        <v>45883</v>
      </c>
      <c r="V379" s="16" t="n">
        <v>45824</v>
      </c>
      <c r="W379" s="16" t="n">
        <v>45826</v>
      </c>
      <c r="X379" s="57">
        <f>W379-1</f>
        <v/>
      </c>
      <c r="Y379" s="63" t="n">
        <v>45832</v>
      </c>
      <c r="Z379" s="67" t="n">
        <v>45861</v>
      </c>
      <c r="AA379" s="71">
        <f>Z379+13</f>
        <v/>
      </c>
      <c r="AB379" s="20">
        <f>AA379-U379</f>
        <v/>
      </c>
      <c r="AC379" s="20" t="inlineStr">
        <is>
          <t>No</t>
        </is>
      </c>
      <c r="AD379" s="21" t="inlineStr">
        <is>
          <t>1 HBL</t>
        </is>
      </c>
      <c r="AE379" s="21" t="n"/>
      <c r="AF379" s="22" t="inlineStr">
        <is>
          <t>LW</t>
        </is>
      </c>
      <c r="AG379" s="23" t="inlineStr">
        <is>
          <t>NAC</t>
        </is>
      </c>
      <c r="AH379" s="24" t="n"/>
      <c r="AN379" s="24" t="n"/>
    </row>
    <row r="380" ht="12.75" customHeight="1">
      <c r="A380" s="15" t="n">
        <v>3254508</v>
      </c>
      <c r="B380" s="15" t="inlineStr">
        <is>
          <t>Flexport</t>
        </is>
      </c>
      <c r="C380" s="15" t="inlineStr">
        <is>
          <t>Colombo, LK</t>
        </is>
      </c>
      <c r="D380" s="15" t="inlineStr">
        <is>
          <t>New York, NY, US</t>
        </is>
      </c>
      <c r="E380" s="15" t="inlineStr">
        <is>
          <t>Mississauga, ON, CA</t>
        </is>
      </c>
      <c r="F380" s="15" t="inlineStr">
        <is>
          <t>OCEAN</t>
        </is>
      </c>
      <c r="G380" s="15" t="inlineStr">
        <is>
          <t>D. 1 x 40HC</t>
        </is>
      </c>
      <c r="H380" s="15" t="inlineStr">
        <is>
          <t>CFS/CY</t>
        </is>
      </c>
      <c r="I380" s="15" t="inlineStr">
        <is>
          <t>ONE</t>
        </is>
      </c>
      <c r="J380" s="15" t="inlineStr">
        <is>
          <t>EC3</t>
        </is>
      </c>
      <c r="K380" s="15" t="inlineStr">
        <is>
          <t>MAS AMITY PTE LTD</t>
        </is>
      </c>
      <c r="L380" s="16" t="inlineStr">
        <is>
          <t>MAS Fabrics (Pvt) Ltd Intimo</t>
        </is>
      </c>
      <c r="M380" s="15" t="inlineStr">
        <is>
          <t>N</t>
        </is>
      </c>
      <c r="N380" s="17" t="n">
        <v>454712197828</v>
      </c>
      <c r="O380" s="15" t="n">
        <v>19920005</v>
      </c>
      <c r="P380" s="18" t="inlineStr">
        <is>
          <t>LW3JE8S</t>
        </is>
      </c>
      <c r="Q380" s="18" t="n">
        <v>6</v>
      </c>
      <c r="R380" s="18" t="n">
        <v>0.474</v>
      </c>
      <c r="S380" s="15" t="n">
        <v>53.177</v>
      </c>
      <c r="T380" s="16" t="n">
        <v>45824</v>
      </c>
      <c r="U380" s="19" t="n">
        <v>45883</v>
      </c>
      <c r="V380" s="16" t="n">
        <v>45824</v>
      </c>
      <c r="W380" s="16" t="n">
        <v>45826</v>
      </c>
      <c r="X380" s="57">
        <f>W380-1</f>
        <v/>
      </c>
      <c r="Y380" s="63" t="n">
        <v>45832</v>
      </c>
      <c r="Z380" s="67" t="n">
        <v>45861</v>
      </c>
      <c r="AA380" s="71">
        <f>Z380+13</f>
        <v/>
      </c>
      <c r="AB380" s="20">
        <f>AA380-U380</f>
        <v/>
      </c>
      <c r="AC380" s="20" t="inlineStr">
        <is>
          <t>No</t>
        </is>
      </c>
      <c r="AD380" s="21" t="inlineStr">
        <is>
          <t>1 HBL</t>
        </is>
      </c>
      <c r="AE380" s="21" t="n"/>
      <c r="AF380" s="22" t="inlineStr">
        <is>
          <t>LW</t>
        </is>
      </c>
      <c r="AG380" s="23" t="inlineStr">
        <is>
          <t>NAC</t>
        </is>
      </c>
      <c r="AH380" s="24" t="n"/>
      <c r="AN380" s="24" t="n"/>
    </row>
    <row r="381" ht="12.75" customHeight="1">
      <c r="A381" s="15" t="n">
        <v>3254508</v>
      </c>
      <c r="B381" s="15" t="inlineStr">
        <is>
          <t>Flexport</t>
        </is>
      </c>
      <c r="C381" s="15" t="inlineStr">
        <is>
          <t>Colombo, LK</t>
        </is>
      </c>
      <c r="D381" s="15" t="inlineStr">
        <is>
          <t>New York, NY, US</t>
        </is>
      </c>
      <c r="E381" s="15" t="inlineStr">
        <is>
          <t>Mississauga, ON, CA</t>
        </is>
      </c>
      <c r="F381" s="15" t="inlineStr">
        <is>
          <t>OCEAN</t>
        </is>
      </c>
      <c r="G381" s="15" t="inlineStr">
        <is>
          <t>D. 1 x 40HC</t>
        </is>
      </c>
      <c r="H381" s="15" t="inlineStr">
        <is>
          <t>CFS/CY</t>
        </is>
      </c>
      <c r="I381" s="15" t="inlineStr">
        <is>
          <t>ONE</t>
        </is>
      </c>
      <c r="J381" s="15" t="inlineStr">
        <is>
          <t>EC3</t>
        </is>
      </c>
      <c r="K381" s="15" t="inlineStr">
        <is>
          <t>MAS AMITY PTE LTD</t>
        </is>
      </c>
      <c r="L381" s="16" t="inlineStr">
        <is>
          <t>MAS Fabrics (Pvt) Ltd Intimo</t>
        </is>
      </c>
      <c r="M381" s="15" t="inlineStr">
        <is>
          <t>N</t>
        </is>
      </c>
      <c r="N381" s="17" t="n">
        <v>454712198075</v>
      </c>
      <c r="O381" s="15" t="n">
        <v>19920021</v>
      </c>
      <c r="P381" s="18" t="inlineStr">
        <is>
          <t>LW3JSOS</t>
        </is>
      </c>
      <c r="Q381" s="18" t="n">
        <v>5</v>
      </c>
      <c r="R381" s="18" t="n">
        <v>0.316</v>
      </c>
      <c r="S381" s="15" t="n">
        <v>37.635</v>
      </c>
      <c r="T381" s="16" t="n">
        <v>45824</v>
      </c>
      <c r="U381" s="19" t="n">
        <v>45883</v>
      </c>
      <c r="V381" s="16" t="n">
        <v>45824</v>
      </c>
      <c r="W381" s="16" t="n">
        <v>45826</v>
      </c>
      <c r="X381" s="57">
        <f>W381-1</f>
        <v/>
      </c>
      <c r="Y381" s="63" t="n">
        <v>45832</v>
      </c>
      <c r="Z381" s="67" t="n">
        <v>45861</v>
      </c>
      <c r="AA381" s="71">
        <f>Z381+13</f>
        <v/>
      </c>
      <c r="AB381" s="20">
        <f>AA381-U381</f>
        <v/>
      </c>
      <c r="AC381" s="20" t="inlineStr">
        <is>
          <t>No</t>
        </is>
      </c>
      <c r="AD381" s="21" t="inlineStr">
        <is>
          <t>1 HBL</t>
        </is>
      </c>
      <c r="AE381" s="21" t="n"/>
      <c r="AF381" s="22" t="inlineStr">
        <is>
          <t>LW</t>
        </is>
      </c>
      <c r="AG381" s="23" t="inlineStr">
        <is>
          <t>NAC</t>
        </is>
      </c>
      <c r="AH381" s="24" t="n"/>
      <c r="AN381" s="24" t="n"/>
    </row>
    <row r="382" ht="12.75" customHeight="1">
      <c r="A382" s="15" t="n">
        <v>3254508</v>
      </c>
      <c r="B382" s="15" t="inlineStr">
        <is>
          <t>Flexport</t>
        </is>
      </c>
      <c r="C382" s="15" t="inlineStr">
        <is>
          <t>Colombo, LK</t>
        </is>
      </c>
      <c r="D382" s="15" t="inlineStr">
        <is>
          <t>New York, NY, US</t>
        </is>
      </c>
      <c r="E382" s="15" t="inlineStr">
        <is>
          <t>Mississauga, ON, CA</t>
        </is>
      </c>
      <c r="F382" s="15" t="inlineStr">
        <is>
          <t>OCEAN</t>
        </is>
      </c>
      <c r="G382" s="15" t="inlineStr">
        <is>
          <t>D. 1 x 40HC</t>
        </is>
      </c>
      <c r="H382" s="15" t="inlineStr">
        <is>
          <t>CFS/CY</t>
        </is>
      </c>
      <c r="I382" s="15" t="inlineStr">
        <is>
          <t>ONE</t>
        </is>
      </c>
      <c r="J382" s="15" t="inlineStr">
        <is>
          <t>EC3</t>
        </is>
      </c>
      <c r="K382" s="15" t="inlineStr">
        <is>
          <t>MAS AMITY PTE LTD</t>
        </is>
      </c>
      <c r="L382" s="16" t="inlineStr">
        <is>
          <t>MAS Fabrics (Pvt) Ltd Intimo</t>
        </is>
      </c>
      <c r="M382" s="15" t="inlineStr">
        <is>
          <t>N</t>
        </is>
      </c>
      <c r="N382" s="17" t="n">
        <v>454712670472</v>
      </c>
      <c r="O382" s="15" t="n">
        <v>19920029</v>
      </c>
      <c r="P382" s="18" t="inlineStr">
        <is>
          <t>LM3FG2S</t>
        </is>
      </c>
      <c r="Q382" s="18" t="n">
        <v>3</v>
      </c>
      <c r="R382" s="18" t="n">
        <v>0.158</v>
      </c>
      <c r="S382" s="15" t="n">
        <v>18.576</v>
      </c>
      <c r="T382" s="16" t="n">
        <v>45824</v>
      </c>
      <c r="U382" s="19" t="n">
        <v>45883</v>
      </c>
      <c r="V382" s="16" t="n">
        <v>45824</v>
      </c>
      <c r="W382" s="16" t="n">
        <v>45826</v>
      </c>
      <c r="X382" s="57">
        <f>W382-1</f>
        <v/>
      </c>
      <c r="Y382" s="63" t="n">
        <v>45832</v>
      </c>
      <c r="Z382" s="67" t="n">
        <v>45861</v>
      </c>
      <c r="AA382" s="71">
        <f>Z382+13</f>
        <v/>
      </c>
      <c r="AB382" s="20">
        <f>AA382-U382</f>
        <v/>
      </c>
      <c r="AC382" s="20" t="inlineStr">
        <is>
          <t>No</t>
        </is>
      </c>
      <c r="AD382" s="21" t="inlineStr">
        <is>
          <t>1 HBL</t>
        </is>
      </c>
      <c r="AE382" s="21" t="n"/>
      <c r="AF382" s="22" t="inlineStr">
        <is>
          <t>LW</t>
        </is>
      </c>
      <c r="AG382" s="23" t="inlineStr">
        <is>
          <t>NAC</t>
        </is>
      </c>
      <c r="AH382" s="24" t="n"/>
      <c r="AN382" s="24" t="n"/>
    </row>
    <row r="383" ht="12.75" customHeight="1">
      <c r="A383" s="15" t="n">
        <v>3254508</v>
      </c>
      <c r="B383" s="15" t="inlineStr">
        <is>
          <t>Flexport</t>
        </is>
      </c>
      <c r="C383" s="15" t="inlineStr">
        <is>
          <t>Colombo, LK</t>
        </is>
      </c>
      <c r="D383" s="15" t="inlineStr">
        <is>
          <t>New York, NY, US</t>
        </is>
      </c>
      <c r="E383" s="15" t="inlineStr">
        <is>
          <t>Mississauga, ON, CA</t>
        </is>
      </c>
      <c r="F383" s="15" t="inlineStr">
        <is>
          <t>OCEAN</t>
        </is>
      </c>
      <c r="G383" s="15" t="inlineStr">
        <is>
          <t>D. 1 x 40HC</t>
        </is>
      </c>
      <c r="H383" s="15" t="inlineStr">
        <is>
          <t>CFS/CY</t>
        </is>
      </c>
      <c r="I383" s="15" t="inlineStr">
        <is>
          <t>ONE</t>
        </is>
      </c>
      <c r="J383" s="15" t="inlineStr">
        <is>
          <t>EC3</t>
        </is>
      </c>
      <c r="K383" s="15" t="inlineStr">
        <is>
          <t>MAS AMITY PTE LTD</t>
        </is>
      </c>
      <c r="L383" s="16" t="inlineStr">
        <is>
          <t>MAS Fabrics (Pvt) Ltd Intimo</t>
        </is>
      </c>
      <c r="M383" s="15" t="inlineStr">
        <is>
          <t>N</t>
        </is>
      </c>
      <c r="N383" s="17" t="n">
        <v>454712851437</v>
      </c>
      <c r="O383" s="15" t="n">
        <v>19920060</v>
      </c>
      <c r="P383" s="18" t="inlineStr">
        <is>
          <t>LW3GH4S</t>
        </is>
      </c>
      <c r="Q383" s="18" t="n">
        <v>4</v>
      </c>
      <c r="R383" s="18" t="n">
        <v>0.276</v>
      </c>
      <c r="S383" s="15" t="n">
        <v>30.255</v>
      </c>
      <c r="T383" s="16" t="n">
        <v>45824</v>
      </c>
      <c r="U383" s="19" t="n">
        <v>45883</v>
      </c>
      <c r="V383" s="16" t="n">
        <v>45824</v>
      </c>
      <c r="W383" s="16" t="n">
        <v>45826</v>
      </c>
      <c r="X383" s="57">
        <f>W383-1</f>
        <v/>
      </c>
      <c r="Y383" s="63" t="n">
        <v>45832</v>
      </c>
      <c r="Z383" s="67" t="n">
        <v>45861</v>
      </c>
      <c r="AA383" s="71">
        <f>Z383+13</f>
        <v/>
      </c>
      <c r="AB383" s="20">
        <f>AA383-U383</f>
        <v/>
      </c>
      <c r="AC383" s="20" t="inlineStr">
        <is>
          <t>No</t>
        </is>
      </c>
      <c r="AD383" s="21" t="inlineStr">
        <is>
          <t>1 HBL</t>
        </is>
      </c>
      <c r="AE383" s="21" t="n"/>
      <c r="AF383" s="22" t="inlineStr">
        <is>
          <t>LW</t>
        </is>
      </c>
      <c r="AG383" s="23" t="inlineStr">
        <is>
          <t>NAC</t>
        </is>
      </c>
      <c r="AH383" s="24" t="n"/>
      <c r="AN383" s="24" t="n"/>
    </row>
    <row r="384" ht="12.75" customHeight="1">
      <c r="A384" s="15" t="n">
        <v>3254508</v>
      </c>
      <c r="B384" s="15" t="inlineStr">
        <is>
          <t>Flexport</t>
        </is>
      </c>
      <c r="C384" s="15" t="inlineStr">
        <is>
          <t>Colombo, LK</t>
        </is>
      </c>
      <c r="D384" s="15" t="inlineStr">
        <is>
          <t>New York, NY, US</t>
        </is>
      </c>
      <c r="E384" s="15" t="inlineStr">
        <is>
          <t>Mississauga, ON, CA</t>
        </is>
      </c>
      <c r="F384" s="15" t="inlineStr">
        <is>
          <t>OCEAN</t>
        </is>
      </c>
      <c r="G384" s="15" t="inlineStr">
        <is>
          <t>D. 1 x 40HC</t>
        </is>
      </c>
      <c r="H384" s="15" t="inlineStr">
        <is>
          <t>CFS/CY</t>
        </is>
      </c>
      <c r="I384" s="15" t="inlineStr">
        <is>
          <t>ONE</t>
        </is>
      </c>
      <c r="J384" s="15" t="inlineStr">
        <is>
          <t>EC3</t>
        </is>
      </c>
      <c r="K384" s="15" t="inlineStr">
        <is>
          <t>MAS AMITY PTE LTD</t>
        </is>
      </c>
      <c r="L384" s="16" t="inlineStr">
        <is>
          <t>MAS Fabrics (Pvt) Ltd Intimo</t>
        </is>
      </c>
      <c r="M384" s="15" t="inlineStr">
        <is>
          <t>N</t>
        </is>
      </c>
      <c r="N384" s="17" t="n">
        <v>454713043181</v>
      </c>
      <c r="O384" s="15" t="n">
        <v>19920073</v>
      </c>
      <c r="P384" s="18" t="inlineStr">
        <is>
          <t>LW3GZHS</t>
        </is>
      </c>
      <c r="Q384" s="18" t="n">
        <v>3</v>
      </c>
      <c r="R384" s="18" t="n">
        <v>0.158</v>
      </c>
      <c r="S384" s="15" t="n">
        <v>15.41</v>
      </c>
      <c r="T384" s="16" t="n">
        <v>45824</v>
      </c>
      <c r="U384" s="19" t="n">
        <v>45883</v>
      </c>
      <c r="V384" s="16" t="n">
        <v>45824</v>
      </c>
      <c r="W384" s="16" t="n">
        <v>45826</v>
      </c>
      <c r="X384" s="57">
        <f>W384-1</f>
        <v/>
      </c>
      <c r="Y384" s="63" t="n">
        <v>45832</v>
      </c>
      <c r="Z384" s="67" t="n">
        <v>45861</v>
      </c>
      <c r="AA384" s="71">
        <f>Z384+13</f>
        <v/>
      </c>
      <c r="AB384" s="20">
        <f>AA384-U384</f>
        <v/>
      </c>
      <c r="AC384" s="20" t="inlineStr">
        <is>
          <t>No</t>
        </is>
      </c>
      <c r="AD384" s="21" t="inlineStr">
        <is>
          <t>1 HBL</t>
        </is>
      </c>
      <c r="AE384" s="21" t="n"/>
      <c r="AF384" s="22" t="inlineStr">
        <is>
          <t>LW</t>
        </is>
      </c>
      <c r="AG384" s="23" t="inlineStr">
        <is>
          <t>NAC</t>
        </is>
      </c>
      <c r="AH384" s="24" t="n"/>
      <c r="AN384" s="24" t="n"/>
    </row>
    <row r="385" ht="12.75" customHeight="1">
      <c r="A385" s="15" t="n">
        <v>3254508</v>
      </c>
      <c r="B385" s="15" t="inlineStr">
        <is>
          <t>Flexport</t>
        </is>
      </c>
      <c r="C385" s="15" t="inlineStr">
        <is>
          <t>Colombo, LK</t>
        </is>
      </c>
      <c r="D385" s="15" t="inlineStr">
        <is>
          <t>New York, NY, US</t>
        </is>
      </c>
      <c r="E385" s="15" t="inlineStr">
        <is>
          <t>Mississauga, ON, CA</t>
        </is>
      </c>
      <c r="F385" s="15" t="inlineStr">
        <is>
          <t>OCEAN</t>
        </is>
      </c>
      <c r="G385" s="15" t="inlineStr">
        <is>
          <t>D. 1 x 40HC</t>
        </is>
      </c>
      <c r="H385" s="15" t="inlineStr">
        <is>
          <t>CFS/CY</t>
        </is>
      </c>
      <c r="I385" s="15" t="inlineStr">
        <is>
          <t>ONE</t>
        </is>
      </c>
      <c r="J385" s="15" t="inlineStr">
        <is>
          <t>EC3</t>
        </is>
      </c>
      <c r="K385" s="15" t="inlineStr">
        <is>
          <t>MAS AMITY PTE LTD</t>
        </is>
      </c>
      <c r="L385" s="16" t="inlineStr">
        <is>
          <t>MAS Fabrics (Pvt) Ltd Intimo</t>
        </is>
      </c>
      <c r="M385" s="15" t="inlineStr">
        <is>
          <t>N</t>
        </is>
      </c>
      <c r="N385" s="17" t="n">
        <v>454713073528</v>
      </c>
      <c r="O385" s="15" t="n">
        <v>19920096</v>
      </c>
      <c r="P385" s="18" t="inlineStr">
        <is>
          <t>LW3JE8S</t>
        </is>
      </c>
      <c r="Q385" s="18" t="n">
        <v>15</v>
      </c>
      <c r="R385" s="18" t="n">
        <v>1.145</v>
      </c>
      <c r="S385" s="15" t="n">
        <v>161.308</v>
      </c>
      <c r="T385" s="16" t="n">
        <v>45824</v>
      </c>
      <c r="U385" s="19" t="n">
        <v>45883</v>
      </c>
      <c r="V385" s="16" t="n">
        <v>45824</v>
      </c>
      <c r="W385" s="16" t="n">
        <v>45826</v>
      </c>
      <c r="X385" s="57">
        <f>W385-1</f>
        <v/>
      </c>
      <c r="Y385" s="63" t="n">
        <v>45832</v>
      </c>
      <c r="Z385" s="67" t="n">
        <v>45861</v>
      </c>
      <c r="AA385" s="71">
        <f>Z385+13</f>
        <v/>
      </c>
      <c r="AB385" s="20">
        <f>AA385-U385</f>
        <v/>
      </c>
      <c r="AC385" s="20" t="inlineStr">
        <is>
          <t>No</t>
        </is>
      </c>
      <c r="AD385" s="21" t="inlineStr">
        <is>
          <t>1 HBL</t>
        </is>
      </c>
      <c r="AE385" s="21" t="n"/>
      <c r="AF385" s="22" t="inlineStr">
        <is>
          <t>LW</t>
        </is>
      </c>
      <c r="AG385" s="23" t="inlineStr">
        <is>
          <t>NAC</t>
        </is>
      </c>
      <c r="AH385" s="24" t="n"/>
      <c r="AN385" s="24" t="n"/>
    </row>
    <row r="386" ht="12.75" customHeight="1">
      <c r="A386" s="15" t="n">
        <v>3254508</v>
      </c>
      <c r="B386" s="15" t="inlineStr">
        <is>
          <t>Flexport</t>
        </is>
      </c>
      <c r="C386" s="15" t="inlineStr">
        <is>
          <t>Colombo, LK</t>
        </is>
      </c>
      <c r="D386" s="15" t="inlineStr">
        <is>
          <t>New York, NY, US</t>
        </is>
      </c>
      <c r="E386" s="15" t="inlineStr">
        <is>
          <t>Mississauga, ON, CA</t>
        </is>
      </c>
      <c r="F386" s="15" t="inlineStr">
        <is>
          <t>OCEAN</t>
        </is>
      </c>
      <c r="G386" s="15" t="inlineStr">
        <is>
          <t>D. 1 x 40HC</t>
        </is>
      </c>
      <c r="H386" s="15" t="inlineStr">
        <is>
          <t>CFS/CY</t>
        </is>
      </c>
      <c r="I386" s="15" t="inlineStr">
        <is>
          <t>ONE</t>
        </is>
      </c>
      <c r="J386" s="15" t="inlineStr">
        <is>
          <t>EC3</t>
        </is>
      </c>
      <c r="K386" s="15" t="inlineStr">
        <is>
          <t>MAS AMITY PTE LTD</t>
        </is>
      </c>
      <c r="L386" s="16" t="inlineStr">
        <is>
          <t>MAS Fabrics (Pvt) Ltd Intimo</t>
        </is>
      </c>
      <c r="M386" s="15" t="inlineStr">
        <is>
          <t>N</t>
        </is>
      </c>
      <c r="N386" s="17" t="n">
        <v>454713416339</v>
      </c>
      <c r="O386" s="15" t="n">
        <v>19920180</v>
      </c>
      <c r="P386" s="18" t="inlineStr">
        <is>
          <t>LM3FG2S</t>
        </is>
      </c>
      <c r="Q386" s="18" t="n">
        <v>7</v>
      </c>
      <c r="R386" s="18" t="n">
        <v>0.513</v>
      </c>
      <c r="S386" s="15" t="n">
        <v>78.593</v>
      </c>
      <c r="T386" s="16" t="n">
        <v>45824</v>
      </c>
      <c r="U386" s="19" t="n">
        <v>45883</v>
      </c>
      <c r="V386" s="16" t="n">
        <v>45824</v>
      </c>
      <c r="W386" s="16" t="n">
        <v>45826</v>
      </c>
      <c r="X386" s="57">
        <f>W386-1</f>
        <v/>
      </c>
      <c r="Y386" s="63" t="n">
        <v>45832</v>
      </c>
      <c r="Z386" s="67" t="n">
        <v>45861</v>
      </c>
      <c r="AA386" s="71">
        <f>Z386+13</f>
        <v/>
      </c>
      <c r="AB386" s="20">
        <f>AA386-U386</f>
        <v/>
      </c>
      <c r="AC386" s="20" t="inlineStr">
        <is>
          <t>No</t>
        </is>
      </c>
      <c r="AD386" s="21" t="inlineStr">
        <is>
          <t>1 HBL</t>
        </is>
      </c>
      <c r="AE386" s="21" t="n"/>
      <c r="AF386" s="22" t="inlineStr">
        <is>
          <t>LW</t>
        </is>
      </c>
      <c r="AG386" s="23" t="inlineStr">
        <is>
          <t>NAC</t>
        </is>
      </c>
      <c r="AH386" s="24" t="n"/>
      <c r="AN386" s="24" t="n"/>
    </row>
    <row r="387" ht="12.75" customHeight="1">
      <c r="A387" s="15" t="n">
        <v>3254508</v>
      </c>
      <c r="B387" s="15" t="inlineStr">
        <is>
          <t>Flexport</t>
        </is>
      </c>
      <c r="C387" s="15" t="inlineStr">
        <is>
          <t>Colombo, LK</t>
        </is>
      </c>
      <c r="D387" s="15" t="inlineStr">
        <is>
          <t>New York, NY, US</t>
        </is>
      </c>
      <c r="E387" s="15" t="inlineStr">
        <is>
          <t>Mississauga, ON, CA</t>
        </is>
      </c>
      <c r="F387" s="15" t="inlineStr">
        <is>
          <t>OCEAN</t>
        </is>
      </c>
      <c r="G387" s="15" t="inlineStr">
        <is>
          <t>D. 1 x 40HC</t>
        </is>
      </c>
      <c r="H387" s="15" t="inlineStr">
        <is>
          <t>CFS/CY</t>
        </is>
      </c>
      <c r="I387" s="15" t="inlineStr">
        <is>
          <t>ONE</t>
        </is>
      </c>
      <c r="J387" s="15" t="inlineStr">
        <is>
          <t>EC3</t>
        </is>
      </c>
      <c r="K387" s="15" t="inlineStr">
        <is>
          <t>MAS AMITY PTE LTD</t>
        </is>
      </c>
      <c r="L387" s="16" t="inlineStr">
        <is>
          <t>MAS Fabrics (Pvt) Ltd Intimo</t>
        </is>
      </c>
      <c r="M387" s="15" t="inlineStr">
        <is>
          <t>N</t>
        </is>
      </c>
      <c r="N387" s="17" t="n">
        <v>454713717867</v>
      </c>
      <c r="O387" s="15" t="n">
        <v>19920157</v>
      </c>
      <c r="P387" s="18" t="inlineStr">
        <is>
          <t>LM3FG2S</t>
        </is>
      </c>
      <c r="Q387" s="18" t="n">
        <v>7</v>
      </c>
      <c r="R387" s="18" t="n">
        <v>0.474</v>
      </c>
      <c r="S387" s="15" t="n">
        <v>71.504</v>
      </c>
      <c r="T387" s="16" t="n">
        <v>45824</v>
      </c>
      <c r="U387" s="19" t="n">
        <v>45883</v>
      </c>
      <c r="V387" s="16" t="n">
        <v>45824</v>
      </c>
      <c r="W387" s="16" t="n">
        <v>45826</v>
      </c>
      <c r="X387" s="57">
        <f>W387-1</f>
        <v/>
      </c>
      <c r="Y387" s="63" t="n">
        <v>45832</v>
      </c>
      <c r="Z387" s="67" t="n">
        <v>45861</v>
      </c>
      <c r="AA387" s="71">
        <f>Z387+13</f>
        <v/>
      </c>
      <c r="AB387" s="20">
        <f>AA387-U387</f>
        <v/>
      </c>
      <c r="AC387" s="20" t="inlineStr">
        <is>
          <t>No</t>
        </is>
      </c>
      <c r="AD387" s="21" t="inlineStr">
        <is>
          <t>1 HBL</t>
        </is>
      </c>
      <c r="AE387" s="21" t="n"/>
      <c r="AF387" s="22" t="inlineStr">
        <is>
          <t>LW</t>
        </is>
      </c>
      <c r="AG387" s="23" t="inlineStr">
        <is>
          <t>NAC</t>
        </is>
      </c>
      <c r="AH387" s="24" t="n"/>
      <c r="AN387" s="24" t="n"/>
    </row>
    <row r="388" ht="12.75" customHeight="1">
      <c r="A388" s="15" t="n">
        <v>3254508</v>
      </c>
      <c r="B388" s="15" t="inlineStr">
        <is>
          <t>Flexport</t>
        </is>
      </c>
      <c r="C388" s="15" t="inlineStr">
        <is>
          <t>Colombo, LK</t>
        </is>
      </c>
      <c r="D388" s="15" t="inlineStr">
        <is>
          <t>New York, NY, US</t>
        </is>
      </c>
      <c r="E388" s="15" t="inlineStr">
        <is>
          <t>Mississauga, ON, CA</t>
        </is>
      </c>
      <c r="F388" s="15" t="inlineStr">
        <is>
          <t>OCEAN</t>
        </is>
      </c>
      <c r="G388" s="15" t="inlineStr">
        <is>
          <t>D. 1 x 40HC</t>
        </is>
      </c>
      <c r="H388" s="15" t="inlineStr">
        <is>
          <t>CFS/CY</t>
        </is>
      </c>
      <c r="I388" s="15" t="inlineStr">
        <is>
          <t>ONE</t>
        </is>
      </c>
      <c r="J388" s="15" t="inlineStr">
        <is>
          <t>EC3</t>
        </is>
      </c>
      <c r="K388" s="15" t="inlineStr">
        <is>
          <t>MAS AMITY PTE LTD</t>
        </is>
      </c>
      <c r="L388" s="16" t="inlineStr">
        <is>
          <t>MAS Fabrics (Pvt) Ltd Intimo</t>
        </is>
      </c>
      <c r="M388" s="15" t="inlineStr">
        <is>
          <t>N</t>
        </is>
      </c>
      <c r="N388" s="17" t="n">
        <v>454717637878</v>
      </c>
      <c r="O388" s="15" t="n">
        <v>19923422</v>
      </c>
      <c r="P388" s="18" t="inlineStr">
        <is>
          <t>LM3FG2S</t>
        </is>
      </c>
      <c r="Q388" s="18" t="n">
        <v>2</v>
      </c>
      <c r="R388" s="18" t="n">
        <v>0.118</v>
      </c>
      <c r="S388" s="15" t="n">
        <v>14.274</v>
      </c>
      <c r="T388" s="16" t="n">
        <v>45824</v>
      </c>
      <c r="U388" s="19" t="n">
        <v>45883</v>
      </c>
      <c r="V388" s="16" t="n">
        <v>45824</v>
      </c>
      <c r="W388" s="16" t="n">
        <v>45826</v>
      </c>
      <c r="X388" s="57">
        <f>W388-1</f>
        <v/>
      </c>
      <c r="Y388" s="63" t="n">
        <v>45832</v>
      </c>
      <c r="Z388" s="67" t="n">
        <v>45861</v>
      </c>
      <c r="AA388" s="71">
        <f>Z388+13</f>
        <v/>
      </c>
      <c r="AB388" s="20">
        <f>AA388-U388</f>
        <v/>
      </c>
      <c r="AC388" s="20" t="inlineStr">
        <is>
          <t>No</t>
        </is>
      </c>
      <c r="AD388" s="21" t="inlineStr">
        <is>
          <t>1 HBL</t>
        </is>
      </c>
      <c r="AE388" s="21" t="n"/>
      <c r="AF388" s="22" t="inlineStr">
        <is>
          <t>LW</t>
        </is>
      </c>
      <c r="AG388" s="23" t="inlineStr">
        <is>
          <t>NAC</t>
        </is>
      </c>
      <c r="AH388" s="24" t="n"/>
      <c r="AN388" s="24" t="n"/>
    </row>
    <row r="389" ht="12.75" customHeight="1">
      <c r="A389" s="15" t="n">
        <v>3254508</v>
      </c>
      <c r="B389" s="15" t="inlineStr">
        <is>
          <t>Flexport</t>
        </is>
      </c>
      <c r="C389" s="15" t="inlineStr">
        <is>
          <t>Colombo, LK</t>
        </is>
      </c>
      <c r="D389" s="15" t="inlineStr">
        <is>
          <t>New York, NY, US</t>
        </is>
      </c>
      <c r="E389" s="15" t="inlineStr">
        <is>
          <t>Mississauga, ON, CA</t>
        </is>
      </c>
      <c r="F389" s="15" t="inlineStr">
        <is>
          <t>OCEAN</t>
        </is>
      </c>
      <c r="G389" s="15" t="inlineStr">
        <is>
          <t>D. 1 x 40HC</t>
        </is>
      </c>
      <c r="H389" s="15" t="inlineStr">
        <is>
          <t>CFS/CY</t>
        </is>
      </c>
      <c r="I389" s="15" t="inlineStr">
        <is>
          <t>ONE</t>
        </is>
      </c>
      <c r="J389" s="15" t="inlineStr">
        <is>
          <t>EC3</t>
        </is>
      </c>
      <c r="K389" s="15" t="inlineStr">
        <is>
          <t>MAS AMITY PTE LTD</t>
        </is>
      </c>
      <c r="L389" s="16" t="inlineStr">
        <is>
          <t>MAS Fabrics (Pvt) Ltd Intimo</t>
        </is>
      </c>
      <c r="M389" s="15" t="inlineStr">
        <is>
          <t>N</t>
        </is>
      </c>
      <c r="N389" s="17" t="n">
        <v>454717661378</v>
      </c>
      <c r="O389" s="15" t="n">
        <v>19923242</v>
      </c>
      <c r="P389" s="18" t="inlineStr">
        <is>
          <t>LW3GH4S</t>
        </is>
      </c>
      <c r="Q389" s="18" t="n">
        <v>5</v>
      </c>
      <c r="R389" s="18" t="n">
        <v>0.276</v>
      </c>
      <c r="S389" s="15" t="n">
        <v>32.144</v>
      </c>
      <c r="T389" s="16" t="n">
        <v>45824</v>
      </c>
      <c r="U389" s="19" t="n">
        <v>45883</v>
      </c>
      <c r="V389" s="16" t="n">
        <v>45824</v>
      </c>
      <c r="W389" s="16" t="n">
        <v>45826</v>
      </c>
      <c r="X389" s="57">
        <f>W389-1</f>
        <v/>
      </c>
      <c r="Y389" s="63" t="n">
        <v>45832</v>
      </c>
      <c r="Z389" s="67" t="n">
        <v>45861</v>
      </c>
      <c r="AA389" s="71">
        <f>Z389+13</f>
        <v/>
      </c>
      <c r="AB389" s="20">
        <f>AA389-U389</f>
        <v/>
      </c>
      <c r="AC389" s="20" t="inlineStr">
        <is>
          <t>No</t>
        </is>
      </c>
      <c r="AD389" s="21" t="inlineStr">
        <is>
          <t>1 HBL</t>
        </is>
      </c>
      <c r="AE389" s="21" t="n"/>
      <c r="AF389" s="22" t="inlineStr">
        <is>
          <t>LW</t>
        </is>
      </c>
      <c r="AG389" s="23" t="inlineStr">
        <is>
          <t>NAC</t>
        </is>
      </c>
      <c r="AH389" s="24" t="n"/>
      <c r="AN389" s="24" t="n"/>
    </row>
    <row r="390" ht="12.75" customHeight="1">
      <c r="A390" s="15" t="n">
        <v>3254508</v>
      </c>
      <c r="B390" s="15" t="inlineStr">
        <is>
          <t>Flexport</t>
        </is>
      </c>
      <c r="C390" s="15" t="inlineStr">
        <is>
          <t>Colombo, LK</t>
        </is>
      </c>
      <c r="D390" s="15" t="inlineStr">
        <is>
          <t>New York, NY, US</t>
        </is>
      </c>
      <c r="E390" s="15" t="inlineStr">
        <is>
          <t>Mississauga, ON, CA</t>
        </is>
      </c>
      <c r="F390" s="15" t="inlineStr">
        <is>
          <t>OCEAN</t>
        </is>
      </c>
      <c r="G390" s="15" t="inlineStr">
        <is>
          <t>D. 1 x 40HC</t>
        </is>
      </c>
      <c r="H390" s="15" t="inlineStr">
        <is>
          <t>CFS/CY</t>
        </is>
      </c>
      <c r="I390" s="15" t="inlineStr">
        <is>
          <t>ONE</t>
        </is>
      </c>
      <c r="J390" s="15" t="inlineStr">
        <is>
          <t>EC3</t>
        </is>
      </c>
      <c r="K390" s="15" t="inlineStr">
        <is>
          <t>MAS AMITY PTE LTD</t>
        </is>
      </c>
      <c r="L390" s="16" t="inlineStr">
        <is>
          <t>MAS Fabrics (Pvt) Ltd Intimo</t>
        </is>
      </c>
      <c r="M390" s="15" t="inlineStr">
        <is>
          <t>N</t>
        </is>
      </c>
      <c r="N390" s="17" t="n">
        <v>454717719021</v>
      </c>
      <c r="O390" s="15" t="n">
        <v>19923296</v>
      </c>
      <c r="P390" s="18" t="inlineStr">
        <is>
          <t>LW3JSOS</t>
        </is>
      </c>
      <c r="Q390" s="18" t="n">
        <v>7</v>
      </c>
      <c r="R390" s="18" t="n">
        <v>0.474</v>
      </c>
      <c r="S390" s="15" t="n">
        <v>71.56699999999999</v>
      </c>
      <c r="T390" s="16" t="n">
        <v>45824</v>
      </c>
      <c r="U390" s="19" t="n">
        <v>45883</v>
      </c>
      <c r="V390" s="16" t="n">
        <v>45824</v>
      </c>
      <c r="W390" s="16" t="n">
        <v>45826</v>
      </c>
      <c r="X390" s="57">
        <f>W390-1</f>
        <v/>
      </c>
      <c r="Y390" s="63" t="n">
        <v>45832</v>
      </c>
      <c r="Z390" s="67" t="n">
        <v>45861</v>
      </c>
      <c r="AA390" s="71">
        <f>Z390+13</f>
        <v/>
      </c>
      <c r="AB390" s="20">
        <f>AA390-U390</f>
        <v/>
      </c>
      <c r="AC390" s="20" t="inlineStr">
        <is>
          <t>No</t>
        </is>
      </c>
      <c r="AD390" s="21" t="inlineStr">
        <is>
          <t>1 HBL</t>
        </is>
      </c>
      <c r="AE390" s="21" t="n"/>
      <c r="AF390" s="22" t="inlineStr">
        <is>
          <t>LW</t>
        </is>
      </c>
      <c r="AG390" s="23" t="inlineStr">
        <is>
          <t>NAC</t>
        </is>
      </c>
      <c r="AH390" s="24" t="n"/>
      <c r="AN390" s="24" t="n"/>
    </row>
    <row r="391" ht="12.75" customHeight="1">
      <c r="A391" s="15" t="n">
        <v>3254508</v>
      </c>
      <c r="B391" s="15" t="inlineStr">
        <is>
          <t>Flexport</t>
        </is>
      </c>
      <c r="C391" s="15" t="inlineStr">
        <is>
          <t>Colombo, LK</t>
        </is>
      </c>
      <c r="D391" s="15" t="inlineStr">
        <is>
          <t>New York, NY, US</t>
        </is>
      </c>
      <c r="E391" s="15" t="inlineStr">
        <is>
          <t>Mississauga, ON, CA</t>
        </is>
      </c>
      <c r="F391" s="15" t="inlineStr">
        <is>
          <t>OCEAN</t>
        </is>
      </c>
      <c r="G391" s="15" t="inlineStr">
        <is>
          <t>D. 1 x 40HC</t>
        </is>
      </c>
      <c r="H391" s="15" t="inlineStr">
        <is>
          <t>CFS/CY</t>
        </is>
      </c>
      <c r="I391" s="15" t="inlineStr">
        <is>
          <t>ONE</t>
        </is>
      </c>
      <c r="J391" s="15" t="inlineStr">
        <is>
          <t>EC3</t>
        </is>
      </c>
      <c r="K391" s="15" t="inlineStr">
        <is>
          <t>MAS AMITY PTE LTD</t>
        </is>
      </c>
      <c r="L391" s="16" t="inlineStr">
        <is>
          <t>MAS Fabrics (Pvt) Ltd Intimo</t>
        </is>
      </c>
      <c r="M391" s="15" t="inlineStr">
        <is>
          <t>N</t>
        </is>
      </c>
      <c r="N391" s="17" t="n">
        <v>454717943996</v>
      </c>
      <c r="O391" s="15" t="n">
        <v>19923284</v>
      </c>
      <c r="P391" s="18" t="inlineStr">
        <is>
          <t>LW3JE8S</t>
        </is>
      </c>
      <c r="Q391" s="18" t="n">
        <v>8</v>
      </c>
      <c r="R391" s="18" t="n">
        <v>0.592</v>
      </c>
      <c r="S391" s="15" t="n">
        <v>78.08199999999999</v>
      </c>
      <c r="T391" s="16" t="n">
        <v>45824</v>
      </c>
      <c r="U391" s="19" t="n">
        <v>45883</v>
      </c>
      <c r="V391" s="16" t="n">
        <v>45824</v>
      </c>
      <c r="W391" s="16" t="n">
        <v>45826</v>
      </c>
      <c r="X391" s="57">
        <f>W391-1</f>
        <v/>
      </c>
      <c r="Y391" s="63" t="n">
        <v>45832</v>
      </c>
      <c r="Z391" s="67" t="n">
        <v>45861</v>
      </c>
      <c r="AA391" s="71">
        <f>Z391+13</f>
        <v/>
      </c>
      <c r="AB391" s="20">
        <f>AA391-U391</f>
        <v/>
      </c>
      <c r="AC391" s="20" t="inlineStr">
        <is>
          <t>No</t>
        </is>
      </c>
      <c r="AD391" s="21" t="inlineStr">
        <is>
          <t>1 HBL</t>
        </is>
      </c>
      <c r="AE391" s="21" t="n"/>
      <c r="AF391" s="22" t="inlineStr">
        <is>
          <t>LW</t>
        </is>
      </c>
      <c r="AG391" s="23" t="inlineStr">
        <is>
          <t>NAC</t>
        </is>
      </c>
      <c r="AH391" s="24" t="n"/>
      <c r="AN391" s="24" t="n"/>
    </row>
    <row r="392" ht="12.75" customHeight="1">
      <c r="A392" s="15" t="n">
        <v>3254508</v>
      </c>
      <c r="B392" s="15" t="inlineStr">
        <is>
          <t>Flexport</t>
        </is>
      </c>
      <c r="C392" s="15" t="inlineStr">
        <is>
          <t>Colombo, LK</t>
        </is>
      </c>
      <c r="D392" s="15" t="inlineStr">
        <is>
          <t>New York, NY, US</t>
        </is>
      </c>
      <c r="E392" s="15" t="inlineStr">
        <is>
          <t>Mississauga, ON, CA</t>
        </is>
      </c>
      <c r="F392" s="15" t="inlineStr">
        <is>
          <t>OCEAN</t>
        </is>
      </c>
      <c r="G392" s="15" t="inlineStr">
        <is>
          <t>D. 1 x 40HC</t>
        </is>
      </c>
      <c r="H392" s="15" t="inlineStr">
        <is>
          <t>CFS/CY</t>
        </is>
      </c>
      <c r="I392" s="15" t="inlineStr">
        <is>
          <t>ONE</t>
        </is>
      </c>
      <c r="J392" s="15" t="inlineStr">
        <is>
          <t>EC3</t>
        </is>
      </c>
      <c r="K392" s="15" t="inlineStr">
        <is>
          <t>MAS AMITY PTE LTD</t>
        </is>
      </c>
      <c r="L392" s="16" t="inlineStr">
        <is>
          <t>MAS Fabrics (Pvt) Ltd Intimo</t>
        </is>
      </c>
      <c r="M392" s="15" t="inlineStr">
        <is>
          <t>N</t>
        </is>
      </c>
      <c r="N392" s="17" t="n">
        <v>454718596121</v>
      </c>
      <c r="O392" s="15" t="n">
        <v>19923439</v>
      </c>
      <c r="P392" s="18" t="inlineStr">
        <is>
          <t>LM3FG2S</t>
        </is>
      </c>
      <c r="Q392" s="18" t="n">
        <v>2</v>
      </c>
      <c r="R392" s="18" t="n">
        <v>0.118</v>
      </c>
      <c r="S392" s="15" t="n">
        <v>16.878</v>
      </c>
      <c r="T392" s="16" t="n">
        <v>45824</v>
      </c>
      <c r="U392" s="19" t="n">
        <v>45883</v>
      </c>
      <c r="V392" s="16" t="n">
        <v>45824</v>
      </c>
      <c r="W392" s="16" t="n">
        <v>45826</v>
      </c>
      <c r="X392" s="57">
        <f>W392-1</f>
        <v/>
      </c>
      <c r="Y392" s="63" t="n">
        <v>45832</v>
      </c>
      <c r="Z392" s="67" t="n">
        <v>45861</v>
      </c>
      <c r="AA392" s="71">
        <f>Z392+13</f>
        <v/>
      </c>
      <c r="AB392" s="20">
        <f>AA392-U392</f>
        <v/>
      </c>
      <c r="AC392" s="20" t="inlineStr">
        <is>
          <t>No</t>
        </is>
      </c>
      <c r="AD392" s="21" t="inlineStr">
        <is>
          <t>1 HBL</t>
        </is>
      </c>
      <c r="AE392" s="21" t="n"/>
      <c r="AF392" s="22" t="inlineStr">
        <is>
          <t>LW</t>
        </is>
      </c>
      <c r="AG392" s="23" t="inlineStr">
        <is>
          <t>NAC</t>
        </is>
      </c>
      <c r="AH392" s="24" t="n"/>
      <c r="AN392" s="24" t="n"/>
    </row>
    <row r="393" ht="12.75" customHeight="1">
      <c r="A393" s="15" t="n">
        <v>3254508</v>
      </c>
      <c r="B393" s="15" t="inlineStr">
        <is>
          <t>Flexport</t>
        </is>
      </c>
      <c r="C393" s="15" t="inlineStr">
        <is>
          <t>Colombo, LK</t>
        </is>
      </c>
      <c r="D393" s="15" t="inlineStr">
        <is>
          <t>New York, NY, US</t>
        </is>
      </c>
      <c r="E393" s="15" t="inlineStr">
        <is>
          <t>Mississauga, ON, CA</t>
        </is>
      </c>
      <c r="F393" s="15" t="inlineStr">
        <is>
          <t>OCEAN</t>
        </is>
      </c>
      <c r="G393" s="15" t="inlineStr">
        <is>
          <t>D. 1 x 40HC</t>
        </is>
      </c>
      <c r="H393" s="15" t="inlineStr">
        <is>
          <t>CFS/CY</t>
        </is>
      </c>
      <c r="I393" s="15" t="inlineStr">
        <is>
          <t>ONE</t>
        </is>
      </c>
      <c r="J393" s="15" t="inlineStr">
        <is>
          <t>EC3</t>
        </is>
      </c>
      <c r="K393" s="15" t="inlineStr">
        <is>
          <t>MAS AMITY PTE LTD</t>
        </is>
      </c>
      <c r="L393" s="16" t="inlineStr">
        <is>
          <t>MAS Fabrics (Pvt) Ltd Intimo</t>
        </is>
      </c>
      <c r="M393" s="15" t="inlineStr">
        <is>
          <t>N</t>
        </is>
      </c>
      <c r="N393" s="17" t="n">
        <v>454718830888</v>
      </c>
      <c r="O393" s="15" t="n">
        <v>19923463</v>
      </c>
      <c r="P393" s="18" t="inlineStr">
        <is>
          <t>LW3DFNS</t>
        </is>
      </c>
      <c r="Q393" s="18" t="n">
        <v>12</v>
      </c>
      <c r="R393" s="18" t="n">
        <v>0.872</v>
      </c>
      <c r="S393" s="15" t="n">
        <v>114.03</v>
      </c>
      <c r="T393" s="16" t="n">
        <v>45824</v>
      </c>
      <c r="U393" s="19" t="n">
        <v>45883</v>
      </c>
      <c r="V393" s="16" t="n">
        <v>45824</v>
      </c>
      <c r="W393" s="16" t="n">
        <v>45826</v>
      </c>
      <c r="X393" s="57">
        <f>W393-1</f>
        <v/>
      </c>
      <c r="Y393" s="63" t="n">
        <v>45832</v>
      </c>
      <c r="Z393" s="67" t="n">
        <v>45861</v>
      </c>
      <c r="AA393" s="71">
        <f>Z393+13</f>
        <v/>
      </c>
      <c r="AB393" s="20">
        <f>AA393-U393</f>
        <v/>
      </c>
      <c r="AC393" s="20" t="inlineStr">
        <is>
          <t>No</t>
        </is>
      </c>
      <c r="AD393" s="21" t="inlineStr">
        <is>
          <t>1 HBL</t>
        </is>
      </c>
      <c r="AE393" s="21" t="n"/>
      <c r="AF393" s="22" t="inlineStr">
        <is>
          <t>LW</t>
        </is>
      </c>
      <c r="AG393" s="23" t="inlineStr">
        <is>
          <t>NAC</t>
        </is>
      </c>
      <c r="AH393" s="24" t="n"/>
      <c r="AN393" s="24" t="n"/>
    </row>
    <row r="394" ht="12.75" customHeight="1">
      <c r="A394" s="15" t="n">
        <v>3254508</v>
      </c>
      <c r="B394" s="15" t="inlineStr">
        <is>
          <t>Flexport</t>
        </is>
      </c>
      <c r="C394" s="15" t="inlineStr">
        <is>
          <t>Colombo, LK</t>
        </is>
      </c>
      <c r="D394" s="15" t="inlineStr">
        <is>
          <t>New York, NY, US</t>
        </is>
      </c>
      <c r="E394" s="15" t="inlineStr">
        <is>
          <t>Mississauga, ON, CA</t>
        </is>
      </c>
      <c r="F394" s="15" t="inlineStr">
        <is>
          <t>OCEAN</t>
        </is>
      </c>
      <c r="G394" s="15" t="inlineStr">
        <is>
          <t>D. 1 x 40HC</t>
        </is>
      </c>
      <c r="H394" s="15" t="inlineStr">
        <is>
          <t>CFS/CY</t>
        </is>
      </c>
      <c r="I394" s="15" t="inlineStr">
        <is>
          <t>ONE</t>
        </is>
      </c>
      <c r="J394" s="15" t="inlineStr">
        <is>
          <t>EC3</t>
        </is>
      </c>
      <c r="K394" s="15" t="inlineStr">
        <is>
          <t>MAS AMITY PTE LTD</t>
        </is>
      </c>
      <c r="L394" s="16" t="inlineStr">
        <is>
          <t>MAS Fabrics (Pvt) Ltd Intimo</t>
        </is>
      </c>
      <c r="M394" s="15" t="inlineStr">
        <is>
          <t>N</t>
        </is>
      </c>
      <c r="N394" s="17" t="n">
        <v>454719489186</v>
      </c>
      <c r="O394" s="15" t="n">
        <v>19923656</v>
      </c>
      <c r="P394" s="18" t="inlineStr">
        <is>
          <t>LW3JE8S</t>
        </is>
      </c>
      <c r="Q394" s="18" t="n">
        <v>7</v>
      </c>
      <c r="R394" s="18" t="n">
        <v>0.513</v>
      </c>
      <c r="S394" s="15" t="n">
        <v>70.24299999999999</v>
      </c>
      <c r="T394" s="16" t="n">
        <v>45824</v>
      </c>
      <c r="U394" s="19" t="n">
        <v>45883</v>
      </c>
      <c r="V394" s="16" t="n">
        <v>45824</v>
      </c>
      <c r="W394" s="16" t="n">
        <v>45826</v>
      </c>
      <c r="X394" s="57">
        <f>W394-1</f>
        <v/>
      </c>
      <c r="Y394" s="63" t="n">
        <v>45832</v>
      </c>
      <c r="Z394" s="67" t="n">
        <v>45861</v>
      </c>
      <c r="AA394" s="71">
        <f>Z394+13</f>
        <v/>
      </c>
      <c r="AB394" s="20">
        <f>AA394-U394</f>
        <v/>
      </c>
      <c r="AC394" s="20" t="inlineStr">
        <is>
          <t>No</t>
        </is>
      </c>
      <c r="AD394" s="21" t="inlineStr">
        <is>
          <t>1 HBL</t>
        </is>
      </c>
      <c r="AE394" s="21" t="n"/>
      <c r="AF394" s="22" t="inlineStr">
        <is>
          <t>LW</t>
        </is>
      </c>
      <c r="AG394" s="23" t="inlineStr">
        <is>
          <t>NAC</t>
        </is>
      </c>
      <c r="AH394" s="24" t="n"/>
      <c r="AN394" s="24" t="n"/>
    </row>
    <row r="395" ht="12.75" customHeight="1">
      <c r="A395" s="15" t="n">
        <v>3254508</v>
      </c>
      <c r="B395" s="15" t="inlineStr">
        <is>
          <t>Flexport</t>
        </is>
      </c>
      <c r="C395" s="15" t="inlineStr">
        <is>
          <t>Colombo, LK</t>
        </is>
      </c>
      <c r="D395" s="15" t="inlineStr">
        <is>
          <t>New York, NY, US</t>
        </is>
      </c>
      <c r="E395" s="15" t="inlineStr">
        <is>
          <t>Milton, ON, CA</t>
        </is>
      </c>
      <c r="F395" s="15" t="inlineStr">
        <is>
          <t>OCEAN</t>
        </is>
      </c>
      <c r="G395" s="15" t="inlineStr">
        <is>
          <t>D. 1 x 40HC</t>
        </is>
      </c>
      <c r="H395" s="15" t="inlineStr">
        <is>
          <t>CFS/CY</t>
        </is>
      </c>
      <c r="I395" s="15" t="inlineStr">
        <is>
          <t>ONE</t>
        </is>
      </c>
      <c r="J395" s="15" t="inlineStr">
        <is>
          <t>EC3</t>
        </is>
      </c>
      <c r="K395" s="15" t="inlineStr">
        <is>
          <t>MAS AMITY PTE LTD</t>
        </is>
      </c>
      <c r="L395" s="16" t="inlineStr">
        <is>
          <t>MAS Active (Pvt) Ltd - Linea Intimo</t>
        </is>
      </c>
      <c r="M395" s="15" t="inlineStr">
        <is>
          <t>N</t>
        </is>
      </c>
      <c r="N395" s="17" t="n">
        <v>454698382746</v>
      </c>
      <c r="O395" s="15" t="n">
        <v>19900473</v>
      </c>
      <c r="P395" s="18" t="inlineStr">
        <is>
          <t>LW3DOBS</t>
        </is>
      </c>
      <c r="Q395" s="18" t="n">
        <v>4</v>
      </c>
      <c r="R395" s="18" t="n">
        <v>0.237</v>
      </c>
      <c r="S395" s="15" t="n">
        <v>26.482</v>
      </c>
      <c r="T395" s="16" t="n">
        <v>45824</v>
      </c>
      <c r="U395" s="19" t="n">
        <v>45883</v>
      </c>
      <c r="V395" s="16" t="n">
        <v>45824</v>
      </c>
      <c r="W395" s="16" t="n">
        <v>45826</v>
      </c>
      <c r="X395" s="57">
        <f>W395-1</f>
        <v/>
      </c>
      <c r="Y395" s="63" t="n">
        <v>45832</v>
      </c>
      <c r="Z395" s="67" t="n">
        <v>45861</v>
      </c>
      <c r="AA395" s="71">
        <f>Z395+13</f>
        <v/>
      </c>
      <c r="AB395" s="20">
        <f>AA395-U395</f>
        <v/>
      </c>
      <c r="AC395" s="20" t="inlineStr">
        <is>
          <t>No</t>
        </is>
      </c>
      <c r="AD395" s="21" t="inlineStr">
        <is>
          <t>1 HBL</t>
        </is>
      </c>
      <c r="AE395" s="21" t="n"/>
      <c r="AF395" s="22" t="inlineStr">
        <is>
          <t>LW</t>
        </is>
      </c>
      <c r="AG395" s="23" t="inlineStr">
        <is>
          <t>NAC</t>
        </is>
      </c>
      <c r="AH395" s="24" t="n"/>
      <c r="AN395" s="24" t="n"/>
    </row>
    <row r="396" ht="12.75" customHeight="1">
      <c r="A396" s="15" t="n">
        <v>3254508</v>
      </c>
      <c r="B396" s="15" t="inlineStr">
        <is>
          <t>Flexport</t>
        </is>
      </c>
      <c r="C396" s="15" t="inlineStr">
        <is>
          <t>Colombo, LK</t>
        </is>
      </c>
      <c r="D396" s="15" t="inlineStr">
        <is>
          <t>New York, NY, US</t>
        </is>
      </c>
      <c r="E396" s="15" t="inlineStr">
        <is>
          <t>Milton, ON, CA</t>
        </is>
      </c>
      <c r="F396" s="15" t="inlineStr">
        <is>
          <t>OCEAN</t>
        </is>
      </c>
      <c r="G396" s="15" t="inlineStr">
        <is>
          <t>D. 1 x 40HC</t>
        </is>
      </c>
      <c r="H396" s="15" t="inlineStr">
        <is>
          <t>CFS/CY</t>
        </is>
      </c>
      <c r="I396" s="15" t="inlineStr">
        <is>
          <t>ONE</t>
        </is>
      </c>
      <c r="J396" s="15" t="inlineStr">
        <is>
          <t>EC3</t>
        </is>
      </c>
      <c r="K396" s="15" t="inlineStr">
        <is>
          <t>MAS AMITY PTE LTD</t>
        </is>
      </c>
      <c r="L396" s="16" t="inlineStr">
        <is>
          <t>MAS Active (Pvt) Ltd - Linea Intimo</t>
        </is>
      </c>
      <c r="M396" s="15" t="inlineStr">
        <is>
          <t>N</t>
        </is>
      </c>
      <c r="N396" s="17" t="n">
        <v>454698451896</v>
      </c>
      <c r="O396" s="15" t="n">
        <v>19897814</v>
      </c>
      <c r="P396" s="18" t="inlineStr">
        <is>
          <t>LM3FHKS</t>
        </is>
      </c>
      <c r="Q396" s="18" t="n">
        <v>3</v>
      </c>
      <c r="R396" s="18" t="n">
        <v>0.158</v>
      </c>
      <c r="S396" s="15" t="n">
        <v>21.629</v>
      </c>
      <c r="T396" s="16" t="n">
        <v>45824</v>
      </c>
      <c r="U396" s="19" t="n">
        <v>45883</v>
      </c>
      <c r="V396" s="16" t="n">
        <v>45824</v>
      </c>
      <c r="W396" s="16" t="n">
        <v>45826</v>
      </c>
      <c r="X396" s="57">
        <f>W396-1</f>
        <v/>
      </c>
      <c r="Y396" s="63" t="n">
        <v>45832</v>
      </c>
      <c r="Z396" s="67" t="n">
        <v>45861</v>
      </c>
      <c r="AA396" s="71">
        <f>Z396+13</f>
        <v/>
      </c>
      <c r="AB396" s="20">
        <f>AA396-U396</f>
        <v/>
      </c>
      <c r="AC396" s="20" t="inlineStr">
        <is>
          <t>No</t>
        </is>
      </c>
      <c r="AD396" s="21" t="inlineStr">
        <is>
          <t>1 HBL</t>
        </is>
      </c>
      <c r="AE396" s="21" t="n"/>
      <c r="AF396" s="22" t="inlineStr">
        <is>
          <t>LW</t>
        </is>
      </c>
      <c r="AG396" s="23" t="inlineStr">
        <is>
          <t>NAC</t>
        </is>
      </c>
      <c r="AH396" s="24" t="n"/>
      <c r="AN396" s="24" t="n"/>
    </row>
    <row r="397" ht="12.75" customHeight="1">
      <c r="A397" s="15" t="n">
        <v>3254508</v>
      </c>
      <c r="B397" s="15" t="inlineStr">
        <is>
          <t>Flexport</t>
        </is>
      </c>
      <c r="C397" s="15" t="inlineStr">
        <is>
          <t>Colombo, LK</t>
        </is>
      </c>
      <c r="D397" s="15" t="inlineStr">
        <is>
          <t>New York, NY, US</t>
        </is>
      </c>
      <c r="E397" s="15" t="inlineStr">
        <is>
          <t>Milton, ON, CA</t>
        </is>
      </c>
      <c r="F397" s="15" t="inlineStr">
        <is>
          <t>OCEAN</t>
        </is>
      </c>
      <c r="G397" s="15" t="inlineStr">
        <is>
          <t>D. 1 x 40HC</t>
        </is>
      </c>
      <c r="H397" s="15" t="inlineStr">
        <is>
          <t>CFS/CY</t>
        </is>
      </c>
      <c r="I397" s="15" t="inlineStr">
        <is>
          <t>ONE</t>
        </is>
      </c>
      <c r="J397" s="15" t="inlineStr">
        <is>
          <t>EC3</t>
        </is>
      </c>
      <c r="K397" s="15" t="inlineStr">
        <is>
          <t>MAS AMITY PTE LTD</t>
        </is>
      </c>
      <c r="L397" s="16" t="inlineStr">
        <is>
          <t>MAS Active (Pvt) Ltd - Linea Intimo</t>
        </is>
      </c>
      <c r="M397" s="15" t="inlineStr">
        <is>
          <t>N</t>
        </is>
      </c>
      <c r="N397" s="17" t="n">
        <v>454698452151</v>
      </c>
      <c r="O397" s="15" t="n">
        <v>19897818</v>
      </c>
      <c r="P397" s="18" t="inlineStr">
        <is>
          <t>LM3FHKS</t>
        </is>
      </c>
      <c r="Q397" s="18" t="n">
        <v>3</v>
      </c>
      <c r="R397" s="18" t="n">
        <v>0.158</v>
      </c>
      <c r="S397" s="15" t="n">
        <v>22.839</v>
      </c>
      <c r="T397" s="16" t="n">
        <v>45824</v>
      </c>
      <c r="U397" s="19" t="n">
        <v>45883</v>
      </c>
      <c r="V397" s="16" t="n">
        <v>45824</v>
      </c>
      <c r="W397" s="16" t="n">
        <v>45826</v>
      </c>
      <c r="X397" s="57">
        <f>W397-1</f>
        <v/>
      </c>
      <c r="Y397" s="63" t="n">
        <v>45832</v>
      </c>
      <c r="Z397" s="67" t="n">
        <v>45861</v>
      </c>
      <c r="AA397" s="71">
        <f>Z397+13</f>
        <v/>
      </c>
      <c r="AB397" s="20">
        <f>AA397-U397</f>
        <v/>
      </c>
      <c r="AC397" s="20" t="inlineStr">
        <is>
          <t>No</t>
        </is>
      </c>
      <c r="AD397" s="21" t="inlineStr">
        <is>
          <t>1 HBL</t>
        </is>
      </c>
      <c r="AE397" s="21" t="n"/>
      <c r="AF397" s="22" t="inlineStr">
        <is>
          <t>LW</t>
        </is>
      </c>
      <c r="AG397" s="23" t="inlineStr">
        <is>
          <t>NAC</t>
        </is>
      </c>
      <c r="AH397" s="24" t="n"/>
      <c r="AN397" s="24" t="n"/>
    </row>
    <row r="398" ht="12.75" customHeight="1">
      <c r="A398" s="15" t="n">
        <v>3254508</v>
      </c>
      <c r="B398" s="15" t="inlineStr">
        <is>
          <t>Flexport</t>
        </is>
      </c>
      <c r="C398" s="15" t="inlineStr">
        <is>
          <t>Colombo, LK</t>
        </is>
      </c>
      <c r="D398" s="15" t="inlineStr">
        <is>
          <t>New York, NY, US</t>
        </is>
      </c>
      <c r="E398" s="15" t="inlineStr">
        <is>
          <t>Milton, ON, CA</t>
        </is>
      </c>
      <c r="F398" s="15" t="inlineStr">
        <is>
          <t>OCEAN</t>
        </is>
      </c>
      <c r="G398" s="15" t="inlineStr">
        <is>
          <t>D. 1 x 40HC</t>
        </is>
      </c>
      <c r="H398" s="15" t="inlineStr">
        <is>
          <t>CFS/CY</t>
        </is>
      </c>
      <c r="I398" s="15" t="inlineStr">
        <is>
          <t>ONE</t>
        </is>
      </c>
      <c r="J398" s="15" t="inlineStr">
        <is>
          <t>EC3</t>
        </is>
      </c>
      <c r="K398" s="15" t="inlineStr">
        <is>
          <t>MAS AMITY PTE LTD</t>
        </is>
      </c>
      <c r="L398" s="16" t="inlineStr">
        <is>
          <t>MAS Active (Pvt) Ltd - Linea Intimo</t>
        </is>
      </c>
      <c r="M398" s="15" t="inlineStr">
        <is>
          <t>N</t>
        </is>
      </c>
      <c r="N398" s="17" t="n">
        <v>454698725219</v>
      </c>
      <c r="O398" s="15" t="n">
        <v>19897806</v>
      </c>
      <c r="P398" s="18" t="inlineStr">
        <is>
          <t>LM3FG2S</t>
        </is>
      </c>
      <c r="Q398" s="18" t="n">
        <v>2</v>
      </c>
      <c r="R398" s="18" t="n">
        <v>0.158</v>
      </c>
      <c r="S398" s="15" t="n">
        <v>24.668</v>
      </c>
      <c r="T398" s="16" t="n">
        <v>45824</v>
      </c>
      <c r="U398" s="19" t="n">
        <v>45883</v>
      </c>
      <c r="V398" s="16" t="n">
        <v>45824</v>
      </c>
      <c r="W398" s="16" t="n">
        <v>45826</v>
      </c>
      <c r="X398" s="57">
        <f>W398-1</f>
        <v/>
      </c>
      <c r="Y398" s="63" t="n">
        <v>45832</v>
      </c>
      <c r="Z398" s="67" t="n">
        <v>45861</v>
      </c>
      <c r="AA398" s="71">
        <f>Z398+13</f>
        <v/>
      </c>
      <c r="AB398" s="20">
        <f>AA398-U398</f>
        <v/>
      </c>
      <c r="AC398" s="20" t="inlineStr">
        <is>
          <t>No</t>
        </is>
      </c>
      <c r="AD398" s="21" t="inlineStr">
        <is>
          <t>1 HBL</t>
        </is>
      </c>
      <c r="AE398" s="21" t="n"/>
      <c r="AF398" s="22" t="inlineStr">
        <is>
          <t>LW</t>
        </is>
      </c>
      <c r="AG398" s="23" t="inlineStr">
        <is>
          <t>NAC</t>
        </is>
      </c>
      <c r="AH398" s="24" t="n"/>
      <c r="AN398" s="24" t="n"/>
    </row>
    <row r="399" ht="12.75" customHeight="1">
      <c r="A399" s="15" t="n">
        <v>3254508</v>
      </c>
      <c r="B399" s="15" t="inlineStr">
        <is>
          <t>Flexport</t>
        </is>
      </c>
      <c r="C399" s="15" t="inlineStr">
        <is>
          <t>Colombo, LK</t>
        </is>
      </c>
      <c r="D399" s="15" t="inlineStr">
        <is>
          <t>New York, NY, US</t>
        </is>
      </c>
      <c r="E399" s="15" t="inlineStr">
        <is>
          <t>Milton, ON, CA</t>
        </is>
      </c>
      <c r="F399" s="15" t="inlineStr">
        <is>
          <t>OCEAN</t>
        </is>
      </c>
      <c r="G399" s="15" t="inlineStr">
        <is>
          <t>D. 1 x 40HC</t>
        </is>
      </c>
      <c r="H399" s="15" t="inlineStr">
        <is>
          <t>CFS/CY</t>
        </is>
      </c>
      <c r="I399" s="15" t="inlineStr">
        <is>
          <t>ONE</t>
        </is>
      </c>
      <c r="J399" s="15" t="inlineStr">
        <is>
          <t>EC3</t>
        </is>
      </c>
      <c r="K399" s="15" t="inlineStr">
        <is>
          <t>MAS AMITY PTE LTD</t>
        </is>
      </c>
      <c r="L399" s="16" t="inlineStr">
        <is>
          <t>MAS Active (Pvt) Ltd - Linea Intimo</t>
        </is>
      </c>
      <c r="M399" s="15" t="inlineStr">
        <is>
          <t>N</t>
        </is>
      </c>
      <c r="N399" s="17" t="n">
        <v>454699451892</v>
      </c>
      <c r="O399" s="15" t="n">
        <v>19897828</v>
      </c>
      <c r="P399" s="18" t="inlineStr">
        <is>
          <t>LM3FPES</t>
        </is>
      </c>
      <c r="Q399" s="18" t="n">
        <v>6</v>
      </c>
      <c r="R399" s="18" t="n">
        <v>0.395</v>
      </c>
      <c r="S399" s="15" t="n">
        <v>63.954</v>
      </c>
      <c r="T399" s="16" t="n">
        <v>45824</v>
      </c>
      <c r="U399" s="19" t="n">
        <v>45883</v>
      </c>
      <c r="V399" s="16" t="n">
        <v>45824</v>
      </c>
      <c r="W399" s="16" t="n">
        <v>45826</v>
      </c>
      <c r="X399" s="57">
        <f>W399-1</f>
        <v/>
      </c>
      <c r="Y399" s="63" t="n">
        <v>45832</v>
      </c>
      <c r="Z399" s="67" t="n">
        <v>45861</v>
      </c>
      <c r="AA399" s="71">
        <f>Z399+13</f>
        <v/>
      </c>
      <c r="AB399" s="20">
        <f>AA399-U399</f>
        <v/>
      </c>
      <c r="AC399" s="20" t="inlineStr">
        <is>
          <t>No</t>
        </is>
      </c>
      <c r="AD399" s="21" t="inlineStr">
        <is>
          <t>1 HBL</t>
        </is>
      </c>
      <c r="AE399" s="21" t="n"/>
      <c r="AF399" s="22" t="inlineStr">
        <is>
          <t>LW</t>
        </is>
      </c>
      <c r="AG399" s="23" t="inlineStr">
        <is>
          <t>NAC</t>
        </is>
      </c>
      <c r="AH399" s="24" t="n"/>
      <c r="AN399" s="24" t="n"/>
    </row>
    <row r="400" ht="12.75" customHeight="1">
      <c r="A400" s="15" t="n">
        <v>3254508</v>
      </c>
      <c r="B400" s="15" t="inlineStr">
        <is>
          <t>Flexport</t>
        </is>
      </c>
      <c r="C400" s="15" t="inlineStr">
        <is>
          <t>Colombo, LK</t>
        </is>
      </c>
      <c r="D400" s="15" t="inlineStr">
        <is>
          <t>New York, NY, US</t>
        </is>
      </c>
      <c r="E400" s="15" t="inlineStr">
        <is>
          <t>Milton, ON, CA</t>
        </is>
      </c>
      <c r="F400" s="15" t="inlineStr">
        <is>
          <t>OCEAN</t>
        </is>
      </c>
      <c r="G400" s="15" t="inlineStr">
        <is>
          <t>D. 1 x 40HC</t>
        </is>
      </c>
      <c r="H400" s="15" t="inlineStr">
        <is>
          <t>CFS/CY</t>
        </is>
      </c>
      <c r="I400" s="15" t="inlineStr">
        <is>
          <t>ONE</t>
        </is>
      </c>
      <c r="J400" s="15" t="inlineStr">
        <is>
          <t>EC3</t>
        </is>
      </c>
      <c r="K400" s="15" t="inlineStr">
        <is>
          <t>MAS AMITY PTE LTD</t>
        </is>
      </c>
      <c r="L400" s="16" t="inlineStr">
        <is>
          <t>MAS Active (Pvt) Ltd - Linea Intimo</t>
        </is>
      </c>
      <c r="M400" s="15" t="inlineStr">
        <is>
          <t>N</t>
        </is>
      </c>
      <c r="N400" s="17" t="n">
        <v>454700125508</v>
      </c>
      <c r="O400" s="15" t="n">
        <v>19900411</v>
      </c>
      <c r="P400" s="18" t="inlineStr">
        <is>
          <t>LW3DFMS</t>
        </is>
      </c>
      <c r="Q400" s="18" t="n">
        <v>1</v>
      </c>
      <c r="R400" s="18" t="n">
        <v>0.079</v>
      </c>
      <c r="S400" s="15" t="n">
        <v>7.042</v>
      </c>
      <c r="T400" s="16" t="n">
        <v>45824</v>
      </c>
      <c r="U400" s="19" t="n">
        <v>45883</v>
      </c>
      <c r="V400" s="16" t="n">
        <v>45824</v>
      </c>
      <c r="W400" s="16" t="n">
        <v>45826</v>
      </c>
      <c r="X400" s="57">
        <f>W400-1</f>
        <v/>
      </c>
      <c r="Y400" s="63" t="n">
        <v>45832</v>
      </c>
      <c r="Z400" s="67" t="n">
        <v>45861</v>
      </c>
      <c r="AA400" s="71">
        <f>Z400+13</f>
        <v/>
      </c>
      <c r="AB400" s="20">
        <f>AA400-U400</f>
        <v/>
      </c>
      <c r="AC400" s="20" t="inlineStr">
        <is>
          <t>No</t>
        </is>
      </c>
      <c r="AD400" s="21" t="inlineStr">
        <is>
          <t>1 HBL</t>
        </is>
      </c>
      <c r="AE400" s="21" t="n"/>
      <c r="AF400" s="22" t="inlineStr">
        <is>
          <t>LW</t>
        </is>
      </c>
      <c r="AG400" s="23" t="inlineStr">
        <is>
          <t>NAC</t>
        </is>
      </c>
      <c r="AH400" s="24" t="n"/>
      <c r="AN400" s="24" t="n"/>
    </row>
    <row r="401" ht="12.75" customHeight="1">
      <c r="A401" s="15" t="n">
        <v>3254508</v>
      </c>
      <c r="B401" s="15" t="inlineStr">
        <is>
          <t>Flexport</t>
        </is>
      </c>
      <c r="C401" s="15" t="inlineStr">
        <is>
          <t>Colombo, LK</t>
        </is>
      </c>
      <c r="D401" s="15" t="inlineStr">
        <is>
          <t>New York, NY, US</t>
        </is>
      </c>
      <c r="E401" s="15" t="inlineStr">
        <is>
          <t>Milton, ON, CA</t>
        </is>
      </c>
      <c r="F401" s="15" t="inlineStr">
        <is>
          <t>OCEAN</t>
        </is>
      </c>
      <c r="G401" s="15" t="inlineStr">
        <is>
          <t>D. 1 x 40HC</t>
        </is>
      </c>
      <c r="H401" s="15" t="inlineStr">
        <is>
          <t>CFS/CY</t>
        </is>
      </c>
      <c r="I401" s="15" t="inlineStr">
        <is>
          <t>ONE</t>
        </is>
      </c>
      <c r="J401" s="15" t="inlineStr">
        <is>
          <t>EC3</t>
        </is>
      </c>
      <c r="K401" s="15" t="inlineStr">
        <is>
          <t>MAS AMITY PTE LTD</t>
        </is>
      </c>
      <c r="L401" s="16" t="inlineStr">
        <is>
          <t>MAS Active (Pvt) Ltd - Linea Intimo</t>
        </is>
      </c>
      <c r="M401" s="15" t="inlineStr">
        <is>
          <t>N</t>
        </is>
      </c>
      <c r="N401" s="17" t="n">
        <v>454700362711</v>
      </c>
      <c r="O401" s="15" t="n">
        <v>19900461</v>
      </c>
      <c r="P401" s="18" t="inlineStr">
        <is>
          <t>LW3DFNS</t>
        </is>
      </c>
      <c r="Q401" s="18" t="n">
        <v>9</v>
      </c>
      <c r="R401" s="18" t="n">
        <v>0.714</v>
      </c>
      <c r="S401" s="15" t="n">
        <v>95.38</v>
      </c>
      <c r="T401" s="16" t="n">
        <v>45824</v>
      </c>
      <c r="U401" s="19" t="n">
        <v>45883</v>
      </c>
      <c r="V401" s="16" t="n">
        <v>45824</v>
      </c>
      <c r="W401" s="16" t="n">
        <v>45826</v>
      </c>
      <c r="X401" s="57">
        <f>W401-1</f>
        <v/>
      </c>
      <c r="Y401" s="63" t="n">
        <v>45832</v>
      </c>
      <c r="Z401" s="67" t="n">
        <v>45861</v>
      </c>
      <c r="AA401" s="71">
        <f>Z401+13</f>
        <v/>
      </c>
      <c r="AB401" s="20">
        <f>AA401-U401</f>
        <v/>
      </c>
      <c r="AC401" s="20" t="inlineStr">
        <is>
          <t>No</t>
        </is>
      </c>
      <c r="AD401" s="21" t="inlineStr">
        <is>
          <t>1 HBL</t>
        </is>
      </c>
      <c r="AE401" s="21" t="n"/>
      <c r="AF401" s="22" t="inlineStr">
        <is>
          <t>LW</t>
        </is>
      </c>
      <c r="AG401" s="23" t="inlineStr">
        <is>
          <t>NAC</t>
        </is>
      </c>
      <c r="AH401" s="24" t="n"/>
      <c r="AN401" s="24" t="n"/>
    </row>
    <row r="402" ht="12.75" customHeight="1">
      <c r="A402" s="15" t="n">
        <v>3254508</v>
      </c>
      <c r="B402" s="15" t="inlineStr">
        <is>
          <t>Flexport</t>
        </is>
      </c>
      <c r="C402" s="15" t="inlineStr">
        <is>
          <t>Colombo, LK</t>
        </is>
      </c>
      <c r="D402" s="15" t="inlineStr">
        <is>
          <t>New York, NY, US</t>
        </is>
      </c>
      <c r="E402" s="15" t="inlineStr">
        <is>
          <t>Milton, ON, CA</t>
        </is>
      </c>
      <c r="F402" s="15" t="inlineStr">
        <is>
          <t>OCEAN</t>
        </is>
      </c>
      <c r="G402" s="15" t="inlineStr">
        <is>
          <t>D. 1 x 40HC</t>
        </is>
      </c>
      <c r="H402" s="15" t="inlineStr">
        <is>
          <t>CFS/CY</t>
        </is>
      </c>
      <c r="I402" s="15" t="inlineStr">
        <is>
          <t>ONE</t>
        </is>
      </c>
      <c r="J402" s="15" t="inlineStr">
        <is>
          <t>EC3</t>
        </is>
      </c>
      <c r="K402" s="15" t="inlineStr">
        <is>
          <t>MAS AMITY PTE LTD</t>
        </is>
      </c>
      <c r="L402" s="16" t="inlineStr">
        <is>
          <t>MAS Active (Pvt) Ltd - Linea Intimo</t>
        </is>
      </c>
      <c r="M402" s="15" t="inlineStr">
        <is>
          <t>N</t>
        </is>
      </c>
      <c r="N402" s="17" t="n">
        <v>454700762303</v>
      </c>
      <c r="O402" s="15" t="n">
        <v>19900412</v>
      </c>
      <c r="P402" s="18" t="inlineStr">
        <is>
          <t>LW3DFMS</t>
        </is>
      </c>
      <c r="Q402" s="18" t="n">
        <v>6</v>
      </c>
      <c r="R402" s="18" t="n">
        <v>0.395</v>
      </c>
      <c r="S402" s="15" t="n">
        <v>46.725</v>
      </c>
      <c r="T402" s="16" t="n">
        <v>45824</v>
      </c>
      <c r="U402" s="19" t="n">
        <v>45883</v>
      </c>
      <c r="V402" s="16" t="n">
        <v>45824</v>
      </c>
      <c r="W402" s="16" t="n">
        <v>45826</v>
      </c>
      <c r="X402" s="57">
        <f>W402-1</f>
        <v/>
      </c>
      <c r="Y402" s="63" t="n">
        <v>45832</v>
      </c>
      <c r="Z402" s="67" t="n">
        <v>45861</v>
      </c>
      <c r="AA402" s="71">
        <f>Z402+13</f>
        <v/>
      </c>
      <c r="AB402" s="20">
        <f>AA402-U402</f>
        <v/>
      </c>
      <c r="AC402" s="20" t="inlineStr">
        <is>
          <t>No</t>
        </is>
      </c>
      <c r="AD402" s="21" t="inlineStr">
        <is>
          <t>1 HBL</t>
        </is>
      </c>
      <c r="AE402" s="21" t="n"/>
      <c r="AF402" s="22" t="inlineStr">
        <is>
          <t>LW</t>
        </is>
      </c>
      <c r="AG402" s="23" t="inlineStr">
        <is>
          <t>NAC</t>
        </is>
      </c>
      <c r="AH402" s="24" t="n"/>
      <c r="AN402" s="24" t="n"/>
    </row>
    <row r="403" ht="12.75" customHeight="1">
      <c r="A403" s="15" t="n">
        <v>3254508</v>
      </c>
      <c r="B403" s="15" t="inlineStr">
        <is>
          <t>Flexport</t>
        </is>
      </c>
      <c r="C403" s="15" t="inlineStr">
        <is>
          <t>Colombo, LK</t>
        </is>
      </c>
      <c r="D403" s="15" t="inlineStr">
        <is>
          <t>New York, NY, US</t>
        </is>
      </c>
      <c r="E403" s="15" t="inlineStr">
        <is>
          <t>Milton, ON, CA</t>
        </is>
      </c>
      <c r="F403" s="15" t="inlineStr">
        <is>
          <t>OCEAN</t>
        </is>
      </c>
      <c r="G403" s="15" t="inlineStr">
        <is>
          <t>D. 1 x 40HC</t>
        </is>
      </c>
      <c r="H403" s="15" t="inlineStr">
        <is>
          <t>CFS/CY</t>
        </is>
      </c>
      <c r="I403" s="15" t="inlineStr">
        <is>
          <t>ONE</t>
        </is>
      </c>
      <c r="J403" s="15" t="inlineStr">
        <is>
          <t>EC3</t>
        </is>
      </c>
      <c r="K403" s="15" t="inlineStr">
        <is>
          <t>MAS AMITY PTE LTD</t>
        </is>
      </c>
      <c r="L403" s="16" t="inlineStr">
        <is>
          <t>MAS Active (Pvt) Ltd - Linea Intimo</t>
        </is>
      </c>
      <c r="M403" s="15" t="inlineStr">
        <is>
          <t>N</t>
        </is>
      </c>
      <c r="N403" s="17" t="n">
        <v>454700903665</v>
      </c>
      <c r="O403" s="15" t="n">
        <v>19900430</v>
      </c>
      <c r="P403" s="18" t="inlineStr">
        <is>
          <t>LW3DFMS</t>
        </is>
      </c>
      <c r="Q403" s="18" t="n">
        <v>8</v>
      </c>
      <c r="R403" s="18" t="n">
        <v>0.474</v>
      </c>
      <c r="S403" s="15" t="n">
        <v>61.232</v>
      </c>
      <c r="T403" s="16" t="n">
        <v>45824</v>
      </c>
      <c r="U403" s="19" t="n">
        <v>45883</v>
      </c>
      <c r="V403" s="16" t="n">
        <v>45824</v>
      </c>
      <c r="W403" s="16" t="n">
        <v>45826</v>
      </c>
      <c r="X403" s="57">
        <f>W403-1</f>
        <v/>
      </c>
      <c r="Y403" s="63" t="n">
        <v>45832</v>
      </c>
      <c r="Z403" s="67" t="n">
        <v>45861</v>
      </c>
      <c r="AA403" s="71">
        <f>Z403+13</f>
        <v/>
      </c>
      <c r="AB403" s="20">
        <f>AA403-U403</f>
        <v/>
      </c>
      <c r="AC403" s="20" t="inlineStr">
        <is>
          <t>No</t>
        </is>
      </c>
      <c r="AD403" s="21" t="inlineStr">
        <is>
          <t>1 HBL</t>
        </is>
      </c>
      <c r="AE403" s="21" t="n"/>
      <c r="AF403" s="22" t="inlineStr">
        <is>
          <t>LW</t>
        </is>
      </c>
      <c r="AG403" s="23" t="inlineStr">
        <is>
          <t>NAC</t>
        </is>
      </c>
      <c r="AH403" s="24" t="n"/>
      <c r="AN403" s="24" t="n"/>
    </row>
    <row r="404" ht="12.75" customHeight="1">
      <c r="A404" s="15" t="n">
        <v>3254508</v>
      </c>
      <c r="B404" s="15" t="inlineStr">
        <is>
          <t>Flexport</t>
        </is>
      </c>
      <c r="C404" s="15" t="inlineStr">
        <is>
          <t>Colombo, LK</t>
        </is>
      </c>
      <c r="D404" s="15" t="inlineStr">
        <is>
          <t>New York, NY, US</t>
        </is>
      </c>
      <c r="E404" s="15" t="inlineStr">
        <is>
          <t>Milton, ON, CA</t>
        </is>
      </c>
      <c r="F404" s="15" t="inlineStr">
        <is>
          <t>OCEAN</t>
        </is>
      </c>
      <c r="G404" s="15" t="inlineStr">
        <is>
          <t>D. 1 x 40HC</t>
        </is>
      </c>
      <c r="H404" s="15" t="inlineStr">
        <is>
          <t>CFS/CY</t>
        </is>
      </c>
      <c r="I404" s="15" t="inlineStr">
        <is>
          <t>ONE</t>
        </is>
      </c>
      <c r="J404" s="15" t="inlineStr">
        <is>
          <t>EC3</t>
        </is>
      </c>
      <c r="K404" s="15" t="inlineStr">
        <is>
          <t>MAS AMITY PTE LTD</t>
        </is>
      </c>
      <c r="L404" s="16" t="inlineStr">
        <is>
          <t>MAS Active (Pvt) Ltd - Linea Intimo</t>
        </is>
      </c>
      <c r="M404" s="15" t="inlineStr">
        <is>
          <t>N</t>
        </is>
      </c>
      <c r="N404" s="17" t="n">
        <v>454701117988</v>
      </c>
      <c r="O404" s="15" t="n">
        <v>19900444</v>
      </c>
      <c r="P404" s="18" t="inlineStr">
        <is>
          <t>LW3DFMS</t>
        </is>
      </c>
      <c r="Q404" s="18" t="n">
        <v>2</v>
      </c>
      <c r="R404" s="18" t="n">
        <v>0.119</v>
      </c>
      <c r="S404" s="15" t="n">
        <v>12.34</v>
      </c>
      <c r="T404" s="16" t="n">
        <v>45824</v>
      </c>
      <c r="U404" s="19" t="n">
        <v>45883</v>
      </c>
      <c r="V404" s="16" t="n">
        <v>45824</v>
      </c>
      <c r="W404" s="16" t="n">
        <v>45826</v>
      </c>
      <c r="X404" s="57">
        <f>W404-1</f>
        <v/>
      </c>
      <c r="Y404" s="63" t="n">
        <v>45832</v>
      </c>
      <c r="Z404" s="67" t="n">
        <v>45861</v>
      </c>
      <c r="AA404" s="71">
        <f>Z404+13</f>
        <v/>
      </c>
      <c r="AB404" s="20">
        <f>AA404-U404</f>
        <v/>
      </c>
      <c r="AC404" s="20" t="inlineStr">
        <is>
          <t>No</t>
        </is>
      </c>
      <c r="AD404" s="21" t="inlineStr">
        <is>
          <t>1 HBL</t>
        </is>
      </c>
      <c r="AE404" s="21" t="n"/>
      <c r="AF404" s="22" t="inlineStr">
        <is>
          <t>LW</t>
        </is>
      </c>
      <c r="AG404" s="23" t="inlineStr">
        <is>
          <t>NAC</t>
        </is>
      </c>
      <c r="AH404" s="24" t="n"/>
      <c r="AN404" s="24" t="n"/>
    </row>
    <row r="405" ht="12.75" customHeight="1">
      <c r="A405" s="15" t="n">
        <v>3254508</v>
      </c>
      <c r="B405" s="15" t="inlineStr">
        <is>
          <t>Flexport</t>
        </is>
      </c>
      <c r="C405" s="15" t="inlineStr">
        <is>
          <t>Colombo, LK</t>
        </is>
      </c>
      <c r="D405" s="15" t="inlineStr">
        <is>
          <t>New York, NY, US</t>
        </is>
      </c>
      <c r="E405" s="15" t="inlineStr">
        <is>
          <t>Milton, ON, CA</t>
        </is>
      </c>
      <c r="F405" s="15" t="inlineStr">
        <is>
          <t>OCEAN</t>
        </is>
      </c>
      <c r="G405" s="15" t="inlineStr">
        <is>
          <t>D. 1 x 40HC</t>
        </is>
      </c>
      <c r="H405" s="15" t="inlineStr">
        <is>
          <t>CFS/CY</t>
        </is>
      </c>
      <c r="I405" s="15" t="inlineStr">
        <is>
          <t>ONE</t>
        </is>
      </c>
      <c r="J405" s="15" t="inlineStr">
        <is>
          <t>EC3</t>
        </is>
      </c>
      <c r="K405" s="15" t="inlineStr">
        <is>
          <t>MAS AMITY PTE LTD</t>
        </is>
      </c>
      <c r="L405" s="16" t="inlineStr">
        <is>
          <t>MAS Active (Pvt) Ltd - Linea Intimo</t>
        </is>
      </c>
      <c r="M405" s="15" t="inlineStr">
        <is>
          <t>N</t>
        </is>
      </c>
      <c r="N405" s="17" t="n">
        <v>454701118361</v>
      </c>
      <c r="O405" s="15" t="n">
        <v>19900496</v>
      </c>
      <c r="P405" s="18" t="inlineStr">
        <is>
          <t>LW3JE9S</t>
        </is>
      </c>
      <c r="Q405" s="18" t="n">
        <v>11</v>
      </c>
      <c r="R405" s="18" t="n">
        <v>0.829</v>
      </c>
      <c r="S405" s="15" t="n">
        <v>126.54</v>
      </c>
      <c r="T405" s="16" t="n">
        <v>45824</v>
      </c>
      <c r="U405" s="19" t="n">
        <v>45883</v>
      </c>
      <c r="V405" s="16" t="n">
        <v>45824</v>
      </c>
      <c r="W405" s="16" t="n">
        <v>45826</v>
      </c>
      <c r="X405" s="57">
        <f>W405-1</f>
        <v/>
      </c>
      <c r="Y405" s="63" t="n">
        <v>45832</v>
      </c>
      <c r="Z405" s="67" t="n">
        <v>45861</v>
      </c>
      <c r="AA405" s="71">
        <f>Z405+13</f>
        <v/>
      </c>
      <c r="AB405" s="20">
        <f>AA405-U405</f>
        <v/>
      </c>
      <c r="AC405" s="20" t="inlineStr">
        <is>
          <t>No</t>
        </is>
      </c>
      <c r="AD405" s="21" t="inlineStr">
        <is>
          <t>1 HBL</t>
        </is>
      </c>
      <c r="AE405" s="21" t="n"/>
      <c r="AF405" s="22" t="inlineStr">
        <is>
          <t>LW</t>
        </is>
      </c>
      <c r="AG405" s="23" t="inlineStr">
        <is>
          <t>NAC</t>
        </is>
      </c>
      <c r="AH405" s="24" t="n"/>
      <c r="AN405" s="24" t="n"/>
    </row>
    <row r="406" ht="12.75" customHeight="1">
      <c r="A406" s="15" t="n">
        <v>3254508</v>
      </c>
      <c r="B406" s="15" t="inlineStr">
        <is>
          <t>Flexport</t>
        </is>
      </c>
      <c r="C406" s="15" t="inlineStr">
        <is>
          <t>Colombo, LK</t>
        </is>
      </c>
      <c r="D406" s="15" t="inlineStr">
        <is>
          <t>New York, NY, US</t>
        </is>
      </c>
      <c r="E406" s="15" t="inlineStr">
        <is>
          <t>Milton, ON, CA</t>
        </is>
      </c>
      <c r="F406" s="15" t="inlineStr">
        <is>
          <t>OCEAN</t>
        </is>
      </c>
      <c r="G406" s="15" t="inlineStr">
        <is>
          <t>D. 1 x 40HC</t>
        </is>
      </c>
      <c r="H406" s="15" t="inlineStr">
        <is>
          <t>CFS/CY</t>
        </is>
      </c>
      <c r="I406" s="15" t="inlineStr">
        <is>
          <t>ONE</t>
        </is>
      </c>
      <c r="J406" s="15" t="inlineStr">
        <is>
          <t>EC3</t>
        </is>
      </c>
      <c r="K406" s="15" t="inlineStr">
        <is>
          <t>MAS AMITY PTE LTD</t>
        </is>
      </c>
      <c r="L406" s="16" t="inlineStr">
        <is>
          <t>MAS Active (Pvt) Ltd - Linea Intimo</t>
        </is>
      </c>
      <c r="M406" s="15" t="inlineStr">
        <is>
          <t>N</t>
        </is>
      </c>
      <c r="N406" s="17" t="n">
        <v>454701233029</v>
      </c>
      <c r="O406" s="15" t="n">
        <v>19900451</v>
      </c>
      <c r="P406" s="18" t="inlineStr">
        <is>
          <t>LW3DFNS</t>
        </is>
      </c>
      <c r="Q406" s="18" t="n">
        <v>18</v>
      </c>
      <c r="R406" s="18" t="n">
        <v>1.348</v>
      </c>
      <c r="S406" s="15" t="n">
        <v>198.66</v>
      </c>
      <c r="T406" s="16" t="n">
        <v>45824</v>
      </c>
      <c r="U406" s="19" t="n">
        <v>45883</v>
      </c>
      <c r="V406" s="16" t="n">
        <v>45824</v>
      </c>
      <c r="W406" s="16" t="n">
        <v>45826</v>
      </c>
      <c r="X406" s="57">
        <f>W406-1</f>
        <v/>
      </c>
      <c r="Y406" s="63" t="n">
        <v>45832</v>
      </c>
      <c r="Z406" s="67" t="n">
        <v>45861</v>
      </c>
      <c r="AA406" s="71">
        <f>Z406+13</f>
        <v/>
      </c>
      <c r="AB406" s="20">
        <f>AA406-U406</f>
        <v/>
      </c>
      <c r="AC406" s="20" t="inlineStr">
        <is>
          <t>No</t>
        </is>
      </c>
      <c r="AD406" s="21" t="inlineStr">
        <is>
          <t>1 HBL</t>
        </is>
      </c>
      <c r="AE406" s="21" t="n"/>
      <c r="AF406" s="22" t="inlineStr">
        <is>
          <t>LW</t>
        </is>
      </c>
      <c r="AG406" s="23" t="inlineStr">
        <is>
          <t>NAC</t>
        </is>
      </c>
      <c r="AH406" s="24" t="n"/>
      <c r="AN406" s="24" t="n"/>
    </row>
    <row r="407" ht="12.75" customHeight="1">
      <c r="A407" s="15" t="n">
        <v>3254508</v>
      </c>
      <c r="B407" s="15" t="inlineStr">
        <is>
          <t>Flexport</t>
        </is>
      </c>
      <c r="C407" s="15" t="inlineStr">
        <is>
          <t>Colombo, LK</t>
        </is>
      </c>
      <c r="D407" s="15" t="inlineStr">
        <is>
          <t>New York, NY, US</t>
        </is>
      </c>
      <c r="E407" s="15" t="inlineStr">
        <is>
          <t>Milton, ON, CA</t>
        </is>
      </c>
      <c r="F407" s="15" t="inlineStr">
        <is>
          <t>OCEAN</t>
        </is>
      </c>
      <c r="G407" s="15" t="inlineStr">
        <is>
          <t>D. 1 x 40HC</t>
        </is>
      </c>
      <c r="H407" s="15" t="inlineStr">
        <is>
          <t>CFS/CY</t>
        </is>
      </c>
      <c r="I407" s="15" t="inlineStr">
        <is>
          <t>ONE</t>
        </is>
      </c>
      <c r="J407" s="15" t="inlineStr">
        <is>
          <t>EC3</t>
        </is>
      </c>
      <c r="K407" s="15" t="inlineStr">
        <is>
          <t>MAS AMITY PTE LTD</t>
        </is>
      </c>
      <c r="L407" s="16" t="inlineStr">
        <is>
          <t>MAS Active (Pvt) Ltd - Linea Intimo</t>
        </is>
      </c>
      <c r="M407" s="15" t="inlineStr">
        <is>
          <t>N</t>
        </is>
      </c>
      <c r="N407" s="17" t="n">
        <v>454701612929</v>
      </c>
      <c r="O407" s="15" t="n">
        <v>19900474</v>
      </c>
      <c r="P407" s="18" t="inlineStr">
        <is>
          <t>LW3DOBS</t>
        </is>
      </c>
      <c r="Q407" s="18" t="n">
        <v>5</v>
      </c>
      <c r="R407" s="18" t="n">
        <v>0.355</v>
      </c>
      <c r="S407" s="15" t="n">
        <v>32.222</v>
      </c>
      <c r="T407" s="16" t="n">
        <v>45824</v>
      </c>
      <c r="U407" s="19" t="n">
        <v>45883</v>
      </c>
      <c r="V407" s="16" t="n">
        <v>45824</v>
      </c>
      <c r="W407" s="16" t="n">
        <v>45826</v>
      </c>
      <c r="X407" s="57">
        <f>W407-1</f>
        <v/>
      </c>
      <c r="Y407" s="63" t="n">
        <v>45832</v>
      </c>
      <c r="Z407" s="67" t="n">
        <v>45861</v>
      </c>
      <c r="AA407" s="71">
        <f>Z407+13</f>
        <v/>
      </c>
      <c r="AB407" s="20">
        <f>AA407-U407</f>
        <v/>
      </c>
      <c r="AC407" s="20" t="inlineStr">
        <is>
          <t>No</t>
        </is>
      </c>
      <c r="AD407" s="21" t="inlineStr">
        <is>
          <t>1 HBL</t>
        </is>
      </c>
      <c r="AE407" s="21" t="n"/>
      <c r="AF407" s="22" t="inlineStr">
        <is>
          <t>LW</t>
        </is>
      </c>
      <c r="AG407" s="23" t="inlineStr">
        <is>
          <t>NAC</t>
        </is>
      </c>
      <c r="AH407" s="24" t="n"/>
      <c r="AN407" s="24" t="n"/>
    </row>
    <row r="408" ht="12.75" customHeight="1">
      <c r="A408" s="15" t="n">
        <v>3254508</v>
      </c>
      <c r="B408" s="15" t="inlineStr">
        <is>
          <t>Flexport</t>
        </is>
      </c>
      <c r="C408" s="15" t="inlineStr">
        <is>
          <t>Colombo, LK</t>
        </is>
      </c>
      <c r="D408" s="15" t="inlineStr">
        <is>
          <t>New York, NY, US</t>
        </is>
      </c>
      <c r="E408" s="15" t="inlineStr">
        <is>
          <t>Milton, ON, CA</t>
        </is>
      </c>
      <c r="F408" s="15" t="inlineStr">
        <is>
          <t>OCEAN</t>
        </is>
      </c>
      <c r="G408" s="15" t="inlineStr">
        <is>
          <t>D. 1 x 40HC</t>
        </is>
      </c>
      <c r="H408" s="15" t="inlineStr">
        <is>
          <t>CFS/CY</t>
        </is>
      </c>
      <c r="I408" s="15" t="inlineStr">
        <is>
          <t>ONE</t>
        </is>
      </c>
      <c r="J408" s="15" t="inlineStr">
        <is>
          <t>EC3</t>
        </is>
      </c>
      <c r="K408" s="15" t="inlineStr">
        <is>
          <t>MAS AMITY PTE LTD</t>
        </is>
      </c>
      <c r="L408" s="16" t="inlineStr">
        <is>
          <t>MAS Active (Pvt) Ltd - Linea Intimo</t>
        </is>
      </c>
      <c r="M408" s="15" t="inlineStr">
        <is>
          <t>N</t>
        </is>
      </c>
      <c r="N408" s="17" t="n">
        <v>454723450691</v>
      </c>
      <c r="O408" s="15" t="n">
        <v>91018841</v>
      </c>
      <c r="P408" s="18" t="inlineStr">
        <is>
          <t>LW1ERWS</t>
        </is>
      </c>
      <c r="Q408" s="18" t="n">
        <v>4</v>
      </c>
      <c r="R408" s="18" t="n">
        <v>0.197</v>
      </c>
      <c r="S408" s="15" t="n">
        <v>16.305</v>
      </c>
      <c r="T408" s="16" t="n">
        <v>45824</v>
      </c>
      <c r="U408" s="19" t="n">
        <v>45888</v>
      </c>
      <c r="V408" s="16" t="n">
        <v>45824</v>
      </c>
      <c r="W408" s="16" t="n">
        <v>45826</v>
      </c>
      <c r="X408" s="57">
        <f>W408-1</f>
        <v/>
      </c>
      <c r="Y408" s="63" t="n">
        <v>45832</v>
      </c>
      <c r="Z408" s="67" t="n">
        <v>45861</v>
      </c>
      <c r="AA408" s="71">
        <f>Z408+13</f>
        <v/>
      </c>
      <c r="AB408" s="20">
        <f>AA408-U408</f>
        <v/>
      </c>
      <c r="AC408" s="20" t="inlineStr">
        <is>
          <t>No</t>
        </is>
      </c>
      <c r="AD408" s="21" t="inlineStr">
        <is>
          <t>1 HBL</t>
        </is>
      </c>
      <c r="AE408" s="21" t="n"/>
      <c r="AF408" s="22" t="inlineStr">
        <is>
          <t>LW</t>
        </is>
      </c>
      <c r="AG408" s="23" t="inlineStr">
        <is>
          <t>NAC</t>
        </is>
      </c>
      <c r="AH408" s="24" t="n"/>
      <c r="AN408" s="24" t="n"/>
    </row>
    <row r="409" ht="12.75" customHeight="1">
      <c r="A409" s="15" t="n">
        <v>3254508</v>
      </c>
      <c r="B409" s="15" t="inlineStr">
        <is>
          <t>Flexport</t>
        </is>
      </c>
      <c r="C409" s="15" t="inlineStr">
        <is>
          <t>Colombo, LK</t>
        </is>
      </c>
      <c r="D409" s="15" t="inlineStr">
        <is>
          <t>New York, NY, US</t>
        </is>
      </c>
      <c r="E409" s="15" t="inlineStr">
        <is>
          <t>Milton, ON, CA</t>
        </is>
      </c>
      <c r="F409" s="15" t="inlineStr">
        <is>
          <t>OCEAN</t>
        </is>
      </c>
      <c r="G409" s="15" t="inlineStr">
        <is>
          <t>D. 1 x 40HC</t>
        </is>
      </c>
      <c r="H409" s="15" t="inlineStr">
        <is>
          <t>CFS/CY</t>
        </is>
      </c>
      <c r="I409" s="15" t="inlineStr">
        <is>
          <t>ONE</t>
        </is>
      </c>
      <c r="J409" s="15" t="inlineStr">
        <is>
          <t>EC3</t>
        </is>
      </c>
      <c r="K409" s="15" t="inlineStr">
        <is>
          <t>MAS AMITY PTE LTD</t>
        </is>
      </c>
      <c r="L409" s="16" t="inlineStr">
        <is>
          <t>MAS Active (Pvt) Ltd - Linea Intimo</t>
        </is>
      </c>
      <c r="M409" s="15" t="inlineStr">
        <is>
          <t>N</t>
        </is>
      </c>
      <c r="N409" s="17" t="n">
        <v>454724680701</v>
      </c>
      <c r="O409" s="15" t="n">
        <v>91018990</v>
      </c>
      <c r="P409" s="18" t="inlineStr">
        <is>
          <t>LW1DMJS</t>
        </is>
      </c>
      <c r="Q409" s="18" t="n">
        <v>21</v>
      </c>
      <c r="R409" s="18" t="n">
        <v>1.586</v>
      </c>
      <c r="S409" s="15" t="n">
        <v>161.66</v>
      </c>
      <c r="T409" s="16" t="n">
        <v>45824</v>
      </c>
      <c r="U409" s="19" t="n">
        <v>45888</v>
      </c>
      <c r="V409" s="16" t="n">
        <v>45824</v>
      </c>
      <c r="W409" s="16" t="n">
        <v>45826</v>
      </c>
      <c r="X409" s="57">
        <f>W409-1</f>
        <v/>
      </c>
      <c r="Y409" s="63" t="n">
        <v>45832</v>
      </c>
      <c r="Z409" s="67" t="n">
        <v>45861</v>
      </c>
      <c r="AA409" s="71">
        <f>Z409+13</f>
        <v/>
      </c>
      <c r="AB409" s="20">
        <f>AA409-U409</f>
        <v/>
      </c>
      <c r="AC409" s="20" t="inlineStr">
        <is>
          <t>No</t>
        </is>
      </c>
      <c r="AD409" s="21" t="inlineStr">
        <is>
          <t>1 HBL</t>
        </is>
      </c>
      <c r="AE409" s="21" t="n"/>
      <c r="AF409" s="22" t="inlineStr">
        <is>
          <t>LW</t>
        </is>
      </c>
      <c r="AG409" s="23" t="inlineStr">
        <is>
          <t>NAC</t>
        </is>
      </c>
      <c r="AH409" s="24" t="n"/>
      <c r="AN409" s="24" t="n"/>
    </row>
    <row r="410" ht="12.75" customHeight="1">
      <c r="A410" s="15" t="n">
        <v>3254508</v>
      </c>
      <c r="B410" s="15" t="inlineStr">
        <is>
          <t>Flexport</t>
        </is>
      </c>
      <c r="C410" s="15" t="inlineStr">
        <is>
          <t>Colombo, LK</t>
        </is>
      </c>
      <c r="D410" s="15" t="inlineStr">
        <is>
          <t>New York, NY, US</t>
        </is>
      </c>
      <c r="E410" s="15" t="inlineStr">
        <is>
          <t>Milton, ON, CA</t>
        </is>
      </c>
      <c r="F410" s="15" t="inlineStr">
        <is>
          <t>OCEAN</t>
        </is>
      </c>
      <c r="G410" s="15" t="inlineStr">
        <is>
          <t>D. 1 x 40HC</t>
        </is>
      </c>
      <c r="H410" s="15" t="inlineStr">
        <is>
          <t>CFS/CY</t>
        </is>
      </c>
      <c r="I410" s="15" t="inlineStr">
        <is>
          <t>ONE</t>
        </is>
      </c>
      <c r="J410" s="15" t="inlineStr">
        <is>
          <t>EC3</t>
        </is>
      </c>
      <c r="K410" s="15" t="inlineStr">
        <is>
          <t>MAS AMITY PTE LTD</t>
        </is>
      </c>
      <c r="L410" s="16" t="inlineStr">
        <is>
          <t>MAS Active (Pvt) Ltd - Linea Intimo</t>
        </is>
      </c>
      <c r="M410" s="15" t="inlineStr">
        <is>
          <t>N</t>
        </is>
      </c>
      <c r="N410" s="17" t="n">
        <v>454725048313</v>
      </c>
      <c r="O410" s="15" t="n">
        <v>91019031</v>
      </c>
      <c r="P410" s="18" t="inlineStr">
        <is>
          <t>LW1DMJS</t>
        </is>
      </c>
      <c r="Q410" s="18" t="n">
        <v>7</v>
      </c>
      <c r="R410" s="18" t="n">
        <v>0.513</v>
      </c>
      <c r="S410" s="15" t="n">
        <v>49.487</v>
      </c>
      <c r="T410" s="16" t="n">
        <v>45824</v>
      </c>
      <c r="U410" s="19" t="n">
        <v>45888</v>
      </c>
      <c r="V410" s="16" t="n">
        <v>45824</v>
      </c>
      <c r="W410" s="16" t="n">
        <v>45826</v>
      </c>
      <c r="X410" s="57">
        <f>W410-1</f>
        <v/>
      </c>
      <c r="Y410" s="63" t="n">
        <v>45832</v>
      </c>
      <c r="Z410" s="67" t="n">
        <v>45861</v>
      </c>
      <c r="AA410" s="71">
        <f>Z410+13</f>
        <v/>
      </c>
      <c r="AB410" s="20">
        <f>AA410-U410</f>
        <v/>
      </c>
      <c r="AC410" s="20" t="inlineStr">
        <is>
          <t>No</t>
        </is>
      </c>
      <c r="AD410" s="21" t="inlineStr">
        <is>
          <t>1 HBL</t>
        </is>
      </c>
      <c r="AE410" s="21" t="n"/>
      <c r="AF410" s="22" t="inlineStr">
        <is>
          <t>LW</t>
        </is>
      </c>
      <c r="AG410" s="23" t="inlineStr">
        <is>
          <t>NAC</t>
        </is>
      </c>
      <c r="AH410" s="24" t="n"/>
      <c r="AN410" s="24" t="n"/>
    </row>
    <row r="411" ht="12.75" customHeight="1">
      <c r="A411" s="15" t="n">
        <v>3254508</v>
      </c>
      <c r="B411" s="15" t="inlineStr">
        <is>
          <t>Flexport</t>
        </is>
      </c>
      <c r="C411" s="15" t="inlineStr">
        <is>
          <t>Colombo, LK</t>
        </is>
      </c>
      <c r="D411" s="15" t="inlineStr">
        <is>
          <t>New York, NY, US</t>
        </is>
      </c>
      <c r="E411" s="15" t="inlineStr">
        <is>
          <t>Milton, ON, CA</t>
        </is>
      </c>
      <c r="F411" s="15" t="inlineStr">
        <is>
          <t>OCEAN</t>
        </is>
      </c>
      <c r="G411" s="15" t="inlineStr">
        <is>
          <t>D. 1 x 40HC</t>
        </is>
      </c>
      <c r="H411" s="15" t="inlineStr">
        <is>
          <t>CFS/CY</t>
        </is>
      </c>
      <c r="I411" s="15" t="inlineStr">
        <is>
          <t>ONE</t>
        </is>
      </c>
      <c r="J411" s="15" t="inlineStr">
        <is>
          <t>EC3</t>
        </is>
      </c>
      <c r="K411" s="15" t="inlineStr">
        <is>
          <t>MAS AMITY PTE LTD</t>
        </is>
      </c>
      <c r="L411" s="16" t="inlineStr">
        <is>
          <t>MAS Fabrics (Pvt) Ltd Intimo</t>
        </is>
      </c>
      <c r="M411" s="15" t="inlineStr">
        <is>
          <t>N</t>
        </is>
      </c>
      <c r="N411" s="17" t="n">
        <v>454698380029</v>
      </c>
      <c r="O411" s="15" t="n">
        <v>19900051</v>
      </c>
      <c r="P411" s="18" t="inlineStr">
        <is>
          <t>LW3DFNS</t>
        </is>
      </c>
      <c r="Q411" s="18" t="n">
        <v>20</v>
      </c>
      <c r="R411" s="18" t="n">
        <v>1.422</v>
      </c>
      <c r="S411" s="15" t="n">
        <v>217.738</v>
      </c>
      <c r="T411" s="16" t="n">
        <v>45824</v>
      </c>
      <c r="U411" s="19" t="n">
        <v>45883</v>
      </c>
      <c r="V411" s="16" t="n">
        <v>45824</v>
      </c>
      <c r="W411" s="16" t="n">
        <v>45826</v>
      </c>
      <c r="X411" s="57">
        <f>W411-1</f>
        <v/>
      </c>
      <c r="Y411" s="63" t="n">
        <v>45832</v>
      </c>
      <c r="Z411" s="67" t="n">
        <v>45861</v>
      </c>
      <c r="AA411" s="71">
        <f>Z411+13</f>
        <v/>
      </c>
      <c r="AB411" s="20">
        <f>AA411-U411</f>
        <v/>
      </c>
      <c r="AC411" s="20" t="inlineStr">
        <is>
          <t>No</t>
        </is>
      </c>
      <c r="AD411" s="21" t="inlineStr">
        <is>
          <t>1 HBL</t>
        </is>
      </c>
      <c r="AE411" s="21" t="n"/>
      <c r="AF411" s="22" t="inlineStr">
        <is>
          <t>LW</t>
        </is>
      </c>
      <c r="AG411" s="23" t="inlineStr">
        <is>
          <t>NAC</t>
        </is>
      </c>
      <c r="AH411" s="24" t="n"/>
      <c r="AN411" s="24" t="n"/>
    </row>
    <row r="412" ht="12.75" customHeight="1">
      <c r="A412" s="15" t="n">
        <v>3254508</v>
      </c>
      <c r="B412" s="15" t="inlineStr">
        <is>
          <t>Flexport</t>
        </is>
      </c>
      <c r="C412" s="15" t="inlineStr">
        <is>
          <t>Colombo, LK</t>
        </is>
      </c>
      <c r="D412" s="15" t="inlineStr">
        <is>
          <t>New York, NY, US</t>
        </is>
      </c>
      <c r="E412" s="15" t="inlineStr">
        <is>
          <t>Milton, ON, CA</t>
        </is>
      </c>
      <c r="F412" s="15" t="inlineStr">
        <is>
          <t>OCEAN</t>
        </is>
      </c>
      <c r="G412" s="15" t="inlineStr">
        <is>
          <t>D. 1 x 40HC</t>
        </is>
      </c>
      <c r="H412" s="15" t="inlineStr">
        <is>
          <t>CFS/CY</t>
        </is>
      </c>
      <c r="I412" s="15" t="inlineStr">
        <is>
          <t>ONE</t>
        </is>
      </c>
      <c r="J412" s="15" t="inlineStr">
        <is>
          <t>EC3</t>
        </is>
      </c>
      <c r="K412" s="15" t="inlineStr">
        <is>
          <t>MAS AMITY PTE LTD</t>
        </is>
      </c>
      <c r="L412" s="16" t="inlineStr">
        <is>
          <t>MAS Fabrics (Pvt) Ltd Intimo</t>
        </is>
      </c>
      <c r="M412" s="15" t="inlineStr">
        <is>
          <t>N</t>
        </is>
      </c>
      <c r="N412" s="17" t="n">
        <v>454698381085</v>
      </c>
      <c r="O412" s="15" t="n">
        <v>19900121</v>
      </c>
      <c r="P412" s="18" t="inlineStr">
        <is>
          <t>LW3GZHS</t>
        </is>
      </c>
      <c r="Q412" s="18" t="n">
        <v>6</v>
      </c>
      <c r="R412" s="18" t="n">
        <v>0.434</v>
      </c>
      <c r="S412" s="15" t="n">
        <v>40.567</v>
      </c>
      <c r="T412" s="16" t="n">
        <v>45824</v>
      </c>
      <c r="U412" s="19" t="n">
        <v>45883</v>
      </c>
      <c r="V412" s="16" t="n">
        <v>45824</v>
      </c>
      <c r="W412" s="16" t="n">
        <v>45826</v>
      </c>
      <c r="X412" s="57">
        <f>W412-1</f>
        <v/>
      </c>
      <c r="Y412" s="63" t="n">
        <v>45832</v>
      </c>
      <c r="Z412" s="67" t="n">
        <v>45861</v>
      </c>
      <c r="AA412" s="71">
        <f>Z412+13</f>
        <v/>
      </c>
      <c r="AB412" s="20">
        <f>AA412-U412</f>
        <v/>
      </c>
      <c r="AC412" s="20" t="inlineStr">
        <is>
          <t>No</t>
        </is>
      </c>
      <c r="AD412" s="21" t="inlineStr">
        <is>
          <t>1 HBL</t>
        </is>
      </c>
      <c r="AE412" s="21" t="n"/>
      <c r="AF412" s="22" t="inlineStr">
        <is>
          <t>LW</t>
        </is>
      </c>
      <c r="AG412" s="23" t="inlineStr">
        <is>
          <t>NAC</t>
        </is>
      </c>
      <c r="AH412" s="24" t="n"/>
      <c r="AN412" s="24" t="n"/>
    </row>
    <row r="413" ht="12.75" customHeight="1">
      <c r="A413" s="15" t="n">
        <v>3254508</v>
      </c>
      <c r="B413" s="15" t="inlineStr">
        <is>
          <t>Flexport</t>
        </is>
      </c>
      <c r="C413" s="15" t="inlineStr">
        <is>
          <t>Colombo, LK</t>
        </is>
      </c>
      <c r="D413" s="15" t="inlineStr">
        <is>
          <t>New York, NY, US</t>
        </is>
      </c>
      <c r="E413" s="15" t="inlineStr">
        <is>
          <t>Milton, ON, CA</t>
        </is>
      </c>
      <c r="F413" s="15" t="inlineStr">
        <is>
          <t>OCEAN</t>
        </is>
      </c>
      <c r="G413" s="15" t="inlineStr">
        <is>
          <t>D. 1 x 40HC</t>
        </is>
      </c>
      <c r="H413" s="15" t="inlineStr">
        <is>
          <t>CFS/CY</t>
        </is>
      </c>
      <c r="I413" s="15" t="inlineStr">
        <is>
          <t>ONE</t>
        </is>
      </c>
      <c r="J413" s="15" t="inlineStr">
        <is>
          <t>EC3</t>
        </is>
      </c>
      <c r="K413" s="15" t="inlineStr">
        <is>
          <t>MAS AMITY PTE LTD</t>
        </is>
      </c>
      <c r="L413" s="16" t="inlineStr">
        <is>
          <t>MAS Fabrics (Pvt) Ltd Intimo</t>
        </is>
      </c>
      <c r="M413" s="15" t="inlineStr">
        <is>
          <t>N</t>
        </is>
      </c>
      <c r="N413" s="17" t="n">
        <v>454699447395</v>
      </c>
      <c r="O413" s="15" t="n">
        <v>19900084</v>
      </c>
      <c r="P413" s="18" t="inlineStr">
        <is>
          <t>LW3DOBS</t>
        </is>
      </c>
      <c r="Q413" s="18" t="n">
        <v>6</v>
      </c>
      <c r="R413" s="18" t="n">
        <v>0.436</v>
      </c>
      <c r="S413" s="15" t="n">
        <v>46.7</v>
      </c>
      <c r="T413" s="16" t="n">
        <v>45824</v>
      </c>
      <c r="U413" s="19" t="n">
        <v>45883</v>
      </c>
      <c r="V413" s="16" t="n">
        <v>45824</v>
      </c>
      <c r="W413" s="16" t="n">
        <v>45826</v>
      </c>
      <c r="X413" s="57">
        <f>W413-1</f>
        <v/>
      </c>
      <c r="Y413" s="63" t="n">
        <v>45832</v>
      </c>
      <c r="Z413" s="67" t="n">
        <v>45861</v>
      </c>
      <c r="AA413" s="71">
        <f>Z413+13</f>
        <v/>
      </c>
      <c r="AB413" s="20">
        <f>AA413-U413</f>
        <v/>
      </c>
      <c r="AC413" s="20" t="inlineStr">
        <is>
          <t>No</t>
        </is>
      </c>
      <c r="AD413" s="21" t="inlineStr">
        <is>
          <t>1 HBL</t>
        </is>
      </c>
      <c r="AE413" s="21" t="n"/>
      <c r="AF413" s="22" t="inlineStr">
        <is>
          <t>LW</t>
        </is>
      </c>
      <c r="AG413" s="23" t="inlineStr">
        <is>
          <t>NAC</t>
        </is>
      </c>
      <c r="AH413" s="24" t="n"/>
      <c r="AN413" s="24" t="n"/>
    </row>
    <row r="414" ht="12.75" customHeight="1">
      <c r="A414" s="15" t="n">
        <v>3254508</v>
      </c>
      <c r="B414" s="15" t="inlineStr">
        <is>
          <t>Flexport</t>
        </is>
      </c>
      <c r="C414" s="15" t="inlineStr">
        <is>
          <t>Colombo, LK</t>
        </is>
      </c>
      <c r="D414" s="15" t="inlineStr">
        <is>
          <t>New York, NY, US</t>
        </is>
      </c>
      <c r="E414" s="15" t="inlineStr">
        <is>
          <t>Milton, ON, CA</t>
        </is>
      </c>
      <c r="F414" s="15" t="inlineStr">
        <is>
          <t>OCEAN</t>
        </is>
      </c>
      <c r="G414" s="15" t="inlineStr">
        <is>
          <t>D. 1 x 40HC</t>
        </is>
      </c>
      <c r="H414" s="15" t="inlineStr">
        <is>
          <t>CFS/CY</t>
        </is>
      </c>
      <c r="I414" s="15" t="inlineStr">
        <is>
          <t>ONE</t>
        </is>
      </c>
      <c r="J414" s="15" t="inlineStr">
        <is>
          <t>EC3</t>
        </is>
      </c>
      <c r="K414" s="15" t="inlineStr">
        <is>
          <t>MAS AMITY PTE LTD</t>
        </is>
      </c>
      <c r="L414" s="16" t="inlineStr">
        <is>
          <t>MAS Fabrics (Pvt) Ltd Intimo</t>
        </is>
      </c>
      <c r="M414" s="15" t="inlineStr">
        <is>
          <t>N</t>
        </is>
      </c>
      <c r="N414" s="17" t="n">
        <v>454699447554</v>
      </c>
      <c r="O414" s="15" t="n">
        <v>19900087</v>
      </c>
      <c r="P414" s="18" t="inlineStr">
        <is>
          <t>LW3DOBS</t>
        </is>
      </c>
      <c r="Q414" s="18" t="n">
        <v>4</v>
      </c>
      <c r="R414" s="18" t="n">
        <v>0.198</v>
      </c>
      <c r="S414" s="15" t="n">
        <v>26.01</v>
      </c>
      <c r="T414" s="16" t="n">
        <v>45824</v>
      </c>
      <c r="U414" s="19" t="n">
        <v>45883</v>
      </c>
      <c r="V414" s="16" t="n">
        <v>45824</v>
      </c>
      <c r="W414" s="16" t="n">
        <v>45826</v>
      </c>
      <c r="X414" s="57">
        <f>W414-1</f>
        <v/>
      </c>
      <c r="Y414" s="63" t="n">
        <v>45832</v>
      </c>
      <c r="Z414" s="67" t="n">
        <v>45861</v>
      </c>
      <c r="AA414" s="71">
        <f>Z414+13</f>
        <v/>
      </c>
      <c r="AB414" s="20">
        <f>AA414-U414</f>
        <v/>
      </c>
      <c r="AC414" s="20" t="inlineStr">
        <is>
          <t>No</t>
        </is>
      </c>
      <c r="AD414" s="21" t="inlineStr">
        <is>
          <t>1 HBL</t>
        </is>
      </c>
      <c r="AE414" s="21" t="n"/>
      <c r="AF414" s="22" t="inlineStr">
        <is>
          <t>LW</t>
        </is>
      </c>
      <c r="AG414" s="23" t="inlineStr">
        <is>
          <t>NAC</t>
        </is>
      </c>
      <c r="AH414" s="24" t="n"/>
      <c r="AN414" s="24" t="n"/>
    </row>
    <row r="415" ht="12.75" customHeight="1">
      <c r="A415" s="15" t="n">
        <v>3254508</v>
      </c>
      <c r="B415" s="15" t="inlineStr">
        <is>
          <t>Flexport</t>
        </is>
      </c>
      <c r="C415" s="15" t="inlineStr">
        <is>
          <t>Colombo, LK</t>
        </is>
      </c>
      <c r="D415" s="15" t="inlineStr">
        <is>
          <t>New York, NY, US</t>
        </is>
      </c>
      <c r="E415" s="15" t="inlineStr">
        <is>
          <t>Milton, ON, CA</t>
        </is>
      </c>
      <c r="F415" s="15" t="inlineStr">
        <is>
          <t>OCEAN</t>
        </is>
      </c>
      <c r="G415" s="15" t="inlineStr">
        <is>
          <t>D. 1 x 40HC</t>
        </is>
      </c>
      <c r="H415" s="15" t="inlineStr">
        <is>
          <t>CFS/CY</t>
        </is>
      </c>
      <c r="I415" s="15" t="inlineStr">
        <is>
          <t>ONE</t>
        </is>
      </c>
      <c r="J415" s="15" t="inlineStr">
        <is>
          <t>EC3</t>
        </is>
      </c>
      <c r="K415" s="15" t="inlineStr">
        <is>
          <t>MAS AMITY PTE LTD</t>
        </is>
      </c>
      <c r="L415" s="16" t="inlineStr">
        <is>
          <t>MAS Fabrics (Pvt) Ltd Intimo</t>
        </is>
      </c>
      <c r="M415" s="15" t="inlineStr">
        <is>
          <t>N</t>
        </is>
      </c>
      <c r="N415" s="17" t="n">
        <v>454699452340</v>
      </c>
      <c r="O415" s="15" t="n">
        <v>19900110</v>
      </c>
      <c r="P415" s="18" t="inlineStr">
        <is>
          <t>LW3FQFS</t>
        </is>
      </c>
      <c r="Q415" s="18" t="n">
        <v>32</v>
      </c>
      <c r="R415" s="18" t="n">
        <v>2.527</v>
      </c>
      <c r="S415" s="15" t="n">
        <v>318.934</v>
      </c>
      <c r="T415" s="16" t="n">
        <v>45824</v>
      </c>
      <c r="U415" s="19" t="n">
        <v>45883</v>
      </c>
      <c r="V415" s="16" t="n">
        <v>45824</v>
      </c>
      <c r="W415" s="16" t="n">
        <v>45826</v>
      </c>
      <c r="X415" s="57">
        <f>W415-1</f>
        <v/>
      </c>
      <c r="Y415" s="63" t="n">
        <v>45832</v>
      </c>
      <c r="Z415" s="67" t="n">
        <v>45861</v>
      </c>
      <c r="AA415" s="71">
        <f>Z415+13</f>
        <v/>
      </c>
      <c r="AB415" s="20">
        <f>AA415-U415</f>
        <v/>
      </c>
      <c r="AC415" s="20" t="inlineStr">
        <is>
          <t>No</t>
        </is>
      </c>
      <c r="AD415" s="21" t="inlineStr">
        <is>
          <t>1 HBL</t>
        </is>
      </c>
      <c r="AE415" s="21" t="n"/>
      <c r="AF415" s="22" t="inlineStr">
        <is>
          <t>LW</t>
        </is>
      </c>
      <c r="AG415" s="23" t="inlineStr">
        <is>
          <t>NAC</t>
        </is>
      </c>
      <c r="AH415" s="24" t="n"/>
      <c r="AN415" s="24" t="n"/>
    </row>
    <row r="416" ht="12.75" customHeight="1">
      <c r="A416" s="15" t="n">
        <v>3254508</v>
      </c>
      <c r="B416" s="15" t="inlineStr">
        <is>
          <t>Flexport</t>
        </is>
      </c>
      <c r="C416" s="15" t="inlineStr">
        <is>
          <t>Colombo, LK</t>
        </is>
      </c>
      <c r="D416" s="15" t="inlineStr">
        <is>
          <t>New York, NY, US</t>
        </is>
      </c>
      <c r="E416" s="15" t="inlineStr">
        <is>
          <t>Milton, ON, CA</t>
        </is>
      </c>
      <c r="F416" s="15" t="inlineStr">
        <is>
          <t>OCEAN</t>
        </is>
      </c>
      <c r="G416" s="15" t="inlineStr">
        <is>
          <t>D. 1 x 40HC</t>
        </is>
      </c>
      <c r="H416" s="15" t="inlineStr">
        <is>
          <t>CFS/CY</t>
        </is>
      </c>
      <c r="I416" s="15" t="inlineStr">
        <is>
          <t>ONE</t>
        </is>
      </c>
      <c r="J416" s="15" t="inlineStr">
        <is>
          <t>EC3</t>
        </is>
      </c>
      <c r="K416" s="15" t="inlineStr">
        <is>
          <t>MAS AMITY PTE LTD</t>
        </is>
      </c>
      <c r="L416" s="16" t="inlineStr">
        <is>
          <t>MAS Fabrics (Pvt) Ltd Intimo</t>
        </is>
      </c>
      <c r="M416" s="15" t="inlineStr">
        <is>
          <t>N</t>
        </is>
      </c>
      <c r="N416" s="17" t="n">
        <v>454955582669</v>
      </c>
      <c r="O416" s="15" t="n">
        <v>19900261</v>
      </c>
      <c r="P416" s="18" t="inlineStr">
        <is>
          <t>LM3FG2S</t>
        </is>
      </c>
      <c r="Q416" s="18" t="n">
        <v>3</v>
      </c>
      <c r="R416" s="18" t="n">
        <v>0.197</v>
      </c>
      <c r="S416" s="15" t="n">
        <v>23.083</v>
      </c>
      <c r="T416" s="16" t="n">
        <v>45824</v>
      </c>
      <c r="U416" s="19" t="n">
        <v>45883</v>
      </c>
      <c r="V416" s="16" t="n">
        <v>45824</v>
      </c>
      <c r="W416" s="16" t="n">
        <v>45826</v>
      </c>
      <c r="X416" s="57">
        <f>W416-1</f>
        <v/>
      </c>
      <c r="Y416" s="63" t="n">
        <v>45832</v>
      </c>
      <c r="Z416" s="67" t="n">
        <v>45861</v>
      </c>
      <c r="AA416" s="71">
        <f>Z416+13</f>
        <v/>
      </c>
      <c r="AB416" s="20">
        <f>AA416-U416</f>
        <v/>
      </c>
      <c r="AC416" s="20" t="inlineStr">
        <is>
          <t>No</t>
        </is>
      </c>
      <c r="AD416" s="21" t="inlineStr">
        <is>
          <t>1 HBL</t>
        </is>
      </c>
      <c r="AE416" s="21" t="n"/>
      <c r="AF416" s="22" t="inlineStr">
        <is>
          <t>LW</t>
        </is>
      </c>
      <c r="AG416" s="23" t="inlineStr">
        <is>
          <t>NAC</t>
        </is>
      </c>
      <c r="AH416" s="24" t="n"/>
      <c r="AN416" s="24" t="n"/>
    </row>
    <row r="417" ht="12.75" customHeight="1">
      <c r="A417" s="15" t="n">
        <v>3254508</v>
      </c>
      <c r="B417" s="15" t="inlineStr">
        <is>
          <t>Flexport</t>
        </is>
      </c>
      <c r="C417" s="15" t="inlineStr">
        <is>
          <t>Colombo, LK</t>
        </is>
      </c>
      <c r="D417" s="15" t="inlineStr">
        <is>
          <t>New York, NY, US</t>
        </is>
      </c>
      <c r="E417" s="15" t="inlineStr">
        <is>
          <t>Mississauga, ON, CA</t>
        </is>
      </c>
      <c r="F417" s="15" t="inlineStr">
        <is>
          <t>OCEAN</t>
        </is>
      </c>
      <c r="G417" s="15" t="inlineStr">
        <is>
          <t>D. 1 x 40HC</t>
        </is>
      </c>
      <c r="H417" s="15" t="inlineStr">
        <is>
          <t>CFS/CY</t>
        </is>
      </c>
      <c r="I417" s="15" t="inlineStr">
        <is>
          <t>ONE</t>
        </is>
      </c>
      <c r="J417" s="15" t="inlineStr">
        <is>
          <t>EC3</t>
        </is>
      </c>
      <c r="K417" s="15" t="inlineStr">
        <is>
          <t>Inqube Global (PVT) Ltd</t>
        </is>
      </c>
      <c r="L417" s="16" t="inlineStr">
        <is>
          <t>Brandix Apparel Solutions Limited - Minuwangoda</t>
        </is>
      </c>
      <c r="M417" s="15" t="inlineStr">
        <is>
          <t>N</t>
        </is>
      </c>
      <c r="N417" s="17" t="n">
        <v>455683716916</v>
      </c>
      <c r="O417" s="15" t="n">
        <v>19855040</v>
      </c>
      <c r="P417" s="18" t="inlineStr">
        <is>
          <t>LW1FQ4S</t>
        </is>
      </c>
      <c r="Q417" s="18" t="n">
        <v>5</v>
      </c>
      <c r="R417" s="18" t="n">
        <v>0.393</v>
      </c>
      <c r="S417" s="15" t="n">
        <v>31.712</v>
      </c>
      <c r="T417" s="16" t="n">
        <v>45824</v>
      </c>
      <c r="U417" s="19" t="n">
        <v>45883</v>
      </c>
      <c r="V417" s="16" t="n">
        <v>45824</v>
      </c>
      <c r="W417" s="16" t="n">
        <v>45826</v>
      </c>
      <c r="X417" s="57">
        <f>W417-1</f>
        <v/>
      </c>
      <c r="Y417" s="63" t="n">
        <v>45832</v>
      </c>
      <c r="Z417" s="67" t="n">
        <v>45861</v>
      </c>
      <c r="AA417" s="71">
        <f>Z417+13</f>
        <v/>
      </c>
      <c r="AB417" s="20">
        <f>AA417-U417</f>
        <v/>
      </c>
      <c r="AC417" s="20" t="inlineStr">
        <is>
          <t>No</t>
        </is>
      </c>
      <c r="AD417" s="21" t="inlineStr">
        <is>
          <t>1 HBL</t>
        </is>
      </c>
      <c r="AE417" s="21" t="n"/>
      <c r="AF417" s="22" t="inlineStr">
        <is>
          <t>LW</t>
        </is>
      </c>
      <c r="AG417" s="23" t="inlineStr">
        <is>
          <t>NAC</t>
        </is>
      </c>
      <c r="AN417" s="40" t="n"/>
      <c r="AO417" s="41" t="n"/>
      <c r="AP417" s="41" t="n"/>
    </row>
    <row r="418" ht="12.75" customHeight="1">
      <c r="A418" s="15" t="n">
        <v>3254508</v>
      </c>
      <c r="B418" s="15" t="inlineStr">
        <is>
          <t>Flexport</t>
        </is>
      </c>
      <c r="C418" s="15" t="inlineStr">
        <is>
          <t>Colombo, LK</t>
        </is>
      </c>
      <c r="D418" s="15" t="inlineStr">
        <is>
          <t>New York, NY, US</t>
        </is>
      </c>
      <c r="E418" s="15" t="inlineStr">
        <is>
          <t>Mississauga, ON, CA</t>
        </is>
      </c>
      <c r="F418" s="15" t="inlineStr">
        <is>
          <t>OCEAN</t>
        </is>
      </c>
      <c r="G418" s="15" t="inlineStr">
        <is>
          <t>D. 1 x 40HC</t>
        </is>
      </c>
      <c r="H418" s="15" t="inlineStr">
        <is>
          <t>CFS/CY</t>
        </is>
      </c>
      <c r="I418" s="15" t="inlineStr">
        <is>
          <t>ONE</t>
        </is>
      </c>
      <c r="J418" s="15" t="inlineStr">
        <is>
          <t>EC3</t>
        </is>
      </c>
      <c r="K418" s="15" t="inlineStr">
        <is>
          <t>Inqube Global (PVT) Ltd</t>
        </is>
      </c>
      <c r="L418" s="16" t="inlineStr">
        <is>
          <t>Brandix Apparel Solutions Limited - Minuwangoda</t>
        </is>
      </c>
      <c r="M418" s="15" t="inlineStr">
        <is>
          <t>N</t>
        </is>
      </c>
      <c r="N418" s="17" t="n">
        <v>455688329627</v>
      </c>
      <c r="O418" s="15" t="n">
        <v>19855123</v>
      </c>
      <c r="P418" s="18" t="inlineStr">
        <is>
          <t>LW1FQ4S</t>
        </is>
      </c>
      <c r="Q418" s="18" t="n">
        <v>12</v>
      </c>
      <c r="R418" s="18" t="n">
        <v>0.9419999999999999</v>
      </c>
      <c r="S418" s="15" t="n">
        <v>119.58</v>
      </c>
      <c r="T418" s="16" t="n">
        <v>45824</v>
      </c>
      <c r="U418" s="19" t="n">
        <v>45883</v>
      </c>
      <c r="V418" s="16" t="n">
        <v>45824</v>
      </c>
      <c r="W418" s="16" t="n">
        <v>45826</v>
      </c>
      <c r="X418" s="57">
        <f>W418-1</f>
        <v/>
      </c>
      <c r="Y418" s="63" t="n">
        <v>45832</v>
      </c>
      <c r="Z418" s="67" t="n">
        <v>45861</v>
      </c>
      <c r="AA418" s="71">
        <f>Z418+13</f>
        <v/>
      </c>
      <c r="AB418" s="20">
        <f>AA418-U418</f>
        <v/>
      </c>
      <c r="AC418" s="20" t="inlineStr">
        <is>
          <t>No</t>
        </is>
      </c>
      <c r="AD418" s="21" t="inlineStr">
        <is>
          <t>1 HBL</t>
        </is>
      </c>
      <c r="AE418" s="21" t="n"/>
      <c r="AF418" s="22" t="inlineStr">
        <is>
          <t>LW</t>
        </is>
      </c>
      <c r="AG418" s="23" t="inlineStr">
        <is>
          <t>NAC</t>
        </is>
      </c>
      <c r="AN418" s="40" t="n"/>
      <c r="AO418" s="41" t="n"/>
      <c r="AP418" s="41" t="n"/>
    </row>
    <row r="419" ht="12.75" customHeight="1">
      <c r="A419" s="15" t="n">
        <v>3254508</v>
      </c>
      <c r="B419" s="15" t="inlineStr">
        <is>
          <t>Flexport</t>
        </is>
      </c>
      <c r="C419" s="15" t="inlineStr">
        <is>
          <t>Colombo, LK</t>
        </is>
      </c>
      <c r="D419" s="15" t="inlineStr">
        <is>
          <t>New York, NY, US</t>
        </is>
      </c>
      <c r="E419" s="15" t="inlineStr">
        <is>
          <t>Mississauga, ON, CA</t>
        </is>
      </c>
      <c r="F419" s="15" t="inlineStr">
        <is>
          <t>OCEAN</t>
        </is>
      </c>
      <c r="G419" s="15" t="inlineStr">
        <is>
          <t>D. 1 x 40HC</t>
        </is>
      </c>
      <c r="H419" s="15" t="inlineStr">
        <is>
          <t>CFS/CY</t>
        </is>
      </c>
      <c r="I419" s="15" t="inlineStr">
        <is>
          <t>ONE</t>
        </is>
      </c>
      <c r="J419" s="15" t="inlineStr">
        <is>
          <t>EC3</t>
        </is>
      </c>
      <c r="K419" s="15" t="inlineStr">
        <is>
          <t>MAS AMITY PTE LTD</t>
        </is>
      </c>
      <c r="L419" s="16" t="inlineStr">
        <is>
          <t>MAS Fabrics (Pvt) Ltd Intimo</t>
        </is>
      </c>
      <c r="M419" s="15" t="inlineStr">
        <is>
          <t>N</t>
        </is>
      </c>
      <c r="N419" s="17" t="n">
        <v>455588526597</v>
      </c>
      <c r="O419" s="15" t="n">
        <v>19911298</v>
      </c>
      <c r="P419" s="18" t="inlineStr">
        <is>
          <t>LW5HC0S</t>
        </is>
      </c>
      <c r="Q419" s="18" t="n">
        <v>11</v>
      </c>
      <c r="R419" s="18" t="n">
        <v>0.869</v>
      </c>
      <c r="S419" s="15" t="n">
        <v>167.397</v>
      </c>
      <c r="T419" s="16" t="n">
        <v>45824</v>
      </c>
      <c r="U419" s="19" t="n">
        <v>45883</v>
      </c>
      <c r="V419" s="16" t="n">
        <v>45824</v>
      </c>
      <c r="W419" s="16" t="n">
        <v>45826</v>
      </c>
      <c r="X419" s="57">
        <f>W419-1</f>
        <v/>
      </c>
      <c r="Y419" s="63" t="n">
        <v>45832</v>
      </c>
      <c r="Z419" s="67" t="n">
        <v>45861</v>
      </c>
      <c r="AA419" s="71">
        <f>Z419+13</f>
        <v/>
      </c>
      <c r="AB419" s="20">
        <f>AA419-U419</f>
        <v/>
      </c>
      <c r="AC419" s="20" t="inlineStr">
        <is>
          <t>No</t>
        </is>
      </c>
      <c r="AD419" s="21" t="inlineStr">
        <is>
          <t>1 HBL</t>
        </is>
      </c>
      <c r="AE419" s="21" t="n"/>
      <c r="AF419" s="22" t="inlineStr">
        <is>
          <t>LW</t>
        </is>
      </c>
      <c r="AG419" s="23" t="inlineStr">
        <is>
          <t>NAC</t>
        </is>
      </c>
      <c r="AN419" s="40" t="n"/>
      <c r="AO419" s="41" t="n"/>
      <c r="AP419" s="41" t="n"/>
    </row>
    <row r="420" ht="12.75" customHeight="1">
      <c r="A420" s="15" t="n">
        <v>3254508</v>
      </c>
      <c r="B420" s="15" t="inlineStr">
        <is>
          <t>Flexport</t>
        </is>
      </c>
      <c r="C420" s="15" t="inlineStr">
        <is>
          <t>Colombo, LK</t>
        </is>
      </c>
      <c r="D420" s="15" t="inlineStr">
        <is>
          <t>New York, NY, US</t>
        </is>
      </c>
      <c r="E420" s="15" t="inlineStr">
        <is>
          <t>Mississauga, ON, CA</t>
        </is>
      </c>
      <c r="F420" s="15" t="inlineStr">
        <is>
          <t>OCEAN</t>
        </is>
      </c>
      <c r="G420" s="15" t="inlineStr">
        <is>
          <t>D. 1 x 40HC</t>
        </is>
      </c>
      <c r="H420" s="15" t="inlineStr">
        <is>
          <t>CFS/CY</t>
        </is>
      </c>
      <c r="I420" s="15" t="inlineStr">
        <is>
          <t>ONE</t>
        </is>
      </c>
      <c r="J420" s="15" t="inlineStr">
        <is>
          <t>EC3</t>
        </is>
      </c>
      <c r="K420" s="15" t="inlineStr">
        <is>
          <t>MAS AMITY PTE LTD</t>
        </is>
      </c>
      <c r="L420" s="16" t="inlineStr">
        <is>
          <t>MAS Fabrics (Pvt) Ltd Intimo</t>
        </is>
      </c>
      <c r="M420" s="15" t="inlineStr">
        <is>
          <t>N</t>
        </is>
      </c>
      <c r="N420" s="17" t="n">
        <v>455589046661</v>
      </c>
      <c r="O420" s="15" t="n">
        <v>19923407</v>
      </c>
      <c r="P420" s="18" t="inlineStr">
        <is>
          <t>LW5HC0S</t>
        </is>
      </c>
      <c r="Q420" s="18" t="n">
        <v>5</v>
      </c>
      <c r="R420" s="18" t="n">
        <v>0.355</v>
      </c>
      <c r="S420" s="15" t="n">
        <v>53.596</v>
      </c>
      <c r="T420" s="16" t="n">
        <v>45824</v>
      </c>
      <c r="U420" s="19" t="n">
        <v>45883</v>
      </c>
      <c r="V420" s="16" t="n">
        <v>45824</v>
      </c>
      <c r="W420" s="16" t="n">
        <v>45826</v>
      </c>
      <c r="X420" s="57">
        <f>W420-1</f>
        <v/>
      </c>
      <c r="Y420" s="63" t="n">
        <v>45832</v>
      </c>
      <c r="Z420" s="67" t="n">
        <v>45861</v>
      </c>
      <c r="AA420" s="71">
        <f>Z420+13</f>
        <v/>
      </c>
      <c r="AB420" s="20">
        <f>AA420-U420</f>
        <v/>
      </c>
      <c r="AC420" s="20" t="inlineStr">
        <is>
          <t>No</t>
        </is>
      </c>
      <c r="AD420" s="21" t="inlineStr">
        <is>
          <t>1 HBL</t>
        </is>
      </c>
      <c r="AE420" s="21" t="n"/>
      <c r="AF420" s="22" t="inlineStr">
        <is>
          <t>LW</t>
        </is>
      </c>
      <c r="AG420" s="23" t="inlineStr">
        <is>
          <t>NAC</t>
        </is>
      </c>
      <c r="AN420" s="40" t="n"/>
      <c r="AO420" s="41" t="n"/>
      <c r="AP420" s="41" t="n"/>
    </row>
    <row r="421" ht="12.75" customHeight="1">
      <c r="A421" s="15" t="n">
        <v>3254508</v>
      </c>
      <c r="B421" s="15" t="inlineStr">
        <is>
          <t>Flexport</t>
        </is>
      </c>
      <c r="C421" s="15" t="inlineStr">
        <is>
          <t>Colombo, LK</t>
        </is>
      </c>
      <c r="D421" s="15" t="inlineStr">
        <is>
          <t>New York, NY, US</t>
        </is>
      </c>
      <c r="E421" s="15" t="inlineStr">
        <is>
          <t>Milton, ON, CA</t>
        </is>
      </c>
      <c r="F421" s="15" t="inlineStr">
        <is>
          <t>OCEAN</t>
        </is>
      </c>
      <c r="G421" s="15" t="inlineStr">
        <is>
          <t>D. 1 x 40HC</t>
        </is>
      </c>
      <c r="H421" s="15" t="inlineStr">
        <is>
          <t>CFS/CY</t>
        </is>
      </c>
      <c r="I421" s="15" t="inlineStr">
        <is>
          <t>ONE</t>
        </is>
      </c>
      <c r="J421" s="15" t="inlineStr">
        <is>
          <t>EC3</t>
        </is>
      </c>
      <c r="K421" s="15" t="inlineStr">
        <is>
          <t>MAS AMITY PTE LTD</t>
        </is>
      </c>
      <c r="L421" s="16" t="inlineStr">
        <is>
          <t>MAS Fabrics (Pvt) Ltd Intimo</t>
        </is>
      </c>
      <c r="M421" s="15" t="inlineStr">
        <is>
          <t>N</t>
        </is>
      </c>
      <c r="N421" s="17" t="n">
        <v>455588584748</v>
      </c>
      <c r="O421" s="15" t="n">
        <v>19900246</v>
      </c>
      <c r="P421" s="18" t="inlineStr">
        <is>
          <t>LW5HC0S</t>
        </is>
      </c>
      <c r="Q421" s="18" t="n">
        <v>2</v>
      </c>
      <c r="R421" s="18" t="n">
        <v>0.118</v>
      </c>
      <c r="S421" s="15" t="n">
        <v>15.406</v>
      </c>
      <c r="T421" s="16" t="n">
        <v>45824</v>
      </c>
      <c r="U421" s="19" t="n">
        <v>45883</v>
      </c>
      <c r="V421" s="16" t="n">
        <v>45824</v>
      </c>
      <c r="W421" s="16" t="n">
        <v>45826</v>
      </c>
      <c r="X421" s="57">
        <f>W421-1</f>
        <v/>
      </c>
      <c r="Y421" s="63" t="n">
        <v>45832</v>
      </c>
      <c r="Z421" s="67" t="n">
        <v>45861</v>
      </c>
      <c r="AA421" s="71">
        <f>Z421+13</f>
        <v/>
      </c>
      <c r="AB421" s="20">
        <f>AA421-U421</f>
        <v/>
      </c>
      <c r="AC421" s="20" t="inlineStr">
        <is>
          <t>No</t>
        </is>
      </c>
      <c r="AD421" s="21" t="inlineStr">
        <is>
          <t>1 HBL</t>
        </is>
      </c>
      <c r="AE421" s="21" t="n"/>
      <c r="AF421" s="22" t="inlineStr">
        <is>
          <t>LW</t>
        </is>
      </c>
      <c r="AG421" s="23" t="inlineStr">
        <is>
          <t>NAC</t>
        </is>
      </c>
      <c r="AN421" s="40" t="n"/>
      <c r="AO421" s="41" t="n"/>
      <c r="AP421" s="41" t="n"/>
    </row>
    <row r="422" ht="12.75" customHeight="1">
      <c r="A422" s="29" t="inlineStr">
        <is>
          <t>3254508 Total</t>
        </is>
      </c>
      <c r="B422" s="29" t="inlineStr">
        <is>
          <t>3254508 Total</t>
        </is>
      </c>
      <c r="C422" s="29" t="n"/>
      <c r="D422" s="29" t="n"/>
      <c r="E422" s="29" t="n"/>
      <c r="F422" s="29" t="n"/>
      <c r="G422" s="30" t="n"/>
      <c r="H422" s="31" t="n"/>
      <c r="I422" s="29" t="n"/>
      <c r="J422" s="29" t="n"/>
      <c r="K422" s="29" t="n"/>
      <c r="L422" s="31" t="n"/>
      <c r="M422" s="29" t="n"/>
      <c r="N422" s="32" t="n"/>
      <c r="O422" s="29" t="n"/>
      <c r="P422" s="33" t="n"/>
      <c r="Q422" s="33">
        <f>SUM(Q268:Q421)</f>
        <v/>
      </c>
      <c r="R422" s="33">
        <f>SUM(R268:R421)</f>
        <v/>
      </c>
      <c r="S422" s="33">
        <f>SUM(S268:S421)</f>
        <v/>
      </c>
      <c r="T422" s="31" t="n"/>
      <c r="U422" s="34" t="n"/>
      <c r="V422" s="34" t="n"/>
      <c r="W422" s="35" t="n"/>
      <c r="X422" s="58" t="n"/>
      <c r="Y422" s="64" t="n"/>
      <c r="Z422" s="68" t="n"/>
      <c r="AA422" s="72" t="n"/>
      <c r="AB422" s="36" t="n"/>
      <c r="AC422" s="36" t="n"/>
      <c r="AD422" s="37" t="n"/>
      <c r="AE422" s="37" t="n"/>
      <c r="AF422" s="38" t="n"/>
      <c r="AG422" s="37" t="n"/>
      <c r="AH422" s="36" t="n"/>
      <c r="AI422" s="29" t="n"/>
      <c r="AJ422" s="29" t="n"/>
      <c r="AK422" s="29" t="n"/>
      <c r="AL422" s="29" t="n"/>
      <c r="AM422" s="29" t="n"/>
      <c r="AN422" s="36" t="n"/>
      <c r="AO422" s="29" t="n"/>
      <c r="AP422" s="29" t="n"/>
    </row>
  </sheetData>
  <conditionalFormatting sqref="U417:U421">
    <cfRule type="notContainsBlanks" priority="1" dxfId="0">
      <formula>LEN(TRIM(U417))&gt;0</formula>
    </cfRule>
  </conditionalFormatting>
  <pageMargins left="0.7" right="0.7" top="0.75" bottom="0.75" header="0.3" footer="0.3"/>
</worksheet>
</file>

<file path=xl/worksheets/sheet2.xml><?xml version="1.0" encoding="utf-8"?>
<worksheet xmlns="http://schemas.openxmlformats.org/spreadsheetml/2006/main">
  <sheetPr>
    <outlinePr summaryBelow="0" summaryRight="0"/>
    <pageSetUpPr/>
  </sheetPr>
  <dimension ref="A1:S931"/>
  <sheetViews>
    <sheetView workbookViewId="0">
      <selection activeCell="A1" sqref="A1"/>
    </sheetView>
  </sheetViews>
  <sheetFormatPr baseColWidth="8" defaultColWidth="12.7109375" defaultRowHeight="15.75" customHeight="1"/>
  <cols>
    <col width="12.7109375" customWidth="1" style="42" min="1" max="7"/>
    <col width="22.7109375" customWidth="1" style="42" min="8" max="8"/>
    <col width="12.7109375" customWidth="1" style="42" min="9" max="16384"/>
  </cols>
  <sheetData>
    <row r="1" ht="15.75" customHeight="1">
      <c r="A1" s="48" t="inlineStr">
        <is>
          <t>Port of Loading</t>
        </is>
      </c>
      <c r="B1" s="45" t="inlineStr">
        <is>
          <t>CONTAINER SIZE</t>
        </is>
      </c>
      <c r="C1" s="45" t="inlineStr">
        <is>
          <t>Port Of Discharge (Ocean Carrier)</t>
        </is>
      </c>
      <c r="D1" s="45" t="inlineStr">
        <is>
          <t>Final Destination</t>
        </is>
      </c>
      <c r="E1" s="44" t="inlineStr">
        <is>
          <t>Load Type</t>
        </is>
      </c>
      <c r="F1" s="45" t="inlineStr">
        <is>
          <t>Booked Mode</t>
        </is>
      </c>
      <c r="G1" s="47" t="inlineStr">
        <is>
          <t>Late DC Calculation</t>
        </is>
      </c>
      <c r="H1" s="43" t="inlineStr">
        <is>
          <t>Port of Final Destination (Coloader)</t>
        </is>
      </c>
      <c r="I1" s="44" t="inlineStr">
        <is>
          <t>Factory Name</t>
        </is>
      </c>
      <c r="J1" s="43" t="inlineStr">
        <is>
          <t>SO#</t>
        </is>
      </c>
      <c r="K1" s="44" t="inlineStr">
        <is>
          <t>LSP Requested HOD</t>
        </is>
      </c>
      <c r="L1" s="44" t="inlineStr">
        <is>
          <t>ETD Port Of Load Date</t>
        </is>
      </c>
      <c r="M1" s="45" t="inlineStr">
        <is>
          <t>Yes (with transit port) or 
 NO (direct vessel)</t>
        </is>
      </c>
      <c r="N1" s="45" t="inlineStr">
        <is>
          <t>HBL</t>
        </is>
      </c>
      <c r="O1" s="45" t="inlineStr">
        <is>
          <t>SO Released</t>
        </is>
      </c>
      <c r="P1" s="47" t="inlineStr">
        <is>
          <t>Category</t>
        </is>
      </c>
      <c r="Q1" s="45" t="inlineStr">
        <is>
          <t>SUM of CY Open Date</t>
        </is>
      </c>
      <c r="R1" s="45" t="inlineStr">
        <is>
          <t>SUM of Total Cartons</t>
        </is>
      </c>
      <c r="S1" s="45" t="inlineStr">
        <is>
          <t>SUM of Cut off</t>
        </is>
      </c>
    </row>
    <row r="2" ht="15.75" customHeight="1">
      <c r="A2" s="45" t="n"/>
      <c r="B2" s="46" t="n"/>
      <c r="C2" s="45" t="n"/>
      <c r="D2" s="45" t="n"/>
      <c r="E2" s="44" t="n"/>
      <c r="F2" s="45" t="n"/>
      <c r="G2" s="45" t="n"/>
      <c r="H2" s="43" t="n"/>
      <c r="I2" s="44" t="n"/>
      <c r="J2" s="43" t="n"/>
      <c r="K2" s="44" t="n"/>
      <c r="L2" s="44" t="n"/>
      <c r="M2" s="45" t="n"/>
      <c r="N2" s="45" t="n"/>
      <c r="O2" s="45" t="n"/>
      <c r="P2" s="45" t="n"/>
      <c r="Q2" s="44" t="n">
        <v>0</v>
      </c>
      <c r="R2" s="45" t="n">
        <v>2234</v>
      </c>
      <c r="S2" s="44" t="n">
        <v>0</v>
      </c>
    </row>
    <row r="3" ht="15.75" customHeight="1">
      <c r="A3" s="45" t="n"/>
      <c r="B3" s="45" t="inlineStr">
        <is>
          <t xml:space="preserve"> Total</t>
        </is>
      </c>
      <c r="C3" s="45" t="n"/>
      <c r="D3" s="45" t="n"/>
      <c r="E3" s="45" t="n"/>
      <c r="F3" s="45" t="n"/>
      <c r="G3" s="45" t="n"/>
      <c r="H3" s="43" t="n"/>
      <c r="I3" s="45" t="n"/>
      <c r="J3" s="45" t="n"/>
      <c r="K3" s="45" t="n"/>
      <c r="L3" s="45" t="n"/>
      <c r="M3" s="45" t="n"/>
      <c r="N3" s="45" t="n"/>
      <c r="O3" s="45" t="n"/>
      <c r="P3" s="45" t="n"/>
      <c r="Q3" s="44" t="n">
        <v>0</v>
      </c>
      <c r="R3" s="45" t="n">
        <v>2234</v>
      </c>
      <c r="S3" s="44" t="n">
        <v>0</v>
      </c>
    </row>
    <row r="4" ht="15.75" customHeight="1">
      <c r="A4" s="45" t="inlineStr">
        <is>
          <t>Colombo, LK</t>
        </is>
      </c>
      <c r="B4" s="45" t="inlineStr">
        <is>
          <t>A. 1 x 20ft</t>
        </is>
      </c>
      <c r="C4" s="45" t="inlineStr">
        <is>
          <t>Felixstowe, GB</t>
        </is>
      </c>
      <c r="D4" s="45" t="inlineStr">
        <is>
          <t>Birmingham, GB</t>
        </is>
      </c>
      <c r="E4" s="45" t="inlineStr">
        <is>
          <t>CFS / CY</t>
        </is>
      </c>
      <c r="F4" s="45" t="inlineStr">
        <is>
          <t>OCEAN</t>
        </is>
      </c>
      <c r="G4" s="45" t="n">
        <v>-13</v>
      </c>
      <c r="H4" s="43" t="n"/>
      <c r="I4" s="44" t="inlineStr">
        <is>
          <t>BRANDIX APPAREL SOLUTION LTD - GIRITALE</t>
        </is>
      </c>
      <c r="J4" s="43" t="n">
        <v>452503025214</v>
      </c>
      <c r="K4" s="44" t="n">
        <v>45825</v>
      </c>
      <c r="L4" s="44" t="n">
        <v>45832</v>
      </c>
      <c r="M4" s="45" t="inlineStr">
        <is>
          <t>No</t>
        </is>
      </c>
      <c r="N4" s="45" t="inlineStr">
        <is>
          <t>1 HBL</t>
        </is>
      </c>
      <c r="O4" s="45" t="n"/>
      <c r="P4" s="45" t="inlineStr">
        <is>
          <t>LW</t>
        </is>
      </c>
      <c r="Q4" s="44" t="n">
        <v>45824</v>
      </c>
      <c r="R4" s="45" t="n">
        <v>6</v>
      </c>
      <c r="S4" s="44" t="n">
        <v>45826</v>
      </c>
    </row>
    <row r="5" ht="15.75" customHeight="1">
      <c r="A5" s="45" t="n"/>
      <c r="B5" s="45" t="n"/>
      <c r="C5" s="45" t="n"/>
      <c r="D5" s="45" t="n"/>
      <c r="E5" s="45" t="n"/>
      <c r="F5" s="45" t="n"/>
      <c r="G5" s="45" t="n"/>
      <c r="H5" s="43" t="n"/>
      <c r="I5" s="45" t="n"/>
      <c r="J5" s="43" t="n">
        <v>452503031243</v>
      </c>
      <c r="K5" s="44" t="n">
        <v>45825</v>
      </c>
      <c r="L5" s="44" t="n">
        <v>45832</v>
      </c>
      <c r="M5" s="45" t="inlineStr">
        <is>
          <t>No</t>
        </is>
      </c>
      <c r="N5" s="45" t="inlineStr">
        <is>
          <t>1 HBL</t>
        </is>
      </c>
      <c r="O5" s="45" t="n"/>
      <c r="P5" s="45" t="inlineStr">
        <is>
          <t>LW</t>
        </is>
      </c>
      <c r="Q5" s="44" t="n">
        <v>45824</v>
      </c>
      <c r="R5" s="45" t="n">
        <v>5</v>
      </c>
      <c r="S5" s="44" t="n">
        <v>45826</v>
      </c>
    </row>
    <row r="6" ht="15.75" customHeight="1">
      <c r="A6" s="45" t="n"/>
      <c r="B6" s="45" t="n"/>
      <c r="C6" s="45" t="n"/>
      <c r="D6" s="45" t="n"/>
      <c r="E6" s="45" t="n"/>
      <c r="F6" s="45" t="n"/>
      <c r="G6" s="45" t="n"/>
      <c r="H6" s="43" t="n"/>
      <c r="I6" s="45" t="n"/>
      <c r="J6" s="43" t="n">
        <v>452503041065</v>
      </c>
      <c r="K6" s="44" t="n">
        <v>45825</v>
      </c>
      <c r="L6" s="44" t="n">
        <v>45832</v>
      </c>
      <c r="M6" s="45" t="inlineStr">
        <is>
          <t>No</t>
        </is>
      </c>
      <c r="N6" s="45" t="inlineStr">
        <is>
          <t>1 HBL</t>
        </is>
      </c>
      <c r="O6" s="45" t="n"/>
      <c r="P6" s="45" t="inlineStr">
        <is>
          <t>LW</t>
        </is>
      </c>
      <c r="Q6" s="44" t="n">
        <v>45824</v>
      </c>
      <c r="R6" s="45" t="n">
        <v>8</v>
      </c>
      <c r="S6" s="44" t="n">
        <v>45826</v>
      </c>
    </row>
    <row r="7" ht="15.75" customHeight="1">
      <c r="A7" s="45" t="n"/>
      <c r="B7" s="45" t="n"/>
      <c r="C7" s="45" t="n"/>
      <c r="D7" s="45" t="n"/>
      <c r="E7" s="45" t="n"/>
      <c r="F7" s="45" t="n"/>
      <c r="G7" s="45" t="n"/>
      <c r="H7" s="43" t="n"/>
      <c r="I7" s="45" t="n"/>
      <c r="J7" s="43" t="n">
        <v>452503345762</v>
      </c>
      <c r="K7" s="44" t="n">
        <v>45825</v>
      </c>
      <c r="L7" s="44" t="n">
        <v>45832</v>
      </c>
      <c r="M7" s="45" t="inlineStr">
        <is>
          <t>No</t>
        </is>
      </c>
      <c r="N7" s="45" t="inlineStr">
        <is>
          <t>1 HBL</t>
        </is>
      </c>
      <c r="O7" s="45" t="n"/>
      <c r="P7" s="45" t="inlineStr">
        <is>
          <t>LW</t>
        </is>
      </c>
      <c r="Q7" s="44" t="n">
        <v>45824</v>
      </c>
      <c r="R7" s="45" t="n">
        <v>1</v>
      </c>
      <c r="S7" s="44" t="n">
        <v>45826</v>
      </c>
    </row>
    <row r="8" ht="15.75" customHeight="1">
      <c r="A8" s="45" t="n"/>
      <c r="B8" s="45" t="n"/>
      <c r="C8" s="45" t="n"/>
      <c r="D8" s="45" t="n"/>
      <c r="E8" s="45" t="n"/>
      <c r="F8" s="45" t="n"/>
      <c r="G8" s="45" t="n"/>
      <c r="H8" s="43" t="n"/>
      <c r="I8" s="45" t="n"/>
      <c r="J8" s="43" t="n">
        <v>452504206989</v>
      </c>
      <c r="K8" s="44" t="n">
        <v>45825</v>
      </c>
      <c r="L8" s="44" t="n">
        <v>45832</v>
      </c>
      <c r="M8" s="45" t="inlineStr">
        <is>
          <t>No</t>
        </is>
      </c>
      <c r="N8" s="45" t="inlineStr">
        <is>
          <t>1 HBL</t>
        </is>
      </c>
      <c r="O8" s="45" t="n"/>
      <c r="P8" s="45" t="inlineStr">
        <is>
          <t>LW</t>
        </is>
      </c>
      <c r="Q8" s="44" t="n">
        <v>45824</v>
      </c>
      <c r="R8" s="45" t="n">
        <v>1</v>
      </c>
      <c r="S8" s="44" t="n">
        <v>45826</v>
      </c>
    </row>
    <row r="9" ht="15.75" customHeight="1">
      <c r="A9" s="45" t="n"/>
      <c r="B9" s="45" t="n"/>
      <c r="C9" s="45" t="n"/>
      <c r="D9" s="45" t="n"/>
      <c r="E9" s="45" t="n"/>
      <c r="F9" s="45" t="n"/>
      <c r="G9" s="45" t="n"/>
      <c r="H9" s="43" t="n"/>
      <c r="I9" s="45" t="n"/>
      <c r="J9" s="43" t="n">
        <v>452517861652</v>
      </c>
      <c r="K9" s="44" t="n">
        <v>45825</v>
      </c>
      <c r="L9" s="44" t="n">
        <v>45832</v>
      </c>
      <c r="M9" s="45" t="inlineStr">
        <is>
          <t>No</t>
        </is>
      </c>
      <c r="N9" s="45" t="inlineStr">
        <is>
          <t>1 HBL</t>
        </is>
      </c>
      <c r="O9" s="45" t="n"/>
      <c r="P9" s="45" t="inlineStr">
        <is>
          <t>LW</t>
        </is>
      </c>
      <c r="Q9" s="44" t="n">
        <v>45824</v>
      </c>
      <c r="R9" s="45" t="n">
        <v>3</v>
      </c>
      <c r="S9" s="44" t="n">
        <v>45826</v>
      </c>
    </row>
    <row r="10" ht="15.75" customHeight="1">
      <c r="A10" s="45" t="n"/>
      <c r="B10" s="45" t="n"/>
      <c r="C10" s="45" t="n"/>
      <c r="D10" s="45" t="n"/>
      <c r="E10" s="45" t="n"/>
      <c r="F10" s="45" t="n"/>
      <c r="G10" s="45" t="n"/>
      <c r="H10" s="43" t="n"/>
      <c r="I10" s="45" t="n"/>
      <c r="J10" s="43" t="n">
        <v>452518317022</v>
      </c>
      <c r="K10" s="44" t="n">
        <v>45825</v>
      </c>
      <c r="L10" s="44" t="n">
        <v>45832</v>
      </c>
      <c r="M10" s="45" t="inlineStr">
        <is>
          <t>No</t>
        </is>
      </c>
      <c r="N10" s="45" t="inlineStr">
        <is>
          <t>1 HBL</t>
        </is>
      </c>
      <c r="O10" s="45" t="n"/>
      <c r="P10" s="45" t="inlineStr">
        <is>
          <t>LW</t>
        </is>
      </c>
      <c r="Q10" s="44" t="n">
        <v>45824</v>
      </c>
      <c r="R10" s="45" t="n">
        <v>2</v>
      </c>
      <c r="S10" s="44" t="n">
        <v>45826</v>
      </c>
    </row>
    <row r="11" ht="15.75" customHeight="1">
      <c r="A11" s="45" t="n"/>
      <c r="B11" s="45" t="n"/>
      <c r="C11" s="45" t="n"/>
      <c r="D11" s="45" t="n"/>
      <c r="E11" s="45" t="n"/>
      <c r="F11" s="45" t="n"/>
      <c r="G11" s="45" t="n"/>
      <c r="H11" s="43" t="n"/>
      <c r="I11" s="45" t="inlineStr">
        <is>
          <t>Brandix Apparel Solutions Limited - Minuwangoda</t>
        </is>
      </c>
      <c r="J11" s="43" t="n">
        <v>452015221240</v>
      </c>
      <c r="K11" s="44" t="n">
        <v>45825</v>
      </c>
      <c r="L11" s="44" t="n">
        <v>45832</v>
      </c>
      <c r="M11" s="45" t="inlineStr">
        <is>
          <t>No</t>
        </is>
      </c>
      <c r="N11" s="45" t="inlineStr">
        <is>
          <t>1 HBL</t>
        </is>
      </c>
      <c r="O11" s="45" t="n"/>
      <c r="P11" s="45" t="inlineStr">
        <is>
          <t>LW</t>
        </is>
      </c>
      <c r="Q11" s="44" t="n">
        <v>45824</v>
      </c>
      <c r="R11" s="45" t="n">
        <v>1</v>
      </c>
      <c r="S11" s="44" t="n">
        <v>45826</v>
      </c>
    </row>
    <row r="12" ht="15.75" customHeight="1">
      <c r="A12" s="45" t="n"/>
      <c r="B12" s="45" t="n"/>
      <c r="C12" s="45" t="n"/>
      <c r="D12" s="45" t="n"/>
      <c r="E12" s="45" t="n"/>
      <c r="F12" s="45" t="n"/>
      <c r="G12" s="45" t="n"/>
      <c r="H12" s="43" t="n"/>
      <c r="I12" s="45" t="inlineStr">
        <is>
          <t>MAS Active (Pvt) Ltd - Linea Intimo</t>
        </is>
      </c>
      <c r="J12" s="43" t="n">
        <v>454722903594</v>
      </c>
      <c r="K12" s="44" t="n">
        <v>45825</v>
      </c>
      <c r="L12" s="44" t="n">
        <v>45832</v>
      </c>
      <c r="M12" s="45" t="inlineStr">
        <is>
          <t>No</t>
        </is>
      </c>
      <c r="N12" s="45" t="inlineStr">
        <is>
          <t>1 HBL</t>
        </is>
      </c>
      <c r="O12" s="45" t="n"/>
      <c r="P12" s="45" t="inlineStr">
        <is>
          <t>LW</t>
        </is>
      </c>
      <c r="Q12" s="44" t="n">
        <v>45824</v>
      </c>
      <c r="R12" s="45" t="n">
        <v>2</v>
      </c>
      <c r="S12" s="44" t="n">
        <v>45826</v>
      </c>
    </row>
    <row r="13" ht="15.75" customHeight="1">
      <c r="A13" s="45" t="n"/>
      <c r="B13" s="45" t="n"/>
      <c r="C13" s="45" t="n"/>
      <c r="D13" s="45" t="n"/>
      <c r="E13" s="45" t="n"/>
      <c r="F13" s="45" t="n"/>
      <c r="G13" s="45" t="n"/>
      <c r="H13" s="43" t="n"/>
      <c r="I13" s="45" t="inlineStr">
        <is>
          <t>MAS Active (Pvt) Ltd – Shadowline</t>
        </is>
      </c>
      <c r="J13" s="43" t="n">
        <v>454864010774</v>
      </c>
      <c r="K13" s="44" t="n">
        <v>45825</v>
      </c>
      <c r="L13" s="44" t="n">
        <v>45832</v>
      </c>
      <c r="M13" s="45" t="inlineStr">
        <is>
          <t>No</t>
        </is>
      </c>
      <c r="N13" s="45" t="inlineStr">
        <is>
          <t>1 HBL</t>
        </is>
      </c>
      <c r="O13" s="45" t="n"/>
      <c r="P13" s="45" t="inlineStr">
        <is>
          <t>LW</t>
        </is>
      </c>
      <c r="Q13" s="44" t="n">
        <v>45824</v>
      </c>
      <c r="R13" s="45" t="n">
        <v>1</v>
      </c>
      <c r="S13" s="44" t="n">
        <v>45826</v>
      </c>
    </row>
    <row r="14" ht="15.75" customHeight="1">
      <c r="A14" s="45" t="n"/>
      <c r="B14" s="45" t="n"/>
      <c r="C14" s="45" t="n"/>
      <c r="D14" s="45" t="n"/>
      <c r="E14" s="45" t="n"/>
      <c r="F14" s="45" t="n"/>
      <c r="G14" s="45" t="n"/>
      <c r="H14" s="43" t="n"/>
      <c r="I14" s="45" t="inlineStr">
        <is>
          <t>MAS Active(Pvt) Ltd – CONTOURLINE</t>
        </is>
      </c>
      <c r="J14" s="43" t="n">
        <v>454770290213</v>
      </c>
      <c r="K14" s="44" t="n">
        <v>45825</v>
      </c>
      <c r="L14" s="44" t="n">
        <v>45832</v>
      </c>
      <c r="M14" s="45" t="inlineStr">
        <is>
          <t>No</t>
        </is>
      </c>
      <c r="N14" s="45" t="inlineStr">
        <is>
          <t>1 HBL</t>
        </is>
      </c>
      <c r="O14" s="45" t="n"/>
      <c r="P14" s="45" t="inlineStr">
        <is>
          <t>LW</t>
        </is>
      </c>
      <c r="Q14" s="44" t="n">
        <v>45824</v>
      </c>
      <c r="R14" s="45" t="n">
        <v>6</v>
      </c>
      <c r="S14" s="44" t="n">
        <v>45826</v>
      </c>
    </row>
    <row r="15" ht="15.75" customHeight="1">
      <c r="A15" s="45" t="n"/>
      <c r="B15" s="45" t="n"/>
      <c r="C15" s="45" t="n"/>
      <c r="D15" s="45" t="n"/>
      <c r="E15" s="45" t="n"/>
      <c r="F15" s="45" t="n"/>
      <c r="G15" s="45" t="n"/>
      <c r="H15" s="43" t="n"/>
      <c r="I15" s="45" t="n"/>
      <c r="J15" s="43" t="n">
        <v>454772994403</v>
      </c>
      <c r="K15" s="44" t="n">
        <v>45825</v>
      </c>
      <c r="L15" s="44" t="n">
        <v>45832</v>
      </c>
      <c r="M15" s="45" t="inlineStr">
        <is>
          <t>No</t>
        </is>
      </c>
      <c r="N15" s="45" t="inlineStr">
        <is>
          <t>1 HBL</t>
        </is>
      </c>
      <c r="O15" s="45" t="n"/>
      <c r="P15" s="45" t="inlineStr">
        <is>
          <t>LW</t>
        </is>
      </c>
      <c r="Q15" s="44" t="n">
        <v>45824</v>
      </c>
      <c r="R15" s="45" t="n">
        <v>1</v>
      </c>
      <c r="S15" s="44" t="n">
        <v>45826</v>
      </c>
    </row>
    <row r="16" ht="15.75" customHeight="1">
      <c r="A16" s="45" t="n"/>
      <c r="B16" s="45" t="n"/>
      <c r="C16" s="45" t="n"/>
      <c r="D16" s="45" t="n"/>
      <c r="E16" s="45" t="n"/>
      <c r="F16" s="45" t="n"/>
      <c r="G16" s="45" t="n"/>
      <c r="H16" s="43" t="n"/>
      <c r="I16" s="45" t="n"/>
      <c r="J16" s="43" t="n">
        <v>454772994540</v>
      </c>
      <c r="K16" s="44" t="n">
        <v>45825</v>
      </c>
      <c r="L16" s="44" t="n">
        <v>45832</v>
      </c>
      <c r="M16" s="45" t="inlineStr">
        <is>
          <t>No</t>
        </is>
      </c>
      <c r="N16" s="45" t="inlineStr">
        <is>
          <t>1 HBL</t>
        </is>
      </c>
      <c r="O16" s="45" t="n"/>
      <c r="P16" s="45" t="inlineStr">
        <is>
          <t>LW</t>
        </is>
      </c>
      <c r="Q16" s="44" t="n">
        <v>45824</v>
      </c>
      <c r="R16" s="45" t="n">
        <v>3</v>
      </c>
      <c r="S16" s="44" t="n">
        <v>45826</v>
      </c>
    </row>
    <row r="17" ht="15.75" customHeight="1">
      <c r="A17" s="45" t="n"/>
      <c r="B17" s="45" t="n"/>
      <c r="C17" s="45" t="n"/>
      <c r="D17" s="45" t="n"/>
      <c r="E17" s="45" t="n"/>
      <c r="F17" s="45" t="n"/>
      <c r="G17" s="45" t="n"/>
      <c r="H17" s="43" t="n"/>
      <c r="I17" s="45" t="n"/>
      <c r="J17" s="43" t="n">
        <v>454773467353</v>
      </c>
      <c r="K17" s="44" t="n">
        <v>45825</v>
      </c>
      <c r="L17" s="44" t="n">
        <v>45832</v>
      </c>
      <c r="M17" s="45" t="inlineStr">
        <is>
          <t>No</t>
        </is>
      </c>
      <c r="N17" s="45" t="inlineStr">
        <is>
          <t>1 HBL</t>
        </is>
      </c>
      <c r="O17" s="45" t="n"/>
      <c r="P17" s="45" t="inlineStr">
        <is>
          <t>LW</t>
        </is>
      </c>
      <c r="Q17" s="44" t="n">
        <v>45824</v>
      </c>
      <c r="R17" s="45" t="n">
        <v>1</v>
      </c>
      <c r="S17" s="44" t="n">
        <v>45826</v>
      </c>
    </row>
    <row r="18" ht="15.75" customHeight="1">
      <c r="A18" s="45" t="n"/>
      <c r="B18" s="45" t="n"/>
      <c r="C18" s="45" t="n"/>
      <c r="D18" s="45" t="n"/>
      <c r="E18" s="45" t="n"/>
      <c r="F18" s="45" t="n"/>
      <c r="G18" s="45" t="n"/>
      <c r="H18" s="43" t="n"/>
      <c r="I18" s="45" t="n"/>
      <c r="J18" s="43" t="n">
        <v>454774312210</v>
      </c>
      <c r="K18" s="44" t="n">
        <v>45825</v>
      </c>
      <c r="L18" s="44" t="n">
        <v>45832</v>
      </c>
      <c r="M18" s="45" t="inlineStr">
        <is>
          <t>No</t>
        </is>
      </c>
      <c r="N18" s="45" t="inlineStr">
        <is>
          <t>1 HBL</t>
        </is>
      </c>
      <c r="O18" s="45" t="n"/>
      <c r="P18" s="45" t="inlineStr">
        <is>
          <t>LW</t>
        </is>
      </c>
      <c r="Q18" s="44" t="n">
        <v>45824</v>
      </c>
      <c r="R18" s="45" t="n">
        <v>6</v>
      </c>
      <c r="S18" s="44" t="n">
        <v>45826</v>
      </c>
    </row>
    <row r="19" ht="15.75" customHeight="1">
      <c r="A19" s="45" t="n"/>
      <c r="B19" s="45" t="n"/>
      <c r="C19" s="45" t="n"/>
      <c r="D19" s="45" t="n"/>
      <c r="E19" s="45" t="n"/>
      <c r="F19" s="45" t="n"/>
      <c r="G19" s="45" t="n"/>
      <c r="H19" s="43" t="n"/>
      <c r="I19" s="45" t="n"/>
      <c r="J19" s="43" t="n">
        <v>454774400970</v>
      </c>
      <c r="K19" s="44" t="n">
        <v>45825</v>
      </c>
      <c r="L19" s="44" t="n">
        <v>45832</v>
      </c>
      <c r="M19" s="45" t="inlineStr">
        <is>
          <t>No</t>
        </is>
      </c>
      <c r="N19" s="45" t="inlineStr">
        <is>
          <t>1 HBL</t>
        </is>
      </c>
      <c r="O19" s="45" t="n"/>
      <c r="P19" s="45" t="inlineStr">
        <is>
          <t>LW</t>
        </is>
      </c>
      <c r="Q19" s="44" t="n">
        <v>45824</v>
      </c>
      <c r="R19" s="45" t="n">
        <v>3</v>
      </c>
      <c r="S19" s="44" t="n">
        <v>45826</v>
      </c>
    </row>
    <row r="20" ht="15.75" customHeight="1">
      <c r="A20" s="45" t="n"/>
      <c r="B20" s="45" t="n"/>
      <c r="C20" s="45" t="n"/>
      <c r="D20" s="45" t="n"/>
      <c r="E20" s="45" t="n"/>
      <c r="F20" s="45" t="n"/>
      <c r="G20" s="45" t="n"/>
      <c r="H20" s="43" t="n"/>
      <c r="I20" s="45" t="n"/>
      <c r="J20" s="43" t="n">
        <v>454774401369</v>
      </c>
      <c r="K20" s="44" t="n">
        <v>45825</v>
      </c>
      <c r="L20" s="44" t="n">
        <v>45832</v>
      </c>
      <c r="M20" s="45" t="inlineStr">
        <is>
          <t>No</t>
        </is>
      </c>
      <c r="N20" s="45" t="inlineStr">
        <is>
          <t>1 HBL</t>
        </is>
      </c>
      <c r="O20" s="45" t="n"/>
      <c r="P20" s="45" t="inlineStr">
        <is>
          <t>LW</t>
        </is>
      </c>
      <c r="Q20" s="44" t="n">
        <v>45824</v>
      </c>
      <c r="R20" s="45" t="n">
        <v>1</v>
      </c>
      <c r="S20" s="44" t="n">
        <v>45826</v>
      </c>
    </row>
    <row r="21" ht="15.75" customHeight="1">
      <c r="A21" s="45" t="n"/>
      <c r="B21" s="45" t="n"/>
      <c r="C21" s="45" t="n"/>
      <c r="D21" s="45" t="n"/>
      <c r="E21" s="45" t="n"/>
      <c r="F21" s="45" t="n"/>
      <c r="G21" s="45" t="n"/>
      <c r="H21" s="43" t="n"/>
      <c r="I21" s="45" t="n"/>
      <c r="J21" s="43" t="n">
        <v>454774676885</v>
      </c>
      <c r="K21" s="44" t="n">
        <v>45825</v>
      </c>
      <c r="L21" s="44" t="n">
        <v>45832</v>
      </c>
      <c r="M21" s="45" t="inlineStr">
        <is>
          <t>No</t>
        </is>
      </c>
      <c r="N21" s="45" t="inlineStr">
        <is>
          <t>1 HBL</t>
        </is>
      </c>
      <c r="O21" s="45" t="n"/>
      <c r="P21" s="45" t="inlineStr">
        <is>
          <t>LW</t>
        </is>
      </c>
      <c r="Q21" s="44" t="n">
        <v>45824</v>
      </c>
      <c r="R21" s="45" t="n">
        <v>2</v>
      </c>
      <c r="S21" s="44" t="n">
        <v>45826</v>
      </c>
    </row>
    <row r="22" ht="15.75" customHeight="1">
      <c r="A22" s="45" t="n"/>
      <c r="B22" s="45" t="n"/>
      <c r="C22" s="45" t="n"/>
      <c r="D22" s="45" t="n"/>
      <c r="E22" s="45" t="n"/>
      <c r="F22" s="45" t="n"/>
      <c r="G22" s="45" t="n"/>
      <c r="H22" s="43" t="n"/>
      <c r="I22" s="45" t="n"/>
      <c r="J22" s="43" t="n">
        <v>454774766099</v>
      </c>
      <c r="K22" s="44" t="n">
        <v>45825</v>
      </c>
      <c r="L22" s="44" t="n">
        <v>45832</v>
      </c>
      <c r="M22" s="45" t="inlineStr">
        <is>
          <t>No</t>
        </is>
      </c>
      <c r="N22" s="45" t="inlineStr">
        <is>
          <t>1 HBL</t>
        </is>
      </c>
      <c r="O22" s="45" t="n"/>
      <c r="P22" s="45" t="inlineStr">
        <is>
          <t>LW</t>
        </is>
      </c>
      <c r="Q22" s="44" t="n">
        <v>45824</v>
      </c>
      <c r="R22" s="45" t="n">
        <v>1</v>
      </c>
      <c r="S22" s="44" t="n">
        <v>45826</v>
      </c>
    </row>
    <row r="23" ht="15.75" customHeight="1">
      <c r="A23" s="45" t="n"/>
      <c r="B23" s="45" t="n"/>
      <c r="C23" s="45" t="n"/>
      <c r="D23" s="45" t="n"/>
      <c r="E23" s="45" t="n"/>
      <c r="F23" s="45" t="n"/>
      <c r="G23" s="45" t="n"/>
      <c r="H23" s="43" t="n"/>
      <c r="I23" s="45" t="n"/>
      <c r="J23" s="43" t="n">
        <v>454775187235</v>
      </c>
      <c r="K23" s="44" t="n">
        <v>45825</v>
      </c>
      <c r="L23" s="44" t="n">
        <v>45832</v>
      </c>
      <c r="M23" s="45" t="inlineStr">
        <is>
          <t>No</t>
        </is>
      </c>
      <c r="N23" s="45" t="inlineStr">
        <is>
          <t>1 HBL</t>
        </is>
      </c>
      <c r="O23" s="45" t="n"/>
      <c r="P23" s="45" t="inlineStr">
        <is>
          <t>LW</t>
        </is>
      </c>
      <c r="Q23" s="44" t="n">
        <v>45824</v>
      </c>
      <c r="R23" s="45" t="n">
        <v>4</v>
      </c>
      <c r="S23" s="44" t="n">
        <v>45826</v>
      </c>
    </row>
    <row r="24" ht="15.75" customHeight="1">
      <c r="A24" s="45" t="n"/>
      <c r="B24" s="45" t="n"/>
      <c r="C24" s="45" t="n"/>
      <c r="D24" s="45" t="n"/>
      <c r="E24" s="45" t="n"/>
      <c r="F24" s="45" t="n"/>
      <c r="G24" s="45" t="n"/>
      <c r="H24" s="43" t="n"/>
      <c r="I24" s="45" t="n"/>
      <c r="J24" s="43" t="n">
        <v>454775192886</v>
      </c>
      <c r="K24" s="44" t="n">
        <v>45825</v>
      </c>
      <c r="L24" s="44" t="n">
        <v>45832</v>
      </c>
      <c r="M24" s="45" t="inlineStr">
        <is>
          <t>No</t>
        </is>
      </c>
      <c r="N24" s="45" t="inlineStr">
        <is>
          <t>1 HBL</t>
        </is>
      </c>
      <c r="O24" s="45" t="n"/>
      <c r="P24" s="45" t="inlineStr">
        <is>
          <t>LW</t>
        </is>
      </c>
      <c r="Q24" s="44" t="n">
        <v>45824</v>
      </c>
      <c r="R24" s="45" t="n">
        <v>4</v>
      </c>
      <c r="S24" s="44" t="n">
        <v>45826</v>
      </c>
    </row>
    <row r="25" ht="15.75" customHeight="1">
      <c r="A25" s="45" t="n"/>
      <c r="B25" s="45" t="n"/>
      <c r="C25" s="45" t="n"/>
      <c r="D25" s="45" t="n"/>
      <c r="E25" s="45" t="n"/>
      <c r="F25" s="45" t="n"/>
      <c r="G25" s="45" t="n"/>
      <c r="H25" s="43" t="n"/>
      <c r="I25" s="45" t="n"/>
      <c r="J25" s="43" t="n">
        <v>454775252856</v>
      </c>
      <c r="K25" s="44" t="n">
        <v>45825</v>
      </c>
      <c r="L25" s="44" t="n">
        <v>45832</v>
      </c>
      <c r="M25" s="45" t="inlineStr">
        <is>
          <t>No</t>
        </is>
      </c>
      <c r="N25" s="45" t="inlineStr">
        <is>
          <t>1 HBL</t>
        </is>
      </c>
      <c r="O25" s="45" t="n"/>
      <c r="P25" s="45" t="inlineStr">
        <is>
          <t>LW</t>
        </is>
      </c>
      <c r="Q25" s="44" t="n">
        <v>45824</v>
      </c>
      <c r="R25" s="45" t="n">
        <v>2</v>
      </c>
      <c r="S25" s="44" t="n">
        <v>45826</v>
      </c>
    </row>
    <row r="26" ht="15.75" customHeight="1">
      <c r="A26" s="45" t="n"/>
      <c r="B26" s="45" t="n"/>
      <c r="C26" s="45" t="n"/>
      <c r="D26" s="45" t="n"/>
      <c r="E26" s="45" t="n"/>
      <c r="F26" s="45" t="n"/>
      <c r="G26" s="45" t="n"/>
      <c r="H26" s="43" t="n"/>
      <c r="I26" s="45" t="n"/>
      <c r="J26" s="43" t="n">
        <v>454775599438</v>
      </c>
      <c r="K26" s="44" t="n">
        <v>45825</v>
      </c>
      <c r="L26" s="44" t="n">
        <v>45832</v>
      </c>
      <c r="M26" s="45" t="inlineStr">
        <is>
          <t>No</t>
        </is>
      </c>
      <c r="N26" s="45" t="inlineStr">
        <is>
          <t>1 HBL</t>
        </is>
      </c>
      <c r="O26" s="45" t="n"/>
      <c r="P26" s="45" t="inlineStr">
        <is>
          <t>LW</t>
        </is>
      </c>
      <c r="Q26" s="44" t="n">
        <v>45824</v>
      </c>
      <c r="R26" s="45" t="n">
        <v>7</v>
      </c>
      <c r="S26" s="44" t="n">
        <v>45826</v>
      </c>
    </row>
    <row r="27" ht="15.75" customHeight="1">
      <c r="A27" s="45" t="n"/>
      <c r="B27" s="45" t="n"/>
      <c r="C27" s="45" t="n"/>
      <c r="D27" s="45" t="n"/>
      <c r="E27" s="45" t="n"/>
      <c r="F27" s="45" t="n"/>
      <c r="G27" s="45" t="n"/>
      <c r="H27" s="43" t="n"/>
      <c r="I27" s="45" t="n"/>
      <c r="J27" s="43" t="n">
        <v>454858069214</v>
      </c>
      <c r="K27" s="44" t="n">
        <v>45825</v>
      </c>
      <c r="L27" s="44" t="n">
        <v>45832</v>
      </c>
      <c r="M27" s="45" t="inlineStr">
        <is>
          <t>No</t>
        </is>
      </c>
      <c r="N27" s="45" t="inlineStr">
        <is>
          <t>1 HBL</t>
        </is>
      </c>
      <c r="O27" s="45" t="n"/>
      <c r="P27" s="45" t="inlineStr">
        <is>
          <t>LW</t>
        </is>
      </c>
      <c r="Q27" s="44" t="n">
        <v>45824</v>
      </c>
      <c r="R27" s="45" t="n">
        <v>4</v>
      </c>
      <c r="S27" s="44" t="n">
        <v>45826</v>
      </c>
    </row>
    <row r="28" ht="15.75" customHeight="1">
      <c r="A28" s="45" t="n"/>
      <c r="B28" s="45" t="n"/>
      <c r="C28" s="45" t="n"/>
      <c r="D28" s="45" t="n"/>
      <c r="E28" s="45" t="n"/>
      <c r="F28" s="45" t="n"/>
      <c r="G28" s="45" t="n"/>
      <c r="H28" s="43" t="n"/>
      <c r="I28" s="45" t="inlineStr">
        <is>
          <t>Quantum Clothing Lanka (Pvt) Ltd</t>
        </is>
      </c>
      <c r="J28" s="43" t="n">
        <v>452031503449</v>
      </c>
      <c r="K28" s="44" t="n">
        <v>45825</v>
      </c>
      <c r="L28" s="44" t="n">
        <v>45832</v>
      </c>
      <c r="M28" s="45" t="inlineStr">
        <is>
          <t>No</t>
        </is>
      </c>
      <c r="N28" s="45" t="inlineStr">
        <is>
          <t>1 HBL</t>
        </is>
      </c>
      <c r="O28" s="45" t="n"/>
      <c r="P28" s="45" t="inlineStr">
        <is>
          <t>LW</t>
        </is>
      </c>
      <c r="Q28" s="44" t="n">
        <v>45824</v>
      </c>
      <c r="R28" s="45" t="n">
        <v>49</v>
      </c>
      <c r="S28" s="44" t="n">
        <v>45826</v>
      </c>
    </row>
    <row r="29" ht="15.75" customHeight="1">
      <c r="A29" s="45" t="n"/>
      <c r="B29" s="45" t="n"/>
      <c r="C29" s="45" t="n"/>
      <c r="D29" s="45" t="n"/>
      <c r="E29" s="45" t="n"/>
      <c r="F29" s="45" t="n"/>
      <c r="G29" s="45" t="n"/>
      <c r="H29" s="43" t="n"/>
      <c r="I29" s="45" t="n"/>
      <c r="J29" s="43" t="n">
        <v>452092648789</v>
      </c>
      <c r="K29" s="44" t="n">
        <v>45825</v>
      </c>
      <c r="L29" s="44" t="n">
        <v>45832</v>
      </c>
      <c r="M29" s="45" t="inlineStr">
        <is>
          <t>No</t>
        </is>
      </c>
      <c r="N29" s="45" t="inlineStr">
        <is>
          <t>1 HBL</t>
        </is>
      </c>
      <c r="O29" s="45" t="n"/>
      <c r="P29" s="45" t="inlineStr">
        <is>
          <t>LW</t>
        </is>
      </c>
      <c r="Q29" s="44" t="n">
        <v>45824</v>
      </c>
      <c r="R29" s="45" t="n">
        <v>1</v>
      </c>
      <c r="S29" s="44" t="n">
        <v>45826</v>
      </c>
    </row>
    <row r="30" ht="15.75" customHeight="1">
      <c r="A30" s="45" t="n"/>
      <c r="B30" s="45" t="n"/>
      <c r="C30" s="45" t="inlineStr">
        <is>
          <t>Rotterdam, NL</t>
        </is>
      </c>
      <c r="D30" s="45" t="inlineStr">
        <is>
          <t>Birmingham, GB</t>
        </is>
      </c>
      <c r="E30" s="45" t="inlineStr">
        <is>
          <t>CFS / CY</t>
        </is>
      </c>
      <c r="F30" s="45" t="inlineStr">
        <is>
          <t>OCEAN</t>
        </is>
      </c>
      <c r="G30" s="45" t="n">
        <v>-13</v>
      </c>
      <c r="H30" s="43" t="n"/>
      <c r="I30" s="44" t="inlineStr">
        <is>
          <t>MAS Active (Pvt) Ltd – Shadowline</t>
        </is>
      </c>
      <c r="J30" s="43" t="n">
        <v>454893040591</v>
      </c>
      <c r="K30" s="44" t="n">
        <v>45825</v>
      </c>
      <c r="L30" s="44" t="n">
        <v>45832</v>
      </c>
      <c r="M30" s="45" t="inlineStr">
        <is>
          <t>No</t>
        </is>
      </c>
      <c r="N30" s="45" t="inlineStr">
        <is>
          <t>1 HBL</t>
        </is>
      </c>
      <c r="O30" s="45" t="n"/>
      <c r="P30" s="45" t="inlineStr">
        <is>
          <t>LW</t>
        </is>
      </c>
      <c r="Q30" s="44" t="n">
        <v>45824</v>
      </c>
      <c r="R30" s="45" t="n">
        <v>19</v>
      </c>
      <c r="S30" s="44" t="n">
        <v>45826</v>
      </c>
    </row>
    <row r="31" ht="15.75" customHeight="1">
      <c r="A31" s="45" t="n"/>
      <c r="B31" s="45" t="n"/>
      <c r="C31" s="45" t="n"/>
      <c r="D31" s="45" t="n"/>
      <c r="E31" s="45" t="n"/>
      <c r="F31" s="45" t="n"/>
      <c r="G31" s="45" t="n"/>
      <c r="H31" s="43" t="n"/>
      <c r="I31" s="45" t="n"/>
      <c r="J31" s="43" t="n">
        <v>454893442911</v>
      </c>
      <c r="K31" s="44" t="n">
        <v>45825</v>
      </c>
      <c r="L31" s="44" t="n">
        <v>45832</v>
      </c>
      <c r="M31" s="45" t="inlineStr">
        <is>
          <t>No</t>
        </is>
      </c>
      <c r="N31" s="45" t="inlineStr">
        <is>
          <t>1 HBL</t>
        </is>
      </c>
      <c r="O31" s="45" t="n"/>
      <c r="P31" s="45" t="inlineStr">
        <is>
          <t>LW</t>
        </is>
      </c>
      <c r="Q31" s="44" t="n">
        <v>45824</v>
      </c>
      <c r="R31" s="45" t="n">
        <v>2</v>
      </c>
      <c r="S31" s="44" t="n">
        <v>45826</v>
      </c>
    </row>
    <row r="32" ht="15.75" customHeight="1">
      <c r="A32" s="45" t="n"/>
      <c r="B32" s="45" t="inlineStr">
        <is>
          <t>A. 1 x 20ft Total</t>
        </is>
      </c>
      <c r="C32" s="45" t="n"/>
      <c r="D32" s="45" t="n"/>
      <c r="E32" s="45" t="n"/>
      <c r="F32" s="45" t="n"/>
      <c r="G32" s="45" t="n"/>
      <c r="H32" s="43" t="n"/>
      <c r="I32" s="45" t="n"/>
      <c r="J32" s="45" t="n"/>
      <c r="K32" s="45" t="n"/>
      <c r="L32" s="45" t="n"/>
      <c r="M32" s="45" t="n"/>
      <c r="N32" s="45" t="n"/>
      <c r="O32" s="45" t="n"/>
      <c r="P32" s="45" t="n"/>
      <c r="Q32" s="44" t="n">
        <v>1283072</v>
      </c>
      <c r="R32" s="45" t="n">
        <v>146</v>
      </c>
      <c r="S32" s="44" t="n">
        <v>1283128</v>
      </c>
    </row>
    <row r="33" ht="15.75" customHeight="1">
      <c r="A33" s="45" t="n"/>
      <c r="B33" s="45" t="inlineStr">
        <is>
          <t>B. 1 x 20ft</t>
        </is>
      </c>
      <c r="C33" s="45" t="inlineStr">
        <is>
          <t>Rotterdam, NL</t>
        </is>
      </c>
      <c r="D33" s="45" t="inlineStr">
        <is>
          <t>Rotterdam, NL</t>
        </is>
      </c>
      <c r="E33" s="45" t="inlineStr">
        <is>
          <t>CFS/CY</t>
        </is>
      </c>
      <c r="F33" s="45" t="inlineStr">
        <is>
          <t>OCEAN</t>
        </is>
      </c>
      <c r="G33" s="45" t="n">
        <v>-12</v>
      </c>
      <c r="H33" s="43" t="n"/>
      <c r="I33" s="44" t="inlineStr">
        <is>
          <t>BRANDIX APPAREL SOLUTION LTD - GIRITALE</t>
        </is>
      </c>
      <c r="J33" s="43" t="n">
        <v>452502648506</v>
      </c>
      <c r="K33" s="44" t="n">
        <v>45825</v>
      </c>
      <c r="L33" s="44" t="n">
        <v>45831</v>
      </c>
      <c r="M33" s="45" t="inlineStr">
        <is>
          <t>No</t>
        </is>
      </c>
      <c r="N33" s="45" t="inlineStr">
        <is>
          <t>1 HBL</t>
        </is>
      </c>
      <c r="O33" s="45" t="n"/>
      <c r="P33" s="45" t="inlineStr">
        <is>
          <t>LW</t>
        </is>
      </c>
      <c r="Q33" s="44" t="n">
        <v>45824</v>
      </c>
      <c r="R33" s="45" t="n">
        <v>8</v>
      </c>
      <c r="S33" s="44" t="n">
        <v>45826</v>
      </c>
    </row>
    <row r="34" ht="15.75" customHeight="1">
      <c r="A34" s="45" t="n"/>
      <c r="B34" s="45" t="n"/>
      <c r="C34" s="45" t="n"/>
      <c r="D34" s="45" t="n"/>
      <c r="E34" s="45" t="n"/>
      <c r="F34" s="45" t="n"/>
      <c r="G34" s="45" t="n"/>
      <c r="H34" s="43" t="n"/>
      <c r="I34" s="45" t="n"/>
      <c r="J34" s="43" t="n">
        <v>452503031553</v>
      </c>
      <c r="K34" s="44" t="n">
        <v>45825</v>
      </c>
      <c r="L34" s="44" t="n">
        <v>45831</v>
      </c>
      <c r="M34" s="45" t="inlineStr">
        <is>
          <t>No</t>
        </is>
      </c>
      <c r="N34" s="45" t="inlineStr">
        <is>
          <t>1 HBL</t>
        </is>
      </c>
      <c r="O34" s="45" t="n"/>
      <c r="P34" s="45" t="inlineStr">
        <is>
          <t>LW</t>
        </is>
      </c>
      <c r="Q34" s="44" t="n">
        <v>45824</v>
      </c>
      <c r="R34" s="45" t="n">
        <v>4</v>
      </c>
      <c r="S34" s="44" t="n">
        <v>45826</v>
      </c>
    </row>
    <row r="35" ht="15.75" customHeight="1">
      <c r="A35" s="45" t="n"/>
      <c r="B35" s="45" t="n"/>
      <c r="C35" s="45" t="n"/>
      <c r="D35" s="45" t="n"/>
      <c r="E35" s="45" t="n"/>
      <c r="F35" s="45" t="n"/>
      <c r="G35" s="45" t="n"/>
      <c r="H35" s="43" t="n"/>
      <c r="I35" s="45" t="n"/>
      <c r="J35" s="43" t="n">
        <v>452503337572</v>
      </c>
      <c r="K35" s="44" t="n">
        <v>45825</v>
      </c>
      <c r="L35" s="44" t="n">
        <v>45831</v>
      </c>
      <c r="M35" s="45" t="inlineStr">
        <is>
          <t>No</t>
        </is>
      </c>
      <c r="N35" s="45" t="inlineStr">
        <is>
          <t>1 HBL</t>
        </is>
      </c>
      <c r="O35" s="45" t="n"/>
      <c r="P35" s="45" t="inlineStr">
        <is>
          <t>LW</t>
        </is>
      </c>
      <c r="Q35" s="44" t="n">
        <v>45824</v>
      </c>
      <c r="R35" s="45" t="n">
        <v>8</v>
      </c>
      <c r="S35" s="44" t="n">
        <v>45826</v>
      </c>
    </row>
    <row r="36" ht="15.75" customHeight="1">
      <c r="A36" s="45" t="n"/>
      <c r="B36" s="45" t="n"/>
      <c r="C36" s="45" t="n"/>
      <c r="D36" s="45" t="n"/>
      <c r="E36" s="45" t="n"/>
      <c r="F36" s="45" t="n"/>
      <c r="G36" s="45" t="n"/>
      <c r="H36" s="43" t="n"/>
      <c r="I36" s="45" t="n"/>
      <c r="J36" s="43" t="n">
        <v>452503346259</v>
      </c>
      <c r="K36" s="44" t="n">
        <v>45825</v>
      </c>
      <c r="L36" s="44" t="n">
        <v>45831</v>
      </c>
      <c r="M36" s="45" t="inlineStr">
        <is>
          <t>No</t>
        </is>
      </c>
      <c r="N36" s="45" t="inlineStr">
        <is>
          <t>1 HBL</t>
        </is>
      </c>
      <c r="O36" s="45" t="n"/>
      <c r="P36" s="45" t="inlineStr">
        <is>
          <t>LW</t>
        </is>
      </c>
      <c r="Q36" s="44" t="n">
        <v>45824</v>
      </c>
      <c r="R36" s="45" t="n">
        <v>1</v>
      </c>
      <c r="S36" s="44" t="n">
        <v>45826</v>
      </c>
    </row>
    <row r="37" ht="15.75" customHeight="1">
      <c r="A37" s="45" t="n"/>
      <c r="B37" s="45" t="n"/>
      <c r="C37" s="45" t="n"/>
      <c r="D37" s="45" t="n"/>
      <c r="E37" s="45" t="n"/>
      <c r="F37" s="45" t="n"/>
      <c r="G37" s="45" t="n"/>
      <c r="H37" s="43" t="n"/>
      <c r="I37" s="45" t="n"/>
      <c r="J37" s="43" t="n">
        <v>452517307998</v>
      </c>
      <c r="K37" s="44" t="n">
        <v>45825</v>
      </c>
      <c r="L37" s="44" t="n">
        <v>45831</v>
      </c>
      <c r="M37" s="45" t="inlineStr">
        <is>
          <t>No</t>
        </is>
      </c>
      <c r="N37" s="45" t="inlineStr">
        <is>
          <t>1 HBL</t>
        </is>
      </c>
      <c r="O37" s="45" t="n"/>
      <c r="P37" s="45" t="inlineStr">
        <is>
          <t>LW</t>
        </is>
      </c>
      <c r="Q37" s="44" t="n">
        <v>45824</v>
      </c>
      <c r="R37" s="45" t="n">
        <v>7</v>
      </c>
      <c r="S37" s="44" t="n">
        <v>45826</v>
      </c>
    </row>
    <row r="38" ht="15.75" customHeight="1">
      <c r="A38" s="45" t="n"/>
      <c r="B38" s="45" t="n"/>
      <c r="C38" s="45" t="n"/>
      <c r="D38" s="45" t="n"/>
      <c r="E38" s="45" t="n"/>
      <c r="F38" s="45" t="n"/>
      <c r="G38" s="45" t="n"/>
      <c r="H38" s="43" t="n"/>
      <c r="I38" s="45" t="n"/>
      <c r="J38" s="43" t="n">
        <v>452517688487</v>
      </c>
      <c r="K38" s="44" t="n">
        <v>45825</v>
      </c>
      <c r="L38" s="44" t="n">
        <v>45831</v>
      </c>
      <c r="M38" s="45" t="inlineStr">
        <is>
          <t>No</t>
        </is>
      </c>
      <c r="N38" s="45" t="inlineStr">
        <is>
          <t>1 HBL</t>
        </is>
      </c>
      <c r="O38" s="45" t="n"/>
      <c r="P38" s="45" t="inlineStr">
        <is>
          <t>LW</t>
        </is>
      </c>
      <c r="Q38" s="44" t="n">
        <v>45824</v>
      </c>
      <c r="R38" s="45" t="n">
        <v>3</v>
      </c>
      <c r="S38" s="44" t="n">
        <v>45826</v>
      </c>
    </row>
    <row r="39" ht="15.75" customHeight="1">
      <c r="A39" s="45" t="n"/>
      <c r="B39" s="45" t="n"/>
      <c r="C39" s="45" t="n"/>
      <c r="D39" s="45" t="n"/>
      <c r="E39" s="45" t="n"/>
      <c r="F39" s="45" t="n"/>
      <c r="G39" s="45" t="n"/>
      <c r="H39" s="43" t="n"/>
      <c r="I39" s="45" t="n"/>
      <c r="J39" s="43" t="n">
        <v>452517869906</v>
      </c>
      <c r="K39" s="44" t="n">
        <v>45825</v>
      </c>
      <c r="L39" s="44" t="n">
        <v>45831</v>
      </c>
      <c r="M39" s="45" t="inlineStr">
        <is>
          <t>No</t>
        </is>
      </c>
      <c r="N39" s="45" t="inlineStr">
        <is>
          <t>1 HBL</t>
        </is>
      </c>
      <c r="O39" s="45" t="n"/>
      <c r="P39" s="45" t="inlineStr">
        <is>
          <t>LW</t>
        </is>
      </c>
      <c r="Q39" s="44" t="n">
        <v>45824</v>
      </c>
      <c r="R39" s="45" t="n">
        <v>1</v>
      </c>
      <c r="S39" s="44" t="n">
        <v>45826</v>
      </c>
    </row>
    <row r="40" ht="15.75" customHeight="1">
      <c r="A40" s="45" t="n"/>
      <c r="B40" s="45" t="n"/>
      <c r="C40" s="45" t="n"/>
      <c r="D40" s="45" t="n"/>
      <c r="E40" s="45" t="n"/>
      <c r="F40" s="45" t="n"/>
      <c r="G40" s="45" t="n"/>
      <c r="H40" s="43" t="n"/>
      <c r="I40" s="45" t="n"/>
      <c r="J40" s="43" t="n">
        <v>452518357641</v>
      </c>
      <c r="K40" s="44" t="n">
        <v>45825</v>
      </c>
      <c r="L40" s="44" t="n">
        <v>45831</v>
      </c>
      <c r="M40" s="45" t="inlineStr">
        <is>
          <t>No</t>
        </is>
      </c>
      <c r="N40" s="45" t="inlineStr">
        <is>
          <t>1 HBL</t>
        </is>
      </c>
      <c r="O40" s="45" t="n"/>
      <c r="P40" s="45" t="inlineStr">
        <is>
          <t>LW</t>
        </is>
      </c>
      <c r="Q40" s="44" t="n">
        <v>45824</v>
      </c>
      <c r="R40" s="45" t="n">
        <v>1</v>
      </c>
      <c r="S40" s="44" t="n">
        <v>45826</v>
      </c>
    </row>
    <row r="41" ht="15.75" customHeight="1">
      <c r="A41" s="45" t="n"/>
      <c r="B41" s="45" t="n"/>
      <c r="C41" s="45" t="n"/>
      <c r="D41" s="45" t="n"/>
      <c r="E41" s="45" t="n"/>
      <c r="F41" s="45" t="n"/>
      <c r="G41" s="45" t="n"/>
      <c r="H41" s="43" t="n"/>
      <c r="I41" s="44" t="inlineStr">
        <is>
          <t>Brandix Apparel Solutions Limited - Minuwangoda</t>
        </is>
      </c>
      <c r="J41" s="43" t="n">
        <v>452015706494</v>
      </c>
      <c r="K41" s="44" t="n">
        <v>45825</v>
      </c>
      <c r="L41" s="44" t="n">
        <v>45831</v>
      </c>
      <c r="M41" s="45" t="inlineStr">
        <is>
          <t>No</t>
        </is>
      </c>
      <c r="N41" s="45" t="inlineStr">
        <is>
          <t>1 HBL</t>
        </is>
      </c>
      <c r="O41" s="45" t="n"/>
      <c r="P41" s="45" t="inlineStr">
        <is>
          <t>LW</t>
        </is>
      </c>
      <c r="Q41" s="44" t="n">
        <v>45824</v>
      </c>
      <c r="R41" s="45" t="n">
        <v>3</v>
      </c>
      <c r="S41" s="44" t="n">
        <v>45826</v>
      </c>
    </row>
    <row r="42" ht="15.75" customHeight="1">
      <c r="A42" s="45" t="n"/>
      <c r="B42" s="45" t="n"/>
      <c r="C42" s="45" t="n"/>
      <c r="D42" s="45" t="n"/>
      <c r="E42" s="45" t="n"/>
      <c r="F42" s="45" t="n"/>
      <c r="G42" s="45" t="n"/>
      <c r="H42" s="43" t="n"/>
      <c r="I42" s="44" t="inlineStr">
        <is>
          <t>MAS Active (Pvt) Ltd – Shadowline</t>
        </is>
      </c>
      <c r="J42" s="43" t="n">
        <v>454863244190</v>
      </c>
      <c r="K42" s="44" t="n">
        <v>45825</v>
      </c>
      <c r="L42" s="44" t="n">
        <v>45831</v>
      </c>
      <c r="M42" s="45" t="inlineStr">
        <is>
          <t>No</t>
        </is>
      </c>
      <c r="N42" s="45" t="inlineStr">
        <is>
          <t>1 HBL</t>
        </is>
      </c>
      <c r="O42" s="45" t="n"/>
      <c r="P42" s="45" t="inlineStr">
        <is>
          <t>LW</t>
        </is>
      </c>
      <c r="Q42" s="44" t="n">
        <v>45824</v>
      </c>
      <c r="R42" s="45" t="n">
        <v>1</v>
      </c>
      <c r="S42" s="44" t="n">
        <v>45826</v>
      </c>
    </row>
    <row r="43" ht="15.75" customHeight="1">
      <c r="A43" s="45" t="n"/>
      <c r="B43" s="45" t="n"/>
      <c r="C43" s="45" t="n"/>
      <c r="D43" s="45" t="n"/>
      <c r="E43" s="45" t="n"/>
      <c r="F43" s="45" t="n"/>
      <c r="G43" s="45" t="n"/>
      <c r="H43" s="43" t="n"/>
      <c r="I43" s="45" t="n"/>
      <c r="J43" s="43" t="n">
        <v>454865164288</v>
      </c>
      <c r="K43" s="44" t="n">
        <v>45825</v>
      </c>
      <c r="L43" s="44" t="n">
        <v>45831</v>
      </c>
      <c r="M43" s="45" t="inlineStr">
        <is>
          <t>No</t>
        </is>
      </c>
      <c r="N43" s="45" t="inlineStr">
        <is>
          <t>1 HBL</t>
        </is>
      </c>
      <c r="O43" s="45" t="n"/>
      <c r="P43" s="45" t="inlineStr">
        <is>
          <t>LW</t>
        </is>
      </c>
      <c r="Q43" s="44" t="n">
        <v>45824</v>
      </c>
      <c r="R43" s="45" t="n">
        <v>21</v>
      </c>
      <c r="S43" s="44" t="n">
        <v>45826</v>
      </c>
    </row>
    <row r="44" ht="15.75" customHeight="1">
      <c r="A44" s="45" t="n"/>
      <c r="B44" s="45" t="n"/>
      <c r="C44" s="45" t="n"/>
      <c r="D44" s="45" t="n"/>
      <c r="E44" s="45" t="n"/>
      <c r="F44" s="45" t="n"/>
      <c r="G44" s="45" t="n"/>
      <c r="H44" s="43" t="n"/>
      <c r="I44" s="45" t="n"/>
      <c r="J44" s="43" t="n">
        <v>454893038716</v>
      </c>
      <c r="K44" s="44" t="n">
        <v>45825</v>
      </c>
      <c r="L44" s="44" t="n">
        <v>45831</v>
      </c>
      <c r="M44" s="45" t="inlineStr">
        <is>
          <t>No</t>
        </is>
      </c>
      <c r="N44" s="45" t="inlineStr">
        <is>
          <t>1 HBL</t>
        </is>
      </c>
      <c r="O44" s="45" t="n"/>
      <c r="P44" s="45" t="inlineStr">
        <is>
          <t>LW</t>
        </is>
      </c>
      <c r="Q44" s="44" t="n">
        <v>45824</v>
      </c>
      <c r="R44" s="45" t="n">
        <v>4</v>
      </c>
      <c r="S44" s="44" t="n">
        <v>45826</v>
      </c>
    </row>
    <row r="45" ht="15.75" customHeight="1">
      <c r="A45" s="45" t="n"/>
      <c r="B45" s="45" t="n"/>
      <c r="C45" s="45" t="n"/>
      <c r="D45" s="45" t="n"/>
      <c r="E45" s="45" t="n"/>
      <c r="F45" s="45" t="n"/>
      <c r="G45" s="45" t="n"/>
      <c r="H45" s="43" t="n"/>
      <c r="I45" s="44" t="inlineStr">
        <is>
          <t>MAS Active(Pvt) Ltd – CONTOURLINE</t>
        </is>
      </c>
      <c r="J45" s="43" t="n">
        <v>454770290651</v>
      </c>
      <c r="K45" s="44" t="n">
        <v>45825</v>
      </c>
      <c r="L45" s="44" t="n">
        <v>45831</v>
      </c>
      <c r="M45" s="45" t="inlineStr">
        <is>
          <t>No</t>
        </is>
      </c>
      <c r="N45" s="45" t="inlineStr">
        <is>
          <t>1 HBL</t>
        </is>
      </c>
      <c r="O45" s="45" t="n"/>
      <c r="P45" s="45" t="inlineStr">
        <is>
          <t>LW</t>
        </is>
      </c>
      <c r="Q45" s="44" t="n">
        <v>45824</v>
      </c>
      <c r="R45" s="45" t="n">
        <v>4</v>
      </c>
      <c r="S45" s="44" t="n">
        <v>45826</v>
      </c>
    </row>
    <row r="46" ht="15.75" customHeight="1">
      <c r="A46" s="45" t="n"/>
      <c r="B46" s="45" t="n"/>
      <c r="C46" s="45" t="n"/>
      <c r="D46" s="45" t="n"/>
      <c r="E46" s="45" t="n"/>
      <c r="F46" s="45" t="n"/>
      <c r="G46" s="45" t="n"/>
      <c r="H46" s="43" t="n"/>
      <c r="I46" s="45" t="n"/>
      <c r="J46" s="43" t="n">
        <v>454770290857</v>
      </c>
      <c r="K46" s="44" t="n">
        <v>45825</v>
      </c>
      <c r="L46" s="44" t="n">
        <v>45831</v>
      </c>
      <c r="M46" s="45" t="inlineStr">
        <is>
          <t>No</t>
        </is>
      </c>
      <c r="N46" s="45" t="inlineStr">
        <is>
          <t>1 HBL</t>
        </is>
      </c>
      <c r="O46" s="45" t="n"/>
      <c r="P46" s="45" t="inlineStr">
        <is>
          <t>LW</t>
        </is>
      </c>
      <c r="Q46" s="44" t="n">
        <v>45824</v>
      </c>
      <c r="R46" s="45" t="n">
        <v>1</v>
      </c>
      <c r="S46" s="44" t="n">
        <v>45826</v>
      </c>
    </row>
    <row r="47" ht="15.75" customHeight="1">
      <c r="A47" s="45" t="n"/>
      <c r="B47" s="45" t="n"/>
      <c r="C47" s="45" t="n"/>
      <c r="D47" s="45" t="n"/>
      <c r="E47" s="45" t="n"/>
      <c r="F47" s="45" t="n"/>
      <c r="G47" s="45" t="n"/>
      <c r="H47" s="43" t="n"/>
      <c r="I47" s="45" t="n"/>
      <c r="J47" s="43" t="n">
        <v>454770290915</v>
      </c>
      <c r="K47" s="44" t="n">
        <v>45825</v>
      </c>
      <c r="L47" s="44" t="n">
        <v>45831</v>
      </c>
      <c r="M47" s="45" t="inlineStr">
        <is>
          <t>No</t>
        </is>
      </c>
      <c r="N47" s="45" t="inlineStr">
        <is>
          <t>1 HBL</t>
        </is>
      </c>
      <c r="O47" s="45" t="n"/>
      <c r="P47" s="45" t="inlineStr">
        <is>
          <t>LW</t>
        </is>
      </c>
      <c r="Q47" s="44" t="n">
        <v>45824</v>
      </c>
      <c r="R47" s="45" t="n">
        <v>1</v>
      </c>
      <c r="S47" s="44" t="n">
        <v>45826</v>
      </c>
    </row>
    <row r="48" ht="15.75" customHeight="1">
      <c r="A48" s="45" t="n"/>
      <c r="B48" s="45" t="n"/>
      <c r="C48" s="45" t="n"/>
      <c r="D48" s="45" t="n"/>
      <c r="E48" s="45" t="n"/>
      <c r="F48" s="45" t="n"/>
      <c r="G48" s="45" t="n"/>
      <c r="H48" s="43" t="n"/>
      <c r="I48" s="45" t="n"/>
      <c r="J48" s="43" t="n">
        <v>454772994775</v>
      </c>
      <c r="K48" s="44" t="n">
        <v>45825</v>
      </c>
      <c r="L48" s="44" t="n">
        <v>45831</v>
      </c>
      <c r="M48" s="45" t="inlineStr">
        <is>
          <t>No</t>
        </is>
      </c>
      <c r="N48" s="45" t="inlineStr">
        <is>
          <t>1 HBL</t>
        </is>
      </c>
      <c r="O48" s="45" t="n"/>
      <c r="P48" s="45" t="inlineStr">
        <is>
          <t>LW</t>
        </is>
      </c>
      <c r="Q48" s="44" t="n">
        <v>45824</v>
      </c>
      <c r="R48" s="45" t="n">
        <v>5</v>
      </c>
      <c r="S48" s="44" t="n">
        <v>45826</v>
      </c>
    </row>
    <row r="49" ht="15.75" customHeight="1">
      <c r="A49" s="45" t="n"/>
      <c r="B49" s="45" t="n"/>
      <c r="C49" s="45" t="n"/>
      <c r="D49" s="45" t="n"/>
      <c r="E49" s="45" t="n"/>
      <c r="F49" s="45" t="n"/>
      <c r="G49" s="45" t="n"/>
      <c r="H49" s="43" t="n"/>
      <c r="I49" s="45" t="n"/>
      <c r="J49" s="43" t="n">
        <v>454773466988</v>
      </c>
      <c r="K49" s="44" t="n">
        <v>45825</v>
      </c>
      <c r="L49" s="44" t="n">
        <v>45831</v>
      </c>
      <c r="M49" s="45" t="inlineStr">
        <is>
          <t>No</t>
        </is>
      </c>
      <c r="N49" s="45" t="inlineStr">
        <is>
          <t>1 HBL</t>
        </is>
      </c>
      <c r="O49" s="45" t="n"/>
      <c r="P49" s="45" t="inlineStr">
        <is>
          <t>LW</t>
        </is>
      </c>
      <c r="Q49" s="44" t="n">
        <v>45824</v>
      </c>
      <c r="R49" s="45" t="n">
        <v>1</v>
      </c>
      <c r="S49" s="44" t="n">
        <v>45826</v>
      </c>
    </row>
    <row r="50" ht="12.75" customHeight="1">
      <c r="A50" s="45" t="n"/>
      <c r="B50" s="45" t="n"/>
      <c r="C50" s="45" t="n"/>
      <c r="D50" s="45" t="n"/>
      <c r="E50" s="45" t="n"/>
      <c r="F50" s="45" t="n"/>
      <c r="G50" s="45" t="n"/>
      <c r="H50" s="43" t="n"/>
      <c r="I50" s="45" t="n"/>
      <c r="J50" s="43" t="n">
        <v>454773467131</v>
      </c>
      <c r="K50" s="44" t="n">
        <v>45825</v>
      </c>
      <c r="L50" s="44" t="n">
        <v>45831</v>
      </c>
      <c r="M50" s="45" t="inlineStr">
        <is>
          <t>No</t>
        </is>
      </c>
      <c r="N50" s="45" t="inlineStr">
        <is>
          <t>1 HBL</t>
        </is>
      </c>
      <c r="O50" s="45" t="n"/>
      <c r="P50" s="45" t="inlineStr">
        <is>
          <t>LW</t>
        </is>
      </c>
      <c r="Q50" s="44" t="n">
        <v>45824</v>
      </c>
      <c r="R50" s="45" t="n">
        <v>3</v>
      </c>
      <c r="S50" s="44" t="n">
        <v>45826</v>
      </c>
    </row>
    <row r="51" ht="12.75" customHeight="1">
      <c r="A51" s="45" t="n"/>
      <c r="B51" s="45" t="n"/>
      <c r="C51" s="45" t="n"/>
      <c r="D51" s="45" t="n"/>
      <c r="E51" s="45" t="n"/>
      <c r="F51" s="45" t="n"/>
      <c r="G51" s="45" t="n"/>
      <c r="H51" s="43" t="n"/>
      <c r="I51" s="45" t="n"/>
      <c r="J51" s="43" t="n">
        <v>454773467698</v>
      </c>
      <c r="K51" s="44" t="n">
        <v>45825</v>
      </c>
      <c r="L51" s="44" t="n">
        <v>45831</v>
      </c>
      <c r="M51" s="45" t="inlineStr">
        <is>
          <t>No</t>
        </is>
      </c>
      <c r="N51" s="45" t="inlineStr">
        <is>
          <t>1 HBL</t>
        </is>
      </c>
      <c r="O51" s="45" t="n"/>
      <c r="P51" s="45" t="inlineStr">
        <is>
          <t>LW</t>
        </is>
      </c>
      <c r="Q51" s="44" t="n">
        <v>45824</v>
      </c>
      <c r="R51" s="45" t="n">
        <v>1</v>
      </c>
      <c r="S51" s="44" t="n">
        <v>45826</v>
      </c>
    </row>
    <row r="52" ht="12.75" customHeight="1">
      <c r="A52" s="45" t="n"/>
      <c r="B52" s="45" t="n"/>
      <c r="C52" s="45" t="n"/>
      <c r="D52" s="45" t="n"/>
      <c r="E52" s="45" t="n"/>
      <c r="F52" s="45" t="n"/>
      <c r="G52" s="45" t="n"/>
      <c r="H52" s="43" t="n"/>
      <c r="I52" s="45" t="n"/>
      <c r="J52" s="43" t="n">
        <v>454774400782</v>
      </c>
      <c r="K52" s="44" t="n">
        <v>45825</v>
      </c>
      <c r="L52" s="44" t="n">
        <v>45831</v>
      </c>
      <c r="M52" s="45" t="inlineStr">
        <is>
          <t>No</t>
        </is>
      </c>
      <c r="N52" s="45" t="inlineStr">
        <is>
          <t>1 HBL</t>
        </is>
      </c>
      <c r="O52" s="45" t="n"/>
      <c r="P52" s="45" t="inlineStr">
        <is>
          <t>LW</t>
        </is>
      </c>
      <c r="Q52" s="44" t="n">
        <v>45824</v>
      </c>
      <c r="R52" s="45" t="n">
        <v>7</v>
      </c>
      <c r="S52" s="44" t="n">
        <v>45826</v>
      </c>
    </row>
    <row r="53" ht="12.75" customHeight="1">
      <c r="A53" s="45" t="n"/>
      <c r="B53" s="45" t="n"/>
      <c r="C53" s="45" t="n"/>
      <c r="D53" s="45" t="n"/>
      <c r="E53" s="45" t="n"/>
      <c r="F53" s="45" t="n"/>
      <c r="G53" s="45" t="n"/>
      <c r="H53" s="43" t="n"/>
      <c r="I53" s="45" t="n"/>
      <c r="J53" s="43" t="n">
        <v>454774401107</v>
      </c>
      <c r="K53" s="44" t="n">
        <v>45825</v>
      </c>
      <c r="L53" s="44" t="n">
        <v>45831</v>
      </c>
      <c r="M53" s="45" t="inlineStr">
        <is>
          <t>No</t>
        </is>
      </c>
      <c r="N53" s="45" t="inlineStr">
        <is>
          <t>1 HBL</t>
        </is>
      </c>
      <c r="O53" s="45" t="n"/>
      <c r="P53" s="45" t="inlineStr">
        <is>
          <t>LW</t>
        </is>
      </c>
      <c r="Q53" s="44" t="n">
        <v>45824</v>
      </c>
      <c r="R53" s="45" t="n">
        <v>1</v>
      </c>
      <c r="S53" s="44" t="n">
        <v>45826</v>
      </c>
    </row>
    <row r="54" ht="12.75" customHeight="1">
      <c r="A54" s="45" t="n"/>
      <c r="B54" s="45" t="n"/>
      <c r="C54" s="45" t="n"/>
      <c r="D54" s="45" t="n"/>
      <c r="E54" s="45" t="n"/>
      <c r="F54" s="45" t="n"/>
      <c r="G54" s="45" t="n"/>
      <c r="H54" s="43" t="n"/>
      <c r="I54" s="45" t="n"/>
      <c r="J54" s="43" t="n">
        <v>454774669478</v>
      </c>
      <c r="K54" s="44" t="n">
        <v>45825</v>
      </c>
      <c r="L54" s="44" t="n">
        <v>45831</v>
      </c>
      <c r="M54" s="45" t="inlineStr">
        <is>
          <t>No</t>
        </is>
      </c>
      <c r="N54" s="45" t="inlineStr">
        <is>
          <t>1 HBL</t>
        </is>
      </c>
      <c r="O54" s="45" t="n"/>
      <c r="P54" s="45" t="inlineStr">
        <is>
          <t>LW</t>
        </is>
      </c>
      <c r="Q54" s="44" t="n">
        <v>45824</v>
      </c>
      <c r="R54" s="45" t="n">
        <v>6</v>
      </c>
      <c r="S54" s="44" t="n">
        <v>45826</v>
      </c>
    </row>
    <row r="55" ht="12.75" customHeight="1">
      <c r="A55" s="45" t="n"/>
      <c r="B55" s="45" t="n"/>
      <c r="C55" s="45" t="n"/>
      <c r="D55" s="45" t="n"/>
      <c r="E55" s="45" t="n"/>
      <c r="F55" s="45" t="n"/>
      <c r="G55" s="45" t="n"/>
      <c r="H55" s="43" t="n"/>
      <c r="I55" s="45" t="n"/>
      <c r="J55" s="43" t="n">
        <v>454774676791</v>
      </c>
      <c r="K55" s="44" t="n">
        <v>45825</v>
      </c>
      <c r="L55" s="44" t="n">
        <v>45831</v>
      </c>
      <c r="M55" s="45" t="inlineStr">
        <is>
          <t>No</t>
        </is>
      </c>
      <c r="N55" s="45" t="inlineStr">
        <is>
          <t>1 HBL</t>
        </is>
      </c>
      <c r="O55" s="45" t="n"/>
      <c r="P55" s="45" t="inlineStr">
        <is>
          <t>LW</t>
        </is>
      </c>
      <c r="Q55" s="44" t="n">
        <v>45824</v>
      </c>
      <c r="R55" s="45" t="n">
        <v>4</v>
      </c>
      <c r="S55" s="44" t="n">
        <v>45826</v>
      </c>
    </row>
    <row r="56" ht="12.75" customHeight="1">
      <c r="A56" s="45" t="n"/>
      <c r="B56" s="45" t="n"/>
      <c r="C56" s="45" t="n"/>
      <c r="D56" s="45" t="n"/>
      <c r="E56" s="45" t="n"/>
      <c r="F56" s="45" t="n"/>
      <c r="G56" s="45" t="n"/>
      <c r="H56" s="43" t="n"/>
      <c r="I56" s="45" t="n"/>
      <c r="J56" s="43" t="n">
        <v>454775006730</v>
      </c>
      <c r="K56" s="44" t="n">
        <v>45825</v>
      </c>
      <c r="L56" s="44" t="n">
        <v>45831</v>
      </c>
      <c r="M56" s="45" t="inlineStr">
        <is>
          <t>No</t>
        </is>
      </c>
      <c r="N56" s="45" t="inlineStr">
        <is>
          <t>1 HBL</t>
        </is>
      </c>
      <c r="O56" s="45" t="n"/>
      <c r="P56" s="45" t="inlineStr">
        <is>
          <t>LW</t>
        </is>
      </c>
      <c r="Q56" s="44" t="n">
        <v>45824</v>
      </c>
      <c r="R56" s="45" t="n">
        <v>8</v>
      </c>
      <c r="S56" s="44" t="n">
        <v>45826</v>
      </c>
    </row>
    <row r="57" ht="12.75" customHeight="1">
      <c r="A57" s="45" t="n"/>
      <c r="B57" s="45" t="n"/>
      <c r="C57" s="45" t="n"/>
      <c r="D57" s="45" t="n"/>
      <c r="E57" s="45" t="n"/>
      <c r="F57" s="45" t="n"/>
      <c r="G57" s="45" t="n"/>
      <c r="H57" s="43" t="n"/>
      <c r="I57" s="45" t="n"/>
      <c r="J57" s="43" t="n">
        <v>454775035759</v>
      </c>
      <c r="K57" s="44" t="n">
        <v>45825</v>
      </c>
      <c r="L57" s="44" t="n">
        <v>45831</v>
      </c>
      <c r="M57" s="45" t="inlineStr">
        <is>
          <t>No</t>
        </is>
      </c>
      <c r="N57" s="45" t="inlineStr">
        <is>
          <t>1 HBL</t>
        </is>
      </c>
      <c r="O57" s="45" t="n"/>
      <c r="P57" s="45" t="inlineStr">
        <is>
          <t>LW</t>
        </is>
      </c>
      <c r="Q57" s="44" t="n">
        <v>45824</v>
      </c>
      <c r="R57" s="45" t="n">
        <v>8</v>
      </c>
      <c r="S57" s="44" t="n">
        <v>45826</v>
      </c>
    </row>
    <row r="58" ht="12.75" customHeight="1">
      <c r="A58" s="45" t="n"/>
      <c r="B58" s="45" t="n"/>
      <c r="C58" s="45" t="n"/>
      <c r="D58" s="45" t="n"/>
      <c r="E58" s="45" t="n"/>
      <c r="F58" s="45" t="n"/>
      <c r="G58" s="45" t="n"/>
      <c r="H58" s="43" t="n"/>
      <c r="I58" s="45" t="n"/>
      <c r="J58" s="43" t="n">
        <v>454775192654</v>
      </c>
      <c r="K58" s="44" t="n">
        <v>45825</v>
      </c>
      <c r="L58" s="44" t="n">
        <v>45831</v>
      </c>
      <c r="M58" s="45" t="inlineStr">
        <is>
          <t>No</t>
        </is>
      </c>
      <c r="N58" s="45" t="inlineStr">
        <is>
          <t>1 HBL</t>
        </is>
      </c>
      <c r="O58" s="45" t="n"/>
      <c r="P58" s="45" t="inlineStr">
        <is>
          <t>LW</t>
        </is>
      </c>
      <c r="Q58" s="44" t="n">
        <v>45824</v>
      </c>
      <c r="R58" s="45" t="n">
        <v>4</v>
      </c>
      <c r="S58" s="44" t="n">
        <v>45826</v>
      </c>
    </row>
    <row r="59" ht="12.75" customHeight="1">
      <c r="A59" s="45" t="n"/>
      <c r="B59" s="45" t="n"/>
      <c r="C59" s="45" t="n"/>
      <c r="D59" s="45" t="n"/>
      <c r="E59" s="45" t="n"/>
      <c r="F59" s="45" t="n"/>
      <c r="G59" s="45" t="n"/>
      <c r="H59" s="43" t="n"/>
      <c r="I59" s="45" t="n"/>
      <c r="J59" s="43" t="n">
        <v>454775252695</v>
      </c>
      <c r="K59" s="44" t="n">
        <v>45825</v>
      </c>
      <c r="L59" s="44" t="n">
        <v>45831</v>
      </c>
      <c r="M59" s="45" t="inlineStr">
        <is>
          <t>No</t>
        </is>
      </c>
      <c r="N59" s="45" t="inlineStr">
        <is>
          <t>1 HBL</t>
        </is>
      </c>
      <c r="O59" s="45" t="n"/>
      <c r="P59" s="45" t="inlineStr">
        <is>
          <t>LW</t>
        </is>
      </c>
      <c r="Q59" s="44" t="n">
        <v>45824</v>
      </c>
      <c r="R59" s="45" t="n">
        <v>1</v>
      </c>
      <c r="S59" s="44" t="n">
        <v>45826</v>
      </c>
    </row>
    <row r="60" ht="12.75" customHeight="1">
      <c r="A60" s="45" t="n"/>
      <c r="B60" s="45" t="n"/>
      <c r="C60" s="45" t="n"/>
      <c r="D60" s="45" t="n"/>
      <c r="E60" s="45" t="n"/>
      <c r="F60" s="45" t="n"/>
      <c r="G60" s="45" t="n"/>
      <c r="H60" s="43" t="n"/>
      <c r="I60" s="45" t="n"/>
      <c r="J60" s="43" t="n">
        <v>454775252915</v>
      </c>
      <c r="K60" s="44" t="n">
        <v>45825</v>
      </c>
      <c r="L60" s="44" t="n">
        <v>45831</v>
      </c>
      <c r="M60" s="45" t="inlineStr">
        <is>
          <t>No</t>
        </is>
      </c>
      <c r="N60" s="45" t="inlineStr">
        <is>
          <t>1 HBL</t>
        </is>
      </c>
      <c r="O60" s="45" t="n"/>
      <c r="P60" s="45" t="inlineStr">
        <is>
          <t>LW</t>
        </is>
      </c>
      <c r="Q60" s="44" t="n">
        <v>45824</v>
      </c>
      <c r="R60" s="45" t="n">
        <v>4</v>
      </c>
      <c r="S60" s="44" t="n">
        <v>45826</v>
      </c>
    </row>
    <row r="61" ht="12.75" customHeight="1">
      <c r="A61" s="45" t="n"/>
      <c r="B61" s="45" t="n"/>
      <c r="C61" s="45" t="n"/>
      <c r="D61" s="45" t="n"/>
      <c r="E61" s="45" t="n"/>
      <c r="F61" s="45" t="n"/>
      <c r="G61" s="45" t="n"/>
      <c r="H61" s="43" t="n"/>
      <c r="I61" s="45" t="n"/>
      <c r="J61" s="43" t="n">
        <v>454776032834</v>
      </c>
      <c r="K61" s="44" t="n">
        <v>45825</v>
      </c>
      <c r="L61" s="44" t="n">
        <v>45831</v>
      </c>
      <c r="M61" s="45" t="inlineStr">
        <is>
          <t>No</t>
        </is>
      </c>
      <c r="N61" s="45" t="inlineStr">
        <is>
          <t>1 HBL</t>
        </is>
      </c>
      <c r="O61" s="45" t="n"/>
      <c r="P61" s="45" t="inlineStr">
        <is>
          <t>LW</t>
        </is>
      </c>
      <c r="Q61" s="44" t="n">
        <v>45824</v>
      </c>
      <c r="R61" s="45" t="n">
        <v>1</v>
      </c>
      <c r="S61" s="44" t="n">
        <v>45826</v>
      </c>
    </row>
    <row r="62" ht="12.75" customHeight="1">
      <c r="A62" s="45" t="n"/>
      <c r="B62" s="45" t="n"/>
      <c r="C62" s="45" t="n"/>
      <c r="D62" s="45" t="n"/>
      <c r="E62" s="45" t="n"/>
      <c r="F62" s="45" t="n"/>
      <c r="G62" s="45" t="n"/>
      <c r="H62" s="43" t="n"/>
      <c r="I62" s="44" t="inlineStr">
        <is>
          <t>MAS Fabrics (Pvt) Ltd Intimo</t>
        </is>
      </c>
      <c r="J62" s="43" t="n">
        <v>454698451345</v>
      </c>
      <c r="K62" s="44" t="n">
        <v>45825</v>
      </c>
      <c r="L62" s="44" t="n">
        <v>45831</v>
      </c>
      <c r="M62" s="45" t="inlineStr">
        <is>
          <t>No</t>
        </is>
      </c>
      <c r="N62" s="45" t="inlineStr">
        <is>
          <t>1 HBL</t>
        </is>
      </c>
      <c r="O62" s="45" t="n"/>
      <c r="P62" s="45" t="inlineStr">
        <is>
          <t>LW</t>
        </is>
      </c>
      <c r="Q62" s="44" t="n">
        <v>45824</v>
      </c>
      <c r="R62" s="45" t="n">
        <v>1</v>
      </c>
      <c r="S62" s="44" t="n">
        <v>45826</v>
      </c>
    </row>
    <row r="63" ht="12.75" customHeight="1">
      <c r="A63" s="45" t="n"/>
      <c r="B63" s="45" t="n"/>
      <c r="C63" s="45" t="n"/>
      <c r="D63" s="45" t="n"/>
      <c r="E63" s="45" t="n"/>
      <c r="F63" s="45" t="n"/>
      <c r="G63" s="45" t="n"/>
      <c r="H63" s="43" t="n"/>
      <c r="I63" s="45" t="n"/>
      <c r="J63" s="43" t="n">
        <v>454698628078</v>
      </c>
      <c r="K63" s="44" t="n">
        <v>45825</v>
      </c>
      <c r="L63" s="44" t="n">
        <v>45831</v>
      </c>
      <c r="M63" s="45" t="inlineStr">
        <is>
          <t>No</t>
        </is>
      </c>
      <c r="N63" s="45" t="inlineStr">
        <is>
          <t>1 HBL</t>
        </is>
      </c>
      <c r="O63" s="45" t="n"/>
      <c r="P63" s="45" t="inlineStr">
        <is>
          <t>LW</t>
        </is>
      </c>
      <c r="Q63" s="44" t="n">
        <v>45824</v>
      </c>
      <c r="R63" s="45" t="n">
        <v>1</v>
      </c>
      <c r="S63" s="44" t="n">
        <v>45826</v>
      </c>
    </row>
    <row r="64" ht="12.75" customHeight="1">
      <c r="A64" s="45" t="n"/>
      <c r="B64" s="45" t="n"/>
      <c r="C64" s="45" t="n"/>
      <c r="D64" s="45" t="n"/>
      <c r="E64" s="45" t="n"/>
      <c r="F64" s="45" t="n"/>
      <c r="G64" s="45" t="n"/>
      <c r="H64" s="43" t="n"/>
      <c r="I64" s="44" t="inlineStr">
        <is>
          <t>Quantum Clothing Lanka (Pvt) Ltd</t>
        </is>
      </c>
      <c r="J64" s="43" t="n">
        <v>452032527956</v>
      </c>
      <c r="K64" s="44" t="n">
        <v>45825</v>
      </c>
      <c r="L64" s="44" t="n">
        <v>45831</v>
      </c>
      <c r="M64" s="45" t="inlineStr">
        <is>
          <t>No</t>
        </is>
      </c>
      <c r="N64" s="45" t="inlineStr">
        <is>
          <t>1 HBL</t>
        </is>
      </c>
      <c r="O64" s="45" t="n"/>
      <c r="P64" s="45" t="inlineStr">
        <is>
          <t>LW</t>
        </is>
      </c>
      <c r="Q64" s="44" t="n">
        <v>45824</v>
      </c>
      <c r="R64" s="45" t="n">
        <v>65</v>
      </c>
      <c r="S64" s="44" t="n">
        <v>45826</v>
      </c>
    </row>
    <row r="65" ht="12.75" customHeight="1">
      <c r="A65" s="45" t="n"/>
      <c r="B65" s="45" t="n"/>
      <c r="C65" s="45" t="n"/>
      <c r="D65" s="45" t="n"/>
      <c r="E65" s="45" t="n"/>
      <c r="F65" s="45" t="n"/>
      <c r="G65" s="45" t="n"/>
      <c r="H65" s="43" t="n"/>
      <c r="I65" s="45" t="n"/>
      <c r="J65" s="43" t="n">
        <v>452036246851</v>
      </c>
      <c r="K65" s="44" t="n">
        <v>45825</v>
      </c>
      <c r="L65" s="44" t="n">
        <v>45831</v>
      </c>
      <c r="M65" s="45" t="inlineStr">
        <is>
          <t>No</t>
        </is>
      </c>
      <c r="N65" s="45" t="inlineStr">
        <is>
          <t>1 HBL</t>
        </is>
      </c>
      <c r="O65" s="45" t="n"/>
      <c r="P65" s="45" t="inlineStr">
        <is>
          <t>LW</t>
        </is>
      </c>
      <c r="Q65" s="44" t="n">
        <v>45824</v>
      </c>
      <c r="R65" s="45" t="n">
        <v>5</v>
      </c>
      <c r="S65" s="44" t="n">
        <v>45826</v>
      </c>
    </row>
    <row r="66" ht="12.75" customHeight="1">
      <c r="A66" s="45" t="n"/>
      <c r="B66" s="45" t="n"/>
      <c r="C66" s="45" t="n"/>
      <c r="D66" s="45" t="n"/>
      <c r="E66" s="45" t="n"/>
      <c r="F66" s="45" t="n"/>
      <c r="G66" s="45" t="n"/>
      <c r="H66" s="43" t="n"/>
      <c r="I66" s="45" t="n"/>
      <c r="J66" s="43" t="n">
        <v>452093818718</v>
      </c>
      <c r="K66" s="44" t="n">
        <v>45825</v>
      </c>
      <c r="L66" s="44" t="n">
        <v>45831</v>
      </c>
      <c r="M66" s="45" t="inlineStr">
        <is>
          <t>No</t>
        </is>
      </c>
      <c r="N66" s="45" t="inlineStr">
        <is>
          <t>1 HBL</t>
        </is>
      </c>
      <c r="O66" s="45" t="n"/>
      <c r="P66" s="45" t="inlineStr">
        <is>
          <t>LW</t>
        </is>
      </c>
      <c r="Q66" s="44" t="n">
        <v>45824</v>
      </c>
      <c r="R66" s="45" t="n">
        <v>1</v>
      </c>
      <c r="S66" s="44" t="n">
        <v>45826</v>
      </c>
    </row>
    <row r="67" ht="12.75" customHeight="1">
      <c r="A67" s="45" t="n"/>
      <c r="B67" s="45" t="inlineStr">
        <is>
          <t>B. 1 x 20ft Total</t>
        </is>
      </c>
      <c r="C67" s="45" t="n"/>
      <c r="D67" s="45" t="n"/>
      <c r="E67" s="45" t="n"/>
      <c r="F67" s="45" t="n"/>
      <c r="G67" s="45" t="n"/>
      <c r="H67" s="43" t="n"/>
      <c r="I67" s="45" t="n"/>
      <c r="J67" s="45" t="n"/>
      <c r="K67" s="45" t="n"/>
      <c r="L67" s="45" t="n"/>
      <c r="M67" s="45" t="n"/>
      <c r="N67" s="45" t="n"/>
      <c r="O67" s="45" t="n"/>
      <c r="P67" s="45" t="n"/>
      <c r="Q67" s="44" t="n">
        <v>1558016</v>
      </c>
      <c r="R67" s="45" t="n">
        <v>195</v>
      </c>
      <c r="S67" s="44" t="n">
        <v>1558084</v>
      </c>
    </row>
    <row r="68" ht="12.75" customHeight="1">
      <c r="A68" s="45" t="n"/>
      <c r="B68" s="45" t="inlineStr">
        <is>
          <t>C. 1 x 40HC</t>
        </is>
      </c>
      <c r="C68" s="45" t="inlineStr">
        <is>
          <t>New York, NY, US</t>
        </is>
      </c>
      <c r="D68" s="45" t="inlineStr">
        <is>
          <t>Milton, ON, CA</t>
        </is>
      </c>
      <c r="E68" s="45" t="inlineStr">
        <is>
          <t>CFS/CY</t>
        </is>
      </c>
      <c r="F68" s="45" t="inlineStr">
        <is>
          <t>OCEAN</t>
        </is>
      </c>
      <c r="G68" s="45" t="n">
        <v>-14</v>
      </c>
      <c r="H68" s="43" t="n"/>
      <c r="I68" s="44" t="inlineStr">
        <is>
          <t>MAS Active (Pvt) Ltd – Sleekline</t>
        </is>
      </c>
      <c r="J68" s="43" t="n">
        <v>452835957463</v>
      </c>
      <c r="K68" s="44" t="n">
        <v>45825</v>
      </c>
      <c r="L68" s="44" t="n">
        <v>45832</v>
      </c>
      <c r="M68" s="45" t="inlineStr">
        <is>
          <t>No</t>
        </is>
      </c>
      <c r="N68" s="45" t="inlineStr">
        <is>
          <t>1 HBL</t>
        </is>
      </c>
      <c r="O68" s="45" t="n"/>
      <c r="P68" s="45" t="inlineStr">
        <is>
          <t>LW</t>
        </is>
      </c>
      <c r="Q68" s="44" t="n">
        <v>45824</v>
      </c>
      <c r="R68" s="45" t="n">
        <v>2</v>
      </c>
      <c r="S68" s="44" t="n">
        <v>45826</v>
      </c>
    </row>
    <row r="69" ht="12.75" customHeight="1">
      <c r="A69" s="45" t="n"/>
      <c r="B69" s="45" t="n"/>
      <c r="C69" s="45" t="n"/>
      <c r="D69" s="45" t="n"/>
      <c r="E69" s="45" t="n"/>
      <c r="F69" s="45" t="n"/>
      <c r="G69" s="45" t="n">
        <v>-9</v>
      </c>
      <c r="H69" s="43" t="n"/>
      <c r="I69" s="44" t="inlineStr">
        <is>
          <t>Bodyline (Private) Limited</t>
        </is>
      </c>
      <c r="J69" s="43" t="n">
        <v>452711175976</v>
      </c>
      <c r="K69" s="44" t="n">
        <v>45825</v>
      </c>
      <c r="L69" s="44" t="n">
        <v>45832</v>
      </c>
      <c r="M69" s="45" t="inlineStr">
        <is>
          <t>No</t>
        </is>
      </c>
      <c r="N69" s="45" t="inlineStr">
        <is>
          <t>1 HBL</t>
        </is>
      </c>
      <c r="O69" s="45" t="n"/>
      <c r="P69" s="45" t="inlineStr">
        <is>
          <t>LW</t>
        </is>
      </c>
      <c r="Q69" s="44" t="n">
        <v>45824</v>
      </c>
      <c r="R69" s="45" t="n">
        <v>4</v>
      </c>
      <c r="S69" s="44" t="n">
        <v>45826</v>
      </c>
    </row>
    <row r="70" ht="12.75" customHeight="1">
      <c r="A70" s="45" t="n"/>
      <c r="B70" s="45" t="n"/>
      <c r="C70" s="45" t="n"/>
      <c r="D70" s="45" t="n"/>
      <c r="E70" s="45" t="n"/>
      <c r="F70" s="45" t="n"/>
      <c r="G70" s="45" t="n"/>
      <c r="H70" s="43" t="n"/>
      <c r="I70" s="45" t="n"/>
      <c r="J70" s="43" t="n">
        <v>452736545832</v>
      </c>
      <c r="K70" s="44" t="n">
        <v>45825</v>
      </c>
      <c r="L70" s="44" t="n">
        <v>45832</v>
      </c>
      <c r="M70" s="45" t="inlineStr">
        <is>
          <t>No</t>
        </is>
      </c>
      <c r="N70" s="45" t="inlineStr">
        <is>
          <t>1 HBL</t>
        </is>
      </c>
      <c r="O70" s="45" t="n"/>
      <c r="P70" s="45" t="inlineStr">
        <is>
          <t>LW</t>
        </is>
      </c>
      <c r="Q70" s="44" t="n">
        <v>45824</v>
      </c>
      <c r="R70" s="45" t="n">
        <v>4</v>
      </c>
      <c r="S70" s="44" t="n">
        <v>45826</v>
      </c>
    </row>
    <row r="71" ht="12.75" customHeight="1">
      <c r="A71" s="45" t="n"/>
      <c r="B71" s="45" t="n"/>
      <c r="C71" s="45" t="n"/>
      <c r="D71" s="45" t="n"/>
      <c r="E71" s="45" t="n"/>
      <c r="F71" s="45" t="n"/>
      <c r="G71" s="45" t="n"/>
      <c r="H71" s="43" t="n"/>
      <c r="I71" s="45" t="n"/>
      <c r="J71" s="43" t="n">
        <v>452740193438</v>
      </c>
      <c r="K71" s="44" t="n">
        <v>45825</v>
      </c>
      <c r="L71" s="44" t="n">
        <v>45832</v>
      </c>
      <c r="M71" s="45" t="inlineStr">
        <is>
          <t>No</t>
        </is>
      </c>
      <c r="N71" s="45" t="inlineStr">
        <is>
          <t>1 HBL</t>
        </is>
      </c>
      <c r="O71" s="45" t="n"/>
      <c r="P71" s="45" t="inlineStr">
        <is>
          <t>LW</t>
        </is>
      </c>
      <c r="Q71" s="44" t="n">
        <v>45824</v>
      </c>
      <c r="R71" s="45" t="n">
        <v>11</v>
      </c>
      <c r="S71" s="44" t="n">
        <v>45826</v>
      </c>
    </row>
    <row r="72" ht="12.75" customHeight="1">
      <c r="A72" s="45" t="n"/>
      <c r="B72" s="45" t="n"/>
      <c r="C72" s="45" t="n"/>
      <c r="D72" s="45" t="n"/>
      <c r="E72" s="45" t="n"/>
      <c r="F72" s="45" t="n"/>
      <c r="G72" s="45" t="n"/>
      <c r="H72" s="43" t="n"/>
      <c r="I72" s="45" t="n"/>
      <c r="J72" s="43" t="n">
        <v>452744631950</v>
      </c>
      <c r="K72" s="44" t="n">
        <v>45825</v>
      </c>
      <c r="L72" s="44" t="n">
        <v>45832</v>
      </c>
      <c r="M72" s="45" t="inlineStr">
        <is>
          <t>No</t>
        </is>
      </c>
      <c r="N72" s="45" t="inlineStr">
        <is>
          <t>1 HBL</t>
        </is>
      </c>
      <c r="O72" s="45" t="n"/>
      <c r="P72" s="45" t="inlineStr">
        <is>
          <t>LW</t>
        </is>
      </c>
      <c r="Q72" s="44" t="n">
        <v>45824</v>
      </c>
      <c r="R72" s="45" t="n">
        <v>3</v>
      </c>
      <c r="S72" s="44" t="n">
        <v>45826</v>
      </c>
    </row>
    <row r="73" ht="12.75" customHeight="1">
      <c r="A73" s="45" t="n"/>
      <c r="B73" s="45" t="n"/>
      <c r="C73" s="45" t="n"/>
      <c r="D73" s="45" t="n"/>
      <c r="E73" s="45" t="n"/>
      <c r="F73" s="45" t="n"/>
      <c r="G73" s="45" t="n"/>
      <c r="H73" s="43" t="n"/>
      <c r="I73" s="45" t="n"/>
      <c r="J73" s="43" t="n">
        <v>452745107166</v>
      </c>
      <c r="K73" s="44" t="n">
        <v>45825</v>
      </c>
      <c r="L73" s="44" t="n">
        <v>45832</v>
      </c>
      <c r="M73" s="45" t="inlineStr">
        <is>
          <t>No</t>
        </is>
      </c>
      <c r="N73" s="45" t="inlineStr">
        <is>
          <t>1 HBL</t>
        </is>
      </c>
      <c r="O73" s="45" t="n"/>
      <c r="P73" s="45" t="inlineStr">
        <is>
          <t>LW</t>
        </is>
      </c>
      <c r="Q73" s="44" t="n">
        <v>45824</v>
      </c>
      <c r="R73" s="45" t="n">
        <v>3</v>
      </c>
      <c r="S73" s="44" t="n">
        <v>45826</v>
      </c>
    </row>
    <row r="74" ht="12.75" customHeight="1">
      <c r="A74" s="45" t="n"/>
      <c r="B74" s="45" t="n"/>
      <c r="C74" s="45" t="n"/>
      <c r="D74" s="45" t="n"/>
      <c r="E74" s="45" t="n"/>
      <c r="F74" s="45" t="n"/>
      <c r="G74" s="45" t="n"/>
      <c r="H74" s="43" t="n"/>
      <c r="I74" s="45" t="n"/>
      <c r="J74" s="43" t="n">
        <v>452749827433</v>
      </c>
      <c r="K74" s="44" t="n">
        <v>45825</v>
      </c>
      <c r="L74" s="44" t="n">
        <v>45832</v>
      </c>
      <c r="M74" s="45" t="inlineStr">
        <is>
          <t>No</t>
        </is>
      </c>
      <c r="N74" s="45" t="inlineStr">
        <is>
          <t>1 HBL</t>
        </is>
      </c>
      <c r="O74" s="45" t="n"/>
      <c r="P74" s="45" t="inlineStr">
        <is>
          <t>LW</t>
        </is>
      </c>
      <c r="Q74" s="44" t="n">
        <v>45824</v>
      </c>
      <c r="R74" s="45" t="n">
        <v>2</v>
      </c>
      <c r="S74" s="44" t="n">
        <v>45826</v>
      </c>
    </row>
    <row r="75" ht="12.75" customHeight="1">
      <c r="A75" s="45" t="n"/>
      <c r="B75" s="45" t="n"/>
      <c r="C75" s="45" t="n"/>
      <c r="D75" s="45" t="n"/>
      <c r="E75" s="45" t="n"/>
      <c r="F75" s="45" t="n"/>
      <c r="G75" s="45" t="n"/>
      <c r="H75" s="43" t="n"/>
      <c r="I75" s="45" t="n"/>
      <c r="J75" s="43" t="n">
        <v>452752403390</v>
      </c>
      <c r="K75" s="44" t="n">
        <v>45825</v>
      </c>
      <c r="L75" s="44" t="n">
        <v>45832</v>
      </c>
      <c r="M75" s="45" t="inlineStr">
        <is>
          <t>No</t>
        </is>
      </c>
      <c r="N75" s="45" t="inlineStr">
        <is>
          <t>1 HBL</t>
        </is>
      </c>
      <c r="O75" s="45" t="n"/>
      <c r="P75" s="45" t="inlineStr">
        <is>
          <t>LW</t>
        </is>
      </c>
      <c r="Q75" s="44" t="n">
        <v>45824</v>
      </c>
      <c r="R75" s="45" t="n">
        <v>2</v>
      </c>
      <c r="S75" s="44" t="n">
        <v>45826</v>
      </c>
    </row>
    <row r="76" ht="12.75" customHeight="1">
      <c r="A76" s="45" t="n"/>
      <c r="B76" s="45" t="n"/>
      <c r="C76" s="45" t="n"/>
      <c r="D76" s="45" t="n"/>
      <c r="E76" s="45" t="n"/>
      <c r="F76" s="45" t="n"/>
      <c r="G76" s="45" t="n"/>
      <c r="H76" s="43" t="n"/>
      <c r="I76" s="45" t="n"/>
      <c r="J76" s="43" t="n">
        <v>452759324840</v>
      </c>
      <c r="K76" s="44" t="n">
        <v>45825</v>
      </c>
      <c r="L76" s="44" t="n">
        <v>45832</v>
      </c>
      <c r="M76" s="45" t="inlineStr">
        <is>
          <t>No</t>
        </is>
      </c>
      <c r="N76" s="45" t="inlineStr">
        <is>
          <t>1 HBL</t>
        </is>
      </c>
      <c r="O76" s="45" t="n"/>
      <c r="P76" s="45" t="inlineStr">
        <is>
          <t>LW</t>
        </is>
      </c>
      <c r="Q76" s="44" t="n">
        <v>45824</v>
      </c>
      <c r="R76" s="45" t="n">
        <v>2</v>
      </c>
      <c r="S76" s="44" t="n">
        <v>45826</v>
      </c>
    </row>
    <row r="77" ht="12.75" customHeight="1">
      <c r="A77" s="45" t="n"/>
      <c r="B77" s="45" t="n"/>
      <c r="C77" s="45" t="n"/>
      <c r="D77" s="45" t="n"/>
      <c r="E77" s="45" t="n"/>
      <c r="F77" s="45" t="n"/>
      <c r="G77" s="45" t="n"/>
      <c r="H77" s="43" t="n"/>
      <c r="I77" s="45" t="n"/>
      <c r="J77" s="43" t="n">
        <v>452767134024</v>
      </c>
      <c r="K77" s="44" t="n">
        <v>45825</v>
      </c>
      <c r="L77" s="44" t="n">
        <v>45832</v>
      </c>
      <c r="M77" s="45" t="inlineStr">
        <is>
          <t>No</t>
        </is>
      </c>
      <c r="N77" s="45" t="inlineStr">
        <is>
          <t>1 HBL</t>
        </is>
      </c>
      <c r="O77" s="45" t="n"/>
      <c r="P77" s="45" t="inlineStr">
        <is>
          <t>LW</t>
        </is>
      </c>
      <c r="Q77" s="44" t="n">
        <v>45824</v>
      </c>
      <c r="R77" s="45" t="n">
        <v>3</v>
      </c>
      <c r="S77" s="44" t="n">
        <v>45826</v>
      </c>
    </row>
    <row r="78" ht="12.75" customHeight="1">
      <c r="A78" s="45" t="n"/>
      <c r="B78" s="45" t="n"/>
      <c r="C78" s="45" t="n"/>
      <c r="D78" s="45" t="n"/>
      <c r="E78" s="45" t="n"/>
      <c r="F78" s="45" t="n"/>
      <c r="G78" s="45" t="n"/>
      <c r="H78" s="43" t="n"/>
      <c r="I78" s="45" t="n"/>
      <c r="J78" s="43" t="n">
        <v>452775582660</v>
      </c>
      <c r="K78" s="44" t="n">
        <v>45825</v>
      </c>
      <c r="L78" s="44" t="n">
        <v>45832</v>
      </c>
      <c r="M78" s="45" t="inlineStr">
        <is>
          <t>No</t>
        </is>
      </c>
      <c r="N78" s="45" t="inlineStr">
        <is>
          <t>1 HBL</t>
        </is>
      </c>
      <c r="O78" s="45" t="n"/>
      <c r="P78" s="45" t="inlineStr">
        <is>
          <t>LW</t>
        </is>
      </c>
      <c r="Q78" s="44" t="n">
        <v>45824</v>
      </c>
      <c r="R78" s="45" t="n">
        <v>3</v>
      </c>
      <c r="S78" s="44" t="n">
        <v>45826</v>
      </c>
    </row>
    <row r="79" ht="12.75" customHeight="1">
      <c r="A79" s="45" t="n"/>
      <c r="B79" s="45" t="n"/>
      <c r="C79" s="45" t="n"/>
      <c r="D79" s="45" t="n"/>
      <c r="E79" s="45" t="n"/>
      <c r="F79" s="45" t="n"/>
      <c r="G79" s="45" t="n"/>
      <c r="H79" s="43" t="n"/>
      <c r="I79" s="45" t="n"/>
      <c r="J79" s="43" t="n">
        <v>452850728949</v>
      </c>
      <c r="K79" s="44" t="n">
        <v>45825</v>
      </c>
      <c r="L79" s="44" t="n">
        <v>45832</v>
      </c>
      <c r="M79" s="45" t="inlineStr">
        <is>
          <t>No</t>
        </is>
      </c>
      <c r="N79" s="45" t="inlineStr">
        <is>
          <t>1 HBL</t>
        </is>
      </c>
      <c r="O79" s="45" t="n"/>
      <c r="P79" s="45" t="inlineStr">
        <is>
          <t>LW</t>
        </is>
      </c>
      <c r="Q79" s="44" t="n">
        <v>45824</v>
      </c>
      <c r="R79" s="45" t="n">
        <v>3</v>
      </c>
      <c r="S79" s="44" t="n">
        <v>45826</v>
      </c>
    </row>
    <row r="80" ht="12.75" customHeight="1">
      <c r="A80" s="45" t="n"/>
      <c r="B80" s="45" t="n"/>
      <c r="C80" s="45" t="n"/>
      <c r="D80" s="45" t="n"/>
      <c r="E80" s="45" t="n"/>
      <c r="F80" s="45" t="n"/>
      <c r="G80" s="45" t="n"/>
      <c r="H80" s="43" t="n"/>
      <c r="I80" s="44" t="inlineStr">
        <is>
          <t>BRANDIX APPAREL SOLUTION LTD - GIRITALE</t>
        </is>
      </c>
      <c r="J80" s="43" t="n">
        <v>452516737431</v>
      </c>
      <c r="K80" s="44" t="n">
        <v>45825</v>
      </c>
      <c r="L80" s="44" t="n">
        <v>45832</v>
      </c>
      <c r="M80" s="45" t="inlineStr">
        <is>
          <t>No</t>
        </is>
      </c>
      <c r="N80" s="45" t="inlineStr">
        <is>
          <t>1 HBL</t>
        </is>
      </c>
      <c r="O80" s="45" t="n"/>
      <c r="P80" s="45" t="inlineStr">
        <is>
          <t>LW</t>
        </is>
      </c>
      <c r="Q80" s="44" t="n">
        <v>45824</v>
      </c>
      <c r="R80" s="45" t="n">
        <v>26</v>
      </c>
      <c r="S80" s="44" t="n">
        <v>45826</v>
      </c>
    </row>
    <row r="81" ht="12.75" customHeight="1">
      <c r="A81" s="45" t="n"/>
      <c r="B81" s="45" t="n"/>
      <c r="C81" s="45" t="n"/>
      <c r="D81" s="45" t="n"/>
      <c r="E81" s="45" t="n"/>
      <c r="F81" s="45" t="n"/>
      <c r="G81" s="45" t="n"/>
      <c r="H81" s="43" t="n"/>
      <c r="I81" s="45" t="n"/>
      <c r="J81" s="43" t="n">
        <v>452517477928</v>
      </c>
      <c r="K81" s="44" t="n">
        <v>45825</v>
      </c>
      <c r="L81" s="44" t="n">
        <v>45832</v>
      </c>
      <c r="M81" s="45" t="inlineStr">
        <is>
          <t>No</t>
        </is>
      </c>
      <c r="N81" s="45" t="inlineStr">
        <is>
          <t>1 HBL</t>
        </is>
      </c>
      <c r="O81" s="45" t="n"/>
      <c r="P81" s="45" t="inlineStr">
        <is>
          <t>LW</t>
        </is>
      </c>
      <c r="Q81" s="44" t="n">
        <v>45824</v>
      </c>
      <c r="R81" s="45" t="n">
        <v>21</v>
      </c>
      <c r="S81" s="44" t="n">
        <v>45826</v>
      </c>
    </row>
    <row r="82" ht="12.75" customHeight="1">
      <c r="A82" s="45" t="n"/>
      <c r="B82" s="45" t="n"/>
      <c r="C82" s="45" t="n"/>
      <c r="D82" s="45" t="n"/>
      <c r="E82" s="45" t="n"/>
      <c r="F82" s="45" t="n"/>
      <c r="G82" s="45" t="n"/>
      <c r="H82" s="43" t="n"/>
      <c r="I82" s="44" t="inlineStr">
        <is>
          <t>Brandix Apparel Solutions Limited - Minuwangoda</t>
        </is>
      </c>
      <c r="J82" s="43" t="n">
        <v>452016338555</v>
      </c>
      <c r="K82" s="44" t="n">
        <v>45825</v>
      </c>
      <c r="L82" s="44" t="n">
        <v>45832</v>
      </c>
      <c r="M82" s="45" t="inlineStr">
        <is>
          <t>No</t>
        </is>
      </c>
      <c r="N82" s="45" t="inlineStr">
        <is>
          <t>1 HBL</t>
        </is>
      </c>
      <c r="O82" s="45" t="n"/>
      <c r="P82" s="45" t="inlineStr">
        <is>
          <t>LW</t>
        </is>
      </c>
      <c r="Q82" s="44" t="n">
        <v>45824</v>
      </c>
      <c r="R82" s="45" t="n">
        <v>13</v>
      </c>
      <c r="S82" s="44" t="n">
        <v>45826</v>
      </c>
    </row>
    <row r="83" ht="12.75" customHeight="1">
      <c r="A83" s="45" t="n"/>
      <c r="B83" s="45" t="n"/>
      <c r="C83" s="45" t="n"/>
      <c r="D83" s="45" t="n"/>
      <c r="E83" s="45" t="n"/>
      <c r="F83" s="45" t="n"/>
      <c r="G83" s="45" t="n"/>
      <c r="H83" s="43" t="n"/>
      <c r="I83" s="45" t="n"/>
      <c r="J83" s="43" t="n">
        <v>452017063440</v>
      </c>
      <c r="K83" s="44" t="n">
        <v>45825</v>
      </c>
      <c r="L83" s="44" t="n">
        <v>45832</v>
      </c>
      <c r="M83" s="45" t="inlineStr">
        <is>
          <t>No</t>
        </is>
      </c>
      <c r="N83" s="45" t="inlineStr">
        <is>
          <t>1 HBL</t>
        </is>
      </c>
      <c r="O83" s="45" t="n"/>
      <c r="P83" s="45" t="inlineStr">
        <is>
          <t>LW</t>
        </is>
      </c>
      <c r="Q83" s="44" t="n">
        <v>45824</v>
      </c>
      <c r="R83" s="45" t="n">
        <v>28</v>
      </c>
      <c r="S83" s="44" t="n">
        <v>45826</v>
      </c>
    </row>
    <row r="84" ht="12.75" customHeight="1">
      <c r="A84" s="45" t="n"/>
      <c r="B84" s="45" t="n"/>
      <c r="C84" s="45" t="n"/>
      <c r="D84" s="45" t="n"/>
      <c r="E84" s="45" t="n"/>
      <c r="F84" s="45" t="n"/>
      <c r="G84" s="45" t="n"/>
      <c r="H84" s="43" t="n"/>
      <c r="I84" s="45" t="n"/>
      <c r="J84" s="43" t="n">
        <v>452521447192</v>
      </c>
      <c r="K84" s="44" t="n">
        <v>45825</v>
      </c>
      <c r="L84" s="44" t="n">
        <v>45832</v>
      </c>
      <c r="M84" s="45" t="inlineStr">
        <is>
          <t>No</t>
        </is>
      </c>
      <c r="N84" s="45" t="inlineStr">
        <is>
          <t>1 HBL</t>
        </is>
      </c>
      <c r="O84" s="45" t="n"/>
      <c r="P84" s="45" t="inlineStr">
        <is>
          <t>LW</t>
        </is>
      </c>
      <c r="Q84" s="44" t="n">
        <v>45824</v>
      </c>
      <c r="R84" s="45" t="n">
        <v>21</v>
      </c>
      <c r="S84" s="44" t="n">
        <v>45826</v>
      </c>
    </row>
    <row r="85" ht="12.75" customHeight="1">
      <c r="A85" s="45" t="n"/>
      <c r="B85" s="45" t="n"/>
      <c r="C85" s="45" t="n"/>
      <c r="D85" s="45" t="n"/>
      <c r="E85" s="45" t="n"/>
      <c r="F85" s="45" t="n"/>
      <c r="G85" s="45" t="n"/>
      <c r="H85" s="43" t="n"/>
      <c r="I85" s="44" t="inlineStr">
        <is>
          <t>MAS Active (Pvt) Ltd – Shadowline</t>
        </is>
      </c>
      <c r="J85" s="43" t="n">
        <v>452924604893</v>
      </c>
      <c r="K85" s="44" t="n">
        <v>45825</v>
      </c>
      <c r="L85" s="44" t="n">
        <v>45832</v>
      </c>
      <c r="M85" s="45" t="inlineStr">
        <is>
          <t>No</t>
        </is>
      </c>
      <c r="N85" s="45" t="inlineStr">
        <is>
          <t>1 HBL</t>
        </is>
      </c>
      <c r="O85" s="45" t="n"/>
      <c r="P85" s="45" t="inlineStr">
        <is>
          <t>LW</t>
        </is>
      </c>
      <c r="Q85" s="44" t="n">
        <v>45824</v>
      </c>
      <c r="R85" s="45" t="n">
        <v>2</v>
      </c>
      <c r="S85" s="44" t="n">
        <v>45826</v>
      </c>
    </row>
    <row r="86" ht="12.75" customHeight="1">
      <c r="A86" s="45" t="n"/>
      <c r="B86" s="45" t="n"/>
      <c r="C86" s="45" t="n"/>
      <c r="D86" s="45" t="n"/>
      <c r="E86" s="45" t="n"/>
      <c r="F86" s="45" t="n"/>
      <c r="G86" s="45" t="n"/>
      <c r="H86" s="43" t="n"/>
      <c r="I86" s="44" t="inlineStr">
        <is>
          <t>MAS Active (Pvt) Ltd – Sleekline</t>
        </is>
      </c>
      <c r="J86" s="43" t="n">
        <v>452834851376</v>
      </c>
      <c r="K86" s="44" t="n">
        <v>45825</v>
      </c>
      <c r="L86" s="44" t="n">
        <v>45832</v>
      </c>
      <c r="M86" s="45" t="inlineStr">
        <is>
          <t>No</t>
        </is>
      </c>
      <c r="N86" s="45" t="inlineStr">
        <is>
          <t>1 HBL</t>
        </is>
      </c>
      <c r="O86" s="45" t="n"/>
      <c r="P86" s="45" t="inlineStr">
        <is>
          <t>LW</t>
        </is>
      </c>
      <c r="Q86" s="44" t="n">
        <v>45824</v>
      </c>
      <c r="R86" s="45" t="n">
        <v>7</v>
      </c>
      <c r="S86" s="44" t="n">
        <v>45826</v>
      </c>
    </row>
    <row r="87" ht="12.75" customHeight="1">
      <c r="A87" s="45" t="n"/>
      <c r="B87" s="45" t="n"/>
      <c r="C87" s="45" t="n"/>
      <c r="D87" s="45" t="n"/>
      <c r="E87" s="45" t="n"/>
      <c r="F87" s="45" t="n"/>
      <c r="G87" s="45" t="n"/>
      <c r="H87" s="43" t="n"/>
      <c r="I87" s="45" t="n"/>
      <c r="J87" s="43" t="n">
        <v>452835956203</v>
      </c>
      <c r="K87" s="44" t="n">
        <v>45825</v>
      </c>
      <c r="L87" s="44" t="n">
        <v>45832</v>
      </c>
      <c r="M87" s="45" t="inlineStr">
        <is>
          <t>No</t>
        </is>
      </c>
      <c r="N87" s="45" t="inlineStr">
        <is>
          <t>1 HBL</t>
        </is>
      </c>
      <c r="O87" s="45" t="n"/>
      <c r="P87" s="45" t="inlineStr">
        <is>
          <t>LW</t>
        </is>
      </c>
      <c r="Q87" s="44" t="n">
        <v>45824</v>
      </c>
      <c r="R87" s="45" t="n">
        <v>3</v>
      </c>
      <c r="S87" s="44" t="n">
        <v>45826</v>
      </c>
    </row>
    <row r="88" ht="12.75" customHeight="1">
      <c r="A88" s="45" t="n"/>
      <c r="B88" s="45" t="n"/>
      <c r="C88" s="45" t="n"/>
      <c r="D88" s="45" t="n"/>
      <c r="E88" s="45" t="n"/>
      <c r="F88" s="45" t="n"/>
      <c r="G88" s="45" t="n"/>
      <c r="H88" s="43" t="n"/>
      <c r="I88" s="45" t="n"/>
      <c r="J88" s="43" t="n">
        <v>452837963387</v>
      </c>
      <c r="K88" s="44" t="n">
        <v>45825</v>
      </c>
      <c r="L88" s="44" t="n">
        <v>45832</v>
      </c>
      <c r="M88" s="45" t="inlineStr">
        <is>
          <t>No</t>
        </is>
      </c>
      <c r="N88" s="45" t="inlineStr">
        <is>
          <t>1 HBL</t>
        </is>
      </c>
      <c r="O88" s="45" t="n"/>
      <c r="P88" s="45" t="inlineStr">
        <is>
          <t>LW</t>
        </is>
      </c>
      <c r="Q88" s="44" t="n">
        <v>45824</v>
      </c>
      <c r="R88" s="45" t="n">
        <v>16</v>
      </c>
      <c r="S88" s="44" t="n">
        <v>45826</v>
      </c>
    </row>
    <row r="89" ht="12.75" customHeight="1">
      <c r="A89" s="45" t="n"/>
      <c r="B89" s="45" t="n"/>
      <c r="C89" s="45" t="n"/>
      <c r="D89" s="45" t="n"/>
      <c r="E89" s="45" t="n"/>
      <c r="F89" s="45" t="n"/>
      <c r="G89" s="45" t="n"/>
      <c r="H89" s="43" t="n"/>
      <c r="I89" s="45" t="n"/>
      <c r="J89" s="43" t="n">
        <v>452837963878</v>
      </c>
      <c r="K89" s="44" t="n">
        <v>45825</v>
      </c>
      <c r="L89" s="44" t="n">
        <v>45832</v>
      </c>
      <c r="M89" s="45" t="inlineStr">
        <is>
          <t>No</t>
        </is>
      </c>
      <c r="N89" s="45" t="inlineStr">
        <is>
          <t>1 HBL</t>
        </is>
      </c>
      <c r="O89" s="45" t="n"/>
      <c r="P89" s="45" t="inlineStr">
        <is>
          <t>LW</t>
        </is>
      </c>
      <c r="Q89" s="44" t="n">
        <v>45824</v>
      </c>
      <c r="R89" s="45" t="n">
        <v>6</v>
      </c>
      <c r="S89" s="44" t="n">
        <v>45826</v>
      </c>
    </row>
    <row r="90" ht="12.75" customHeight="1">
      <c r="A90" s="45" t="n"/>
      <c r="B90" s="45" t="n"/>
      <c r="C90" s="45" t="n"/>
      <c r="D90" s="45" t="n"/>
      <c r="E90" s="45" t="n"/>
      <c r="F90" s="45" t="n"/>
      <c r="G90" s="45" t="n"/>
      <c r="H90" s="43" t="n"/>
      <c r="I90" s="45" t="n"/>
      <c r="J90" s="43" t="n">
        <v>452839125735</v>
      </c>
      <c r="K90" s="44" t="n">
        <v>45825</v>
      </c>
      <c r="L90" s="44" t="n">
        <v>45832</v>
      </c>
      <c r="M90" s="45" t="inlineStr">
        <is>
          <t>No</t>
        </is>
      </c>
      <c r="N90" s="45" t="inlineStr">
        <is>
          <t>1 HBL</t>
        </is>
      </c>
      <c r="O90" s="45" t="n"/>
      <c r="P90" s="45" t="inlineStr">
        <is>
          <t>LW</t>
        </is>
      </c>
      <c r="Q90" s="44" t="n">
        <v>45824</v>
      </c>
      <c r="R90" s="45" t="n">
        <v>6</v>
      </c>
      <c r="S90" s="44" t="n">
        <v>45826</v>
      </c>
    </row>
    <row r="91" ht="12.75" customHeight="1">
      <c r="A91" s="45" t="n"/>
      <c r="B91" s="45" t="n"/>
      <c r="C91" s="45" t="n"/>
      <c r="D91" s="45" t="n"/>
      <c r="E91" s="45" t="n"/>
      <c r="F91" s="45" t="n"/>
      <c r="G91" s="45" t="n"/>
      <c r="H91" s="43" t="n"/>
      <c r="I91" s="45" t="n"/>
      <c r="J91" s="43" t="n">
        <v>452840026315</v>
      </c>
      <c r="K91" s="44" t="n">
        <v>45825</v>
      </c>
      <c r="L91" s="44" t="n">
        <v>45832</v>
      </c>
      <c r="M91" s="45" t="inlineStr">
        <is>
          <t>No</t>
        </is>
      </c>
      <c r="N91" s="45" t="inlineStr">
        <is>
          <t>1 HBL</t>
        </is>
      </c>
      <c r="O91" s="45" t="n"/>
      <c r="P91" s="45" t="inlineStr">
        <is>
          <t>LW</t>
        </is>
      </c>
      <c r="Q91" s="44" t="n">
        <v>45824</v>
      </c>
      <c r="R91" s="45" t="n">
        <v>2</v>
      </c>
      <c r="S91" s="44" t="n">
        <v>45826</v>
      </c>
    </row>
    <row r="92" ht="12.75" customHeight="1">
      <c r="A92" s="45" t="n"/>
      <c r="B92" s="45" t="n"/>
      <c r="C92" s="45" t="n"/>
      <c r="D92" s="45" t="n"/>
      <c r="E92" s="45" t="n"/>
      <c r="F92" s="45" t="n"/>
      <c r="G92" s="45" t="n"/>
      <c r="H92" s="43" t="n"/>
      <c r="I92" s="45" t="n"/>
      <c r="J92" s="43" t="n">
        <v>452841160878</v>
      </c>
      <c r="K92" s="44" t="n">
        <v>45825</v>
      </c>
      <c r="L92" s="44" t="n">
        <v>45832</v>
      </c>
      <c r="M92" s="45" t="inlineStr">
        <is>
          <t>No</t>
        </is>
      </c>
      <c r="N92" s="45" t="inlineStr">
        <is>
          <t>1 HBL</t>
        </is>
      </c>
      <c r="O92" s="45" t="n"/>
      <c r="P92" s="45" t="inlineStr">
        <is>
          <t>LW</t>
        </is>
      </c>
      <c r="Q92" s="44" t="n">
        <v>45824</v>
      </c>
      <c r="R92" s="45" t="n">
        <v>1</v>
      </c>
      <c r="S92" s="44" t="n">
        <v>45826</v>
      </c>
    </row>
    <row r="93" ht="12.75" customHeight="1">
      <c r="A93" s="45" t="n"/>
      <c r="B93" s="45" t="n"/>
      <c r="C93" s="45" t="n"/>
      <c r="D93" s="45" t="n"/>
      <c r="E93" s="45" t="n"/>
      <c r="F93" s="45" t="n"/>
      <c r="G93" s="45" t="n"/>
      <c r="H93" s="43" t="n"/>
      <c r="I93" s="45" t="n"/>
      <c r="J93" s="43" t="n">
        <v>452841941411</v>
      </c>
      <c r="K93" s="44" t="n">
        <v>45825</v>
      </c>
      <c r="L93" s="44" t="n">
        <v>45832</v>
      </c>
      <c r="M93" s="45" t="inlineStr">
        <is>
          <t>No</t>
        </is>
      </c>
      <c r="N93" s="45" t="inlineStr">
        <is>
          <t>1 HBL</t>
        </is>
      </c>
      <c r="O93" s="45" t="n"/>
      <c r="P93" s="45" t="inlineStr">
        <is>
          <t>LW</t>
        </is>
      </c>
      <c r="Q93" s="44" t="n">
        <v>45824</v>
      </c>
      <c r="R93" s="45" t="n">
        <v>5</v>
      </c>
      <c r="S93" s="44" t="n">
        <v>45826</v>
      </c>
    </row>
    <row r="94" ht="12.75" customHeight="1">
      <c r="A94" s="45" t="n"/>
      <c r="B94" s="45" t="n"/>
      <c r="C94" s="45" t="n"/>
      <c r="D94" s="45" t="n"/>
      <c r="E94" s="45" t="n"/>
      <c r="F94" s="45" t="n"/>
      <c r="G94" s="45" t="n"/>
      <c r="H94" s="43" t="n"/>
      <c r="I94" s="44" t="inlineStr">
        <is>
          <t>MAS Active(Pvt) Ltd – CONTOURLINE</t>
        </is>
      </c>
      <c r="J94" s="43" t="n">
        <v>452897742114</v>
      </c>
      <c r="K94" s="44" t="n">
        <v>45825</v>
      </c>
      <c r="L94" s="44" t="n">
        <v>45832</v>
      </c>
      <c r="M94" s="45" t="inlineStr">
        <is>
          <t>No</t>
        </is>
      </c>
      <c r="N94" s="45" t="inlineStr">
        <is>
          <t>1 HBL</t>
        </is>
      </c>
      <c r="O94" s="45" t="n"/>
      <c r="P94" s="45" t="inlineStr">
        <is>
          <t>LW</t>
        </is>
      </c>
      <c r="Q94" s="44" t="n">
        <v>45824</v>
      </c>
      <c r="R94" s="45" t="n">
        <v>8</v>
      </c>
      <c r="S94" s="44" t="n">
        <v>45826</v>
      </c>
    </row>
    <row r="95" ht="12.75" customHeight="1">
      <c r="A95" s="45" t="n"/>
      <c r="B95" s="45" t="n"/>
      <c r="C95" s="45" t="n"/>
      <c r="D95" s="45" t="n"/>
      <c r="E95" s="45" t="n"/>
      <c r="F95" s="45" t="n"/>
      <c r="G95" s="45" t="n"/>
      <c r="H95" s="43" t="n"/>
      <c r="I95" s="45" t="n"/>
      <c r="J95" s="43" t="n">
        <v>452898624462</v>
      </c>
      <c r="K95" s="44" t="n">
        <v>45825</v>
      </c>
      <c r="L95" s="44" t="n">
        <v>45832</v>
      </c>
      <c r="M95" s="45" t="inlineStr">
        <is>
          <t>No</t>
        </is>
      </c>
      <c r="N95" s="45" t="inlineStr">
        <is>
          <t>1 HBL</t>
        </is>
      </c>
      <c r="O95" s="45" t="n"/>
      <c r="P95" s="45" t="inlineStr">
        <is>
          <t>LW</t>
        </is>
      </c>
      <c r="Q95" s="44" t="n">
        <v>45824</v>
      </c>
      <c r="R95" s="45" t="n">
        <v>4</v>
      </c>
      <c r="S95" s="44" t="n">
        <v>45826</v>
      </c>
    </row>
    <row r="96" ht="12.75" customHeight="1">
      <c r="A96" s="45" t="n"/>
      <c r="B96" s="45" t="n"/>
      <c r="C96" s="45" t="n"/>
      <c r="D96" s="45" t="n"/>
      <c r="E96" s="45" t="n"/>
      <c r="F96" s="45" t="n"/>
      <c r="G96" s="45" t="n"/>
      <c r="H96" s="43" t="n"/>
      <c r="I96" s="45" t="n"/>
      <c r="J96" s="43" t="n">
        <v>452898671140</v>
      </c>
      <c r="K96" s="44" t="n">
        <v>45825</v>
      </c>
      <c r="L96" s="44" t="n">
        <v>45832</v>
      </c>
      <c r="M96" s="45" t="inlineStr">
        <is>
          <t>No</t>
        </is>
      </c>
      <c r="N96" s="45" t="inlineStr">
        <is>
          <t>1 HBL</t>
        </is>
      </c>
      <c r="O96" s="45" t="n"/>
      <c r="P96" s="45" t="inlineStr">
        <is>
          <t>LW</t>
        </is>
      </c>
      <c r="Q96" s="44" t="n">
        <v>45824</v>
      </c>
      <c r="R96" s="45" t="n">
        <v>1</v>
      </c>
      <c r="S96" s="44" t="n">
        <v>45826</v>
      </c>
    </row>
    <row r="97" ht="12.75" customHeight="1">
      <c r="A97" s="45" t="n"/>
      <c r="B97" s="45" t="n"/>
      <c r="C97" s="45" t="n"/>
      <c r="D97" s="45" t="n"/>
      <c r="E97" s="45" t="n"/>
      <c r="F97" s="45" t="n"/>
      <c r="G97" s="45" t="n"/>
      <c r="H97" s="43" t="n"/>
      <c r="I97" s="45" t="n"/>
      <c r="J97" s="43" t="n">
        <v>452900314066</v>
      </c>
      <c r="K97" s="44" t="n">
        <v>45825</v>
      </c>
      <c r="L97" s="44" t="n">
        <v>45832</v>
      </c>
      <c r="M97" s="45" t="inlineStr">
        <is>
          <t>No</t>
        </is>
      </c>
      <c r="N97" s="45" t="inlineStr">
        <is>
          <t>1 HBL</t>
        </is>
      </c>
      <c r="O97" s="45" t="n"/>
      <c r="P97" s="45" t="inlineStr">
        <is>
          <t>LW</t>
        </is>
      </c>
      <c r="Q97" s="44" t="n">
        <v>45824</v>
      </c>
      <c r="R97" s="45" t="n">
        <v>16</v>
      </c>
      <c r="S97" s="44" t="n">
        <v>45826</v>
      </c>
    </row>
    <row r="98" ht="12.75" customHeight="1">
      <c r="A98" s="45" t="n"/>
      <c r="B98" s="45" t="n"/>
      <c r="C98" s="45" t="n"/>
      <c r="D98" s="45" t="n"/>
      <c r="E98" s="45" t="n"/>
      <c r="F98" s="45" t="n"/>
      <c r="G98" s="45" t="n"/>
      <c r="H98" s="43" t="n"/>
      <c r="I98" s="45" t="n"/>
      <c r="J98" s="43" t="n">
        <v>452901003368</v>
      </c>
      <c r="K98" s="44" t="n">
        <v>45825</v>
      </c>
      <c r="L98" s="44" t="n">
        <v>45832</v>
      </c>
      <c r="M98" s="45" t="inlineStr">
        <is>
          <t>No</t>
        </is>
      </c>
      <c r="N98" s="45" t="inlineStr">
        <is>
          <t>1 HBL</t>
        </is>
      </c>
      <c r="O98" s="45" t="n"/>
      <c r="P98" s="45" t="inlineStr">
        <is>
          <t>LW</t>
        </is>
      </c>
      <c r="Q98" s="44" t="n">
        <v>45824</v>
      </c>
      <c r="R98" s="45" t="n">
        <v>9</v>
      </c>
      <c r="S98" s="44" t="n">
        <v>45826</v>
      </c>
    </row>
    <row r="99" ht="12.75" customHeight="1">
      <c r="A99" s="45" t="n"/>
      <c r="B99" s="45" t="n"/>
      <c r="C99" s="45" t="n"/>
      <c r="D99" s="45" t="inlineStr">
        <is>
          <t>Mississauga, ON, CA</t>
        </is>
      </c>
      <c r="E99" s="45" t="inlineStr">
        <is>
          <t>CFS/CY</t>
        </is>
      </c>
      <c r="F99" s="45" t="inlineStr">
        <is>
          <t>OCEAN</t>
        </is>
      </c>
      <c r="G99" s="45" t="n">
        <v>-9</v>
      </c>
      <c r="H99" s="43" t="n"/>
      <c r="I99" s="44" t="inlineStr">
        <is>
          <t>Bodyline (Private) Limited</t>
        </is>
      </c>
      <c r="J99" s="43" t="n">
        <v>452711781089</v>
      </c>
      <c r="K99" s="44" t="n">
        <v>45825</v>
      </c>
      <c r="L99" s="44" t="n">
        <v>45832</v>
      </c>
      <c r="M99" s="45" t="inlineStr">
        <is>
          <t>No</t>
        </is>
      </c>
      <c r="N99" s="45" t="inlineStr">
        <is>
          <t>1 HBL</t>
        </is>
      </c>
      <c r="O99" s="45" t="n"/>
      <c r="P99" s="45" t="inlineStr">
        <is>
          <t>LW</t>
        </is>
      </c>
      <c r="Q99" s="44" t="n">
        <v>45824</v>
      </c>
      <c r="R99" s="45" t="n">
        <v>3</v>
      </c>
      <c r="S99" s="44" t="n">
        <v>45826</v>
      </c>
    </row>
    <row r="100" ht="12.75" customHeight="1">
      <c r="A100" s="45" t="n"/>
      <c r="B100" s="45" t="n"/>
      <c r="C100" s="45" t="n"/>
      <c r="D100" s="45" t="n"/>
      <c r="E100" s="45" t="n"/>
      <c r="F100" s="45" t="n"/>
      <c r="G100" s="45" t="n"/>
      <c r="H100" s="43" t="n"/>
      <c r="I100" s="45" t="n"/>
      <c r="J100" s="43" t="n">
        <v>452713380372</v>
      </c>
      <c r="K100" s="44" t="n">
        <v>45825</v>
      </c>
      <c r="L100" s="44" t="n">
        <v>45832</v>
      </c>
      <c r="M100" s="45" t="inlineStr">
        <is>
          <t>No</t>
        </is>
      </c>
      <c r="N100" s="45" t="inlineStr">
        <is>
          <t>1 HBL</t>
        </is>
      </c>
      <c r="O100" s="45" t="n"/>
      <c r="P100" s="45" t="inlineStr">
        <is>
          <t>LW</t>
        </is>
      </c>
      <c r="Q100" s="44" t="n">
        <v>45824</v>
      </c>
      <c r="R100" s="45" t="n">
        <v>4</v>
      </c>
      <c r="S100" s="44" t="n">
        <v>45826</v>
      </c>
    </row>
    <row r="101" ht="12.75" customHeight="1">
      <c r="A101" s="45" t="n"/>
      <c r="B101" s="45" t="n"/>
      <c r="C101" s="45" t="n"/>
      <c r="D101" s="45" t="n"/>
      <c r="E101" s="45" t="n"/>
      <c r="F101" s="45" t="n"/>
      <c r="G101" s="45" t="n"/>
      <c r="H101" s="43" t="n"/>
      <c r="I101" s="45" t="n"/>
      <c r="J101" s="43" t="n">
        <v>452714007820</v>
      </c>
      <c r="K101" s="44" t="n">
        <v>45825</v>
      </c>
      <c r="L101" s="44" t="n">
        <v>45832</v>
      </c>
      <c r="M101" s="45" t="inlineStr">
        <is>
          <t>No</t>
        </is>
      </c>
      <c r="N101" s="45" t="inlineStr">
        <is>
          <t>1 HBL</t>
        </is>
      </c>
      <c r="O101" s="45" t="n"/>
      <c r="P101" s="45" t="inlineStr">
        <is>
          <t>LW</t>
        </is>
      </c>
      <c r="Q101" s="44" t="n">
        <v>45824</v>
      </c>
      <c r="R101" s="45" t="n">
        <v>5</v>
      </c>
      <c r="S101" s="44" t="n">
        <v>45826</v>
      </c>
    </row>
    <row r="102" ht="12.75" customHeight="1">
      <c r="A102" s="45" t="n"/>
      <c r="B102" s="45" t="n"/>
      <c r="C102" s="45" t="n"/>
      <c r="D102" s="45" t="n"/>
      <c r="E102" s="45" t="n"/>
      <c r="F102" s="45" t="n"/>
      <c r="G102" s="45" t="n"/>
      <c r="H102" s="43" t="n"/>
      <c r="I102" s="45" t="n"/>
      <c r="J102" s="43" t="n">
        <v>452714470923</v>
      </c>
      <c r="K102" s="44" t="n">
        <v>45825</v>
      </c>
      <c r="L102" s="44" t="n">
        <v>45832</v>
      </c>
      <c r="M102" s="45" t="inlineStr">
        <is>
          <t>No</t>
        </is>
      </c>
      <c r="N102" s="45" t="inlineStr">
        <is>
          <t>1 HBL</t>
        </is>
      </c>
      <c r="O102" s="45" t="n"/>
      <c r="P102" s="45" t="inlineStr">
        <is>
          <t>LW</t>
        </is>
      </c>
      <c r="Q102" s="44" t="n">
        <v>45824</v>
      </c>
      <c r="R102" s="45" t="n">
        <v>11</v>
      </c>
      <c r="S102" s="44" t="n">
        <v>45826</v>
      </c>
    </row>
    <row r="103" ht="12.75" customHeight="1">
      <c r="A103" s="45" t="n"/>
      <c r="B103" s="45" t="n"/>
      <c r="C103" s="45" t="n"/>
      <c r="D103" s="45" t="n"/>
      <c r="E103" s="45" t="n"/>
      <c r="F103" s="45" t="n"/>
      <c r="G103" s="45" t="n"/>
      <c r="H103" s="43" t="n"/>
      <c r="I103" s="45" t="n"/>
      <c r="J103" s="43" t="n">
        <v>452715829365</v>
      </c>
      <c r="K103" s="44" t="n">
        <v>45825</v>
      </c>
      <c r="L103" s="44" t="n">
        <v>45832</v>
      </c>
      <c r="M103" s="45" t="inlineStr">
        <is>
          <t>No</t>
        </is>
      </c>
      <c r="N103" s="45" t="inlineStr">
        <is>
          <t>1 HBL</t>
        </is>
      </c>
      <c r="O103" s="45" t="n"/>
      <c r="P103" s="45" t="inlineStr">
        <is>
          <t>LW</t>
        </is>
      </c>
      <c r="Q103" s="44" t="n">
        <v>45824</v>
      </c>
      <c r="R103" s="45" t="n">
        <v>3</v>
      </c>
      <c r="S103" s="44" t="n">
        <v>45826</v>
      </c>
    </row>
    <row r="104" ht="12.75" customHeight="1">
      <c r="A104" s="45" t="n"/>
      <c r="B104" s="45" t="n"/>
      <c r="C104" s="45" t="n"/>
      <c r="D104" s="45" t="n"/>
      <c r="E104" s="45" t="n"/>
      <c r="F104" s="45" t="n"/>
      <c r="G104" s="45" t="n"/>
      <c r="H104" s="43" t="n"/>
      <c r="I104" s="45" t="n"/>
      <c r="J104" s="43" t="n">
        <v>452716558693</v>
      </c>
      <c r="K104" s="44" t="n">
        <v>45825</v>
      </c>
      <c r="L104" s="44" t="n">
        <v>45832</v>
      </c>
      <c r="M104" s="45" t="inlineStr">
        <is>
          <t>No</t>
        </is>
      </c>
      <c r="N104" s="45" t="inlineStr">
        <is>
          <t>1 HBL</t>
        </is>
      </c>
      <c r="O104" s="45" t="n"/>
      <c r="P104" s="45" t="inlineStr">
        <is>
          <t>LW</t>
        </is>
      </c>
      <c r="Q104" s="44" t="n">
        <v>45824</v>
      </c>
      <c r="R104" s="45" t="n">
        <v>9</v>
      </c>
      <c r="S104" s="44" t="n">
        <v>45826</v>
      </c>
    </row>
    <row r="105" ht="12.75" customHeight="1">
      <c r="A105" s="45" t="n"/>
      <c r="B105" s="45" t="n"/>
      <c r="C105" s="45" t="n"/>
      <c r="D105" s="45" t="n"/>
      <c r="E105" s="45" t="n"/>
      <c r="F105" s="45" t="n"/>
      <c r="G105" s="45" t="n"/>
      <c r="H105" s="43" t="n"/>
      <c r="I105" s="45" t="n"/>
      <c r="J105" s="43" t="n">
        <v>452716917986</v>
      </c>
      <c r="K105" s="44" t="n">
        <v>45825</v>
      </c>
      <c r="L105" s="44" t="n">
        <v>45832</v>
      </c>
      <c r="M105" s="45" t="inlineStr">
        <is>
          <t>No</t>
        </is>
      </c>
      <c r="N105" s="45" t="inlineStr">
        <is>
          <t>1 HBL</t>
        </is>
      </c>
      <c r="O105" s="45" t="n"/>
      <c r="P105" s="45" t="inlineStr">
        <is>
          <t>LW</t>
        </is>
      </c>
      <c r="Q105" s="44" t="n">
        <v>45824</v>
      </c>
      <c r="R105" s="45" t="n">
        <v>4</v>
      </c>
      <c r="S105" s="44" t="n">
        <v>45826</v>
      </c>
    </row>
    <row r="106" ht="12.75" customHeight="1">
      <c r="A106" s="45" t="n"/>
      <c r="B106" s="45" t="n"/>
      <c r="C106" s="45" t="n"/>
      <c r="D106" s="45" t="n"/>
      <c r="E106" s="45" t="n"/>
      <c r="F106" s="45" t="n"/>
      <c r="G106" s="45" t="n"/>
      <c r="H106" s="43" t="n"/>
      <c r="I106" s="45" t="n"/>
      <c r="J106" s="43" t="n">
        <v>452717677611</v>
      </c>
      <c r="K106" s="44" t="n">
        <v>45825</v>
      </c>
      <c r="L106" s="44" t="n">
        <v>45832</v>
      </c>
      <c r="M106" s="45" t="inlineStr">
        <is>
          <t>No</t>
        </is>
      </c>
      <c r="N106" s="45" t="inlineStr">
        <is>
          <t>1 HBL</t>
        </is>
      </c>
      <c r="O106" s="45" t="n"/>
      <c r="P106" s="45" t="inlineStr">
        <is>
          <t>LW</t>
        </is>
      </c>
      <c r="Q106" s="44" t="n">
        <v>45824</v>
      </c>
      <c r="R106" s="45" t="n">
        <v>13</v>
      </c>
      <c r="S106" s="44" t="n">
        <v>45826</v>
      </c>
    </row>
    <row r="107" ht="12.75" customHeight="1">
      <c r="A107" s="45" t="n"/>
      <c r="B107" s="45" t="n"/>
      <c r="C107" s="45" t="n"/>
      <c r="D107" s="45" t="n"/>
      <c r="E107" s="45" t="n"/>
      <c r="F107" s="45" t="n"/>
      <c r="G107" s="45" t="n"/>
      <c r="H107" s="43" t="n"/>
      <c r="I107" s="45" t="n"/>
      <c r="J107" s="43" t="n">
        <v>452718209567</v>
      </c>
      <c r="K107" s="44" t="n">
        <v>45825</v>
      </c>
      <c r="L107" s="44" t="n">
        <v>45832</v>
      </c>
      <c r="M107" s="45" t="inlineStr">
        <is>
          <t>No</t>
        </is>
      </c>
      <c r="N107" s="45" t="inlineStr">
        <is>
          <t>1 HBL</t>
        </is>
      </c>
      <c r="O107" s="45" t="n"/>
      <c r="P107" s="45" t="inlineStr">
        <is>
          <t>LW</t>
        </is>
      </c>
      <c r="Q107" s="44" t="n">
        <v>45824</v>
      </c>
      <c r="R107" s="45" t="n">
        <v>12</v>
      </c>
      <c r="S107" s="44" t="n">
        <v>45826</v>
      </c>
    </row>
    <row r="108" ht="12.75" customHeight="1">
      <c r="A108" s="45" t="n"/>
      <c r="B108" s="45" t="n"/>
      <c r="C108" s="45" t="n"/>
      <c r="D108" s="45" t="n"/>
      <c r="E108" s="45" t="n"/>
      <c r="F108" s="45" t="n"/>
      <c r="G108" s="45" t="n"/>
      <c r="H108" s="43" t="n"/>
      <c r="I108" s="45" t="n"/>
      <c r="J108" s="43" t="n">
        <v>452719229489</v>
      </c>
      <c r="K108" s="44" t="n">
        <v>45825</v>
      </c>
      <c r="L108" s="44" t="n">
        <v>45832</v>
      </c>
      <c r="M108" s="45" t="inlineStr">
        <is>
          <t>No</t>
        </is>
      </c>
      <c r="N108" s="45" t="inlineStr">
        <is>
          <t>1 HBL</t>
        </is>
      </c>
      <c r="O108" s="45" t="n"/>
      <c r="P108" s="45" t="inlineStr">
        <is>
          <t>LW</t>
        </is>
      </c>
      <c r="Q108" s="44" t="n">
        <v>45824</v>
      </c>
      <c r="R108" s="45" t="n">
        <v>12</v>
      </c>
      <c r="S108" s="44" t="n">
        <v>45826</v>
      </c>
    </row>
    <row r="109" ht="12.75" customHeight="1">
      <c r="A109" s="45" t="n"/>
      <c r="B109" s="45" t="n"/>
      <c r="C109" s="45" t="n"/>
      <c r="D109" s="45" t="n"/>
      <c r="E109" s="45" t="n"/>
      <c r="F109" s="45" t="n"/>
      <c r="G109" s="45" t="n"/>
      <c r="H109" s="43" t="n"/>
      <c r="I109" s="45" t="n"/>
      <c r="J109" s="43" t="n">
        <v>452720877605</v>
      </c>
      <c r="K109" s="44" t="n">
        <v>45825</v>
      </c>
      <c r="L109" s="44" t="n">
        <v>45832</v>
      </c>
      <c r="M109" s="45" t="inlineStr">
        <is>
          <t>No</t>
        </is>
      </c>
      <c r="N109" s="45" t="inlineStr">
        <is>
          <t>1 HBL</t>
        </is>
      </c>
      <c r="O109" s="45" t="n"/>
      <c r="P109" s="45" t="inlineStr">
        <is>
          <t>LW</t>
        </is>
      </c>
      <c r="Q109" s="44" t="n">
        <v>45824</v>
      </c>
      <c r="R109" s="45" t="n">
        <v>1</v>
      </c>
      <c r="S109" s="44" t="n">
        <v>45826</v>
      </c>
    </row>
    <row r="110" ht="12.75" customHeight="1">
      <c r="A110" s="45" t="n"/>
      <c r="B110" s="45" t="n"/>
      <c r="C110" s="45" t="n"/>
      <c r="D110" s="45" t="n"/>
      <c r="E110" s="45" t="n"/>
      <c r="F110" s="45" t="n"/>
      <c r="G110" s="45" t="n"/>
      <c r="H110" s="43" t="n"/>
      <c r="I110" s="45" t="n"/>
      <c r="J110" s="43" t="n">
        <v>452721772655</v>
      </c>
      <c r="K110" s="44" t="n">
        <v>45825</v>
      </c>
      <c r="L110" s="44" t="n">
        <v>45832</v>
      </c>
      <c r="M110" s="45" t="inlineStr">
        <is>
          <t>No</t>
        </is>
      </c>
      <c r="N110" s="45" t="inlineStr">
        <is>
          <t>1 HBL</t>
        </is>
      </c>
      <c r="O110" s="45" t="n"/>
      <c r="P110" s="45" t="inlineStr">
        <is>
          <t>LW</t>
        </is>
      </c>
      <c r="Q110" s="44" t="n">
        <v>45824</v>
      </c>
      <c r="R110" s="45" t="n">
        <v>3</v>
      </c>
      <c r="S110" s="44" t="n">
        <v>45826</v>
      </c>
    </row>
    <row r="111" ht="12.75" customHeight="1">
      <c r="A111" s="45" t="n"/>
      <c r="B111" s="45" t="n"/>
      <c r="C111" s="45" t="n"/>
      <c r="D111" s="45" t="n"/>
      <c r="E111" s="45" t="n"/>
      <c r="F111" s="45" t="n"/>
      <c r="G111" s="45" t="n"/>
      <c r="H111" s="43" t="n"/>
      <c r="I111" s="45" t="n"/>
      <c r="J111" s="43" t="n">
        <v>452721779178</v>
      </c>
      <c r="K111" s="44" t="n">
        <v>45825</v>
      </c>
      <c r="L111" s="44" t="n">
        <v>45832</v>
      </c>
      <c r="M111" s="45" t="inlineStr">
        <is>
          <t>No</t>
        </is>
      </c>
      <c r="N111" s="45" t="inlineStr">
        <is>
          <t>1 HBL</t>
        </is>
      </c>
      <c r="O111" s="45" t="n"/>
      <c r="P111" s="45" t="inlineStr">
        <is>
          <t>LW</t>
        </is>
      </c>
      <c r="Q111" s="44" t="n">
        <v>45824</v>
      </c>
      <c r="R111" s="45" t="n">
        <v>6</v>
      </c>
      <c r="S111" s="44" t="n">
        <v>45826</v>
      </c>
    </row>
    <row r="112" ht="12.75" customHeight="1">
      <c r="A112" s="45" t="n"/>
      <c r="B112" s="45" t="n"/>
      <c r="C112" s="45" t="n"/>
      <c r="D112" s="45" t="n"/>
      <c r="E112" s="45" t="n"/>
      <c r="F112" s="45" t="n"/>
      <c r="G112" s="45" t="n"/>
      <c r="H112" s="43" t="n"/>
      <c r="I112" s="45" t="n"/>
      <c r="J112" s="43" t="n">
        <v>452723321938</v>
      </c>
      <c r="K112" s="44" t="n">
        <v>45825</v>
      </c>
      <c r="L112" s="44" t="n">
        <v>45832</v>
      </c>
      <c r="M112" s="45" t="inlineStr">
        <is>
          <t>No</t>
        </is>
      </c>
      <c r="N112" s="45" t="inlineStr">
        <is>
          <t>1 HBL</t>
        </is>
      </c>
      <c r="O112" s="45" t="n"/>
      <c r="P112" s="45" t="inlineStr">
        <is>
          <t>LW</t>
        </is>
      </c>
      <c r="Q112" s="44" t="n">
        <v>45824</v>
      </c>
      <c r="R112" s="45" t="n">
        <v>8</v>
      </c>
      <c r="S112" s="44" t="n">
        <v>45826</v>
      </c>
    </row>
    <row r="113" ht="12.75" customHeight="1">
      <c r="A113" s="45" t="n"/>
      <c r="B113" s="45" t="n"/>
      <c r="C113" s="45" t="n"/>
      <c r="D113" s="45" t="n"/>
      <c r="E113" s="45" t="n"/>
      <c r="F113" s="45" t="n"/>
      <c r="G113" s="45" t="n"/>
      <c r="H113" s="43" t="n"/>
      <c r="I113" s="45" t="n"/>
      <c r="J113" s="43" t="n">
        <v>452725636619</v>
      </c>
      <c r="K113" s="44" t="n">
        <v>45825</v>
      </c>
      <c r="L113" s="44" t="n">
        <v>45832</v>
      </c>
      <c r="M113" s="45" t="inlineStr">
        <is>
          <t>No</t>
        </is>
      </c>
      <c r="N113" s="45" t="inlineStr">
        <is>
          <t>1 HBL</t>
        </is>
      </c>
      <c r="O113" s="45" t="n"/>
      <c r="P113" s="45" t="inlineStr">
        <is>
          <t>LW</t>
        </is>
      </c>
      <c r="Q113" s="44" t="n">
        <v>45824</v>
      </c>
      <c r="R113" s="45" t="n">
        <v>1</v>
      </c>
      <c r="S113" s="44" t="n">
        <v>45826</v>
      </c>
    </row>
    <row r="114" ht="12.75" customHeight="1">
      <c r="A114" s="45" t="n"/>
      <c r="B114" s="45" t="n"/>
      <c r="C114" s="45" t="n"/>
      <c r="D114" s="45" t="n"/>
      <c r="E114" s="45" t="n"/>
      <c r="F114" s="45" t="n"/>
      <c r="G114" s="45" t="n"/>
      <c r="H114" s="43" t="n"/>
      <c r="I114" s="45" t="n"/>
      <c r="J114" s="43" t="n">
        <v>452726113321</v>
      </c>
      <c r="K114" s="44" t="n">
        <v>45825</v>
      </c>
      <c r="L114" s="44" t="n">
        <v>45832</v>
      </c>
      <c r="M114" s="45" t="inlineStr">
        <is>
          <t>No</t>
        </is>
      </c>
      <c r="N114" s="45" t="inlineStr">
        <is>
          <t>1 HBL</t>
        </is>
      </c>
      <c r="O114" s="45" t="n"/>
      <c r="P114" s="45" t="inlineStr">
        <is>
          <t>LW</t>
        </is>
      </c>
      <c r="Q114" s="44" t="n">
        <v>45824</v>
      </c>
      <c r="R114" s="45" t="n">
        <v>3</v>
      </c>
      <c r="S114" s="44" t="n">
        <v>45826</v>
      </c>
    </row>
    <row r="115" ht="12.75" customHeight="1">
      <c r="A115" s="45" t="n"/>
      <c r="B115" s="45" t="n"/>
      <c r="C115" s="45" t="n"/>
      <c r="D115" s="45" t="n"/>
      <c r="E115" s="45" t="n"/>
      <c r="F115" s="45" t="n"/>
      <c r="G115" s="45" t="n"/>
      <c r="H115" s="43" t="n"/>
      <c r="I115" s="45" t="n"/>
      <c r="J115" s="43" t="n">
        <v>452727167451</v>
      </c>
      <c r="K115" s="44" t="n">
        <v>45825</v>
      </c>
      <c r="L115" s="44" t="n">
        <v>45832</v>
      </c>
      <c r="M115" s="45" t="inlineStr">
        <is>
          <t>No</t>
        </is>
      </c>
      <c r="N115" s="45" t="inlineStr">
        <is>
          <t>1 HBL</t>
        </is>
      </c>
      <c r="O115" s="45" t="n"/>
      <c r="P115" s="45" t="inlineStr">
        <is>
          <t>LW</t>
        </is>
      </c>
      <c r="Q115" s="44" t="n">
        <v>45824</v>
      </c>
      <c r="R115" s="45" t="n">
        <v>6</v>
      </c>
      <c r="S115" s="44" t="n">
        <v>45826</v>
      </c>
    </row>
    <row r="116" ht="12.75" customHeight="1">
      <c r="A116" s="45" t="n"/>
      <c r="B116" s="45" t="n"/>
      <c r="C116" s="45" t="n"/>
      <c r="D116" s="45" t="n"/>
      <c r="E116" s="45" t="n"/>
      <c r="F116" s="45" t="n"/>
      <c r="G116" s="45" t="n"/>
      <c r="H116" s="43" t="n"/>
      <c r="I116" s="45" t="n"/>
      <c r="J116" s="43" t="n">
        <v>452727371750</v>
      </c>
      <c r="K116" s="44" t="n">
        <v>45825</v>
      </c>
      <c r="L116" s="44" t="n">
        <v>45832</v>
      </c>
      <c r="M116" s="45" t="inlineStr">
        <is>
          <t>No</t>
        </is>
      </c>
      <c r="N116" s="45" t="inlineStr">
        <is>
          <t>1 HBL</t>
        </is>
      </c>
      <c r="O116" s="45" t="n"/>
      <c r="P116" s="45" t="inlineStr">
        <is>
          <t>LW</t>
        </is>
      </c>
      <c r="Q116" s="44" t="n">
        <v>45824</v>
      </c>
      <c r="R116" s="45" t="n">
        <v>18</v>
      </c>
      <c r="S116" s="44" t="n">
        <v>45826</v>
      </c>
    </row>
    <row r="117" ht="12.75" customHeight="1">
      <c r="A117" s="45" t="n"/>
      <c r="B117" s="45" t="n"/>
      <c r="C117" s="45" t="n"/>
      <c r="D117" s="45" t="n"/>
      <c r="E117" s="45" t="n"/>
      <c r="F117" s="45" t="n"/>
      <c r="G117" s="45" t="n"/>
      <c r="H117" s="43" t="n"/>
      <c r="I117" s="45" t="n"/>
      <c r="J117" s="43" t="n">
        <v>452727619708</v>
      </c>
      <c r="K117" s="44" t="n">
        <v>45825</v>
      </c>
      <c r="L117" s="44" t="n">
        <v>45832</v>
      </c>
      <c r="M117" s="45" t="inlineStr">
        <is>
          <t>No</t>
        </is>
      </c>
      <c r="N117" s="45" t="inlineStr">
        <is>
          <t>1 HBL</t>
        </is>
      </c>
      <c r="O117" s="45" t="n"/>
      <c r="P117" s="45" t="inlineStr">
        <is>
          <t>LW</t>
        </is>
      </c>
      <c r="Q117" s="44" t="n">
        <v>45824</v>
      </c>
      <c r="R117" s="45" t="n">
        <v>7</v>
      </c>
      <c r="S117" s="44" t="n">
        <v>45826</v>
      </c>
    </row>
    <row r="118" ht="12.75" customHeight="1">
      <c r="A118" s="45" t="n"/>
      <c r="B118" s="45" t="n"/>
      <c r="C118" s="45" t="n"/>
      <c r="D118" s="45" t="n"/>
      <c r="E118" s="45" t="n"/>
      <c r="F118" s="45" t="n"/>
      <c r="G118" s="45" t="n"/>
      <c r="H118" s="43" t="n"/>
      <c r="I118" s="45" t="n"/>
      <c r="J118" s="43" t="n">
        <v>452729349357</v>
      </c>
      <c r="K118" s="44" t="n">
        <v>45825</v>
      </c>
      <c r="L118" s="44" t="n">
        <v>45832</v>
      </c>
      <c r="M118" s="45" t="inlineStr">
        <is>
          <t>No</t>
        </is>
      </c>
      <c r="N118" s="45" t="inlineStr">
        <is>
          <t>1 HBL</t>
        </is>
      </c>
      <c r="O118" s="45" t="n"/>
      <c r="P118" s="45" t="inlineStr">
        <is>
          <t>LW</t>
        </is>
      </c>
      <c r="Q118" s="44" t="n">
        <v>45824</v>
      </c>
      <c r="R118" s="45" t="n">
        <v>4</v>
      </c>
      <c r="S118" s="44" t="n">
        <v>45826</v>
      </c>
    </row>
    <row r="119" ht="12.75" customHeight="1">
      <c r="A119" s="45" t="n"/>
      <c r="B119" s="45" t="n"/>
      <c r="C119" s="45" t="n"/>
      <c r="D119" s="45" t="n"/>
      <c r="E119" s="45" t="n"/>
      <c r="F119" s="45" t="n"/>
      <c r="G119" s="45" t="n"/>
      <c r="H119" s="43" t="n"/>
      <c r="I119" s="45" t="n"/>
      <c r="J119" s="43" t="n">
        <v>452733135781</v>
      </c>
      <c r="K119" s="44" t="n">
        <v>45825</v>
      </c>
      <c r="L119" s="44" t="n">
        <v>45832</v>
      </c>
      <c r="M119" s="45" t="inlineStr">
        <is>
          <t>No</t>
        </is>
      </c>
      <c r="N119" s="45" t="inlineStr">
        <is>
          <t>1 HBL</t>
        </is>
      </c>
      <c r="O119" s="45" t="n"/>
      <c r="P119" s="45" t="inlineStr">
        <is>
          <t>LW</t>
        </is>
      </c>
      <c r="Q119" s="44" t="n">
        <v>45824</v>
      </c>
      <c r="R119" s="45" t="n">
        <v>10</v>
      </c>
      <c r="S119" s="44" t="n">
        <v>45826</v>
      </c>
    </row>
    <row r="120" ht="12.75" customHeight="1">
      <c r="A120" s="45" t="n"/>
      <c r="B120" s="45" t="n"/>
      <c r="C120" s="45" t="n"/>
      <c r="D120" s="45" t="n"/>
      <c r="E120" s="45" t="n"/>
      <c r="F120" s="45" t="n"/>
      <c r="G120" s="45" t="n"/>
      <c r="H120" s="43" t="n"/>
      <c r="I120" s="45" t="n"/>
      <c r="J120" s="43" t="n">
        <v>452734215822</v>
      </c>
      <c r="K120" s="44" t="n">
        <v>45825</v>
      </c>
      <c r="L120" s="44" t="n">
        <v>45832</v>
      </c>
      <c r="M120" s="45" t="inlineStr">
        <is>
          <t>No</t>
        </is>
      </c>
      <c r="N120" s="45" t="inlineStr">
        <is>
          <t>1 HBL</t>
        </is>
      </c>
      <c r="O120" s="45" t="n"/>
      <c r="P120" s="45" t="inlineStr">
        <is>
          <t>LW</t>
        </is>
      </c>
      <c r="Q120" s="44" t="n">
        <v>45824</v>
      </c>
      <c r="R120" s="45" t="n">
        <v>21</v>
      </c>
      <c r="S120" s="44" t="n">
        <v>45826</v>
      </c>
    </row>
    <row r="121" ht="12.75" customHeight="1">
      <c r="A121" s="45" t="n"/>
      <c r="B121" s="45" t="n"/>
      <c r="C121" s="45" t="n"/>
      <c r="D121" s="45" t="n"/>
      <c r="E121" s="45" t="n"/>
      <c r="F121" s="45" t="n"/>
      <c r="G121" s="45" t="n"/>
      <c r="H121" s="43" t="n"/>
      <c r="I121" s="45" t="n"/>
      <c r="J121" s="43" t="n">
        <v>452734741401</v>
      </c>
      <c r="K121" s="44" t="n">
        <v>45825</v>
      </c>
      <c r="L121" s="44" t="n">
        <v>45832</v>
      </c>
      <c r="M121" s="45" t="inlineStr">
        <is>
          <t>No</t>
        </is>
      </c>
      <c r="N121" s="45" t="inlineStr">
        <is>
          <t>1 HBL</t>
        </is>
      </c>
      <c r="O121" s="45" t="n"/>
      <c r="P121" s="45" t="inlineStr">
        <is>
          <t>LW</t>
        </is>
      </c>
      <c r="Q121" s="44" t="n">
        <v>45824</v>
      </c>
      <c r="R121" s="45" t="n">
        <v>4</v>
      </c>
      <c r="S121" s="44" t="n">
        <v>45826</v>
      </c>
    </row>
    <row r="122" ht="12.75" customHeight="1">
      <c r="A122" s="45" t="n"/>
      <c r="B122" s="45" t="n"/>
      <c r="C122" s="45" t="n"/>
      <c r="D122" s="45" t="n"/>
      <c r="E122" s="45" t="n"/>
      <c r="F122" s="45" t="n"/>
      <c r="G122" s="45" t="n"/>
      <c r="H122" s="43" t="n"/>
      <c r="I122" s="45" t="n"/>
      <c r="J122" s="43" t="n">
        <v>452735845068</v>
      </c>
      <c r="K122" s="44" t="n">
        <v>45825</v>
      </c>
      <c r="L122" s="44" t="n">
        <v>45832</v>
      </c>
      <c r="M122" s="45" t="inlineStr">
        <is>
          <t>No</t>
        </is>
      </c>
      <c r="N122" s="45" t="inlineStr">
        <is>
          <t>1 HBL</t>
        </is>
      </c>
      <c r="O122" s="45" t="n"/>
      <c r="P122" s="45" t="inlineStr">
        <is>
          <t>LW</t>
        </is>
      </c>
      <c r="Q122" s="44" t="n">
        <v>45824</v>
      </c>
      <c r="R122" s="45" t="n">
        <v>3</v>
      </c>
      <c r="S122" s="44" t="n">
        <v>45826</v>
      </c>
    </row>
    <row r="123" ht="12.75" customHeight="1">
      <c r="A123" s="45" t="n"/>
      <c r="B123" s="45" t="n"/>
      <c r="C123" s="45" t="n"/>
      <c r="D123" s="45" t="n"/>
      <c r="E123" s="45" t="n"/>
      <c r="F123" s="45" t="n"/>
      <c r="G123" s="45" t="n"/>
      <c r="H123" s="43" t="n"/>
      <c r="I123" s="45" t="n"/>
      <c r="J123" s="43" t="n">
        <v>452736795357</v>
      </c>
      <c r="K123" s="44" t="n">
        <v>45825</v>
      </c>
      <c r="L123" s="44" t="n">
        <v>45832</v>
      </c>
      <c r="M123" s="45" t="inlineStr">
        <is>
          <t>No</t>
        </is>
      </c>
      <c r="N123" s="45" t="inlineStr">
        <is>
          <t>1 HBL</t>
        </is>
      </c>
      <c r="O123" s="45" t="n"/>
      <c r="P123" s="45" t="inlineStr">
        <is>
          <t>LW</t>
        </is>
      </c>
      <c r="Q123" s="44" t="n">
        <v>45824</v>
      </c>
      <c r="R123" s="45" t="n">
        <v>6</v>
      </c>
      <c r="S123" s="44" t="n">
        <v>45826</v>
      </c>
    </row>
    <row r="124" ht="12.75" customHeight="1">
      <c r="A124" s="45" t="n"/>
      <c r="B124" s="45" t="n"/>
      <c r="C124" s="45" t="n"/>
      <c r="D124" s="45" t="n"/>
      <c r="E124" s="45" t="n"/>
      <c r="F124" s="45" t="n"/>
      <c r="G124" s="45" t="n"/>
      <c r="H124" s="43" t="n"/>
      <c r="I124" s="45" t="n"/>
      <c r="J124" s="43" t="n">
        <v>452737645478</v>
      </c>
      <c r="K124" s="44" t="n">
        <v>45825</v>
      </c>
      <c r="L124" s="44" t="n">
        <v>45832</v>
      </c>
      <c r="M124" s="45" t="inlineStr">
        <is>
          <t>No</t>
        </is>
      </c>
      <c r="N124" s="45" t="inlineStr">
        <is>
          <t>1 HBL</t>
        </is>
      </c>
      <c r="O124" s="45" t="n"/>
      <c r="P124" s="45" t="inlineStr">
        <is>
          <t>LW</t>
        </is>
      </c>
      <c r="Q124" s="44" t="n">
        <v>45824</v>
      </c>
      <c r="R124" s="45" t="n">
        <v>3</v>
      </c>
      <c r="S124" s="44" t="n">
        <v>45826</v>
      </c>
    </row>
    <row r="125" ht="12.75" customHeight="1">
      <c r="A125" s="45" t="n"/>
      <c r="B125" s="45" t="n"/>
      <c r="C125" s="45" t="n"/>
      <c r="D125" s="45" t="n"/>
      <c r="E125" s="45" t="n"/>
      <c r="F125" s="45" t="n"/>
      <c r="G125" s="45" t="n"/>
      <c r="H125" s="43" t="n"/>
      <c r="I125" s="45" t="n"/>
      <c r="J125" s="43" t="n">
        <v>452738863860</v>
      </c>
      <c r="K125" s="44" t="n">
        <v>45825</v>
      </c>
      <c r="L125" s="44" t="n">
        <v>45832</v>
      </c>
      <c r="M125" s="45" t="inlineStr">
        <is>
          <t>No</t>
        </is>
      </c>
      <c r="N125" s="45" t="inlineStr">
        <is>
          <t>1 HBL</t>
        </is>
      </c>
      <c r="O125" s="45" t="n"/>
      <c r="P125" s="45" t="inlineStr">
        <is>
          <t>LW</t>
        </is>
      </c>
      <c r="Q125" s="44" t="n">
        <v>45824</v>
      </c>
      <c r="R125" s="45" t="n">
        <v>6</v>
      </c>
      <c r="S125" s="44" t="n">
        <v>45826</v>
      </c>
    </row>
    <row r="126" ht="12.75" customHeight="1">
      <c r="A126" s="45" t="n"/>
      <c r="B126" s="45" t="n"/>
      <c r="C126" s="45" t="n"/>
      <c r="D126" s="45" t="n"/>
      <c r="E126" s="45" t="n"/>
      <c r="F126" s="45" t="n"/>
      <c r="G126" s="45" t="n"/>
      <c r="H126" s="43" t="n"/>
      <c r="I126" s="45" t="n"/>
      <c r="J126" s="43" t="n">
        <v>452740193164</v>
      </c>
      <c r="K126" s="44" t="n">
        <v>45825</v>
      </c>
      <c r="L126" s="44" t="n">
        <v>45832</v>
      </c>
      <c r="M126" s="45" t="inlineStr">
        <is>
          <t>No</t>
        </is>
      </c>
      <c r="N126" s="45" t="inlineStr">
        <is>
          <t>1 HBL</t>
        </is>
      </c>
      <c r="O126" s="45" t="n"/>
      <c r="P126" s="45" t="inlineStr">
        <is>
          <t>LW</t>
        </is>
      </c>
      <c r="Q126" s="44" t="n">
        <v>45824</v>
      </c>
      <c r="R126" s="45" t="n">
        <v>4</v>
      </c>
      <c r="S126" s="44" t="n">
        <v>45826</v>
      </c>
    </row>
    <row r="127" ht="12.75" customHeight="1">
      <c r="A127" s="45" t="n"/>
      <c r="B127" s="45" t="n"/>
      <c r="C127" s="45" t="n"/>
      <c r="D127" s="45" t="n"/>
      <c r="E127" s="45" t="n"/>
      <c r="F127" s="45" t="n"/>
      <c r="G127" s="45" t="n"/>
      <c r="H127" s="43" t="n"/>
      <c r="I127" s="45" t="n"/>
      <c r="J127" s="43" t="n">
        <v>452741267767</v>
      </c>
      <c r="K127" s="44" t="n">
        <v>45825</v>
      </c>
      <c r="L127" s="44" t="n">
        <v>45832</v>
      </c>
      <c r="M127" s="45" t="inlineStr">
        <is>
          <t>No</t>
        </is>
      </c>
      <c r="N127" s="45" t="inlineStr">
        <is>
          <t>1 HBL</t>
        </is>
      </c>
      <c r="O127" s="45" t="n"/>
      <c r="P127" s="45" t="inlineStr">
        <is>
          <t>LW</t>
        </is>
      </c>
      <c r="Q127" s="44" t="n">
        <v>45824</v>
      </c>
      <c r="R127" s="45" t="n">
        <v>6</v>
      </c>
      <c r="S127" s="44" t="n">
        <v>45826</v>
      </c>
    </row>
    <row r="128" ht="12.75" customHeight="1">
      <c r="A128" s="45" t="n"/>
      <c r="B128" s="45" t="n"/>
      <c r="C128" s="45" t="n"/>
      <c r="D128" s="45" t="n"/>
      <c r="E128" s="45" t="n"/>
      <c r="F128" s="45" t="n"/>
      <c r="G128" s="45" t="n"/>
      <c r="H128" s="43" t="n"/>
      <c r="I128" s="45" t="n"/>
      <c r="J128" s="43" t="n">
        <v>452742081047</v>
      </c>
      <c r="K128" s="44" t="n">
        <v>45825</v>
      </c>
      <c r="L128" s="44" t="n">
        <v>45832</v>
      </c>
      <c r="M128" s="45" t="inlineStr">
        <is>
          <t>No</t>
        </is>
      </c>
      <c r="N128" s="45" t="inlineStr">
        <is>
          <t>1 HBL</t>
        </is>
      </c>
      <c r="O128" s="45" t="n"/>
      <c r="P128" s="45" t="inlineStr">
        <is>
          <t>LW</t>
        </is>
      </c>
      <c r="Q128" s="44" t="n">
        <v>45824</v>
      </c>
      <c r="R128" s="45" t="n">
        <v>4</v>
      </c>
      <c r="S128" s="44" t="n">
        <v>45826</v>
      </c>
    </row>
    <row r="129" ht="12.75" customHeight="1">
      <c r="A129" s="45" t="n"/>
      <c r="B129" s="45" t="n"/>
      <c r="C129" s="45" t="n"/>
      <c r="D129" s="45" t="n"/>
      <c r="E129" s="45" t="n"/>
      <c r="F129" s="45" t="n"/>
      <c r="G129" s="45" t="n"/>
      <c r="H129" s="43" t="n"/>
      <c r="I129" s="45" t="n"/>
      <c r="J129" s="43" t="n">
        <v>452743736213</v>
      </c>
      <c r="K129" s="44" t="n">
        <v>45825</v>
      </c>
      <c r="L129" s="44" t="n">
        <v>45832</v>
      </c>
      <c r="M129" s="45" t="inlineStr">
        <is>
          <t>No</t>
        </is>
      </c>
      <c r="N129" s="45" t="inlineStr">
        <is>
          <t>1 HBL</t>
        </is>
      </c>
      <c r="O129" s="45" t="n"/>
      <c r="P129" s="45" t="inlineStr">
        <is>
          <t>LW</t>
        </is>
      </c>
      <c r="Q129" s="44" t="n">
        <v>45824</v>
      </c>
      <c r="R129" s="45" t="n">
        <v>3</v>
      </c>
      <c r="S129" s="44" t="n">
        <v>45826</v>
      </c>
    </row>
    <row r="130" ht="12.75" customHeight="1">
      <c r="A130" s="45" t="n"/>
      <c r="B130" s="45" t="n"/>
      <c r="C130" s="45" t="n"/>
      <c r="D130" s="45" t="n"/>
      <c r="E130" s="45" t="n"/>
      <c r="F130" s="45" t="n"/>
      <c r="G130" s="45" t="n"/>
      <c r="H130" s="43" t="n"/>
      <c r="I130" s="45" t="n"/>
      <c r="J130" s="43" t="n">
        <v>452744235914</v>
      </c>
      <c r="K130" s="44" t="n">
        <v>45825</v>
      </c>
      <c r="L130" s="44" t="n">
        <v>45832</v>
      </c>
      <c r="M130" s="45" t="inlineStr">
        <is>
          <t>No</t>
        </is>
      </c>
      <c r="N130" s="45" t="inlineStr">
        <is>
          <t>1 HBL</t>
        </is>
      </c>
      <c r="O130" s="45" t="n"/>
      <c r="P130" s="45" t="inlineStr">
        <is>
          <t>LW</t>
        </is>
      </c>
      <c r="Q130" s="44" t="n">
        <v>45824</v>
      </c>
      <c r="R130" s="45" t="n">
        <v>4</v>
      </c>
      <c r="S130" s="44" t="n">
        <v>45826</v>
      </c>
    </row>
    <row r="131" ht="12.75" customHeight="1">
      <c r="A131" s="45" t="n"/>
      <c r="B131" s="45" t="n"/>
      <c r="C131" s="45" t="n"/>
      <c r="D131" s="45" t="n"/>
      <c r="E131" s="45" t="n"/>
      <c r="F131" s="45" t="n"/>
      <c r="G131" s="45" t="n"/>
      <c r="H131" s="43" t="n"/>
      <c r="I131" s="45" t="n"/>
      <c r="J131" s="43" t="n">
        <v>452746746441</v>
      </c>
      <c r="K131" s="44" t="n">
        <v>45825</v>
      </c>
      <c r="L131" s="44" t="n">
        <v>45832</v>
      </c>
      <c r="M131" s="45" t="inlineStr">
        <is>
          <t>No</t>
        </is>
      </c>
      <c r="N131" s="45" t="inlineStr">
        <is>
          <t>1 HBL</t>
        </is>
      </c>
      <c r="O131" s="45" t="n"/>
      <c r="P131" s="45" t="inlineStr">
        <is>
          <t>LW</t>
        </is>
      </c>
      <c r="Q131" s="44" t="n">
        <v>45824</v>
      </c>
      <c r="R131" s="45" t="n">
        <v>3</v>
      </c>
      <c r="S131" s="44" t="n">
        <v>45826</v>
      </c>
    </row>
    <row r="132" ht="12.75" customHeight="1">
      <c r="A132" s="45" t="n"/>
      <c r="B132" s="45" t="n"/>
      <c r="C132" s="45" t="n"/>
      <c r="D132" s="45" t="n"/>
      <c r="E132" s="45" t="n"/>
      <c r="F132" s="45" t="n"/>
      <c r="G132" s="45" t="n"/>
      <c r="H132" s="43" t="n"/>
      <c r="I132" s="45" t="n"/>
      <c r="J132" s="43" t="n">
        <v>452747570082</v>
      </c>
      <c r="K132" s="44" t="n">
        <v>45825</v>
      </c>
      <c r="L132" s="44" t="n">
        <v>45832</v>
      </c>
      <c r="M132" s="45" t="inlineStr">
        <is>
          <t>No</t>
        </is>
      </c>
      <c r="N132" s="45" t="inlineStr">
        <is>
          <t>1 HBL</t>
        </is>
      </c>
      <c r="O132" s="45" t="n"/>
      <c r="P132" s="45" t="inlineStr">
        <is>
          <t>LW</t>
        </is>
      </c>
      <c r="Q132" s="44" t="n">
        <v>45824</v>
      </c>
      <c r="R132" s="45" t="n">
        <v>2</v>
      </c>
      <c r="S132" s="44" t="n">
        <v>45826</v>
      </c>
    </row>
    <row r="133" ht="12.75" customHeight="1">
      <c r="A133" s="45" t="n"/>
      <c r="B133" s="45" t="n"/>
      <c r="C133" s="45" t="n"/>
      <c r="D133" s="45" t="n"/>
      <c r="E133" s="45" t="n"/>
      <c r="F133" s="45" t="n"/>
      <c r="G133" s="45" t="n"/>
      <c r="H133" s="43" t="n"/>
      <c r="I133" s="45" t="n"/>
      <c r="J133" s="43" t="n">
        <v>452748628444</v>
      </c>
      <c r="K133" s="44" t="n">
        <v>45825</v>
      </c>
      <c r="L133" s="44" t="n">
        <v>45832</v>
      </c>
      <c r="M133" s="45" t="inlineStr">
        <is>
          <t>No</t>
        </is>
      </c>
      <c r="N133" s="45" t="inlineStr">
        <is>
          <t>1 HBL</t>
        </is>
      </c>
      <c r="O133" s="45" t="n"/>
      <c r="P133" s="45" t="inlineStr">
        <is>
          <t>LW</t>
        </is>
      </c>
      <c r="Q133" s="44" t="n">
        <v>45824</v>
      </c>
      <c r="R133" s="45" t="n">
        <v>4</v>
      </c>
      <c r="S133" s="44" t="n">
        <v>45826</v>
      </c>
    </row>
    <row r="134" ht="12.75" customHeight="1">
      <c r="A134" s="45" t="n"/>
      <c r="B134" s="45" t="n"/>
      <c r="C134" s="45" t="n"/>
      <c r="D134" s="45" t="n"/>
      <c r="E134" s="45" t="n"/>
      <c r="F134" s="45" t="n"/>
      <c r="G134" s="45" t="n"/>
      <c r="H134" s="43" t="n"/>
      <c r="I134" s="45" t="n"/>
      <c r="J134" s="43" t="n">
        <v>452749289399</v>
      </c>
      <c r="K134" s="44" t="n">
        <v>45825</v>
      </c>
      <c r="L134" s="44" t="n">
        <v>45832</v>
      </c>
      <c r="M134" s="45" t="inlineStr">
        <is>
          <t>No</t>
        </is>
      </c>
      <c r="N134" s="45" t="inlineStr">
        <is>
          <t>1 HBL</t>
        </is>
      </c>
      <c r="O134" s="45" t="n"/>
      <c r="P134" s="45" t="inlineStr">
        <is>
          <t>LW</t>
        </is>
      </c>
      <c r="Q134" s="44" t="n">
        <v>45824</v>
      </c>
      <c r="R134" s="45" t="n">
        <v>2</v>
      </c>
      <c r="S134" s="44" t="n">
        <v>45826</v>
      </c>
    </row>
    <row r="135" ht="12.75" customHeight="1">
      <c r="A135" s="45" t="n"/>
      <c r="B135" s="45" t="n"/>
      <c r="C135" s="45" t="n"/>
      <c r="D135" s="45" t="n"/>
      <c r="E135" s="45" t="n"/>
      <c r="F135" s="45" t="n"/>
      <c r="G135" s="45" t="n"/>
      <c r="H135" s="43" t="n"/>
      <c r="I135" s="45" t="n"/>
      <c r="J135" s="43" t="n">
        <v>452751542760</v>
      </c>
      <c r="K135" s="44" t="n">
        <v>45825</v>
      </c>
      <c r="L135" s="44" t="n">
        <v>45832</v>
      </c>
      <c r="M135" s="45" t="inlineStr">
        <is>
          <t>No</t>
        </is>
      </c>
      <c r="N135" s="45" t="inlineStr">
        <is>
          <t>1 HBL</t>
        </is>
      </c>
      <c r="O135" s="45" t="n"/>
      <c r="P135" s="45" t="inlineStr">
        <is>
          <t>LW</t>
        </is>
      </c>
      <c r="Q135" s="44" t="n">
        <v>45824</v>
      </c>
      <c r="R135" s="45" t="n">
        <v>3</v>
      </c>
      <c r="S135" s="44" t="n">
        <v>45826</v>
      </c>
    </row>
    <row r="136" ht="12.75" customHeight="1">
      <c r="A136" s="45" t="n"/>
      <c r="B136" s="45" t="n"/>
      <c r="C136" s="45" t="n"/>
      <c r="D136" s="45" t="n"/>
      <c r="E136" s="45" t="n"/>
      <c r="F136" s="45" t="n"/>
      <c r="G136" s="45" t="n"/>
      <c r="H136" s="43" t="n"/>
      <c r="I136" s="45" t="n"/>
      <c r="J136" s="43" t="n">
        <v>452752403153</v>
      </c>
      <c r="K136" s="44" t="n">
        <v>45825</v>
      </c>
      <c r="L136" s="44" t="n">
        <v>45832</v>
      </c>
      <c r="M136" s="45" t="inlineStr">
        <is>
          <t>No</t>
        </is>
      </c>
      <c r="N136" s="45" t="inlineStr">
        <is>
          <t>1 HBL</t>
        </is>
      </c>
      <c r="O136" s="45" t="n"/>
      <c r="P136" s="45" t="inlineStr">
        <is>
          <t>LW</t>
        </is>
      </c>
      <c r="Q136" s="44" t="n">
        <v>45824</v>
      </c>
      <c r="R136" s="45" t="n">
        <v>2</v>
      </c>
      <c r="S136" s="44" t="n">
        <v>45826</v>
      </c>
    </row>
    <row r="137" ht="12.75" customHeight="1">
      <c r="A137" s="45" t="n"/>
      <c r="B137" s="45" t="n"/>
      <c r="C137" s="45" t="n"/>
      <c r="D137" s="45" t="n"/>
      <c r="E137" s="45" t="n"/>
      <c r="F137" s="45" t="n"/>
      <c r="G137" s="45" t="n"/>
      <c r="H137" s="43" t="n"/>
      <c r="I137" s="45" t="n"/>
      <c r="J137" s="43" t="n">
        <v>452757140834</v>
      </c>
      <c r="K137" s="44" t="n">
        <v>45825</v>
      </c>
      <c r="L137" s="44" t="n">
        <v>45832</v>
      </c>
      <c r="M137" s="45" t="inlineStr">
        <is>
          <t>No</t>
        </is>
      </c>
      <c r="N137" s="45" t="inlineStr">
        <is>
          <t>1 HBL</t>
        </is>
      </c>
      <c r="O137" s="45" t="n"/>
      <c r="P137" s="45" t="inlineStr">
        <is>
          <t>LW</t>
        </is>
      </c>
      <c r="Q137" s="44" t="n">
        <v>45824</v>
      </c>
      <c r="R137" s="45" t="n">
        <v>2</v>
      </c>
      <c r="S137" s="44" t="n">
        <v>45826</v>
      </c>
    </row>
    <row r="138" ht="12.75" customHeight="1">
      <c r="A138" s="45" t="n"/>
      <c r="B138" s="45" t="n"/>
      <c r="C138" s="45" t="n"/>
      <c r="D138" s="45" t="n"/>
      <c r="E138" s="45" t="n"/>
      <c r="F138" s="45" t="n"/>
      <c r="G138" s="45" t="n"/>
      <c r="H138" s="43" t="n"/>
      <c r="I138" s="45" t="n"/>
      <c r="J138" s="43" t="n">
        <v>452757659944</v>
      </c>
      <c r="K138" s="44" t="n">
        <v>45825</v>
      </c>
      <c r="L138" s="44" t="n">
        <v>45832</v>
      </c>
      <c r="M138" s="45" t="inlineStr">
        <is>
          <t>No</t>
        </is>
      </c>
      <c r="N138" s="45" t="inlineStr">
        <is>
          <t>1 HBL</t>
        </is>
      </c>
      <c r="O138" s="45" t="n"/>
      <c r="P138" s="45" t="inlineStr">
        <is>
          <t>LW</t>
        </is>
      </c>
      <c r="Q138" s="44" t="n">
        <v>45824</v>
      </c>
      <c r="R138" s="45" t="n">
        <v>3</v>
      </c>
      <c r="S138" s="44" t="n">
        <v>45826</v>
      </c>
    </row>
    <row r="139" ht="12.75" customHeight="1">
      <c r="A139" s="45" t="n"/>
      <c r="B139" s="45" t="n"/>
      <c r="C139" s="45" t="n"/>
      <c r="D139" s="45" t="n"/>
      <c r="E139" s="45" t="n"/>
      <c r="F139" s="45" t="n"/>
      <c r="G139" s="45" t="n"/>
      <c r="H139" s="43" t="n"/>
      <c r="I139" s="45" t="n"/>
      <c r="J139" s="43" t="n">
        <v>452757662388</v>
      </c>
      <c r="K139" s="44" t="n">
        <v>45825</v>
      </c>
      <c r="L139" s="44" t="n">
        <v>45832</v>
      </c>
      <c r="M139" s="45" t="inlineStr">
        <is>
          <t>No</t>
        </is>
      </c>
      <c r="N139" s="45" t="inlineStr">
        <is>
          <t>1 HBL</t>
        </is>
      </c>
      <c r="O139" s="45" t="n"/>
      <c r="P139" s="45" t="inlineStr">
        <is>
          <t>LW</t>
        </is>
      </c>
      <c r="Q139" s="44" t="n">
        <v>45824</v>
      </c>
      <c r="R139" s="45" t="n">
        <v>1</v>
      </c>
      <c r="S139" s="44" t="n">
        <v>45826</v>
      </c>
    </row>
    <row r="140" ht="12.75" customHeight="1">
      <c r="A140" s="45" t="n"/>
      <c r="B140" s="45" t="n"/>
      <c r="C140" s="45" t="n"/>
      <c r="D140" s="45" t="n"/>
      <c r="E140" s="45" t="n"/>
      <c r="F140" s="45" t="n"/>
      <c r="G140" s="45" t="n"/>
      <c r="H140" s="43" t="n"/>
      <c r="I140" s="45" t="n"/>
      <c r="J140" s="43" t="n">
        <v>452760763325</v>
      </c>
      <c r="K140" s="44" t="n">
        <v>45825</v>
      </c>
      <c r="L140" s="44" t="n">
        <v>45832</v>
      </c>
      <c r="M140" s="45" t="inlineStr">
        <is>
          <t>No</t>
        </is>
      </c>
      <c r="N140" s="45" t="inlineStr">
        <is>
          <t>1 HBL</t>
        </is>
      </c>
      <c r="O140" s="45" t="n"/>
      <c r="P140" s="45" t="inlineStr">
        <is>
          <t>LW</t>
        </is>
      </c>
      <c r="Q140" s="44" t="n">
        <v>45824</v>
      </c>
      <c r="R140" s="45" t="n">
        <v>2</v>
      </c>
      <c r="S140" s="44" t="n">
        <v>45826</v>
      </c>
    </row>
    <row r="141" ht="12.75" customHeight="1">
      <c r="A141" s="45" t="n"/>
      <c r="B141" s="45" t="n"/>
      <c r="C141" s="45" t="n"/>
      <c r="D141" s="45" t="n"/>
      <c r="E141" s="45" t="n"/>
      <c r="F141" s="45" t="n"/>
      <c r="G141" s="45" t="n"/>
      <c r="H141" s="43" t="n"/>
      <c r="I141" s="45" t="n"/>
      <c r="J141" s="43" t="n">
        <v>452761326073</v>
      </c>
      <c r="K141" s="44" t="n">
        <v>45825</v>
      </c>
      <c r="L141" s="44" t="n">
        <v>45832</v>
      </c>
      <c r="M141" s="45" t="inlineStr">
        <is>
          <t>No</t>
        </is>
      </c>
      <c r="N141" s="45" t="inlineStr">
        <is>
          <t>1 HBL</t>
        </is>
      </c>
      <c r="O141" s="45" t="n"/>
      <c r="P141" s="45" t="inlineStr">
        <is>
          <t>LW</t>
        </is>
      </c>
      <c r="Q141" s="44" t="n">
        <v>45824</v>
      </c>
      <c r="R141" s="45" t="n">
        <v>2</v>
      </c>
      <c r="S141" s="44" t="n">
        <v>45826</v>
      </c>
    </row>
    <row r="142" ht="12.75" customHeight="1">
      <c r="A142" s="45" t="n"/>
      <c r="B142" s="45" t="n"/>
      <c r="C142" s="45" t="n"/>
      <c r="D142" s="45" t="n"/>
      <c r="E142" s="45" t="n"/>
      <c r="F142" s="45" t="n"/>
      <c r="G142" s="45" t="n"/>
      <c r="H142" s="43" t="n"/>
      <c r="I142" s="45" t="n"/>
      <c r="J142" s="43" t="n">
        <v>452762125413</v>
      </c>
      <c r="K142" s="44" t="n">
        <v>45825</v>
      </c>
      <c r="L142" s="44" t="n">
        <v>45832</v>
      </c>
      <c r="M142" s="45" t="inlineStr">
        <is>
          <t>No</t>
        </is>
      </c>
      <c r="N142" s="45" t="inlineStr">
        <is>
          <t>1 HBL</t>
        </is>
      </c>
      <c r="O142" s="45" t="n"/>
      <c r="P142" s="45" t="inlineStr">
        <is>
          <t>LW</t>
        </is>
      </c>
      <c r="Q142" s="44" t="n">
        <v>45824</v>
      </c>
      <c r="R142" s="45" t="n">
        <v>2</v>
      </c>
      <c r="S142" s="44" t="n">
        <v>45826</v>
      </c>
    </row>
    <row r="143" ht="12.75" customHeight="1">
      <c r="A143" s="45" t="n"/>
      <c r="B143" s="45" t="n"/>
      <c r="C143" s="45" t="n"/>
      <c r="D143" s="45" t="n"/>
      <c r="E143" s="45" t="n"/>
      <c r="F143" s="45" t="n"/>
      <c r="G143" s="45" t="n"/>
      <c r="H143" s="43" t="n"/>
      <c r="I143" s="45" t="n"/>
      <c r="J143" s="43" t="n">
        <v>452765721497</v>
      </c>
      <c r="K143" s="44" t="n">
        <v>45825</v>
      </c>
      <c r="L143" s="44" t="n">
        <v>45832</v>
      </c>
      <c r="M143" s="45" t="inlineStr">
        <is>
          <t>No</t>
        </is>
      </c>
      <c r="N143" s="45" t="inlineStr">
        <is>
          <t>1 HBL</t>
        </is>
      </c>
      <c r="O143" s="45" t="n"/>
      <c r="P143" s="45" t="inlineStr">
        <is>
          <t>LW</t>
        </is>
      </c>
      <c r="Q143" s="44" t="n">
        <v>45824</v>
      </c>
      <c r="R143" s="45" t="n">
        <v>3</v>
      </c>
      <c r="S143" s="44" t="n">
        <v>45826</v>
      </c>
    </row>
    <row r="144" ht="12.75" customHeight="1">
      <c r="A144" s="45" t="n"/>
      <c r="B144" s="45" t="n"/>
      <c r="C144" s="45" t="n"/>
      <c r="D144" s="45" t="n"/>
      <c r="E144" s="45" t="n"/>
      <c r="F144" s="45" t="n"/>
      <c r="G144" s="45" t="n"/>
      <c r="H144" s="43" t="n"/>
      <c r="I144" s="45" t="n"/>
      <c r="J144" s="43" t="n">
        <v>452765724226</v>
      </c>
      <c r="K144" s="44" t="n">
        <v>45825</v>
      </c>
      <c r="L144" s="44" t="n">
        <v>45832</v>
      </c>
      <c r="M144" s="45" t="inlineStr">
        <is>
          <t>No</t>
        </is>
      </c>
      <c r="N144" s="45" t="inlineStr">
        <is>
          <t>1 HBL</t>
        </is>
      </c>
      <c r="O144" s="45" t="n"/>
      <c r="P144" s="45" t="inlineStr">
        <is>
          <t>LW</t>
        </is>
      </c>
      <c r="Q144" s="44" t="n">
        <v>45824</v>
      </c>
      <c r="R144" s="45" t="n">
        <v>2</v>
      </c>
      <c r="S144" s="44" t="n">
        <v>45826</v>
      </c>
    </row>
    <row r="145" ht="12.75" customHeight="1">
      <c r="A145" s="45" t="n"/>
      <c r="B145" s="45" t="n"/>
      <c r="C145" s="45" t="n"/>
      <c r="D145" s="45" t="n"/>
      <c r="E145" s="45" t="n"/>
      <c r="F145" s="45" t="n"/>
      <c r="G145" s="45" t="n"/>
      <c r="H145" s="43" t="n"/>
      <c r="I145" s="45" t="n"/>
      <c r="J145" s="43" t="n">
        <v>452773631837</v>
      </c>
      <c r="K145" s="44" t="n">
        <v>45825</v>
      </c>
      <c r="L145" s="44" t="n">
        <v>45832</v>
      </c>
      <c r="M145" s="45" t="inlineStr">
        <is>
          <t>No</t>
        </is>
      </c>
      <c r="N145" s="45" t="inlineStr">
        <is>
          <t>1 HBL</t>
        </is>
      </c>
      <c r="O145" s="45" t="n"/>
      <c r="P145" s="45" t="inlineStr">
        <is>
          <t>LW</t>
        </is>
      </c>
      <c r="Q145" s="44" t="n">
        <v>45824</v>
      </c>
      <c r="R145" s="45" t="n">
        <v>2</v>
      </c>
      <c r="S145" s="44" t="n">
        <v>45826</v>
      </c>
    </row>
    <row r="146" ht="12.75" customHeight="1">
      <c r="A146" s="45" t="n"/>
      <c r="B146" s="45" t="n"/>
      <c r="C146" s="45" t="n"/>
      <c r="D146" s="45" t="n"/>
      <c r="E146" s="45" t="n"/>
      <c r="F146" s="45" t="n"/>
      <c r="G146" s="45" t="n"/>
      <c r="H146" s="43" t="n"/>
      <c r="I146" s="45" t="n"/>
      <c r="J146" s="43" t="n">
        <v>452774647331</v>
      </c>
      <c r="K146" s="44" t="n">
        <v>45825</v>
      </c>
      <c r="L146" s="44" t="n">
        <v>45832</v>
      </c>
      <c r="M146" s="45" t="inlineStr">
        <is>
          <t>No</t>
        </is>
      </c>
      <c r="N146" s="45" t="inlineStr">
        <is>
          <t>1 HBL</t>
        </is>
      </c>
      <c r="O146" s="45" t="n"/>
      <c r="P146" s="45" t="inlineStr">
        <is>
          <t>LW</t>
        </is>
      </c>
      <c r="Q146" s="44" t="n">
        <v>45824</v>
      </c>
      <c r="R146" s="45" t="n">
        <v>4</v>
      </c>
      <c r="S146" s="44" t="n">
        <v>45826</v>
      </c>
    </row>
    <row r="147" ht="12.75" customHeight="1">
      <c r="A147" s="45" t="n"/>
      <c r="B147" s="45" t="n"/>
      <c r="C147" s="45" t="n"/>
      <c r="D147" s="45" t="n"/>
      <c r="E147" s="45" t="n"/>
      <c r="F147" s="45" t="n"/>
      <c r="G147" s="45" t="n"/>
      <c r="H147" s="43" t="n"/>
      <c r="I147" s="45" t="n"/>
      <c r="J147" s="43" t="n">
        <v>452775881517</v>
      </c>
      <c r="K147" s="44" t="n">
        <v>45825</v>
      </c>
      <c r="L147" s="44" t="n">
        <v>45832</v>
      </c>
      <c r="M147" s="45" t="inlineStr">
        <is>
          <t>No</t>
        </is>
      </c>
      <c r="N147" s="45" t="inlineStr">
        <is>
          <t>1 HBL</t>
        </is>
      </c>
      <c r="O147" s="45" t="n"/>
      <c r="P147" s="45" t="inlineStr">
        <is>
          <t>LW</t>
        </is>
      </c>
      <c r="Q147" s="44" t="n">
        <v>45824</v>
      </c>
      <c r="R147" s="45" t="n">
        <v>6</v>
      </c>
      <c r="S147" s="44" t="n">
        <v>45826</v>
      </c>
    </row>
    <row r="148" ht="12.75" customHeight="1">
      <c r="A148" s="45" t="n"/>
      <c r="B148" s="45" t="n"/>
      <c r="C148" s="45" t="n"/>
      <c r="D148" s="45" t="n"/>
      <c r="E148" s="45" t="n"/>
      <c r="F148" s="45" t="n"/>
      <c r="G148" s="45" t="n"/>
      <c r="H148" s="43" t="n"/>
      <c r="I148" s="45" t="n"/>
      <c r="J148" s="43" t="n">
        <v>452776356218</v>
      </c>
      <c r="K148" s="44" t="n">
        <v>45825</v>
      </c>
      <c r="L148" s="44" t="n">
        <v>45832</v>
      </c>
      <c r="M148" s="45" t="inlineStr">
        <is>
          <t>No</t>
        </is>
      </c>
      <c r="N148" s="45" t="inlineStr">
        <is>
          <t>1 HBL</t>
        </is>
      </c>
      <c r="O148" s="45" t="n"/>
      <c r="P148" s="45" t="inlineStr">
        <is>
          <t>LW</t>
        </is>
      </c>
      <c r="Q148" s="44" t="n">
        <v>45824</v>
      </c>
      <c r="R148" s="45" t="n">
        <v>4</v>
      </c>
      <c r="S148" s="44" t="n">
        <v>45826</v>
      </c>
    </row>
    <row r="149" ht="12.75" customHeight="1">
      <c r="A149" s="45" t="n"/>
      <c r="B149" s="45" t="n"/>
      <c r="C149" s="45" t="n"/>
      <c r="D149" s="45" t="n"/>
      <c r="E149" s="45" t="n"/>
      <c r="F149" s="45" t="n"/>
      <c r="G149" s="45" t="n"/>
      <c r="H149" s="43" t="n"/>
      <c r="I149" s="45" t="n"/>
      <c r="J149" s="43" t="n">
        <v>452777186932</v>
      </c>
      <c r="K149" s="44" t="n">
        <v>45825</v>
      </c>
      <c r="L149" s="44" t="n">
        <v>45832</v>
      </c>
      <c r="M149" s="45" t="inlineStr">
        <is>
          <t>No</t>
        </is>
      </c>
      <c r="N149" s="45" t="inlineStr">
        <is>
          <t>1 HBL</t>
        </is>
      </c>
      <c r="O149" s="45" t="n"/>
      <c r="P149" s="45" t="inlineStr">
        <is>
          <t>LW</t>
        </is>
      </c>
      <c r="Q149" s="44" t="n">
        <v>45824</v>
      </c>
      <c r="R149" s="45" t="n">
        <v>4</v>
      </c>
      <c r="S149" s="44" t="n">
        <v>45826</v>
      </c>
    </row>
    <row r="150" ht="12.75" customHeight="1">
      <c r="A150" s="45" t="n"/>
      <c r="B150" s="45" t="n"/>
      <c r="C150" s="45" t="n"/>
      <c r="D150" s="45" t="n"/>
      <c r="E150" s="45" t="n"/>
      <c r="F150" s="45" t="n"/>
      <c r="G150" s="45" t="n"/>
      <c r="H150" s="43" t="n"/>
      <c r="I150" s="45" t="n"/>
      <c r="J150" s="43" t="n">
        <v>452778136068</v>
      </c>
      <c r="K150" s="44" t="n">
        <v>45825</v>
      </c>
      <c r="L150" s="44" t="n">
        <v>45832</v>
      </c>
      <c r="M150" s="45" t="inlineStr">
        <is>
          <t>No</t>
        </is>
      </c>
      <c r="N150" s="45" t="inlineStr">
        <is>
          <t>1 HBL</t>
        </is>
      </c>
      <c r="O150" s="45" t="n"/>
      <c r="P150" s="45" t="inlineStr">
        <is>
          <t>LW</t>
        </is>
      </c>
      <c r="Q150" s="44" t="n">
        <v>45824</v>
      </c>
      <c r="R150" s="45" t="n">
        <v>6</v>
      </c>
      <c r="S150" s="44" t="n">
        <v>45826</v>
      </c>
    </row>
    <row r="151" ht="12.75" customHeight="1">
      <c r="A151" s="45" t="n"/>
      <c r="B151" s="45" t="n"/>
      <c r="C151" s="45" t="n"/>
      <c r="D151" s="45" t="n"/>
      <c r="E151" s="45" t="n"/>
      <c r="F151" s="45" t="n"/>
      <c r="G151" s="45" t="n"/>
      <c r="H151" s="43" t="n"/>
      <c r="I151" s="45" t="n"/>
      <c r="J151" s="43" t="n">
        <v>452778356716</v>
      </c>
      <c r="K151" s="44" t="n">
        <v>45825</v>
      </c>
      <c r="L151" s="44" t="n">
        <v>45832</v>
      </c>
      <c r="M151" s="45" t="inlineStr">
        <is>
          <t>No</t>
        </is>
      </c>
      <c r="N151" s="45" t="inlineStr">
        <is>
          <t>1 HBL</t>
        </is>
      </c>
      <c r="O151" s="45" t="n"/>
      <c r="P151" s="45" t="inlineStr">
        <is>
          <t>LW</t>
        </is>
      </c>
      <c r="Q151" s="44" t="n">
        <v>45824</v>
      </c>
      <c r="R151" s="45" t="n">
        <v>7</v>
      </c>
      <c r="S151" s="44" t="n">
        <v>45826</v>
      </c>
    </row>
    <row r="152" ht="12.75" customHeight="1">
      <c r="A152" s="45" t="n"/>
      <c r="B152" s="45" t="n"/>
      <c r="C152" s="45" t="n"/>
      <c r="D152" s="45" t="n"/>
      <c r="E152" s="45" t="n"/>
      <c r="F152" s="45" t="n"/>
      <c r="G152" s="45" t="n"/>
      <c r="H152" s="43" t="n"/>
      <c r="I152" s="45" t="n"/>
      <c r="J152" s="43" t="n">
        <v>452778857948</v>
      </c>
      <c r="K152" s="44" t="n">
        <v>45825</v>
      </c>
      <c r="L152" s="44" t="n">
        <v>45832</v>
      </c>
      <c r="M152" s="45" t="inlineStr">
        <is>
          <t>No</t>
        </is>
      </c>
      <c r="N152" s="45" t="inlineStr">
        <is>
          <t>1 HBL</t>
        </is>
      </c>
      <c r="O152" s="45" t="n"/>
      <c r="P152" s="45" t="inlineStr">
        <is>
          <t>LW</t>
        </is>
      </c>
      <c r="Q152" s="44" t="n">
        <v>45824</v>
      </c>
      <c r="R152" s="45" t="n">
        <v>4</v>
      </c>
      <c r="S152" s="44" t="n">
        <v>45826</v>
      </c>
    </row>
    <row r="153" ht="12.75" customHeight="1">
      <c r="A153" s="45" t="n"/>
      <c r="B153" s="45" t="n"/>
      <c r="C153" s="45" t="n"/>
      <c r="D153" s="45" t="n"/>
      <c r="E153" s="45" t="n"/>
      <c r="F153" s="45" t="n"/>
      <c r="G153" s="45" t="n"/>
      <c r="H153" s="43" t="n"/>
      <c r="I153" s="45" t="n"/>
      <c r="J153" s="43" t="n">
        <v>452782663921</v>
      </c>
      <c r="K153" s="44" t="n">
        <v>45825</v>
      </c>
      <c r="L153" s="44" t="n">
        <v>45832</v>
      </c>
      <c r="M153" s="45" t="inlineStr">
        <is>
          <t>No</t>
        </is>
      </c>
      <c r="N153" s="45" t="inlineStr">
        <is>
          <t>1 HBL</t>
        </is>
      </c>
      <c r="O153" s="45" t="n"/>
      <c r="P153" s="45" t="inlineStr">
        <is>
          <t>LW</t>
        </is>
      </c>
      <c r="Q153" s="44" t="n">
        <v>45824</v>
      </c>
      <c r="R153" s="45" t="n">
        <v>4</v>
      </c>
      <c r="S153" s="44" t="n">
        <v>45826</v>
      </c>
    </row>
    <row r="154" ht="12.75" customHeight="1">
      <c r="A154" s="45" t="n"/>
      <c r="B154" s="45" t="n"/>
      <c r="C154" s="45" t="n"/>
      <c r="D154" s="45" t="n"/>
      <c r="E154" s="45" t="n"/>
      <c r="F154" s="45" t="n"/>
      <c r="G154" s="45" t="n"/>
      <c r="H154" s="43" t="n"/>
      <c r="I154" s="45" t="n"/>
      <c r="J154" s="43" t="n">
        <v>452848070482</v>
      </c>
      <c r="K154" s="44" t="n">
        <v>45825</v>
      </c>
      <c r="L154" s="44" t="n">
        <v>45832</v>
      </c>
      <c r="M154" s="45" t="inlineStr">
        <is>
          <t>No</t>
        </is>
      </c>
      <c r="N154" s="45" t="inlineStr">
        <is>
          <t>1 HBL</t>
        </is>
      </c>
      <c r="O154" s="45" t="n"/>
      <c r="P154" s="45" t="inlineStr">
        <is>
          <t>LW</t>
        </is>
      </c>
      <c r="Q154" s="44" t="n">
        <v>45824</v>
      </c>
      <c r="R154" s="45" t="n">
        <v>16</v>
      </c>
      <c r="S154" s="44" t="n">
        <v>45826</v>
      </c>
    </row>
    <row r="155" ht="12.75" customHeight="1">
      <c r="A155" s="45" t="n"/>
      <c r="B155" s="45" t="n"/>
      <c r="C155" s="45" t="n"/>
      <c r="D155" s="45" t="n"/>
      <c r="E155" s="45" t="n"/>
      <c r="F155" s="45" t="n"/>
      <c r="G155" s="45" t="n"/>
      <c r="H155" s="43" t="n"/>
      <c r="I155" s="45" t="n"/>
      <c r="J155" s="43" t="n">
        <v>452848241196</v>
      </c>
      <c r="K155" s="44" t="n">
        <v>45825</v>
      </c>
      <c r="L155" s="44" t="n">
        <v>45832</v>
      </c>
      <c r="M155" s="45" t="inlineStr">
        <is>
          <t>No</t>
        </is>
      </c>
      <c r="N155" s="45" t="inlineStr">
        <is>
          <t>1 HBL</t>
        </is>
      </c>
      <c r="O155" s="45" t="n"/>
      <c r="P155" s="45" t="inlineStr">
        <is>
          <t>LW</t>
        </is>
      </c>
      <c r="Q155" s="44" t="n">
        <v>45824</v>
      </c>
      <c r="R155" s="45" t="n">
        <v>1</v>
      </c>
      <c r="S155" s="44" t="n">
        <v>45826</v>
      </c>
    </row>
    <row r="156" ht="12.75" customHeight="1">
      <c r="A156" s="45" t="n"/>
      <c r="B156" s="45" t="n"/>
      <c r="C156" s="45" t="n"/>
      <c r="D156" s="45" t="n"/>
      <c r="E156" s="45" t="n"/>
      <c r="F156" s="45" t="n"/>
      <c r="G156" s="45" t="n"/>
      <c r="H156" s="43" t="n"/>
      <c r="I156" s="45" t="n"/>
      <c r="J156" s="43" t="n">
        <v>452849279925</v>
      </c>
      <c r="K156" s="44" t="n">
        <v>45825</v>
      </c>
      <c r="L156" s="44" t="n">
        <v>45832</v>
      </c>
      <c r="M156" s="45" t="inlineStr">
        <is>
          <t>No</t>
        </is>
      </c>
      <c r="N156" s="45" t="inlineStr">
        <is>
          <t>1 HBL</t>
        </is>
      </c>
      <c r="O156" s="45" t="n"/>
      <c r="P156" s="45" t="inlineStr">
        <is>
          <t>LW</t>
        </is>
      </c>
      <c r="Q156" s="44" t="n">
        <v>45824</v>
      </c>
      <c r="R156" s="45" t="n">
        <v>3</v>
      </c>
      <c r="S156" s="44" t="n">
        <v>45826</v>
      </c>
    </row>
    <row r="157" ht="12.75" customHeight="1">
      <c r="A157" s="45" t="n"/>
      <c r="B157" s="45" t="n"/>
      <c r="C157" s="45" t="n"/>
      <c r="D157" s="45" t="n"/>
      <c r="E157" s="45" t="n"/>
      <c r="F157" s="45" t="n"/>
      <c r="G157" s="45" t="n"/>
      <c r="H157" s="43" t="n"/>
      <c r="I157" s="45" t="n"/>
      <c r="J157" s="43" t="n">
        <v>452850338711</v>
      </c>
      <c r="K157" s="44" t="n">
        <v>45825</v>
      </c>
      <c r="L157" s="44" t="n">
        <v>45832</v>
      </c>
      <c r="M157" s="45" t="inlineStr">
        <is>
          <t>No</t>
        </is>
      </c>
      <c r="N157" s="45" t="inlineStr">
        <is>
          <t>1 HBL</t>
        </is>
      </c>
      <c r="O157" s="45" t="n"/>
      <c r="P157" s="45" t="inlineStr">
        <is>
          <t>LW</t>
        </is>
      </c>
      <c r="Q157" s="44" t="n">
        <v>45824</v>
      </c>
      <c r="R157" s="45" t="n">
        <v>4</v>
      </c>
      <c r="S157" s="44" t="n">
        <v>45826</v>
      </c>
    </row>
    <row r="158" ht="12.75" customHeight="1">
      <c r="A158" s="45" t="n"/>
      <c r="B158" s="45" t="n"/>
      <c r="C158" s="45" t="n"/>
      <c r="D158" s="45" t="n"/>
      <c r="E158" s="45" t="n"/>
      <c r="F158" s="45" t="n"/>
      <c r="G158" s="45" t="n"/>
      <c r="H158" s="43" t="n"/>
      <c r="I158" s="45" t="n"/>
      <c r="J158" s="43" t="n">
        <v>452851676008</v>
      </c>
      <c r="K158" s="44" t="n">
        <v>45825</v>
      </c>
      <c r="L158" s="44" t="n">
        <v>45832</v>
      </c>
      <c r="M158" s="45" t="inlineStr">
        <is>
          <t>No</t>
        </is>
      </c>
      <c r="N158" s="45" t="inlineStr">
        <is>
          <t>1 HBL</t>
        </is>
      </c>
      <c r="O158" s="45" t="n"/>
      <c r="P158" s="45" t="inlineStr">
        <is>
          <t>LW</t>
        </is>
      </c>
      <c r="Q158" s="44" t="n">
        <v>45824</v>
      </c>
      <c r="R158" s="45" t="n">
        <v>4</v>
      </c>
      <c r="S158" s="44" t="n">
        <v>45826</v>
      </c>
    </row>
    <row r="159" ht="12.75" customHeight="1">
      <c r="A159" s="45" t="n"/>
      <c r="B159" s="45" t="n"/>
      <c r="C159" s="45" t="n"/>
      <c r="D159" s="45" t="n"/>
      <c r="E159" s="45" t="n"/>
      <c r="F159" s="45" t="n"/>
      <c r="G159" s="45" t="n"/>
      <c r="H159" s="43" t="n"/>
      <c r="I159" s="44" t="inlineStr">
        <is>
          <t>BRANDIX APPAREL SOLUTION LTD - GIRITALE</t>
        </is>
      </c>
      <c r="J159" s="43" t="n">
        <v>451988861192</v>
      </c>
      <c r="K159" s="44" t="n">
        <v>45825</v>
      </c>
      <c r="L159" s="44" t="n">
        <v>45832</v>
      </c>
      <c r="M159" s="45" t="inlineStr">
        <is>
          <t>No</t>
        </is>
      </c>
      <c r="N159" s="45" t="inlineStr">
        <is>
          <t>1 HBL</t>
        </is>
      </c>
      <c r="O159" s="45" t="n"/>
      <c r="P159" s="45" t="inlineStr">
        <is>
          <t>LW</t>
        </is>
      </c>
      <c r="Q159" s="44" t="n">
        <v>45824</v>
      </c>
      <c r="R159" s="45" t="n">
        <v>7</v>
      </c>
      <c r="S159" s="44" t="n">
        <v>45826</v>
      </c>
    </row>
    <row r="160" ht="12.75" customHeight="1">
      <c r="A160" s="45" t="n"/>
      <c r="B160" s="45" t="n"/>
      <c r="C160" s="45" t="n"/>
      <c r="D160" s="45" t="n"/>
      <c r="E160" s="45" t="n"/>
      <c r="F160" s="45" t="n"/>
      <c r="G160" s="45" t="n"/>
      <c r="H160" s="43" t="n"/>
      <c r="I160" s="45" t="n"/>
      <c r="J160" s="43" t="n">
        <v>451989839084</v>
      </c>
      <c r="K160" s="44" t="n">
        <v>45825</v>
      </c>
      <c r="L160" s="44" t="n">
        <v>45832</v>
      </c>
      <c r="M160" s="45" t="inlineStr">
        <is>
          <t>No</t>
        </is>
      </c>
      <c r="N160" s="45" t="inlineStr">
        <is>
          <t>1 HBL</t>
        </is>
      </c>
      <c r="O160" s="45" t="n"/>
      <c r="P160" s="45" t="inlineStr">
        <is>
          <t>LW</t>
        </is>
      </c>
      <c r="Q160" s="44" t="n">
        <v>45824</v>
      </c>
      <c r="R160" s="45" t="n">
        <v>4</v>
      </c>
      <c r="S160" s="44" t="n">
        <v>45826</v>
      </c>
    </row>
    <row r="161" ht="12.75" customHeight="1">
      <c r="A161" s="45" t="n"/>
      <c r="B161" s="45" t="n"/>
      <c r="C161" s="45" t="n"/>
      <c r="D161" s="45" t="n"/>
      <c r="E161" s="45" t="n"/>
      <c r="F161" s="45" t="n"/>
      <c r="G161" s="45" t="n"/>
      <c r="H161" s="43" t="n"/>
      <c r="I161" s="45" t="n"/>
      <c r="J161" s="43" t="n">
        <v>451995535808</v>
      </c>
      <c r="K161" s="44" t="n">
        <v>45825</v>
      </c>
      <c r="L161" s="44" t="n">
        <v>45832</v>
      </c>
      <c r="M161" s="45" t="inlineStr">
        <is>
          <t>No</t>
        </is>
      </c>
      <c r="N161" s="45" t="inlineStr">
        <is>
          <t>1 HBL</t>
        </is>
      </c>
      <c r="O161" s="45" t="n"/>
      <c r="P161" s="45" t="inlineStr">
        <is>
          <t>LW</t>
        </is>
      </c>
      <c r="Q161" s="44" t="n">
        <v>45824</v>
      </c>
      <c r="R161" s="45" t="n">
        <v>8</v>
      </c>
      <c r="S161" s="44" t="n">
        <v>45826</v>
      </c>
    </row>
    <row r="162" ht="12.75" customHeight="1">
      <c r="A162" s="45" t="n"/>
      <c r="B162" s="45" t="n"/>
      <c r="C162" s="45" t="n"/>
      <c r="D162" s="45" t="n"/>
      <c r="E162" s="45" t="n"/>
      <c r="F162" s="45" t="n"/>
      <c r="G162" s="45" t="n"/>
      <c r="H162" s="43" t="n"/>
      <c r="I162" s="45" t="n"/>
      <c r="J162" s="43" t="n">
        <v>452504526441</v>
      </c>
      <c r="K162" s="44" t="n">
        <v>45825</v>
      </c>
      <c r="L162" s="44" t="n">
        <v>45832</v>
      </c>
      <c r="M162" s="45" t="inlineStr">
        <is>
          <t>No</t>
        </is>
      </c>
      <c r="N162" s="45" t="inlineStr">
        <is>
          <t>1 HBL</t>
        </is>
      </c>
      <c r="O162" s="45" t="n"/>
      <c r="P162" s="45" t="inlineStr">
        <is>
          <t>LW</t>
        </is>
      </c>
      <c r="Q162" s="44" t="n">
        <v>45824</v>
      </c>
      <c r="R162" s="45" t="n">
        <v>4</v>
      </c>
      <c r="S162" s="44" t="n">
        <v>45826</v>
      </c>
    </row>
    <row r="163" ht="12.75" customHeight="1">
      <c r="A163" s="45" t="n"/>
      <c r="B163" s="45" t="n"/>
      <c r="C163" s="45" t="n"/>
      <c r="D163" s="45" t="n"/>
      <c r="E163" s="45" t="n"/>
      <c r="F163" s="45" t="n"/>
      <c r="G163" s="45" t="n"/>
      <c r="H163" s="43" t="n"/>
      <c r="I163" s="45" t="n"/>
      <c r="J163" s="43" t="n">
        <v>452507248363</v>
      </c>
      <c r="K163" s="44" t="n">
        <v>45825</v>
      </c>
      <c r="L163" s="44" t="n">
        <v>45832</v>
      </c>
      <c r="M163" s="45" t="inlineStr">
        <is>
          <t>No</t>
        </is>
      </c>
      <c r="N163" s="45" t="inlineStr">
        <is>
          <t>1 HBL</t>
        </is>
      </c>
      <c r="O163" s="45" t="n"/>
      <c r="P163" s="45" t="inlineStr">
        <is>
          <t>LW</t>
        </is>
      </c>
      <c r="Q163" s="44" t="n">
        <v>45824</v>
      </c>
      <c r="R163" s="45" t="n">
        <v>11</v>
      </c>
      <c r="S163" s="44" t="n">
        <v>45826</v>
      </c>
    </row>
    <row r="164" ht="12.75" customHeight="1">
      <c r="A164" s="45" t="n"/>
      <c r="B164" s="45" t="n"/>
      <c r="C164" s="45" t="n"/>
      <c r="D164" s="45" t="n"/>
      <c r="E164" s="45" t="n"/>
      <c r="F164" s="45" t="n"/>
      <c r="G164" s="45" t="n"/>
      <c r="H164" s="43" t="n"/>
      <c r="I164" s="45" t="n"/>
      <c r="J164" s="43" t="n">
        <v>452510246609</v>
      </c>
      <c r="K164" s="44" t="n">
        <v>45825</v>
      </c>
      <c r="L164" s="44" t="n">
        <v>45832</v>
      </c>
      <c r="M164" s="45" t="inlineStr">
        <is>
          <t>No</t>
        </is>
      </c>
      <c r="N164" s="45" t="inlineStr">
        <is>
          <t>1 HBL</t>
        </is>
      </c>
      <c r="O164" s="45" t="n"/>
      <c r="P164" s="45" t="inlineStr">
        <is>
          <t>LW</t>
        </is>
      </c>
      <c r="Q164" s="44" t="n">
        <v>45824</v>
      </c>
      <c r="R164" s="45" t="n">
        <v>10</v>
      </c>
      <c r="S164" s="44" t="n">
        <v>45826</v>
      </c>
    </row>
    <row r="165" ht="12.75" customHeight="1">
      <c r="A165" s="45" t="n"/>
      <c r="B165" s="45" t="n"/>
      <c r="C165" s="45" t="n"/>
      <c r="D165" s="45" t="n"/>
      <c r="E165" s="45" t="n"/>
      <c r="F165" s="45" t="n"/>
      <c r="G165" s="45" t="n"/>
      <c r="H165" s="43" t="n"/>
      <c r="I165" s="45" t="n"/>
      <c r="J165" s="43" t="n">
        <v>452510849438</v>
      </c>
      <c r="K165" s="44" t="n">
        <v>45825</v>
      </c>
      <c r="L165" s="44" t="n">
        <v>45832</v>
      </c>
      <c r="M165" s="45" t="inlineStr">
        <is>
          <t>No</t>
        </is>
      </c>
      <c r="N165" s="45" t="inlineStr">
        <is>
          <t>1 HBL</t>
        </is>
      </c>
      <c r="O165" s="45" t="n"/>
      <c r="P165" s="45" t="inlineStr">
        <is>
          <t>LW</t>
        </is>
      </c>
      <c r="Q165" s="44" t="n">
        <v>45824</v>
      </c>
      <c r="R165" s="45" t="n">
        <v>20</v>
      </c>
      <c r="S165" s="44" t="n">
        <v>45826</v>
      </c>
    </row>
    <row r="166" ht="12.75" customHeight="1">
      <c r="A166" s="45" t="n"/>
      <c r="B166" s="45" t="n"/>
      <c r="C166" s="45" t="n"/>
      <c r="D166" s="45" t="n"/>
      <c r="E166" s="45" t="n"/>
      <c r="F166" s="45" t="n"/>
      <c r="G166" s="45" t="n"/>
      <c r="H166" s="43" t="n"/>
      <c r="I166" s="45" t="n"/>
      <c r="J166" s="43" t="n">
        <v>452510849936</v>
      </c>
      <c r="K166" s="44" t="n">
        <v>45825</v>
      </c>
      <c r="L166" s="44" t="n">
        <v>45832</v>
      </c>
      <c r="M166" s="45" t="inlineStr">
        <is>
          <t>No</t>
        </is>
      </c>
      <c r="N166" s="45" t="inlineStr">
        <is>
          <t>1 HBL</t>
        </is>
      </c>
      <c r="O166" s="45" t="n"/>
      <c r="P166" s="45" t="inlineStr">
        <is>
          <t>LW</t>
        </is>
      </c>
      <c r="Q166" s="44" t="n">
        <v>45824</v>
      </c>
      <c r="R166" s="45" t="n">
        <v>3</v>
      </c>
      <c r="S166" s="44" t="n">
        <v>45826</v>
      </c>
    </row>
    <row r="167" ht="12.75" customHeight="1">
      <c r="A167" s="45" t="n"/>
      <c r="B167" s="45" t="n"/>
      <c r="C167" s="45" t="n"/>
      <c r="D167" s="45" t="n"/>
      <c r="E167" s="45" t="n"/>
      <c r="F167" s="45" t="n"/>
      <c r="G167" s="45" t="n"/>
      <c r="H167" s="43" t="n"/>
      <c r="I167" s="45" t="n"/>
      <c r="J167" s="43" t="n">
        <v>452511203202</v>
      </c>
      <c r="K167" s="44" t="n">
        <v>45825</v>
      </c>
      <c r="L167" s="44" t="n">
        <v>45832</v>
      </c>
      <c r="M167" s="45" t="inlineStr">
        <is>
          <t>No</t>
        </is>
      </c>
      <c r="N167" s="45" t="inlineStr">
        <is>
          <t>1 HBL</t>
        </is>
      </c>
      <c r="O167" s="45" t="n"/>
      <c r="P167" s="45" t="inlineStr">
        <is>
          <t>LW</t>
        </is>
      </c>
      <c r="Q167" s="44" t="n">
        <v>45824</v>
      </c>
      <c r="R167" s="45" t="n">
        <v>5</v>
      </c>
      <c r="S167" s="44" t="n">
        <v>45826</v>
      </c>
    </row>
    <row r="168" ht="12.75" customHeight="1">
      <c r="A168" s="45" t="n"/>
      <c r="B168" s="45" t="n"/>
      <c r="C168" s="45" t="n"/>
      <c r="D168" s="45" t="n"/>
      <c r="E168" s="45" t="n"/>
      <c r="F168" s="45" t="n"/>
      <c r="G168" s="45" t="n"/>
      <c r="H168" s="43" t="n"/>
      <c r="I168" s="45" t="n"/>
      <c r="J168" s="43" t="n">
        <v>452511415477</v>
      </c>
      <c r="K168" s="44" t="n">
        <v>45825</v>
      </c>
      <c r="L168" s="44" t="n">
        <v>45832</v>
      </c>
      <c r="M168" s="45" t="inlineStr">
        <is>
          <t>No</t>
        </is>
      </c>
      <c r="N168" s="45" t="inlineStr">
        <is>
          <t>1 HBL</t>
        </is>
      </c>
      <c r="O168" s="45" t="n"/>
      <c r="P168" s="45" t="inlineStr">
        <is>
          <t>LW</t>
        </is>
      </c>
      <c r="Q168" s="44" t="n">
        <v>45824</v>
      </c>
      <c r="R168" s="45" t="n">
        <v>7</v>
      </c>
      <c r="S168" s="44" t="n">
        <v>45826</v>
      </c>
    </row>
    <row r="169" ht="12.75" customHeight="1">
      <c r="A169" s="45" t="n"/>
      <c r="B169" s="45" t="n"/>
      <c r="C169" s="45" t="n"/>
      <c r="D169" s="45" t="n"/>
      <c r="E169" s="45" t="n"/>
      <c r="F169" s="45" t="n"/>
      <c r="G169" s="45" t="n"/>
      <c r="H169" s="43" t="n"/>
      <c r="I169" s="45" t="n"/>
      <c r="J169" s="43" t="n">
        <v>452512005389</v>
      </c>
      <c r="K169" s="44" t="n">
        <v>45825</v>
      </c>
      <c r="L169" s="44" t="n">
        <v>45832</v>
      </c>
      <c r="M169" s="45" t="inlineStr">
        <is>
          <t>No</t>
        </is>
      </c>
      <c r="N169" s="45" t="inlineStr">
        <is>
          <t>1 HBL</t>
        </is>
      </c>
      <c r="O169" s="45" t="n"/>
      <c r="P169" s="45" t="inlineStr">
        <is>
          <t>LW</t>
        </is>
      </c>
      <c r="Q169" s="44" t="n">
        <v>45824</v>
      </c>
      <c r="R169" s="45" t="n">
        <v>9</v>
      </c>
      <c r="S169" s="44" t="n">
        <v>45826</v>
      </c>
    </row>
    <row r="170" ht="12.75" customHeight="1">
      <c r="A170" s="45" t="n"/>
      <c r="B170" s="45" t="n"/>
      <c r="C170" s="45" t="n"/>
      <c r="D170" s="45" t="n"/>
      <c r="E170" s="45" t="n"/>
      <c r="F170" s="45" t="n"/>
      <c r="G170" s="45" t="n"/>
      <c r="H170" s="43" t="n"/>
      <c r="I170" s="45" t="n"/>
      <c r="J170" s="43" t="n">
        <v>452512384989</v>
      </c>
      <c r="K170" s="44" t="n">
        <v>45825</v>
      </c>
      <c r="L170" s="44" t="n">
        <v>45832</v>
      </c>
      <c r="M170" s="45" t="inlineStr">
        <is>
          <t>No</t>
        </is>
      </c>
      <c r="N170" s="45" t="inlineStr">
        <is>
          <t>1 HBL</t>
        </is>
      </c>
      <c r="O170" s="45" t="n"/>
      <c r="P170" s="45" t="inlineStr">
        <is>
          <t>LW</t>
        </is>
      </c>
      <c r="Q170" s="44" t="n">
        <v>45824</v>
      </c>
      <c r="R170" s="45" t="n">
        <v>5</v>
      </c>
      <c r="S170" s="44" t="n">
        <v>45826</v>
      </c>
    </row>
    <row r="171" ht="12.75" customHeight="1">
      <c r="A171" s="45" t="n"/>
      <c r="B171" s="45" t="n"/>
      <c r="C171" s="45" t="n"/>
      <c r="D171" s="45" t="n"/>
      <c r="E171" s="45" t="n"/>
      <c r="F171" s="45" t="n"/>
      <c r="G171" s="45" t="n"/>
      <c r="H171" s="43" t="n"/>
      <c r="I171" s="45" t="n"/>
      <c r="J171" s="43" t="n">
        <v>452513362362</v>
      </c>
      <c r="K171" s="44" t="n">
        <v>45825</v>
      </c>
      <c r="L171" s="44" t="n">
        <v>45832</v>
      </c>
      <c r="M171" s="45" t="inlineStr">
        <is>
          <t>No</t>
        </is>
      </c>
      <c r="N171" s="45" t="inlineStr">
        <is>
          <t>1 HBL</t>
        </is>
      </c>
      <c r="O171" s="45" t="n"/>
      <c r="P171" s="45" t="inlineStr">
        <is>
          <t>LW</t>
        </is>
      </c>
      <c r="Q171" s="44" t="n">
        <v>45824</v>
      </c>
      <c r="R171" s="45" t="n">
        <v>5</v>
      </c>
      <c r="S171" s="44" t="n">
        <v>45826</v>
      </c>
    </row>
    <row r="172" ht="12.75" customHeight="1">
      <c r="A172" s="45" t="n"/>
      <c r="B172" s="45" t="n"/>
      <c r="C172" s="45" t="n"/>
      <c r="D172" s="45" t="n"/>
      <c r="E172" s="45" t="n"/>
      <c r="F172" s="45" t="n"/>
      <c r="G172" s="45" t="n"/>
      <c r="H172" s="43" t="n"/>
      <c r="I172" s="45" t="n"/>
      <c r="J172" s="43" t="n">
        <v>452514184896</v>
      </c>
      <c r="K172" s="44" t="n">
        <v>45825</v>
      </c>
      <c r="L172" s="44" t="n">
        <v>45832</v>
      </c>
      <c r="M172" s="45" t="inlineStr">
        <is>
          <t>No</t>
        </is>
      </c>
      <c r="N172" s="45" t="inlineStr">
        <is>
          <t>1 HBL</t>
        </is>
      </c>
      <c r="O172" s="45" t="n"/>
      <c r="P172" s="45" t="inlineStr">
        <is>
          <t>LW</t>
        </is>
      </c>
      <c r="Q172" s="44" t="n">
        <v>45824</v>
      </c>
      <c r="R172" s="45" t="n">
        <v>9</v>
      </c>
      <c r="S172" s="44" t="n">
        <v>45826</v>
      </c>
    </row>
    <row r="173" ht="12.75" customHeight="1">
      <c r="A173" s="45" t="n"/>
      <c r="B173" s="45" t="n"/>
      <c r="C173" s="45" t="n"/>
      <c r="D173" s="45" t="n"/>
      <c r="E173" s="45" t="n"/>
      <c r="F173" s="45" t="n"/>
      <c r="G173" s="45" t="n"/>
      <c r="H173" s="43" t="n"/>
      <c r="I173" s="45" t="n"/>
      <c r="J173" s="43" t="n">
        <v>452514187247</v>
      </c>
      <c r="K173" s="44" t="n">
        <v>45825</v>
      </c>
      <c r="L173" s="44" t="n">
        <v>45832</v>
      </c>
      <c r="M173" s="45" t="inlineStr">
        <is>
          <t>No</t>
        </is>
      </c>
      <c r="N173" s="45" t="inlineStr">
        <is>
          <t>1 HBL</t>
        </is>
      </c>
      <c r="O173" s="45" t="n"/>
      <c r="P173" s="45" t="inlineStr">
        <is>
          <t>LW</t>
        </is>
      </c>
      <c r="Q173" s="44" t="n">
        <v>45824</v>
      </c>
      <c r="R173" s="45" t="n">
        <v>4</v>
      </c>
      <c r="S173" s="44" t="n">
        <v>45826</v>
      </c>
    </row>
    <row r="174" ht="12.75" customHeight="1">
      <c r="A174" s="45" t="n"/>
      <c r="B174" s="45" t="n"/>
      <c r="C174" s="45" t="n"/>
      <c r="D174" s="45" t="n"/>
      <c r="E174" s="45" t="n"/>
      <c r="F174" s="45" t="n"/>
      <c r="G174" s="45" t="n"/>
      <c r="H174" s="43" t="n"/>
      <c r="I174" s="45" t="n"/>
      <c r="J174" s="43" t="n">
        <v>452514909602</v>
      </c>
      <c r="K174" s="44" t="n">
        <v>45825</v>
      </c>
      <c r="L174" s="44" t="n">
        <v>45832</v>
      </c>
      <c r="M174" s="45" t="inlineStr">
        <is>
          <t>No</t>
        </is>
      </c>
      <c r="N174" s="45" t="inlineStr">
        <is>
          <t>1 HBL</t>
        </is>
      </c>
      <c r="O174" s="45" t="n"/>
      <c r="P174" s="45" t="inlineStr">
        <is>
          <t>LW</t>
        </is>
      </c>
      <c r="Q174" s="44" t="n">
        <v>45824</v>
      </c>
      <c r="R174" s="45" t="n">
        <v>4</v>
      </c>
      <c r="S174" s="44" t="n">
        <v>45826</v>
      </c>
    </row>
    <row r="175" ht="12.75" customHeight="1">
      <c r="A175" s="45" t="n"/>
      <c r="B175" s="45" t="n"/>
      <c r="C175" s="45" t="n"/>
      <c r="D175" s="45" t="n"/>
      <c r="E175" s="45" t="n"/>
      <c r="F175" s="45" t="n"/>
      <c r="G175" s="45" t="n"/>
      <c r="H175" s="43" t="n"/>
      <c r="I175" s="45" t="n"/>
      <c r="J175" s="43" t="n">
        <v>452665810522</v>
      </c>
      <c r="K175" s="44" t="n">
        <v>45825</v>
      </c>
      <c r="L175" s="44" t="n">
        <v>45832</v>
      </c>
      <c r="M175" s="45" t="inlineStr">
        <is>
          <t>No</t>
        </is>
      </c>
      <c r="N175" s="45" t="inlineStr">
        <is>
          <t>1 HBL</t>
        </is>
      </c>
      <c r="O175" s="45" t="n"/>
      <c r="P175" s="45" t="inlineStr">
        <is>
          <t>LW</t>
        </is>
      </c>
      <c r="Q175" s="44" t="n">
        <v>45824</v>
      </c>
      <c r="R175" s="45" t="n">
        <v>4</v>
      </c>
      <c r="S175" s="44" t="n">
        <v>45826</v>
      </c>
    </row>
    <row r="176" ht="12.75" customHeight="1">
      <c r="A176" s="45" t="n"/>
      <c r="B176" s="45" t="n"/>
      <c r="C176" s="45" t="n"/>
      <c r="D176" s="45" t="n"/>
      <c r="E176" s="45" t="n"/>
      <c r="F176" s="45" t="n"/>
      <c r="G176" s="45" t="n"/>
      <c r="H176" s="43" t="n"/>
      <c r="I176" s="45" t="n"/>
      <c r="J176" s="43" t="n">
        <v>452666085643</v>
      </c>
      <c r="K176" s="44" t="n">
        <v>45825</v>
      </c>
      <c r="L176" s="44" t="n">
        <v>45832</v>
      </c>
      <c r="M176" s="45" t="inlineStr">
        <is>
          <t>No</t>
        </is>
      </c>
      <c r="N176" s="45" t="inlineStr">
        <is>
          <t>1 HBL</t>
        </is>
      </c>
      <c r="O176" s="45" t="n"/>
      <c r="P176" s="45" t="inlineStr">
        <is>
          <t>LW</t>
        </is>
      </c>
      <c r="Q176" s="44" t="n">
        <v>45824</v>
      </c>
      <c r="R176" s="45" t="n">
        <v>2</v>
      </c>
      <c r="S176" s="44" t="n">
        <v>45826</v>
      </c>
    </row>
    <row r="177" ht="12.75" customHeight="1">
      <c r="A177" s="45" t="n"/>
      <c r="B177" s="45" t="n"/>
      <c r="C177" s="45" t="n"/>
      <c r="D177" s="45" t="n"/>
      <c r="E177" s="45" t="n"/>
      <c r="F177" s="45" t="n"/>
      <c r="G177" s="45" t="n"/>
      <c r="H177" s="43" t="n"/>
      <c r="I177" s="44" t="inlineStr">
        <is>
          <t>Brandix Apparel Solutions Limited - Minuwangoda</t>
        </is>
      </c>
      <c r="J177" s="43" t="n">
        <v>452020198265</v>
      </c>
      <c r="K177" s="44" t="n">
        <v>45825</v>
      </c>
      <c r="L177" s="44" t="n">
        <v>45832</v>
      </c>
      <c r="M177" s="45" t="inlineStr">
        <is>
          <t>No</t>
        </is>
      </c>
      <c r="N177" s="45" t="inlineStr">
        <is>
          <t>1 HBL</t>
        </is>
      </c>
      <c r="O177" s="45" t="n"/>
      <c r="P177" s="45" t="inlineStr">
        <is>
          <t>LW</t>
        </is>
      </c>
      <c r="Q177" s="44" t="n">
        <v>45824</v>
      </c>
      <c r="R177" s="45" t="n">
        <v>14</v>
      </c>
      <c r="S177" s="44" t="n">
        <v>45826</v>
      </c>
    </row>
    <row r="178" ht="12.75" customHeight="1">
      <c r="A178" s="45" t="n"/>
      <c r="B178" s="45" t="n"/>
      <c r="C178" s="45" t="n"/>
      <c r="D178" s="45" t="n"/>
      <c r="E178" s="45" t="n"/>
      <c r="F178" s="45" t="n"/>
      <c r="G178" s="45" t="n"/>
      <c r="H178" s="43" t="n"/>
      <c r="I178" s="45" t="n"/>
      <c r="J178" s="43" t="n">
        <v>452020642697</v>
      </c>
      <c r="K178" s="44" t="n">
        <v>45825</v>
      </c>
      <c r="L178" s="44" t="n">
        <v>45832</v>
      </c>
      <c r="M178" s="45" t="inlineStr">
        <is>
          <t>No</t>
        </is>
      </c>
      <c r="N178" s="45" t="inlineStr">
        <is>
          <t>1 HBL</t>
        </is>
      </c>
      <c r="O178" s="45" t="n"/>
      <c r="P178" s="45" t="inlineStr">
        <is>
          <t>LW</t>
        </is>
      </c>
      <c r="Q178" s="44" t="n">
        <v>45824</v>
      </c>
      <c r="R178" s="45" t="n">
        <v>8</v>
      </c>
      <c r="S178" s="44" t="n">
        <v>45826</v>
      </c>
    </row>
    <row r="179" ht="12.75" customHeight="1">
      <c r="A179" s="45" t="n"/>
      <c r="B179" s="45" t="n"/>
      <c r="C179" s="45" t="n"/>
      <c r="D179" s="45" t="n"/>
      <c r="E179" s="45" t="n"/>
      <c r="F179" s="45" t="n"/>
      <c r="G179" s="45" t="n"/>
      <c r="H179" s="43" t="n"/>
      <c r="I179" s="45" t="n"/>
      <c r="J179" s="43" t="n">
        <v>452021328446</v>
      </c>
      <c r="K179" s="44" t="n">
        <v>45825</v>
      </c>
      <c r="L179" s="44" t="n">
        <v>45832</v>
      </c>
      <c r="M179" s="45" t="inlineStr">
        <is>
          <t>No</t>
        </is>
      </c>
      <c r="N179" s="45" t="inlineStr">
        <is>
          <t>1 HBL</t>
        </is>
      </c>
      <c r="O179" s="45" t="n"/>
      <c r="P179" s="45" t="inlineStr">
        <is>
          <t>LW</t>
        </is>
      </c>
      <c r="Q179" s="44" t="n">
        <v>45824</v>
      </c>
      <c r="R179" s="45" t="n">
        <v>6</v>
      </c>
      <c r="S179" s="44" t="n">
        <v>45826</v>
      </c>
    </row>
    <row r="180" ht="12.75" customHeight="1">
      <c r="A180" s="45" t="n"/>
      <c r="B180" s="45" t="n"/>
      <c r="C180" s="45" t="n"/>
      <c r="D180" s="45" t="n"/>
      <c r="E180" s="45" t="n"/>
      <c r="F180" s="45" t="n"/>
      <c r="G180" s="45" t="n"/>
      <c r="H180" s="43" t="n"/>
      <c r="I180" s="45" t="n"/>
      <c r="J180" s="43" t="n">
        <v>452521848044</v>
      </c>
      <c r="K180" s="44" t="n">
        <v>45825</v>
      </c>
      <c r="L180" s="44" t="n">
        <v>45832</v>
      </c>
      <c r="M180" s="45" t="inlineStr">
        <is>
          <t>No</t>
        </is>
      </c>
      <c r="N180" s="45" t="inlineStr">
        <is>
          <t>1 HBL</t>
        </is>
      </c>
      <c r="O180" s="45" t="n"/>
      <c r="P180" s="45" t="inlineStr">
        <is>
          <t>LW</t>
        </is>
      </c>
      <c r="Q180" s="44" t="n">
        <v>45824</v>
      </c>
      <c r="R180" s="45" t="n">
        <v>25</v>
      </c>
      <c r="S180" s="44" t="n">
        <v>45826</v>
      </c>
    </row>
    <row r="181" ht="12.75" customHeight="1">
      <c r="A181" s="45" t="n"/>
      <c r="B181" s="45" t="n"/>
      <c r="C181" s="45" t="n"/>
      <c r="D181" s="45" t="n"/>
      <c r="E181" s="45" t="n"/>
      <c r="F181" s="45" t="n"/>
      <c r="G181" s="45" t="n"/>
      <c r="H181" s="43" t="n"/>
      <c r="I181" s="44" t="inlineStr">
        <is>
          <t>MAS Active (Pvt) Ltd – Sleekline</t>
        </is>
      </c>
      <c r="J181" s="43" t="n">
        <v>452842141320</v>
      </c>
      <c r="K181" s="44" t="n">
        <v>45825</v>
      </c>
      <c r="L181" s="44" t="n">
        <v>45832</v>
      </c>
      <c r="M181" s="45" t="inlineStr">
        <is>
          <t>No</t>
        </is>
      </c>
      <c r="N181" s="45" t="inlineStr">
        <is>
          <t>1 HBL</t>
        </is>
      </c>
      <c r="O181" s="45" t="n"/>
      <c r="P181" s="45" t="inlineStr">
        <is>
          <t>LW</t>
        </is>
      </c>
      <c r="Q181" s="44" t="n">
        <v>45824</v>
      </c>
      <c r="R181" s="45" t="n">
        <v>3</v>
      </c>
      <c r="S181" s="44" t="n">
        <v>45826</v>
      </c>
    </row>
    <row r="182" ht="12.75" customHeight="1">
      <c r="A182" s="45" t="n"/>
      <c r="B182" s="45" t="n"/>
      <c r="C182" s="45" t="n"/>
      <c r="D182" s="45" t="n"/>
      <c r="E182" s="45" t="n"/>
      <c r="F182" s="45" t="n"/>
      <c r="G182" s="45" t="n"/>
      <c r="H182" s="43" t="n"/>
      <c r="I182" s="45" t="n"/>
      <c r="J182" s="43" t="n">
        <v>452843102834</v>
      </c>
      <c r="K182" s="44" t="n">
        <v>45825</v>
      </c>
      <c r="L182" s="44" t="n">
        <v>45832</v>
      </c>
      <c r="M182" s="45" t="inlineStr">
        <is>
          <t>No</t>
        </is>
      </c>
      <c r="N182" s="45" t="inlineStr">
        <is>
          <t>1 HBL</t>
        </is>
      </c>
      <c r="O182" s="45" t="n"/>
      <c r="P182" s="45" t="inlineStr">
        <is>
          <t>LW</t>
        </is>
      </c>
      <c r="Q182" s="44" t="n">
        <v>45824</v>
      </c>
      <c r="R182" s="45" t="n">
        <v>3</v>
      </c>
      <c r="S182" s="44" t="n">
        <v>45826</v>
      </c>
    </row>
    <row r="183" ht="12.75" customHeight="1">
      <c r="A183" s="45" t="n"/>
      <c r="B183" s="45" t="n"/>
      <c r="C183" s="45" t="n"/>
      <c r="D183" s="45" t="n"/>
      <c r="E183" s="45" t="n"/>
      <c r="F183" s="45" t="n"/>
      <c r="G183" s="45" t="n"/>
      <c r="H183" s="43" t="n"/>
      <c r="I183" s="45" t="n"/>
      <c r="J183" s="43" t="n">
        <v>452843168146</v>
      </c>
      <c r="K183" s="44" t="n">
        <v>45825</v>
      </c>
      <c r="L183" s="44" t="n">
        <v>45832</v>
      </c>
      <c r="M183" s="45" t="inlineStr">
        <is>
          <t>No</t>
        </is>
      </c>
      <c r="N183" s="45" t="inlineStr">
        <is>
          <t>1 HBL</t>
        </is>
      </c>
      <c r="O183" s="45" t="n"/>
      <c r="P183" s="45" t="inlineStr">
        <is>
          <t>LW</t>
        </is>
      </c>
      <c r="Q183" s="44" t="n">
        <v>45824</v>
      </c>
      <c r="R183" s="45" t="n">
        <v>4</v>
      </c>
      <c r="S183" s="44" t="n">
        <v>45826</v>
      </c>
    </row>
    <row r="184" ht="12.75" customHeight="1">
      <c r="A184" s="45" t="n"/>
      <c r="B184" s="45" t="n"/>
      <c r="C184" s="45" t="n"/>
      <c r="D184" s="45" t="n"/>
      <c r="E184" s="45" t="n"/>
      <c r="F184" s="45" t="n"/>
      <c r="G184" s="45" t="n"/>
      <c r="H184" s="43" t="n"/>
      <c r="I184" s="45" t="n"/>
      <c r="J184" s="43" t="n">
        <v>452844569188</v>
      </c>
      <c r="K184" s="44" t="n">
        <v>45825</v>
      </c>
      <c r="L184" s="44" t="n">
        <v>45832</v>
      </c>
      <c r="M184" s="45" t="inlineStr">
        <is>
          <t>No</t>
        </is>
      </c>
      <c r="N184" s="45" t="inlineStr">
        <is>
          <t>1 HBL</t>
        </is>
      </c>
      <c r="O184" s="45" t="n"/>
      <c r="P184" s="45" t="inlineStr">
        <is>
          <t>LW</t>
        </is>
      </c>
      <c r="Q184" s="44" t="n">
        <v>45824</v>
      </c>
      <c r="R184" s="45" t="n">
        <v>3</v>
      </c>
      <c r="S184" s="44" t="n">
        <v>45826</v>
      </c>
    </row>
    <row r="185" ht="12.75" customHeight="1">
      <c r="A185" s="45" t="n"/>
      <c r="B185" s="45" t="n"/>
      <c r="C185" s="45" t="n"/>
      <c r="D185" s="45" t="n"/>
      <c r="E185" s="45" t="n"/>
      <c r="F185" s="45" t="n"/>
      <c r="G185" s="45" t="n"/>
      <c r="H185" s="43" t="n"/>
      <c r="I185" s="45" t="n"/>
      <c r="J185" s="43" t="n">
        <v>452845689511</v>
      </c>
      <c r="K185" s="44" t="n">
        <v>45825</v>
      </c>
      <c r="L185" s="44" t="n">
        <v>45832</v>
      </c>
      <c r="M185" s="45" t="inlineStr">
        <is>
          <t>No</t>
        </is>
      </c>
      <c r="N185" s="45" t="inlineStr">
        <is>
          <t>1 HBL</t>
        </is>
      </c>
      <c r="O185" s="45" t="n"/>
      <c r="P185" s="45" t="inlineStr">
        <is>
          <t>LW</t>
        </is>
      </c>
      <c r="Q185" s="44" t="n">
        <v>45824</v>
      </c>
      <c r="R185" s="45" t="n">
        <v>11</v>
      </c>
      <c r="S185" s="44" t="n">
        <v>45826</v>
      </c>
    </row>
    <row r="186" ht="12.75" customHeight="1">
      <c r="A186" s="45" t="n"/>
      <c r="B186" s="45" t="n"/>
      <c r="C186" s="45" t="n"/>
      <c r="D186" s="45" t="n"/>
      <c r="E186" s="45" t="n"/>
      <c r="F186" s="45" t="n"/>
      <c r="G186" s="45" t="n"/>
      <c r="H186" s="43" t="n"/>
      <c r="I186" s="45" t="n"/>
      <c r="J186" s="43" t="n">
        <v>452846239219</v>
      </c>
      <c r="K186" s="44" t="n">
        <v>45825</v>
      </c>
      <c r="L186" s="44" t="n">
        <v>45832</v>
      </c>
      <c r="M186" s="45" t="inlineStr">
        <is>
          <t>No</t>
        </is>
      </c>
      <c r="N186" s="45" t="inlineStr">
        <is>
          <t>1 HBL</t>
        </is>
      </c>
      <c r="O186" s="45" t="n"/>
      <c r="P186" s="45" t="inlineStr">
        <is>
          <t>LW</t>
        </is>
      </c>
      <c r="Q186" s="44" t="n">
        <v>45824</v>
      </c>
      <c r="R186" s="45" t="n">
        <v>5</v>
      </c>
      <c r="S186" s="44" t="n">
        <v>45826</v>
      </c>
    </row>
    <row r="187" ht="12.75" customHeight="1">
      <c r="A187" s="45" t="n"/>
      <c r="B187" s="45" t="n"/>
      <c r="C187" s="45" t="n"/>
      <c r="D187" s="45" t="n"/>
      <c r="E187" s="45" t="n"/>
      <c r="F187" s="45" t="n"/>
      <c r="G187" s="45" t="n"/>
      <c r="H187" s="43" t="n"/>
      <c r="I187" s="45" t="n"/>
      <c r="J187" s="43" t="n">
        <v>452847739796</v>
      </c>
      <c r="K187" s="44" t="n">
        <v>45825</v>
      </c>
      <c r="L187" s="44" t="n">
        <v>45832</v>
      </c>
      <c r="M187" s="45" t="inlineStr">
        <is>
          <t>No</t>
        </is>
      </c>
      <c r="N187" s="45" t="inlineStr">
        <is>
          <t>1 HBL</t>
        </is>
      </c>
      <c r="O187" s="45" t="n"/>
      <c r="P187" s="45" t="inlineStr">
        <is>
          <t>LW</t>
        </is>
      </c>
      <c r="Q187" s="44" t="n">
        <v>45824</v>
      </c>
      <c r="R187" s="45" t="n">
        <v>1</v>
      </c>
      <c r="S187" s="44" t="n">
        <v>45826</v>
      </c>
    </row>
    <row r="188" ht="12.75" customHeight="1">
      <c r="A188" s="45" t="n"/>
      <c r="B188" s="45" t="n"/>
      <c r="C188" s="45" t="n"/>
      <c r="D188" s="45" t="n"/>
      <c r="E188" s="45" t="n"/>
      <c r="F188" s="45" t="n"/>
      <c r="G188" s="45" t="n"/>
      <c r="H188" s="43" t="n"/>
      <c r="I188" s="45" t="n"/>
      <c r="J188" s="43" t="n">
        <v>452852455212</v>
      </c>
      <c r="K188" s="44" t="n">
        <v>45825</v>
      </c>
      <c r="L188" s="44" t="n">
        <v>45832</v>
      </c>
      <c r="M188" s="45" t="inlineStr">
        <is>
          <t>No</t>
        </is>
      </c>
      <c r="N188" s="45" t="inlineStr">
        <is>
          <t>1 HBL</t>
        </is>
      </c>
      <c r="O188" s="45" t="n"/>
      <c r="P188" s="45" t="inlineStr">
        <is>
          <t>LW</t>
        </is>
      </c>
      <c r="Q188" s="44" t="n">
        <v>45824</v>
      </c>
      <c r="R188" s="45" t="n">
        <v>2</v>
      </c>
      <c r="S188" s="44" t="n">
        <v>45826</v>
      </c>
    </row>
    <row r="189" ht="12.75" customHeight="1">
      <c r="A189" s="45" t="n"/>
      <c r="B189" s="45" t="n"/>
      <c r="C189" s="45" t="n"/>
      <c r="D189" s="45" t="n"/>
      <c r="E189" s="45" t="n"/>
      <c r="F189" s="45" t="n"/>
      <c r="G189" s="45" t="n"/>
      <c r="H189" s="43" t="n"/>
      <c r="I189" s="45" t="n"/>
      <c r="J189" s="43" t="n">
        <v>452853430838</v>
      </c>
      <c r="K189" s="44" t="n">
        <v>45825</v>
      </c>
      <c r="L189" s="44" t="n">
        <v>45832</v>
      </c>
      <c r="M189" s="45" t="inlineStr">
        <is>
          <t>No</t>
        </is>
      </c>
      <c r="N189" s="45" t="inlineStr">
        <is>
          <t>1 HBL</t>
        </is>
      </c>
      <c r="O189" s="45" t="n"/>
      <c r="P189" s="45" t="inlineStr">
        <is>
          <t>LW</t>
        </is>
      </c>
      <c r="Q189" s="44" t="n">
        <v>45824</v>
      </c>
      <c r="R189" s="45" t="n">
        <v>1</v>
      </c>
      <c r="S189" s="44" t="n">
        <v>45826</v>
      </c>
    </row>
    <row r="190" ht="12.75" customHeight="1">
      <c r="A190" s="45" t="n"/>
      <c r="B190" s="45" t="n"/>
      <c r="C190" s="45" t="n"/>
      <c r="D190" s="45" t="n"/>
      <c r="E190" s="45" t="n"/>
      <c r="F190" s="45" t="n"/>
      <c r="G190" s="45" t="n"/>
      <c r="H190" s="43" t="n"/>
      <c r="I190" s="45" t="n"/>
      <c r="J190" s="43" t="n">
        <v>452853541122</v>
      </c>
      <c r="K190" s="44" t="n">
        <v>45825</v>
      </c>
      <c r="L190" s="44" t="n">
        <v>45832</v>
      </c>
      <c r="M190" s="45" t="inlineStr">
        <is>
          <t>No</t>
        </is>
      </c>
      <c r="N190" s="45" t="inlineStr">
        <is>
          <t>1 HBL</t>
        </is>
      </c>
      <c r="O190" s="45" t="n"/>
      <c r="P190" s="45" t="inlineStr">
        <is>
          <t>LW</t>
        </is>
      </c>
      <c r="Q190" s="44" t="n">
        <v>45824</v>
      </c>
      <c r="R190" s="45" t="n">
        <v>2</v>
      </c>
      <c r="S190" s="44" t="n">
        <v>45826</v>
      </c>
    </row>
    <row r="191" ht="12.75" customHeight="1">
      <c r="A191" s="45" t="n"/>
      <c r="B191" s="45" t="n"/>
      <c r="C191" s="45" t="n"/>
      <c r="D191" s="45" t="n"/>
      <c r="E191" s="45" t="n"/>
      <c r="F191" s="45" t="n"/>
      <c r="G191" s="45" t="n"/>
      <c r="H191" s="43" t="n"/>
      <c r="I191" s="45" t="n"/>
      <c r="J191" s="43" t="n">
        <v>452854030967</v>
      </c>
      <c r="K191" s="44" t="n">
        <v>45825</v>
      </c>
      <c r="L191" s="44" t="n">
        <v>45832</v>
      </c>
      <c r="M191" s="45" t="inlineStr">
        <is>
          <t>No</t>
        </is>
      </c>
      <c r="N191" s="45" t="inlineStr">
        <is>
          <t>1 HBL</t>
        </is>
      </c>
      <c r="O191" s="45" t="n"/>
      <c r="P191" s="45" t="inlineStr">
        <is>
          <t>LW</t>
        </is>
      </c>
      <c r="Q191" s="44" t="n">
        <v>45824</v>
      </c>
      <c r="R191" s="45" t="n">
        <v>3</v>
      </c>
      <c r="S191" s="44" t="n">
        <v>45826</v>
      </c>
    </row>
    <row r="192" ht="12.75" customHeight="1">
      <c r="A192" s="45" t="n"/>
      <c r="B192" s="45" t="n"/>
      <c r="C192" s="45" t="n"/>
      <c r="D192" s="45" t="n"/>
      <c r="E192" s="45" t="n"/>
      <c r="F192" s="45" t="n"/>
      <c r="G192" s="45" t="n"/>
      <c r="H192" s="43" t="n"/>
      <c r="I192" s="45" t="n"/>
      <c r="J192" s="43" t="n">
        <v>452856319907</v>
      </c>
      <c r="K192" s="44" t="n">
        <v>45825</v>
      </c>
      <c r="L192" s="44" t="n">
        <v>45832</v>
      </c>
      <c r="M192" s="45" t="inlineStr">
        <is>
          <t>No</t>
        </is>
      </c>
      <c r="N192" s="45" t="inlineStr">
        <is>
          <t>1 HBL</t>
        </is>
      </c>
      <c r="O192" s="45" t="n"/>
      <c r="P192" s="45" t="inlineStr">
        <is>
          <t>LW</t>
        </is>
      </c>
      <c r="Q192" s="44" t="n">
        <v>45824</v>
      </c>
      <c r="R192" s="45" t="n">
        <v>6</v>
      </c>
      <c r="S192" s="44" t="n">
        <v>45826</v>
      </c>
    </row>
    <row r="193" ht="12.75" customHeight="1">
      <c r="A193" s="45" t="n"/>
      <c r="B193" s="45" t="n"/>
      <c r="C193" s="45" t="n"/>
      <c r="D193" s="45" t="n"/>
      <c r="E193" s="45" t="n"/>
      <c r="F193" s="45" t="n"/>
      <c r="G193" s="45" t="n"/>
      <c r="H193" s="43" t="n"/>
      <c r="I193" s="45" t="n"/>
      <c r="J193" s="43" t="n">
        <v>452858135232</v>
      </c>
      <c r="K193" s="44" t="n">
        <v>45825</v>
      </c>
      <c r="L193" s="44" t="n">
        <v>45832</v>
      </c>
      <c r="M193" s="45" t="inlineStr">
        <is>
          <t>No</t>
        </is>
      </c>
      <c r="N193" s="45" t="inlineStr">
        <is>
          <t>1 HBL</t>
        </is>
      </c>
      <c r="O193" s="45" t="n"/>
      <c r="P193" s="45" t="inlineStr">
        <is>
          <t>LW</t>
        </is>
      </c>
      <c r="Q193" s="44" t="n">
        <v>45824</v>
      </c>
      <c r="R193" s="45" t="n">
        <v>4</v>
      </c>
      <c r="S193" s="44" t="n">
        <v>45826</v>
      </c>
    </row>
    <row r="194" ht="12.75" customHeight="1">
      <c r="A194" s="45" t="n"/>
      <c r="B194" s="45" t="n"/>
      <c r="C194" s="45" t="n"/>
      <c r="D194" s="45" t="n"/>
      <c r="E194" s="45" t="n"/>
      <c r="F194" s="45" t="n"/>
      <c r="G194" s="45" t="n"/>
      <c r="H194" s="43" t="n"/>
      <c r="I194" s="45" t="n"/>
      <c r="J194" s="43" t="n">
        <v>452859992323</v>
      </c>
      <c r="K194" s="44" t="n">
        <v>45825</v>
      </c>
      <c r="L194" s="44" t="n">
        <v>45832</v>
      </c>
      <c r="M194" s="45" t="inlineStr">
        <is>
          <t>No</t>
        </is>
      </c>
      <c r="N194" s="45" t="inlineStr">
        <is>
          <t>1 HBL</t>
        </is>
      </c>
      <c r="O194" s="45" t="n"/>
      <c r="P194" s="45" t="inlineStr">
        <is>
          <t>LW</t>
        </is>
      </c>
      <c r="Q194" s="44" t="n">
        <v>45824</v>
      </c>
      <c r="R194" s="45" t="n">
        <v>7</v>
      </c>
      <c r="S194" s="44" t="n">
        <v>45826</v>
      </c>
    </row>
    <row r="195" ht="12.75" customHeight="1">
      <c r="A195" s="45" t="n"/>
      <c r="B195" s="45" t="n"/>
      <c r="C195" s="45" t="n"/>
      <c r="D195" s="45" t="n"/>
      <c r="E195" s="45" t="n"/>
      <c r="F195" s="45" t="n"/>
      <c r="G195" s="45" t="n"/>
      <c r="H195" s="43" t="n"/>
      <c r="I195" s="45" t="n"/>
      <c r="J195" s="43" t="n">
        <v>452862804612</v>
      </c>
      <c r="K195" s="44" t="n">
        <v>45825</v>
      </c>
      <c r="L195" s="44" t="n">
        <v>45832</v>
      </c>
      <c r="M195" s="45" t="inlineStr">
        <is>
          <t>No</t>
        </is>
      </c>
      <c r="N195" s="45" t="inlineStr">
        <is>
          <t>1 HBL</t>
        </is>
      </c>
      <c r="O195" s="45" t="n"/>
      <c r="P195" s="45" t="inlineStr">
        <is>
          <t>LW</t>
        </is>
      </c>
      <c r="Q195" s="44" t="n">
        <v>45824</v>
      </c>
      <c r="R195" s="45" t="n">
        <v>4</v>
      </c>
      <c r="S195" s="44" t="n">
        <v>45826</v>
      </c>
    </row>
    <row r="196" ht="12.75" customHeight="1">
      <c r="A196" s="45" t="n"/>
      <c r="B196" s="45" t="n"/>
      <c r="C196" s="45" t="n"/>
      <c r="D196" s="45" t="n"/>
      <c r="E196" s="45" t="n"/>
      <c r="F196" s="45" t="n"/>
      <c r="G196" s="45" t="n"/>
      <c r="H196" s="43" t="n"/>
      <c r="I196" s="45" t="n"/>
      <c r="J196" s="43" t="n">
        <v>452865421049</v>
      </c>
      <c r="K196" s="44" t="n">
        <v>45825</v>
      </c>
      <c r="L196" s="44" t="n">
        <v>45832</v>
      </c>
      <c r="M196" s="45" t="inlineStr">
        <is>
          <t>No</t>
        </is>
      </c>
      <c r="N196" s="45" t="inlineStr">
        <is>
          <t>1 HBL</t>
        </is>
      </c>
      <c r="O196" s="45" t="n"/>
      <c r="P196" s="45" t="inlineStr">
        <is>
          <t>LW</t>
        </is>
      </c>
      <c r="Q196" s="44" t="n">
        <v>45824</v>
      </c>
      <c r="R196" s="45" t="n">
        <v>2</v>
      </c>
      <c r="S196" s="44" t="n">
        <v>45826</v>
      </c>
    </row>
    <row r="197" ht="12.75" customHeight="1">
      <c r="A197" s="45" t="n"/>
      <c r="B197" s="45" t="n"/>
      <c r="C197" s="45" t="n"/>
      <c r="D197" s="45" t="n"/>
      <c r="E197" s="45" t="n"/>
      <c r="F197" s="45" t="n"/>
      <c r="G197" s="45" t="n"/>
      <c r="H197" s="43" t="n"/>
      <c r="I197" s="45" t="n"/>
      <c r="J197" s="43" t="n">
        <v>452866507552</v>
      </c>
      <c r="K197" s="44" t="n">
        <v>45825</v>
      </c>
      <c r="L197" s="44" t="n">
        <v>45832</v>
      </c>
      <c r="M197" s="45" t="inlineStr">
        <is>
          <t>No</t>
        </is>
      </c>
      <c r="N197" s="45" t="inlineStr">
        <is>
          <t>1 HBL</t>
        </is>
      </c>
      <c r="O197" s="45" t="n"/>
      <c r="P197" s="45" t="inlineStr">
        <is>
          <t>LW</t>
        </is>
      </c>
      <c r="Q197" s="44" t="n">
        <v>45824</v>
      </c>
      <c r="R197" s="45" t="n">
        <v>3</v>
      </c>
      <c r="S197" s="44" t="n">
        <v>45826</v>
      </c>
    </row>
    <row r="198" ht="12.75" customHeight="1">
      <c r="A198" s="45" t="n"/>
      <c r="B198" s="45" t="n"/>
      <c r="C198" s="45" t="n"/>
      <c r="D198" s="45" t="n"/>
      <c r="E198" s="45" t="n"/>
      <c r="F198" s="45" t="n"/>
      <c r="G198" s="45" t="n"/>
      <c r="H198" s="43" t="n"/>
      <c r="I198" s="45" t="n"/>
      <c r="J198" s="43" t="n">
        <v>452869779430</v>
      </c>
      <c r="K198" s="44" t="n">
        <v>45825</v>
      </c>
      <c r="L198" s="44" t="n">
        <v>45832</v>
      </c>
      <c r="M198" s="45" t="inlineStr">
        <is>
          <t>No</t>
        </is>
      </c>
      <c r="N198" s="45" t="inlineStr">
        <is>
          <t>1 HBL</t>
        </is>
      </c>
      <c r="O198" s="45" t="n"/>
      <c r="P198" s="45" t="inlineStr">
        <is>
          <t>LW</t>
        </is>
      </c>
      <c r="Q198" s="44" t="n">
        <v>45824</v>
      </c>
      <c r="R198" s="45" t="n">
        <v>1</v>
      </c>
      <c r="S198" s="44" t="n">
        <v>45826</v>
      </c>
    </row>
    <row r="199" ht="12.75" customHeight="1">
      <c r="A199" s="45" t="n"/>
      <c r="B199" s="45" t="n"/>
      <c r="C199" s="45" t="n"/>
      <c r="D199" s="45" t="n"/>
      <c r="E199" s="45" t="n"/>
      <c r="F199" s="45" t="n"/>
      <c r="G199" s="45" t="n"/>
      <c r="H199" s="43" t="n"/>
      <c r="I199" s="45" t="n"/>
      <c r="J199" s="43" t="n">
        <v>452870408857</v>
      </c>
      <c r="K199" s="44" t="n">
        <v>45825</v>
      </c>
      <c r="L199" s="44" t="n">
        <v>45832</v>
      </c>
      <c r="M199" s="45" t="inlineStr">
        <is>
          <t>No</t>
        </is>
      </c>
      <c r="N199" s="45" t="inlineStr">
        <is>
          <t>1 HBL</t>
        </is>
      </c>
      <c r="O199" s="45" t="n"/>
      <c r="P199" s="45" t="inlineStr">
        <is>
          <t>LW</t>
        </is>
      </c>
      <c r="Q199" s="44" t="n">
        <v>45824</v>
      </c>
      <c r="R199" s="45" t="n">
        <v>1</v>
      </c>
      <c r="S199" s="44" t="n">
        <v>45826</v>
      </c>
    </row>
    <row r="200" ht="12.75" customHeight="1">
      <c r="A200" s="45" t="n"/>
      <c r="B200" s="45" t="n"/>
      <c r="C200" s="45" t="n"/>
      <c r="D200" s="45" t="n"/>
      <c r="E200" s="45" t="n"/>
      <c r="F200" s="45" t="n"/>
      <c r="G200" s="45" t="n"/>
      <c r="H200" s="43" t="n"/>
      <c r="I200" s="45" t="n"/>
      <c r="J200" s="43" t="n">
        <v>452871646110</v>
      </c>
      <c r="K200" s="44" t="n">
        <v>45825</v>
      </c>
      <c r="L200" s="44" t="n">
        <v>45832</v>
      </c>
      <c r="M200" s="45" t="inlineStr">
        <is>
          <t>No</t>
        </is>
      </c>
      <c r="N200" s="45" t="inlineStr">
        <is>
          <t>1 HBL</t>
        </is>
      </c>
      <c r="O200" s="45" t="n"/>
      <c r="P200" s="45" t="inlineStr">
        <is>
          <t>LW</t>
        </is>
      </c>
      <c r="Q200" s="44" t="n">
        <v>45824</v>
      </c>
      <c r="R200" s="45" t="n">
        <v>1</v>
      </c>
      <c r="S200" s="44" t="n">
        <v>45826</v>
      </c>
    </row>
    <row r="201" ht="12.75" customHeight="1">
      <c r="A201" s="45" t="n"/>
      <c r="B201" s="45" t="n"/>
      <c r="C201" s="45" t="n"/>
      <c r="D201" s="45" t="n"/>
      <c r="E201" s="45" t="n"/>
      <c r="F201" s="45" t="n"/>
      <c r="G201" s="45" t="n"/>
      <c r="H201" s="43" t="n"/>
      <c r="I201" s="45" t="n"/>
      <c r="J201" s="43" t="n">
        <v>452873627359</v>
      </c>
      <c r="K201" s="44" t="n">
        <v>45825</v>
      </c>
      <c r="L201" s="44" t="n">
        <v>45832</v>
      </c>
      <c r="M201" s="45" t="inlineStr">
        <is>
          <t>No</t>
        </is>
      </c>
      <c r="N201" s="45" t="inlineStr">
        <is>
          <t>1 HBL</t>
        </is>
      </c>
      <c r="O201" s="45" t="n"/>
      <c r="P201" s="45" t="inlineStr">
        <is>
          <t>LW</t>
        </is>
      </c>
      <c r="Q201" s="44" t="n">
        <v>45824</v>
      </c>
      <c r="R201" s="45" t="n">
        <v>4</v>
      </c>
      <c r="S201" s="44" t="n">
        <v>45826</v>
      </c>
    </row>
    <row r="202" ht="12.75" customHeight="1">
      <c r="A202" s="45" t="n"/>
      <c r="B202" s="45" t="n"/>
      <c r="C202" s="45" t="n"/>
      <c r="D202" s="45" t="n"/>
      <c r="E202" s="45" t="n"/>
      <c r="F202" s="45" t="n"/>
      <c r="G202" s="45" t="n"/>
      <c r="H202" s="43" t="n"/>
      <c r="I202" s="45" t="n"/>
      <c r="J202" s="43" t="n">
        <v>452874553770</v>
      </c>
      <c r="K202" s="44" t="n">
        <v>45825</v>
      </c>
      <c r="L202" s="44" t="n">
        <v>45832</v>
      </c>
      <c r="M202" s="45" t="inlineStr">
        <is>
          <t>No</t>
        </is>
      </c>
      <c r="N202" s="45" t="inlineStr">
        <is>
          <t>1 HBL</t>
        </is>
      </c>
      <c r="O202" s="45" t="n"/>
      <c r="P202" s="45" t="inlineStr">
        <is>
          <t>LW</t>
        </is>
      </c>
      <c r="Q202" s="44" t="n">
        <v>45824</v>
      </c>
      <c r="R202" s="45" t="n">
        <v>4</v>
      </c>
      <c r="S202" s="44" t="n">
        <v>45826</v>
      </c>
    </row>
    <row r="203" ht="12.75" customHeight="1">
      <c r="A203" s="45" t="n"/>
      <c r="B203" s="45" t="n"/>
      <c r="C203" s="45" t="n"/>
      <c r="D203" s="45" t="n"/>
      <c r="E203" s="45" t="n"/>
      <c r="F203" s="45" t="n"/>
      <c r="G203" s="45" t="n"/>
      <c r="H203" s="43" t="n"/>
      <c r="I203" s="45" t="n"/>
      <c r="J203" s="43" t="n">
        <v>452874603824</v>
      </c>
      <c r="K203" s="44" t="n">
        <v>45825</v>
      </c>
      <c r="L203" s="44" t="n">
        <v>45832</v>
      </c>
      <c r="M203" s="45" t="inlineStr">
        <is>
          <t>No</t>
        </is>
      </c>
      <c r="N203" s="45" t="inlineStr">
        <is>
          <t>1 HBL</t>
        </is>
      </c>
      <c r="O203" s="45" t="n"/>
      <c r="P203" s="45" t="inlineStr">
        <is>
          <t>LW</t>
        </is>
      </c>
      <c r="Q203" s="44" t="n">
        <v>45824</v>
      </c>
      <c r="R203" s="45" t="n">
        <v>3</v>
      </c>
      <c r="S203" s="44" t="n">
        <v>45826</v>
      </c>
    </row>
    <row r="204" ht="12.75" customHeight="1">
      <c r="A204" s="45" t="n"/>
      <c r="B204" s="45" t="n"/>
      <c r="C204" s="45" t="n"/>
      <c r="D204" s="45" t="n"/>
      <c r="E204" s="45" t="n"/>
      <c r="F204" s="45" t="n"/>
      <c r="G204" s="45" t="n"/>
      <c r="H204" s="43" t="n"/>
      <c r="I204" s="45" t="n"/>
      <c r="J204" s="43" t="n">
        <v>452879674993</v>
      </c>
      <c r="K204" s="44" t="n">
        <v>45825</v>
      </c>
      <c r="L204" s="44" t="n">
        <v>45832</v>
      </c>
      <c r="M204" s="45" t="inlineStr">
        <is>
          <t>No</t>
        </is>
      </c>
      <c r="N204" s="45" t="inlineStr">
        <is>
          <t>1 HBL</t>
        </is>
      </c>
      <c r="O204" s="45" t="n"/>
      <c r="P204" s="45" t="inlineStr">
        <is>
          <t>LW</t>
        </is>
      </c>
      <c r="Q204" s="44" t="n">
        <v>45824</v>
      </c>
      <c r="R204" s="45" t="n">
        <v>1</v>
      </c>
      <c r="S204" s="44" t="n">
        <v>45826</v>
      </c>
    </row>
    <row r="205" ht="12.75" customHeight="1">
      <c r="A205" s="45" t="n"/>
      <c r="B205" s="45" t="n"/>
      <c r="C205" s="45" t="n"/>
      <c r="D205" s="45" t="n"/>
      <c r="E205" s="45" t="n"/>
      <c r="F205" s="45" t="n"/>
      <c r="G205" s="45" t="n"/>
      <c r="H205" s="43" t="n"/>
      <c r="I205" s="45" t="n"/>
      <c r="J205" s="43" t="n">
        <v>452880378218</v>
      </c>
      <c r="K205" s="44" t="n">
        <v>45825</v>
      </c>
      <c r="L205" s="44" t="n">
        <v>45832</v>
      </c>
      <c r="M205" s="45" t="inlineStr">
        <is>
          <t>No</t>
        </is>
      </c>
      <c r="N205" s="45" t="inlineStr">
        <is>
          <t>1 HBL</t>
        </is>
      </c>
      <c r="O205" s="45" t="n"/>
      <c r="P205" s="45" t="inlineStr">
        <is>
          <t>LW</t>
        </is>
      </c>
      <c r="Q205" s="44" t="n">
        <v>45824</v>
      </c>
      <c r="R205" s="45" t="n">
        <v>1</v>
      </c>
      <c r="S205" s="44" t="n">
        <v>45826</v>
      </c>
    </row>
    <row r="206" ht="12.75" customHeight="1">
      <c r="A206" s="45" t="n"/>
      <c r="B206" s="45" t="n"/>
      <c r="C206" s="45" t="n"/>
      <c r="D206" s="45" t="n"/>
      <c r="E206" s="45" t="n"/>
      <c r="F206" s="45" t="n"/>
      <c r="G206" s="45" t="n"/>
      <c r="H206" s="43" t="n"/>
      <c r="I206" s="45" t="n"/>
      <c r="J206" s="43" t="n">
        <v>452880990382</v>
      </c>
      <c r="K206" s="44" t="n">
        <v>45825</v>
      </c>
      <c r="L206" s="44" t="n">
        <v>45832</v>
      </c>
      <c r="M206" s="45" t="inlineStr">
        <is>
          <t>No</t>
        </is>
      </c>
      <c r="N206" s="45" t="inlineStr">
        <is>
          <t>1 HBL</t>
        </is>
      </c>
      <c r="O206" s="45" t="n"/>
      <c r="P206" s="45" t="inlineStr">
        <is>
          <t>LW</t>
        </is>
      </c>
      <c r="Q206" s="44" t="n">
        <v>45824</v>
      </c>
      <c r="R206" s="45" t="n">
        <v>9</v>
      </c>
      <c r="S206" s="44" t="n">
        <v>45826</v>
      </c>
    </row>
    <row r="207" ht="12.75" customHeight="1">
      <c r="A207" s="45" t="n"/>
      <c r="B207" s="45" t="n"/>
      <c r="C207" s="45" t="n"/>
      <c r="D207" s="45" t="n"/>
      <c r="E207" s="45" t="n"/>
      <c r="F207" s="45" t="n"/>
      <c r="G207" s="45" t="n"/>
      <c r="H207" s="43" t="n"/>
      <c r="I207" s="45" t="n"/>
      <c r="J207" s="43" t="n">
        <v>452883062691</v>
      </c>
      <c r="K207" s="44" t="n">
        <v>45825</v>
      </c>
      <c r="L207" s="44" t="n">
        <v>45832</v>
      </c>
      <c r="M207" s="45" t="inlineStr">
        <is>
          <t>No</t>
        </is>
      </c>
      <c r="N207" s="45" t="inlineStr">
        <is>
          <t>1 HBL</t>
        </is>
      </c>
      <c r="O207" s="45" t="n"/>
      <c r="P207" s="45" t="inlineStr">
        <is>
          <t>LW</t>
        </is>
      </c>
      <c r="Q207" s="44" t="n">
        <v>45824</v>
      </c>
      <c r="R207" s="45" t="n">
        <v>1</v>
      </c>
      <c r="S207" s="44" t="n">
        <v>45826</v>
      </c>
    </row>
    <row r="208" ht="12.75" customHeight="1">
      <c r="A208" s="45" t="n"/>
      <c r="B208" s="45" t="n"/>
      <c r="C208" s="45" t="n"/>
      <c r="D208" s="45" t="n"/>
      <c r="E208" s="45" t="n"/>
      <c r="F208" s="45" t="n"/>
      <c r="G208" s="45" t="n"/>
      <c r="H208" s="43" t="n"/>
      <c r="I208" s="45" t="n"/>
      <c r="J208" s="43" t="n">
        <v>452883659582</v>
      </c>
      <c r="K208" s="44" t="n">
        <v>45825</v>
      </c>
      <c r="L208" s="44" t="n">
        <v>45832</v>
      </c>
      <c r="M208" s="45" t="inlineStr">
        <is>
          <t>No</t>
        </is>
      </c>
      <c r="N208" s="45" t="inlineStr">
        <is>
          <t>1 HBL</t>
        </is>
      </c>
      <c r="O208" s="45" t="n"/>
      <c r="P208" s="45" t="inlineStr">
        <is>
          <t>LW</t>
        </is>
      </c>
      <c r="Q208" s="44" t="n">
        <v>45824</v>
      </c>
      <c r="R208" s="45" t="n">
        <v>2</v>
      </c>
      <c r="S208" s="44" t="n">
        <v>45826</v>
      </c>
    </row>
    <row r="209" ht="12.75" customHeight="1">
      <c r="A209" s="45" t="n"/>
      <c r="B209" s="45" t="n"/>
      <c r="C209" s="45" t="n"/>
      <c r="D209" s="45" t="n"/>
      <c r="E209" s="45" t="n"/>
      <c r="F209" s="45" t="n"/>
      <c r="G209" s="45" t="n"/>
      <c r="H209" s="43" t="n"/>
      <c r="I209" s="45" t="n"/>
      <c r="J209" s="43" t="n">
        <v>452884014566</v>
      </c>
      <c r="K209" s="44" t="n">
        <v>45825</v>
      </c>
      <c r="L209" s="44" t="n">
        <v>45832</v>
      </c>
      <c r="M209" s="45" t="inlineStr">
        <is>
          <t>No</t>
        </is>
      </c>
      <c r="N209" s="45" t="inlineStr">
        <is>
          <t>1 HBL</t>
        </is>
      </c>
      <c r="O209" s="45" t="n"/>
      <c r="P209" s="45" t="inlineStr">
        <is>
          <t>LW</t>
        </is>
      </c>
      <c r="Q209" s="44" t="n">
        <v>45824</v>
      </c>
      <c r="R209" s="45" t="n">
        <v>5</v>
      </c>
      <c r="S209" s="44" t="n">
        <v>45826</v>
      </c>
    </row>
    <row r="210" ht="12.75" customHeight="1">
      <c r="A210" s="45" t="n"/>
      <c r="B210" s="45" t="n"/>
      <c r="C210" s="45" t="n"/>
      <c r="D210" s="45" t="n"/>
      <c r="E210" s="45" t="n"/>
      <c r="F210" s="45" t="n"/>
      <c r="G210" s="45" t="n"/>
      <c r="H210" s="43" t="n"/>
      <c r="I210" s="45" t="n"/>
      <c r="J210" s="43" t="n">
        <v>452885455014</v>
      </c>
      <c r="K210" s="44" t="n">
        <v>45825</v>
      </c>
      <c r="L210" s="44" t="n">
        <v>45832</v>
      </c>
      <c r="M210" s="45" t="inlineStr">
        <is>
          <t>No</t>
        </is>
      </c>
      <c r="N210" s="45" t="inlineStr">
        <is>
          <t>1 HBL</t>
        </is>
      </c>
      <c r="O210" s="45" t="n"/>
      <c r="P210" s="45" t="inlineStr">
        <is>
          <t>LW</t>
        </is>
      </c>
      <c r="Q210" s="44" t="n">
        <v>45824</v>
      </c>
      <c r="R210" s="45" t="n">
        <v>1</v>
      </c>
      <c r="S210" s="44" t="n">
        <v>45826</v>
      </c>
    </row>
    <row r="211" ht="12.75" customHeight="1">
      <c r="A211" s="45" t="n"/>
      <c r="B211" s="45" t="n"/>
      <c r="C211" s="45" t="n"/>
      <c r="D211" s="45" t="n"/>
      <c r="E211" s="45" t="n"/>
      <c r="F211" s="45" t="n"/>
      <c r="G211" s="45" t="n"/>
      <c r="H211" s="43" t="n"/>
      <c r="I211" s="45" t="n"/>
      <c r="J211" s="43" t="n">
        <v>452886840225</v>
      </c>
      <c r="K211" s="44" t="n">
        <v>45825</v>
      </c>
      <c r="L211" s="44" t="n">
        <v>45832</v>
      </c>
      <c r="M211" s="45" t="inlineStr">
        <is>
          <t>No</t>
        </is>
      </c>
      <c r="N211" s="45" t="inlineStr">
        <is>
          <t>1 HBL</t>
        </is>
      </c>
      <c r="O211" s="45" t="n"/>
      <c r="P211" s="45" t="inlineStr">
        <is>
          <t>LW</t>
        </is>
      </c>
      <c r="Q211" s="44" t="n">
        <v>45824</v>
      </c>
      <c r="R211" s="45" t="n">
        <v>1</v>
      </c>
      <c r="S211" s="44" t="n">
        <v>45826</v>
      </c>
    </row>
    <row r="212" ht="12.75" customHeight="1">
      <c r="A212" s="45" t="n"/>
      <c r="B212" s="45" t="n"/>
      <c r="C212" s="45" t="n"/>
      <c r="D212" s="45" t="n"/>
      <c r="E212" s="45" t="n"/>
      <c r="F212" s="45" t="n"/>
      <c r="G212" s="45" t="n"/>
      <c r="H212" s="43" t="n"/>
      <c r="I212" s="45" t="n"/>
      <c r="J212" s="43" t="n">
        <v>452887033412</v>
      </c>
      <c r="K212" s="44" t="n">
        <v>45825</v>
      </c>
      <c r="L212" s="44" t="n">
        <v>45832</v>
      </c>
      <c r="M212" s="45" t="inlineStr">
        <is>
          <t>No</t>
        </is>
      </c>
      <c r="N212" s="45" t="inlineStr">
        <is>
          <t>1 HBL</t>
        </is>
      </c>
      <c r="O212" s="45" t="n"/>
      <c r="P212" s="45" t="inlineStr">
        <is>
          <t>LW</t>
        </is>
      </c>
      <c r="Q212" s="44" t="n">
        <v>45824</v>
      </c>
      <c r="R212" s="45" t="n">
        <v>3</v>
      </c>
      <c r="S212" s="44" t="n">
        <v>45826</v>
      </c>
    </row>
    <row r="213" ht="12.75" customHeight="1">
      <c r="A213" s="45" t="n"/>
      <c r="B213" s="45" t="n"/>
      <c r="C213" s="45" t="n"/>
      <c r="D213" s="45" t="n"/>
      <c r="E213" s="45" t="n"/>
      <c r="F213" s="45" t="n"/>
      <c r="G213" s="45" t="n"/>
      <c r="H213" s="43" t="n"/>
      <c r="I213" s="45" t="n"/>
      <c r="J213" s="43" t="n">
        <v>452887538870</v>
      </c>
      <c r="K213" s="44" t="n">
        <v>45825</v>
      </c>
      <c r="L213" s="44" t="n">
        <v>45832</v>
      </c>
      <c r="M213" s="45" t="inlineStr">
        <is>
          <t>No</t>
        </is>
      </c>
      <c r="N213" s="45" t="inlineStr">
        <is>
          <t>1 HBL</t>
        </is>
      </c>
      <c r="O213" s="45" t="n"/>
      <c r="P213" s="45" t="inlineStr">
        <is>
          <t>LW</t>
        </is>
      </c>
      <c r="Q213" s="44" t="n">
        <v>45824</v>
      </c>
      <c r="R213" s="45" t="n">
        <v>10</v>
      </c>
      <c r="S213" s="44" t="n">
        <v>45826</v>
      </c>
    </row>
    <row r="214" ht="12.75" customHeight="1">
      <c r="A214" s="45" t="n"/>
      <c r="B214" s="45" t="n"/>
      <c r="C214" s="45" t="n"/>
      <c r="D214" s="45" t="n"/>
      <c r="E214" s="45" t="n"/>
      <c r="F214" s="45" t="n"/>
      <c r="G214" s="45" t="n"/>
      <c r="H214" s="43" t="n"/>
      <c r="I214" s="45" t="n"/>
      <c r="J214" s="43" t="n">
        <v>452888470781</v>
      </c>
      <c r="K214" s="44" t="n">
        <v>45825</v>
      </c>
      <c r="L214" s="44" t="n">
        <v>45832</v>
      </c>
      <c r="M214" s="45" t="inlineStr">
        <is>
          <t>No</t>
        </is>
      </c>
      <c r="N214" s="45" t="inlineStr">
        <is>
          <t>1 HBL</t>
        </is>
      </c>
      <c r="O214" s="45" t="n"/>
      <c r="P214" s="45" t="inlineStr">
        <is>
          <t>LW</t>
        </is>
      </c>
      <c r="Q214" s="44" t="n">
        <v>45824</v>
      </c>
      <c r="R214" s="45" t="n">
        <v>1</v>
      </c>
      <c r="S214" s="44" t="n">
        <v>45826</v>
      </c>
    </row>
    <row r="215" ht="12.75" customHeight="1">
      <c r="A215" s="45" t="n"/>
      <c r="B215" s="45" t="n"/>
      <c r="C215" s="45" t="n"/>
      <c r="D215" s="45" t="n"/>
      <c r="E215" s="45" t="n"/>
      <c r="F215" s="45" t="n"/>
      <c r="G215" s="45" t="n"/>
      <c r="H215" s="43" t="n"/>
      <c r="I215" s="45" t="n"/>
      <c r="J215" s="43" t="n">
        <v>452890794023</v>
      </c>
      <c r="K215" s="44" t="n">
        <v>45825</v>
      </c>
      <c r="L215" s="44" t="n">
        <v>45832</v>
      </c>
      <c r="M215" s="45" t="inlineStr">
        <is>
          <t>No</t>
        </is>
      </c>
      <c r="N215" s="45" t="inlineStr">
        <is>
          <t>1 HBL</t>
        </is>
      </c>
      <c r="O215" s="45" t="n"/>
      <c r="P215" s="45" t="inlineStr">
        <is>
          <t>LW</t>
        </is>
      </c>
      <c r="Q215" s="44" t="n">
        <v>45824</v>
      </c>
      <c r="R215" s="45" t="n">
        <v>1</v>
      </c>
      <c r="S215" s="44" t="n">
        <v>45826</v>
      </c>
    </row>
    <row r="216" ht="12.75" customHeight="1">
      <c r="A216" s="45" t="n"/>
      <c r="B216" s="45" t="n"/>
      <c r="C216" s="45" t="n"/>
      <c r="D216" s="45" t="n"/>
      <c r="E216" s="45" t="n"/>
      <c r="F216" s="45" t="n"/>
      <c r="G216" s="45" t="n"/>
      <c r="H216" s="43" t="n"/>
      <c r="I216" s="44" t="inlineStr">
        <is>
          <t>MAS Active(Pvt) Ltd – CONTOURLINE</t>
        </is>
      </c>
      <c r="J216" s="43" t="n">
        <v>452892261132</v>
      </c>
      <c r="K216" s="44" t="n">
        <v>45825</v>
      </c>
      <c r="L216" s="44" t="n">
        <v>45832</v>
      </c>
      <c r="M216" s="45" t="inlineStr">
        <is>
          <t>No</t>
        </is>
      </c>
      <c r="N216" s="45" t="inlineStr">
        <is>
          <t>1 HBL</t>
        </is>
      </c>
      <c r="O216" s="45" t="n"/>
      <c r="P216" s="45" t="inlineStr">
        <is>
          <t>LW</t>
        </is>
      </c>
      <c r="Q216" s="44" t="n">
        <v>45824</v>
      </c>
      <c r="R216" s="45" t="n">
        <v>1</v>
      </c>
      <c r="S216" s="44" t="n">
        <v>45826</v>
      </c>
    </row>
    <row r="217" ht="12.75" customHeight="1">
      <c r="A217" s="45" t="n"/>
      <c r="B217" s="45" t="n"/>
      <c r="C217" s="45" t="n"/>
      <c r="D217" s="45" t="n"/>
      <c r="E217" s="45" t="n"/>
      <c r="F217" s="45" t="n"/>
      <c r="G217" s="45" t="n"/>
      <c r="H217" s="43" t="n"/>
      <c r="I217" s="45" t="n"/>
      <c r="J217" s="43" t="n">
        <v>452893010230</v>
      </c>
      <c r="K217" s="44" t="n">
        <v>45825</v>
      </c>
      <c r="L217" s="44" t="n">
        <v>45832</v>
      </c>
      <c r="M217" s="45" t="inlineStr">
        <is>
          <t>No</t>
        </is>
      </c>
      <c r="N217" s="45" t="inlineStr">
        <is>
          <t>1 HBL</t>
        </is>
      </c>
      <c r="O217" s="45" t="n"/>
      <c r="P217" s="45" t="inlineStr">
        <is>
          <t>LW</t>
        </is>
      </c>
      <c r="Q217" s="44" t="n">
        <v>45824</v>
      </c>
      <c r="R217" s="45" t="n">
        <v>4</v>
      </c>
      <c r="S217" s="44" t="n">
        <v>45826</v>
      </c>
    </row>
    <row r="218" ht="12.75" customHeight="1">
      <c r="A218" s="45" t="n"/>
      <c r="B218" s="45" t="n"/>
      <c r="C218" s="45" t="n"/>
      <c r="D218" s="45" t="n"/>
      <c r="E218" s="45" t="n"/>
      <c r="F218" s="45" t="n"/>
      <c r="G218" s="45" t="n"/>
      <c r="H218" s="43" t="n"/>
      <c r="I218" s="45" t="n"/>
      <c r="J218" s="43" t="n">
        <v>452893191541</v>
      </c>
      <c r="K218" s="44" t="n">
        <v>45825</v>
      </c>
      <c r="L218" s="44" t="n">
        <v>45832</v>
      </c>
      <c r="M218" s="45" t="inlineStr">
        <is>
          <t>No</t>
        </is>
      </c>
      <c r="N218" s="45" t="inlineStr">
        <is>
          <t>1 HBL</t>
        </is>
      </c>
      <c r="O218" s="45" t="n"/>
      <c r="P218" s="45" t="inlineStr">
        <is>
          <t>LW</t>
        </is>
      </c>
      <c r="Q218" s="44" t="n">
        <v>45824</v>
      </c>
      <c r="R218" s="45" t="n">
        <v>3</v>
      </c>
      <c r="S218" s="44" t="n">
        <v>45826</v>
      </c>
    </row>
    <row r="219" ht="12.75" customHeight="1">
      <c r="A219" s="45" t="n"/>
      <c r="B219" s="45" t="n"/>
      <c r="C219" s="45" t="n"/>
      <c r="D219" s="45" t="n"/>
      <c r="E219" s="45" t="n"/>
      <c r="F219" s="45" t="n"/>
      <c r="G219" s="45" t="n"/>
      <c r="H219" s="43" t="n"/>
      <c r="I219" s="45" t="n"/>
      <c r="J219" s="43" t="n">
        <v>452893711589</v>
      </c>
      <c r="K219" s="44" t="n">
        <v>45825</v>
      </c>
      <c r="L219" s="44" t="n">
        <v>45832</v>
      </c>
      <c r="M219" s="45" t="inlineStr">
        <is>
          <t>No</t>
        </is>
      </c>
      <c r="N219" s="45" t="inlineStr">
        <is>
          <t>1 HBL</t>
        </is>
      </c>
      <c r="O219" s="45" t="n"/>
      <c r="P219" s="45" t="inlineStr">
        <is>
          <t>LW</t>
        </is>
      </c>
      <c r="Q219" s="44" t="n">
        <v>45824</v>
      </c>
      <c r="R219" s="45" t="n">
        <v>4</v>
      </c>
      <c r="S219" s="44" t="n">
        <v>45826</v>
      </c>
    </row>
    <row r="220" ht="12.75" customHeight="1">
      <c r="A220" s="45" t="n"/>
      <c r="B220" s="45" t="n"/>
      <c r="C220" s="45" t="n"/>
      <c r="D220" s="45" t="n"/>
      <c r="E220" s="45" t="n"/>
      <c r="F220" s="45" t="n"/>
      <c r="G220" s="45" t="n"/>
      <c r="H220" s="43" t="n"/>
      <c r="I220" s="45" t="n"/>
      <c r="J220" s="43" t="n">
        <v>452893711674</v>
      </c>
      <c r="K220" s="44" t="n">
        <v>45825</v>
      </c>
      <c r="L220" s="44" t="n">
        <v>45832</v>
      </c>
      <c r="M220" s="45" t="inlineStr">
        <is>
          <t>No</t>
        </is>
      </c>
      <c r="N220" s="45" t="inlineStr">
        <is>
          <t>1 HBL</t>
        </is>
      </c>
      <c r="O220" s="45" t="n"/>
      <c r="P220" s="45" t="inlineStr">
        <is>
          <t>LW</t>
        </is>
      </c>
      <c r="Q220" s="44" t="n">
        <v>45824</v>
      </c>
      <c r="R220" s="45" t="n">
        <v>6</v>
      </c>
      <c r="S220" s="44" t="n">
        <v>45826</v>
      </c>
    </row>
    <row r="221" ht="12.75" customHeight="1">
      <c r="A221" s="45" t="n"/>
      <c r="B221" s="45" t="n"/>
      <c r="C221" s="45" t="n"/>
      <c r="D221" s="45" t="n"/>
      <c r="E221" s="45" t="n"/>
      <c r="F221" s="45" t="n"/>
      <c r="G221" s="45" t="n"/>
      <c r="H221" s="43" t="n"/>
      <c r="I221" s="45" t="n"/>
      <c r="J221" s="43" t="n">
        <v>452897061954</v>
      </c>
      <c r="K221" s="44" t="n">
        <v>45825</v>
      </c>
      <c r="L221" s="44" t="n">
        <v>45832</v>
      </c>
      <c r="M221" s="45" t="inlineStr">
        <is>
          <t>No</t>
        </is>
      </c>
      <c r="N221" s="45" t="inlineStr">
        <is>
          <t>1 HBL</t>
        </is>
      </c>
      <c r="O221" s="45" t="n"/>
      <c r="P221" s="45" t="inlineStr">
        <is>
          <t>LW</t>
        </is>
      </c>
      <c r="Q221" s="44" t="n">
        <v>45824</v>
      </c>
      <c r="R221" s="45" t="n">
        <v>2</v>
      </c>
      <c r="S221" s="44" t="n">
        <v>45826</v>
      </c>
    </row>
    <row r="222" ht="12.75" customHeight="1">
      <c r="A222" s="45" t="n"/>
      <c r="B222" s="45" t="n"/>
      <c r="C222" s="45" t="n"/>
      <c r="D222" s="45" t="n"/>
      <c r="E222" s="45" t="n"/>
      <c r="F222" s="45" t="n"/>
      <c r="G222" s="45" t="n"/>
      <c r="H222" s="43" t="n"/>
      <c r="I222" s="45" t="n"/>
      <c r="J222" s="43" t="n">
        <v>452897736645</v>
      </c>
      <c r="K222" s="44" t="n">
        <v>45825</v>
      </c>
      <c r="L222" s="44" t="n">
        <v>45832</v>
      </c>
      <c r="M222" s="45" t="inlineStr">
        <is>
          <t>No</t>
        </is>
      </c>
      <c r="N222" s="45" t="inlineStr">
        <is>
          <t>1 HBL</t>
        </is>
      </c>
      <c r="O222" s="45" t="n"/>
      <c r="P222" s="45" t="inlineStr">
        <is>
          <t>LW</t>
        </is>
      </c>
      <c r="Q222" s="44" t="n">
        <v>45824</v>
      </c>
      <c r="R222" s="45" t="n">
        <v>3</v>
      </c>
      <c r="S222" s="44" t="n">
        <v>45826</v>
      </c>
    </row>
    <row r="223" ht="12.75" customHeight="1">
      <c r="A223" s="45" t="n"/>
      <c r="B223" s="45" t="n"/>
      <c r="C223" s="45" t="n"/>
      <c r="D223" s="45" t="n"/>
      <c r="E223" s="45" t="n"/>
      <c r="F223" s="45" t="n"/>
      <c r="G223" s="45" t="n"/>
      <c r="H223" s="43" t="n"/>
      <c r="I223" s="45" t="n"/>
      <c r="J223" s="43" t="n">
        <v>452898265551</v>
      </c>
      <c r="K223" s="44" t="n">
        <v>45825</v>
      </c>
      <c r="L223" s="44" t="n">
        <v>45832</v>
      </c>
      <c r="M223" s="45" t="inlineStr">
        <is>
          <t>No</t>
        </is>
      </c>
      <c r="N223" s="45" t="inlineStr">
        <is>
          <t>1 HBL</t>
        </is>
      </c>
      <c r="O223" s="45" t="n"/>
      <c r="P223" s="45" t="inlineStr">
        <is>
          <t>LW</t>
        </is>
      </c>
      <c r="Q223" s="44" t="n">
        <v>45824</v>
      </c>
      <c r="R223" s="45" t="n">
        <v>4</v>
      </c>
      <c r="S223" s="44" t="n">
        <v>45826</v>
      </c>
    </row>
    <row r="224" ht="12.75" customHeight="1">
      <c r="A224" s="45" t="n"/>
      <c r="B224" s="45" t="n"/>
      <c r="C224" s="45" t="n"/>
      <c r="D224" s="45" t="n"/>
      <c r="E224" s="45" t="n"/>
      <c r="F224" s="45" t="n"/>
      <c r="G224" s="45" t="n"/>
      <c r="H224" s="43" t="n"/>
      <c r="I224" s="45" t="n"/>
      <c r="J224" s="43" t="n">
        <v>452901003671</v>
      </c>
      <c r="K224" s="44" t="n">
        <v>45825</v>
      </c>
      <c r="L224" s="44" t="n">
        <v>45832</v>
      </c>
      <c r="M224" s="45" t="inlineStr">
        <is>
          <t>No</t>
        </is>
      </c>
      <c r="N224" s="45" t="inlineStr">
        <is>
          <t>1 HBL</t>
        </is>
      </c>
      <c r="O224" s="45" t="n"/>
      <c r="P224" s="45" t="inlineStr">
        <is>
          <t>LW</t>
        </is>
      </c>
      <c r="Q224" s="44" t="n">
        <v>45824</v>
      </c>
      <c r="R224" s="45" t="n">
        <v>1</v>
      </c>
      <c r="S224" s="44" t="n">
        <v>45826</v>
      </c>
    </row>
    <row r="225" ht="12.75" customHeight="1">
      <c r="A225" s="45" t="n"/>
      <c r="B225" s="45" t="n"/>
      <c r="C225" s="45" t="n"/>
      <c r="D225" s="45" t="n"/>
      <c r="E225" s="45" t="n"/>
      <c r="F225" s="45" t="n"/>
      <c r="G225" s="45" t="n"/>
      <c r="H225" s="43" t="n"/>
      <c r="I225" s="45" t="n"/>
      <c r="J225" s="43" t="n">
        <v>452901487847</v>
      </c>
      <c r="K225" s="44" t="n">
        <v>45825</v>
      </c>
      <c r="L225" s="44" t="n">
        <v>45832</v>
      </c>
      <c r="M225" s="45" t="inlineStr">
        <is>
          <t>No</t>
        </is>
      </c>
      <c r="N225" s="45" t="inlineStr">
        <is>
          <t>1 HBL</t>
        </is>
      </c>
      <c r="O225" s="45" t="n"/>
      <c r="P225" s="45" t="inlineStr">
        <is>
          <t>LW</t>
        </is>
      </c>
      <c r="Q225" s="44" t="n">
        <v>45824</v>
      </c>
      <c r="R225" s="45" t="n">
        <v>9</v>
      </c>
      <c r="S225" s="44" t="n">
        <v>45826</v>
      </c>
    </row>
    <row r="226" ht="12.75" customHeight="1">
      <c r="A226" s="45" t="n"/>
      <c r="B226" s="45" t="n"/>
      <c r="C226" s="45" t="n"/>
      <c r="D226" s="45" t="n"/>
      <c r="E226" s="45" t="n"/>
      <c r="F226" s="45" t="n"/>
      <c r="G226" s="45" t="n"/>
      <c r="H226" s="43" t="n"/>
      <c r="I226" s="45" t="n"/>
      <c r="J226" s="43" t="n">
        <v>452901622156</v>
      </c>
      <c r="K226" s="44" t="n">
        <v>45825</v>
      </c>
      <c r="L226" s="44" t="n">
        <v>45832</v>
      </c>
      <c r="M226" s="45" t="inlineStr">
        <is>
          <t>No</t>
        </is>
      </c>
      <c r="N226" s="45" t="inlineStr">
        <is>
          <t>1 HBL</t>
        </is>
      </c>
      <c r="O226" s="45" t="n"/>
      <c r="P226" s="45" t="inlineStr">
        <is>
          <t>LW</t>
        </is>
      </c>
      <c r="Q226" s="44" t="n">
        <v>45824</v>
      </c>
      <c r="R226" s="45" t="n">
        <v>3</v>
      </c>
      <c r="S226" s="44" t="n">
        <v>45826</v>
      </c>
    </row>
    <row r="227" ht="12.75" customHeight="1">
      <c r="A227" s="45" t="n"/>
      <c r="B227" s="45" t="n"/>
      <c r="C227" s="45" t="n"/>
      <c r="D227" s="45" t="n"/>
      <c r="E227" s="45" t="n"/>
      <c r="F227" s="45" t="n"/>
      <c r="G227" s="45" t="n"/>
      <c r="H227" s="43" t="n"/>
      <c r="I227" s="45" t="n"/>
      <c r="J227" s="43" t="n">
        <v>452902222311</v>
      </c>
      <c r="K227" s="44" t="n">
        <v>45825</v>
      </c>
      <c r="L227" s="44" t="n">
        <v>45832</v>
      </c>
      <c r="M227" s="45" t="inlineStr">
        <is>
          <t>No</t>
        </is>
      </c>
      <c r="N227" s="45" t="inlineStr">
        <is>
          <t>1 HBL</t>
        </is>
      </c>
      <c r="O227" s="45" t="n"/>
      <c r="P227" s="45" t="inlineStr">
        <is>
          <t>LW</t>
        </is>
      </c>
      <c r="Q227" s="44" t="n">
        <v>45824</v>
      </c>
      <c r="R227" s="45" t="n">
        <v>3</v>
      </c>
      <c r="S227" s="44" t="n">
        <v>45826</v>
      </c>
    </row>
    <row r="228" ht="12.75" customHeight="1">
      <c r="A228" s="45" t="n"/>
      <c r="B228" s="45" t="n"/>
      <c r="C228" s="45" t="n"/>
      <c r="D228" s="45" t="n"/>
      <c r="E228" s="45" t="n"/>
      <c r="F228" s="45" t="n"/>
      <c r="G228" s="45" t="n"/>
      <c r="H228" s="43" t="n"/>
      <c r="I228" s="45" t="n"/>
      <c r="J228" s="43" t="n">
        <v>452902798117</v>
      </c>
      <c r="K228" s="44" t="n">
        <v>45825</v>
      </c>
      <c r="L228" s="44" t="n">
        <v>45832</v>
      </c>
      <c r="M228" s="45" t="inlineStr">
        <is>
          <t>No</t>
        </is>
      </c>
      <c r="N228" s="45" t="inlineStr">
        <is>
          <t>1 HBL</t>
        </is>
      </c>
      <c r="O228" s="45" t="n"/>
      <c r="P228" s="45" t="inlineStr">
        <is>
          <t>LW</t>
        </is>
      </c>
      <c r="Q228" s="44" t="n">
        <v>45824</v>
      </c>
      <c r="R228" s="45" t="n">
        <v>6</v>
      </c>
      <c r="S228" s="44" t="n">
        <v>45826</v>
      </c>
    </row>
    <row r="229" ht="12.75" customHeight="1">
      <c r="A229" s="45" t="n"/>
      <c r="B229" s="45" t="n"/>
      <c r="C229" s="45" t="n"/>
      <c r="D229" s="45" t="n"/>
      <c r="E229" s="45" t="n"/>
      <c r="F229" s="45" t="n"/>
      <c r="G229" s="45" t="n"/>
      <c r="H229" s="43" t="n"/>
      <c r="I229" s="45" t="n"/>
      <c r="J229" s="43" t="n">
        <v>452902914427</v>
      </c>
      <c r="K229" s="44" t="n">
        <v>45825</v>
      </c>
      <c r="L229" s="44" t="n">
        <v>45832</v>
      </c>
      <c r="M229" s="45" t="inlineStr">
        <is>
          <t>No</t>
        </is>
      </c>
      <c r="N229" s="45" t="inlineStr">
        <is>
          <t>1 HBL</t>
        </is>
      </c>
      <c r="O229" s="45" t="n"/>
      <c r="P229" s="45" t="inlineStr">
        <is>
          <t>LW</t>
        </is>
      </c>
      <c r="Q229" s="44" t="n">
        <v>45824</v>
      </c>
      <c r="R229" s="45" t="n">
        <v>3</v>
      </c>
      <c r="S229" s="44" t="n">
        <v>45826</v>
      </c>
    </row>
    <row r="230" ht="12.75" customHeight="1">
      <c r="A230" s="45" t="n"/>
      <c r="B230" s="45" t="n"/>
      <c r="C230" s="45" t="n"/>
      <c r="D230" s="45" t="n"/>
      <c r="E230" s="45" t="n"/>
      <c r="F230" s="45" t="n"/>
      <c r="G230" s="45" t="n"/>
      <c r="H230" s="43" t="n"/>
      <c r="I230" s="45" t="n"/>
      <c r="J230" s="43" t="n">
        <v>452902914946</v>
      </c>
      <c r="K230" s="44" t="n">
        <v>45825</v>
      </c>
      <c r="L230" s="44" t="n">
        <v>45832</v>
      </c>
      <c r="M230" s="45" t="inlineStr">
        <is>
          <t>No</t>
        </is>
      </c>
      <c r="N230" s="45" t="inlineStr">
        <is>
          <t>1 HBL</t>
        </is>
      </c>
      <c r="O230" s="45" t="n"/>
      <c r="P230" s="45" t="inlineStr">
        <is>
          <t>LW</t>
        </is>
      </c>
      <c r="Q230" s="44" t="n">
        <v>45824</v>
      </c>
      <c r="R230" s="45" t="n">
        <v>5</v>
      </c>
      <c r="S230" s="44" t="n">
        <v>45826</v>
      </c>
    </row>
    <row r="231" ht="12.75" customHeight="1">
      <c r="A231" s="45" t="n"/>
      <c r="B231" s="45" t="n"/>
      <c r="C231" s="45" t="n"/>
      <c r="D231" s="45" t="n"/>
      <c r="E231" s="45" t="n"/>
      <c r="F231" s="45" t="n"/>
      <c r="G231" s="45" t="n"/>
      <c r="H231" s="43" t="n"/>
      <c r="I231" s="45" t="n"/>
      <c r="J231" s="43" t="n">
        <v>452903297077</v>
      </c>
      <c r="K231" s="44" t="n">
        <v>45825</v>
      </c>
      <c r="L231" s="44" t="n">
        <v>45832</v>
      </c>
      <c r="M231" s="45" t="inlineStr">
        <is>
          <t>No</t>
        </is>
      </c>
      <c r="N231" s="45" t="inlineStr">
        <is>
          <t>1 HBL</t>
        </is>
      </c>
      <c r="O231" s="45" t="n"/>
      <c r="P231" s="45" t="inlineStr">
        <is>
          <t>LW</t>
        </is>
      </c>
      <c r="Q231" s="44" t="n">
        <v>45824</v>
      </c>
      <c r="R231" s="45" t="n">
        <v>7</v>
      </c>
      <c r="S231" s="44" t="n">
        <v>45826</v>
      </c>
    </row>
    <row r="232" ht="12.75" customHeight="1">
      <c r="A232" s="45" t="n"/>
      <c r="B232" s="45" t="n"/>
      <c r="C232" s="45" t="n"/>
      <c r="D232" s="45" t="n"/>
      <c r="E232" s="45" t="n"/>
      <c r="F232" s="45" t="n"/>
      <c r="G232" s="45" t="n"/>
      <c r="H232" s="43" t="n"/>
      <c r="I232" s="45" t="n"/>
      <c r="J232" s="43" t="n">
        <v>452903298624</v>
      </c>
      <c r="K232" s="44" t="n">
        <v>45825</v>
      </c>
      <c r="L232" s="44" t="n">
        <v>45832</v>
      </c>
      <c r="M232" s="45" t="inlineStr">
        <is>
          <t>No</t>
        </is>
      </c>
      <c r="N232" s="45" t="inlineStr">
        <is>
          <t>1 HBL</t>
        </is>
      </c>
      <c r="O232" s="45" t="n"/>
      <c r="P232" s="45" t="inlineStr">
        <is>
          <t>LW</t>
        </is>
      </c>
      <c r="Q232" s="44" t="n">
        <v>45824</v>
      </c>
      <c r="R232" s="45" t="n">
        <v>7</v>
      </c>
      <c r="S232" s="44" t="n">
        <v>45826</v>
      </c>
    </row>
    <row r="233" ht="12.75" customHeight="1">
      <c r="A233" s="45" t="n"/>
      <c r="B233" s="45" t="n"/>
      <c r="C233" s="45" t="n"/>
      <c r="D233" s="45" t="n"/>
      <c r="E233" s="45" t="n"/>
      <c r="F233" s="45" t="n"/>
      <c r="G233" s="45" t="n"/>
      <c r="H233" s="43" t="n"/>
      <c r="I233" s="45" t="n"/>
      <c r="J233" s="43" t="n">
        <v>452903872795</v>
      </c>
      <c r="K233" s="44" t="n">
        <v>45825</v>
      </c>
      <c r="L233" s="44" t="n">
        <v>45832</v>
      </c>
      <c r="M233" s="45" t="inlineStr">
        <is>
          <t>No</t>
        </is>
      </c>
      <c r="N233" s="45" t="inlineStr">
        <is>
          <t>1 HBL</t>
        </is>
      </c>
      <c r="O233" s="45" t="n"/>
      <c r="P233" s="45" t="inlineStr">
        <is>
          <t>LW</t>
        </is>
      </c>
      <c r="Q233" s="44" t="n">
        <v>45824</v>
      </c>
      <c r="R233" s="45" t="n">
        <v>4</v>
      </c>
      <c r="S233" s="44" t="n">
        <v>45826</v>
      </c>
    </row>
    <row r="234" ht="12.75" customHeight="1">
      <c r="A234" s="45" t="n"/>
      <c r="B234" s="45" t="n"/>
      <c r="C234" s="45" t="n"/>
      <c r="D234" s="45" t="n"/>
      <c r="E234" s="45" t="n"/>
      <c r="F234" s="45" t="n"/>
      <c r="G234" s="45" t="n"/>
      <c r="H234" s="43" t="n"/>
      <c r="I234" s="45" t="n"/>
      <c r="J234" s="43" t="n">
        <v>452903873171</v>
      </c>
      <c r="K234" s="44" t="n">
        <v>45825</v>
      </c>
      <c r="L234" s="44" t="n">
        <v>45832</v>
      </c>
      <c r="M234" s="45" t="inlineStr">
        <is>
          <t>No</t>
        </is>
      </c>
      <c r="N234" s="45" t="inlineStr">
        <is>
          <t>1 HBL</t>
        </is>
      </c>
      <c r="O234" s="45" t="n"/>
      <c r="P234" s="45" t="inlineStr">
        <is>
          <t>LW</t>
        </is>
      </c>
      <c r="Q234" s="44" t="n">
        <v>45824</v>
      </c>
      <c r="R234" s="45" t="n">
        <v>6</v>
      </c>
      <c r="S234" s="44" t="n">
        <v>45826</v>
      </c>
    </row>
    <row r="235" ht="12.75" customHeight="1">
      <c r="A235" s="45" t="n"/>
      <c r="B235" s="45" t="n"/>
      <c r="C235" s="45" t="n"/>
      <c r="D235" s="45" t="n"/>
      <c r="E235" s="45" t="n"/>
      <c r="F235" s="45" t="n"/>
      <c r="G235" s="45" t="n"/>
      <c r="H235" s="43" t="n"/>
      <c r="I235" s="44" t="inlineStr">
        <is>
          <t>Quantum Clothing Lanka (Pvt) Ltd</t>
        </is>
      </c>
      <c r="J235" s="43" t="n">
        <v>452043834613</v>
      </c>
      <c r="K235" s="44" t="n">
        <v>45825</v>
      </c>
      <c r="L235" s="44" t="n">
        <v>45832</v>
      </c>
      <c r="M235" s="45" t="inlineStr">
        <is>
          <t>No</t>
        </is>
      </c>
      <c r="N235" s="45" t="inlineStr">
        <is>
          <t>1 HBL</t>
        </is>
      </c>
      <c r="O235" s="45" t="n"/>
      <c r="P235" s="45" t="inlineStr">
        <is>
          <t>LW</t>
        </is>
      </c>
      <c r="Q235" s="44" t="n">
        <v>45824</v>
      </c>
      <c r="R235" s="45" t="n">
        <v>1</v>
      </c>
      <c r="S235" s="44" t="n">
        <v>45826</v>
      </c>
    </row>
    <row r="236" ht="12.75" customHeight="1">
      <c r="A236" s="45" t="n"/>
      <c r="B236" s="45" t="n"/>
      <c r="C236" s="45" t="n"/>
      <c r="D236" s="45" t="n"/>
      <c r="E236" s="45" t="n"/>
      <c r="F236" s="45" t="n"/>
      <c r="G236" s="45" t="n"/>
      <c r="H236" s="43" t="n"/>
      <c r="I236" s="45" t="n"/>
      <c r="J236" s="43" t="n">
        <v>452045547643</v>
      </c>
      <c r="K236" s="44" t="n">
        <v>45825</v>
      </c>
      <c r="L236" s="44" t="n">
        <v>45832</v>
      </c>
      <c r="M236" s="45" t="inlineStr">
        <is>
          <t>No</t>
        </is>
      </c>
      <c r="N236" s="45" t="inlineStr">
        <is>
          <t>1 HBL</t>
        </is>
      </c>
      <c r="O236" s="45" t="n"/>
      <c r="P236" s="45" t="inlineStr">
        <is>
          <t>LW</t>
        </is>
      </c>
      <c r="Q236" s="44" t="n">
        <v>45824</v>
      </c>
      <c r="R236" s="45" t="n">
        <v>1</v>
      </c>
      <c r="S236" s="44" t="n">
        <v>45826</v>
      </c>
    </row>
    <row r="237" ht="12.75" customHeight="1">
      <c r="A237" s="45" t="n"/>
      <c r="B237" s="45" t="n"/>
      <c r="C237" s="45" t="n"/>
      <c r="D237" s="45" t="n"/>
      <c r="E237" s="45" t="n"/>
      <c r="F237" s="45" t="n"/>
      <c r="G237" s="45" t="n"/>
      <c r="H237" s="43" t="n"/>
      <c r="I237" s="45" t="n"/>
      <c r="J237" s="43" t="n">
        <v>452048141508</v>
      </c>
      <c r="K237" s="44" t="n">
        <v>45825</v>
      </c>
      <c r="L237" s="44" t="n">
        <v>45832</v>
      </c>
      <c r="M237" s="45" t="inlineStr">
        <is>
          <t>No</t>
        </is>
      </c>
      <c r="N237" s="45" t="inlineStr">
        <is>
          <t>1 HBL</t>
        </is>
      </c>
      <c r="O237" s="45" t="n"/>
      <c r="P237" s="45" t="inlineStr">
        <is>
          <t>LW</t>
        </is>
      </c>
      <c r="Q237" s="44" t="n">
        <v>45824</v>
      </c>
      <c r="R237" s="45" t="n">
        <v>1</v>
      </c>
      <c r="S237" s="44" t="n">
        <v>45826</v>
      </c>
    </row>
    <row r="238" ht="12.75" customHeight="1">
      <c r="A238" s="45" t="n"/>
      <c r="B238" s="45" t="n"/>
      <c r="C238" s="45" t="n"/>
      <c r="D238" s="45" t="n"/>
      <c r="E238" s="45" t="n"/>
      <c r="F238" s="45" t="n"/>
      <c r="G238" s="45" t="n"/>
      <c r="H238" s="43" t="n"/>
      <c r="I238" s="45" t="n"/>
      <c r="J238" s="43" t="n">
        <v>452051223910</v>
      </c>
      <c r="K238" s="44" t="n">
        <v>45825</v>
      </c>
      <c r="L238" s="44" t="n">
        <v>45832</v>
      </c>
      <c r="M238" s="45" t="inlineStr">
        <is>
          <t>No</t>
        </is>
      </c>
      <c r="N238" s="45" t="inlineStr">
        <is>
          <t>1 HBL</t>
        </is>
      </c>
      <c r="O238" s="45" t="n"/>
      <c r="P238" s="45" t="inlineStr">
        <is>
          <t>LW</t>
        </is>
      </c>
      <c r="Q238" s="44" t="n">
        <v>45824</v>
      </c>
      <c r="R238" s="45" t="n">
        <v>1</v>
      </c>
      <c r="S238" s="44" t="n">
        <v>45826</v>
      </c>
    </row>
    <row r="239" ht="12.75" customHeight="1">
      <c r="A239" s="45" t="n"/>
      <c r="B239" s="45" t="n"/>
      <c r="C239" s="45" t="n"/>
      <c r="D239" s="45" t="n"/>
      <c r="E239" s="45" t="n"/>
      <c r="F239" s="45" t="n"/>
      <c r="G239" s="45" t="n"/>
      <c r="H239" s="43" t="n"/>
      <c r="I239" s="45" t="n"/>
      <c r="J239" s="43" t="n">
        <v>452052829747</v>
      </c>
      <c r="K239" s="44" t="n">
        <v>45825</v>
      </c>
      <c r="L239" s="44" t="n">
        <v>45832</v>
      </c>
      <c r="M239" s="45" t="inlineStr">
        <is>
          <t>No</t>
        </is>
      </c>
      <c r="N239" s="45" t="inlineStr">
        <is>
          <t>1 HBL</t>
        </is>
      </c>
      <c r="O239" s="45" t="n"/>
      <c r="P239" s="45" t="inlineStr">
        <is>
          <t>LW</t>
        </is>
      </c>
      <c r="Q239" s="44" t="n">
        <v>45824</v>
      </c>
      <c r="R239" s="45" t="n">
        <v>1</v>
      </c>
      <c r="S239" s="44" t="n">
        <v>45826</v>
      </c>
    </row>
    <row r="240" ht="12.75" customHeight="1">
      <c r="A240" s="45" t="n"/>
      <c r="B240" s="45" t="n"/>
      <c r="C240" s="45" t="n"/>
      <c r="D240" s="45" t="n"/>
      <c r="E240" s="45" t="n"/>
      <c r="F240" s="45" t="n"/>
      <c r="G240" s="45" t="n"/>
      <c r="H240" s="43" t="n"/>
      <c r="I240" s="45" t="n"/>
      <c r="J240" s="43" t="n">
        <v>452052906569</v>
      </c>
      <c r="K240" s="44" t="n">
        <v>45825</v>
      </c>
      <c r="L240" s="44" t="n">
        <v>45832</v>
      </c>
      <c r="M240" s="45" t="inlineStr">
        <is>
          <t>No</t>
        </is>
      </c>
      <c r="N240" s="45" t="inlineStr">
        <is>
          <t>1 HBL</t>
        </is>
      </c>
      <c r="O240" s="45" t="n"/>
      <c r="P240" s="45" t="inlineStr">
        <is>
          <t>LW</t>
        </is>
      </c>
      <c r="Q240" s="44" t="n">
        <v>45824</v>
      </c>
      <c r="R240" s="45" t="n">
        <v>1</v>
      </c>
      <c r="S240" s="44" t="n">
        <v>45826</v>
      </c>
    </row>
    <row r="241" ht="12.75" customHeight="1">
      <c r="A241" s="45" t="n"/>
      <c r="B241" s="45" t="n"/>
      <c r="C241" s="45" t="n"/>
      <c r="D241" s="45" t="n"/>
      <c r="E241" s="45" t="n"/>
      <c r="F241" s="45" t="n"/>
      <c r="G241" s="45" t="n"/>
      <c r="H241" s="43" t="n"/>
      <c r="I241" s="45" t="n"/>
      <c r="J241" s="43" t="n">
        <v>452057107390</v>
      </c>
      <c r="K241" s="44" t="n">
        <v>45825</v>
      </c>
      <c r="L241" s="44" t="n">
        <v>45832</v>
      </c>
      <c r="M241" s="45" t="inlineStr">
        <is>
          <t>No</t>
        </is>
      </c>
      <c r="N241" s="45" t="inlineStr">
        <is>
          <t>1 HBL</t>
        </is>
      </c>
      <c r="O241" s="45" t="n"/>
      <c r="P241" s="45" t="inlineStr">
        <is>
          <t>LW</t>
        </is>
      </c>
      <c r="Q241" s="44" t="n">
        <v>45824</v>
      </c>
      <c r="R241" s="45" t="n">
        <v>1</v>
      </c>
      <c r="S241" s="44" t="n">
        <v>45826</v>
      </c>
    </row>
    <row r="242" ht="12.75" customHeight="1">
      <c r="A242" s="45" t="n"/>
      <c r="B242" s="45" t="n"/>
      <c r="C242" s="45" t="n"/>
      <c r="D242" s="45" t="n"/>
      <c r="E242" s="45" t="n"/>
      <c r="F242" s="45" t="n"/>
      <c r="G242" s="45" t="n"/>
      <c r="H242" s="43" t="n"/>
      <c r="I242" s="45" t="n"/>
      <c r="J242" s="43" t="n">
        <v>452057947068</v>
      </c>
      <c r="K242" s="44" t="n">
        <v>45825</v>
      </c>
      <c r="L242" s="44" t="n">
        <v>45832</v>
      </c>
      <c r="M242" s="45" t="inlineStr">
        <is>
          <t>No</t>
        </is>
      </c>
      <c r="N242" s="45" t="inlineStr">
        <is>
          <t>1 HBL</t>
        </is>
      </c>
      <c r="O242" s="45" t="n"/>
      <c r="P242" s="45" t="inlineStr">
        <is>
          <t>LW</t>
        </is>
      </c>
      <c r="Q242" s="44" t="n">
        <v>45824</v>
      </c>
      <c r="R242" s="45" t="n">
        <v>1</v>
      </c>
      <c r="S242" s="44" t="n">
        <v>45826</v>
      </c>
    </row>
    <row r="243" ht="12.75" customHeight="1">
      <c r="A243" s="45" t="n"/>
      <c r="B243" s="45" t="n"/>
      <c r="C243" s="45" t="n"/>
      <c r="D243" s="45" t="n"/>
      <c r="E243" s="45" t="n"/>
      <c r="F243" s="45" t="n"/>
      <c r="G243" s="45" t="n"/>
      <c r="H243" s="43" t="n"/>
      <c r="I243" s="45" t="n"/>
      <c r="J243" s="43" t="n">
        <v>452058797576</v>
      </c>
      <c r="K243" s="44" t="n">
        <v>45825</v>
      </c>
      <c r="L243" s="44" t="n">
        <v>45832</v>
      </c>
      <c r="M243" s="45" t="inlineStr">
        <is>
          <t>No</t>
        </is>
      </c>
      <c r="N243" s="45" t="inlineStr">
        <is>
          <t>1 HBL</t>
        </is>
      </c>
      <c r="O243" s="45" t="n"/>
      <c r="P243" s="45" t="inlineStr">
        <is>
          <t>LW</t>
        </is>
      </c>
      <c r="Q243" s="44" t="n">
        <v>45824</v>
      </c>
      <c r="R243" s="45" t="n">
        <v>1</v>
      </c>
      <c r="S243" s="44" t="n">
        <v>45826</v>
      </c>
    </row>
    <row r="244" ht="12.75" customHeight="1">
      <c r="A244" s="45" t="n"/>
      <c r="B244" s="45" t="n"/>
      <c r="C244" s="45" t="n"/>
      <c r="D244" s="45" t="n"/>
      <c r="E244" s="45" t="n"/>
      <c r="F244" s="45" t="n"/>
      <c r="G244" s="45" t="n"/>
      <c r="H244" s="43" t="n"/>
      <c r="I244" s="45" t="n"/>
      <c r="J244" s="43" t="n">
        <v>452059368323</v>
      </c>
      <c r="K244" s="44" t="n">
        <v>45825</v>
      </c>
      <c r="L244" s="44" t="n">
        <v>45832</v>
      </c>
      <c r="M244" s="45" t="inlineStr">
        <is>
          <t>No</t>
        </is>
      </c>
      <c r="N244" s="45" t="inlineStr">
        <is>
          <t>1 HBL</t>
        </is>
      </c>
      <c r="O244" s="45" t="n"/>
      <c r="P244" s="45" t="inlineStr">
        <is>
          <t>LW</t>
        </is>
      </c>
      <c r="Q244" s="44" t="n">
        <v>45824</v>
      </c>
      <c r="R244" s="45" t="n">
        <v>1</v>
      </c>
      <c r="S244" s="44" t="n">
        <v>45826</v>
      </c>
    </row>
    <row r="245" ht="12.75" customHeight="1">
      <c r="A245" s="45" t="n"/>
      <c r="B245" s="45" t="n"/>
      <c r="C245" s="45" t="n"/>
      <c r="D245" s="45" t="n"/>
      <c r="E245" s="45" t="n"/>
      <c r="F245" s="45" t="n"/>
      <c r="G245" s="45" t="n"/>
      <c r="H245" s="43" t="n"/>
      <c r="I245" s="45" t="n"/>
      <c r="J245" s="43" t="n">
        <v>452063949367</v>
      </c>
      <c r="K245" s="44" t="n">
        <v>45825</v>
      </c>
      <c r="L245" s="44" t="n">
        <v>45832</v>
      </c>
      <c r="M245" s="45" t="inlineStr">
        <is>
          <t>No</t>
        </is>
      </c>
      <c r="N245" s="45" t="inlineStr">
        <is>
          <t>1 HBL</t>
        </is>
      </c>
      <c r="O245" s="45" t="n"/>
      <c r="P245" s="45" t="inlineStr">
        <is>
          <t>LW</t>
        </is>
      </c>
      <c r="Q245" s="44" t="n">
        <v>45824</v>
      </c>
      <c r="R245" s="45" t="n">
        <v>1</v>
      </c>
      <c r="S245" s="44" t="n">
        <v>45826</v>
      </c>
    </row>
    <row r="246" ht="12.75" customHeight="1">
      <c r="A246" s="45" t="n"/>
      <c r="B246" s="45" t="n"/>
      <c r="C246" s="45" t="n"/>
      <c r="D246" s="45" t="n"/>
      <c r="E246" s="45" t="n"/>
      <c r="F246" s="45" t="n"/>
      <c r="G246" s="45" t="n"/>
      <c r="H246" s="43" t="n"/>
      <c r="I246" s="45" t="n"/>
      <c r="J246" s="43" t="n">
        <v>452064162091</v>
      </c>
      <c r="K246" s="44" t="n">
        <v>45825</v>
      </c>
      <c r="L246" s="44" t="n">
        <v>45832</v>
      </c>
      <c r="M246" s="45" t="inlineStr">
        <is>
          <t>No</t>
        </is>
      </c>
      <c r="N246" s="45" t="inlineStr">
        <is>
          <t>1 HBL</t>
        </is>
      </c>
      <c r="O246" s="45" t="n"/>
      <c r="P246" s="45" t="inlineStr">
        <is>
          <t>LW</t>
        </is>
      </c>
      <c r="Q246" s="44" t="n">
        <v>45824</v>
      </c>
      <c r="R246" s="45" t="n">
        <v>1</v>
      </c>
      <c r="S246" s="44" t="n">
        <v>45826</v>
      </c>
    </row>
    <row r="247" ht="12.75" customHeight="1">
      <c r="A247" s="45" t="n"/>
      <c r="B247" s="45" t="n"/>
      <c r="C247" s="45" t="n"/>
      <c r="D247" s="45" t="n"/>
      <c r="E247" s="45" t="n"/>
      <c r="F247" s="45" t="n"/>
      <c r="G247" s="45" t="n"/>
      <c r="H247" s="43" t="n"/>
      <c r="I247" s="45" t="n"/>
      <c r="J247" s="43" t="n">
        <v>452065075476</v>
      </c>
      <c r="K247" s="44" t="n">
        <v>45825</v>
      </c>
      <c r="L247" s="44" t="n">
        <v>45832</v>
      </c>
      <c r="M247" s="45" t="inlineStr">
        <is>
          <t>No</t>
        </is>
      </c>
      <c r="N247" s="45" t="inlineStr">
        <is>
          <t>1 HBL</t>
        </is>
      </c>
      <c r="O247" s="45" t="n"/>
      <c r="P247" s="45" t="inlineStr">
        <is>
          <t>LW</t>
        </is>
      </c>
      <c r="Q247" s="44" t="n">
        <v>45824</v>
      </c>
      <c r="R247" s="45" t="n">
        <v>1</v>
      </c>
      <c r="S247" s="44" t="n">
        <v>45826</v>
      </c>
    </row>
    <row r="248" ht="12.75" customHeight="1">
      <c r="A248" s="45" t="n"/>
      <c r="B248" s="45" t="n"/>
      <c r="C248" s="45" t="n"/>
      <c r="D248" s="45" t="n"/>
      <c r="E248" s="45" t="n"/>
      <c r="F248" s="45" t="n"/>
      <c r="G248" s="45" t="n"/>
      <c r="H248" s="43" t="n"/>
      <c r="I248" s="45" t="n"/>
      <c r="J248" s="43" t="n">
        <v>452065160070</v>
      </c>
      <c r="K248" s="44" t="n">
        <v>45825</v>
      </c>
      <c r="L248" s="44" t="n">
        <v>45832</v>
      </c>
      <c r="M248" s="45" t="inlineStr">
        <is>
          <t>No</t>
        </is>
      </c>
      <c r="N248" s="45" t="inlineStr">
        <is>
          <t>1 HBL</t>
        </is>
      </c>
      <c r="O248" s="45" t="n"/>
      <c r="P248" s="45" t="inlineStr">
        <is>
          <t>LW</t>
        </is>
      </c>
      <c r="Q248" s="44" t="n">
        <v>45824</v>
      </c>
      <c r="R248" s="45" t="n">
        <v>1</v>
      </c>
      <c r="S248" s="44" t="n">
        <v>45826</v>
      </c>
    </row>
    <row r="249" ht="12.75" customHeight="1">
      <c r="A249" s="45" t="n"/>
      <c r="B249" s="45" t="n"/>
      <c r="C249" s="45" t="n"/>
      <c r="D249" s="45" t="n"/>
      <c r="E249" s="45" t="n"/>
      <c r="F249" s="45" t="n"/>
      <c r="G249" s="45" t="n"/>
      <c r="H249" s="43" t="n"/>
      <c r="I249" s="45" t="n"/>
      <c r="J249" s="43" t="n">
        <v>452090767696</v>
      </c>
      <c r="K249" s="44" t="n">
        <v>45825</v>
      </c>
      <c r="L249" s="44" t="n">
        <v>45832</v>
      </c>
      <c r="M249" s="45" t="inlineStr">
        <is>
          <t>No</t>
        </is>
      </c>
      <c r="N249" s="45" t="inlineStr">
        <is>
          <t>1 HBL</t>
        </is>
      </c>
      <c r="O249" s="45" t="n"/>
      <c r="P249" s="45" t="inlineStr">
        <is>
          <t>LW</t>
        </is>
      </c>
      <c r="Q249" s="44" t="n">
        <v>45824</v>
      </c>
      <c r="R249" s="45" t="n">
        <v>1</v>
      </c>
      <c r="S249" s="44" t="n">
        <v>45826</v>
      </c>
    </row>
    <row r="250" ht="12.75" customHeight="1">
      <c r="A250" s="45" t="n"/>
      <c r="B250" s="45" t="n"/>
      <c r="C250" s="45" t="n"/>
      <c r="D250" s="45" t="n"/>
      <c r="E250" s="45" t="n"/>
      <c r="F250" s="45" t="n"/>
      <c r="G250" s="45" t="n"/>
      <c r="H250" s="43" t="n"/>
      <c r="I250" s="45" t="n"/>
      <c r="J250" s="43" t="n">
        <v>452091918889</v>
      </c>
      <c r="K250" s="44" t="n">
        <v>45825</v>
      </c>
      <c r="L250" s="44" t="n">
        <v>45832</v>
      </c>
      <c r="M250" s="45" t="inlineStr">
        <is>
          <t>No</t>
        </is>
      </c>
      <c r="N250" s="45" t="inlineStr">
        <is>
          <t>1 HBL</t>
        </is>
      </c>
      <c r="O250" s="45" t="n"/>
      <c r="P250" s="45" t="inlineStr">
        <is>
          <t>LW</t>
        </is>
      </c>
      <c r="Q250" s="44" t="n">
        <v>45824</v>
      </c>
      <c r="R250" s="45" t="n">
        <v>1</v>
      </c>
      <c r="S250" s="44" t="n">
        <v>45826</v>
      </c>
    </row>
    <row r="251" ht="12.75" customHeight="1">
      <c r="A251" s="45" t="n"/>
      <c r="B251" s="45" t="n"/>
      <c r="C251" s="45" t="n"/>
      <c r="D251" s="45" t="n"/>
      <c r="E251" s="45" t="n"/>
      <c r="F251" s="45" t="n"/>
      <c r="G251" s="45" t="n"/>
      <c r="H251" s="43" t="n"/>
      <c r="I251" s="45" t="n"/>
      <c r="J251" s="43" t="n">
        <v>452329023254</v>
      </c>
      <c r="K251" s="44" t="n">
        <v>45825</v>
      </c>
      <c r="L251" s="44" t="n">
        <v>45832</v>
      </c>
      <c r="M251" s="45" t="inlineStr">
        <is>
          <t>No</t>
        </is>
      </c>
      <c r="N251" s="45" t="inlineStr">
        <is>
          <t>1 HBL</t>
        </is>
      </c>
      <c r="O251" s="45" t="n"/>
      <c r="P251" s="45" t="inlineStr">
        <is>
          <t>LW</t>
        </is>
      </c>
      <c r="Q251" s="44" t="n">
        <v>45824</v>
      </c>
      <c r="R251" s="45" t="n">
        <v>1</v>
      </c>
      <c r="S251" s="44" t="n">
        <v>45826</v>
      </c>
    </row>
    <row r="252" ht="12.75" customHeight="1">
      <c r="A252" s="45" t="n"/>
      <c r="B252" s="45" t="n"/>
      <c r="C252" s="45" t="n"/>
      <c r="D252" s="45" t="n"/>
      <c r="E252" s="45" t="n"/>
      <c r="F252" s="45" t="n"/>
      <c r="G252" s="45" t="n"/>
      <c r="H252" s="43" t="n"/>
      <c r="I252" s="45" t="n"/>
      <c r="J252" s="43" t="n">
        <v>452329220808</v>
      </c>
      <c r="K252" s="44" t="n">
        <v>45825</v>
      </c>
      <c r="L252" s="44" t="n">
        <v>45832</v>
      </c>
      <c r="M252" s="45" t="inlineStr">
        <is>
          <t>No</t>
        </is>
      </c>
      <c r="N252" s="45" t="inlineStr">
        <is>
          <t>1 HBL</t>
        </is>
      </c>
      <c r="O252" s="45" t="n"/>
      <c r="P252" s="45" t="inlineStr">
        <is>
          <t>LW</t>
        </is>
      </c>
      <c r="Q252" s="44" t="n">
        <v>45824</v>
      </c>
      <c r="R252" s="45" t="n">
        <v>1</v>
      </c>
      <c r="S252" s="44" t="n">
        <v>45826</v>
      </c>
    </row>
    <row r="253" ht="12.75" customHeight="1">
      <c r="A253" s="45" t="n"/>
      <c r="B253" s="45" t="n"/>
      <c r="C253" s="45" t="n"/>
      <c r="D253" s="45" t="n"/>
      <c r="E253" s="45" t="n"/>
      <c r="F253" s="45" t="n"/>
      <c r="G253" s="45" t="n"/>
      <c r="H253" s="43" t="n"/>
      <c r="I253" s="45" t="n"/>
      <c r="J253" s="43" t="n">
        <v>452331134230</v>
      </c>
      <c r="K253" s="44" t="n">
        <v>45825</v>
      </c>
      <c r="L253" s="44" t="n">
        <v>45832</v>
      </c>
      <c r="M253" s="45" t="inlineStr">
        <is>
          <t>No</t>
        </is>
      </c>
      <c r="N253" s="45" t="inlineStr">
        <is>
          <t>1 HBL</t>
        </is>
      </c>
      <c r="O253" s="45" t="n"/>
      <c r="P253" s="45" t="inlineStr">
        <is>
          <t>LW</t>
        </is>
      </c>
      <c r="Q253" s="44" t="n">
        <v>45824</v>
      </c>
      <c r="R253" s="45" t="n">
        <v>1</v>
      </c>
      <c r="S253" s="44" t="n">
        <v>45826</v>
      </c>
    </row>
    <row r="254" ht="12.75" customHeight="1">
      <c r="A254" s="45" t="n"/>
      <c r="B254" s="45" t="n"/>
      <c r="C254" s="45" t="n"/>
      <c r="D254" s="45" t="n"/>
      <c r="E254" s="45" t="n"/>
      <c r="F254" s="45" t="n"/>
      <c r="G254" s="45" t="n"/>
      <c r="H254" s="43" t="n"/>
      <c r="I254" s="45" t="n"/>
      <c r="J254" s="43" t="n">
        <v>452333555853</v>
      </c>
      <c r="K254" s="44" t="n">
        <v>45825</v>
      </c>
      <c r="L254" s="44" t="n">
        <v>45832</v>
      </c>
      <c r="M254" s="45" t="inlineStr">
        <is>
          <t>No</t>
        </is>
      </c>
      <c r="N254" s="45" t="inlineStr">
        <is>
          <t>1 HBL</t>
        </is>
      </c>
      <c r="O254" s="45" t="n"/>
      <c r="P254" s="45" t="inlineStr">
        <is>
          <t>LW</t>
        </is>
      </c>
      <c r="Q254" s="44" t="n">
        <v>45824</v>
      </c>
      <c r="R254" s="45" t="n">
        <v>1</v>
      </c>
      <c r="S254" s="44" t="n">
        <v>45826</v>
      </c>
    </row>
    <row r="255" ht="12.75" customHeight="1">
      <c r="A255" s="45" t="n"/>
      <c r="B255" s="45" t="n"/>
      <c r="C255" s="45" t="n"/>
      <c r="D255" s="45" t="n"/>
      <c r="E255" s="45" t="n"/>
      <c r="F255" s="45" t="n"/>
      <c r="G255" s="45" t="n"/>
      <c r="H255" s="43" t="n"/>
      <c r="I255" s="45" t="n"/>
      <c r="J255" s="43" t="n">
        <v>452334621428</v>
      </c>
      <c r="K255" s="44" t="n">
        <v>45825</v>
      </c>
      <c r="L255" s="44" t="n">
        <v>45832</v>
      </c>
      <c r="M255" s="45" t="inlineStr">
        <is>
          <t>No</t>
        </is>
      </c>
      <c r="N255" s="45" t="inlineStr">
        <is>
          <t>1 HBL</t>
        </is>
      </c>
      <c r="O255" s="45" t="n"/>
      <c r="P255" s="45" t="inlineStr">
        <is>
          <t>LW</t>
        </is>
      </c>
      <c r="Q255" s="44" t="n">
        <v>45824</v>
      </c>
      <c r="R255" s="45" t="n">
        <v>1</v>
      </c>
      <c r="S255" s="44" t="n">
        <v>45826</v>
      </c>
    </row>
    <row r="256" ht="12.75" customHeight="1">
      <c r="A256" s="45" t="n"/>
      <c r="B256" s="45" t="n"/>
      <c r="C256" s="45" t="n"/>
      <c r="D256" s="45" t="n"/>
      <c r="E256" s="45" t="n"/>
      <c r="F256" s="45" t="n"/>
      <c r="G256" s="45" t="n"/>
      <c r="H256" s="43" t="n"/>
      <c r="I256" s="45" t="n"/>
      <c r="J256" s="43" t="n">
        <v>452334899638</v>
      </c>
      <c r="K256" s="44" t="n">
        <v>45825</v>
      </c>
      <c r="L256" s="44" t="n">
        <v>45832</v>
      </c>
      <c r="M256" s="45" t="inlineStr">
        <is>
          <t>No</t>
        </is>
      </c>
      <c r="N256" s="45" t="inlineStr">
        <is>
          <t>1 HBL</t>
        </is>
      </c>
      <c r="O256" s="45" t="n"/>
      <c r="P256" s="45" t="inlineStr">
        <is>
          <t>LW</t>
        </is>
      </c>
      <c r="Q256" s="44" t="n">
        <v>45824</v>
      </c>
      <c r="R256" s="45" t="n">
        <v>1</v>
      </c>
      <c r="S256" s="44" t="n">
        <v>45826</v>
      </c>
    </row>
    <row r="257" ht="12.75" customHeight="1">
      <c r="A257" s="45" t="n"/>
      <c r="B257" s="45" t="n"/>
      <c r="C257" s="45" t="n"/>
      <c r="D257" s="45" t="n"/>
      <c r="E257" s="45" t="n"/>
      <c r="F257" s="45" t="n"/>
      <c r="G257" s="45" t="n"/>
      <c r="H257" s="43" t="n"/>
      <c r="I257" s="45" t="n"/>
      <c r="J257" s="43" t="n">
        <v>452336515351</v>
      </c>
      <c r="K257" s="44" t="n">
        <v>45825</v>
      </c>
      <c r="L257" s="44" t="n">
        <v>45832</v>
      </c>
      <c r="M257" s="45" t="inlineStr">
        <is>
          <t>No</t>
        </is>
      </c>
      <c r="N257" s="45" t="inlineStr">
        <is>
          <t>1 HBL</t>
        </is>
      </c>
      <c r="O257" s="45" t="n"/>
      <c r="P257" s="45" t="inlineStr">
        <is>
          <t>LW</t>
        </is>
      </c>
      <c r="Q257" s="44" t="n">
        <v>45824</v>
      </c>
      <c r="R257" s="45" t="n">
        <v>1</v>
      </c>
      <c r="S257" s="44" t="n">
        <v>45826</v>
      </c>
    </row>
    <row r="258" ht="12.75" customHeight="1">
      <c r="A258" s="45" t="n"/>
      <c r="B258" s="45" t="n"/>
      <c r="C258" s="45" t="n"/>
      <c r="D258" s="45" t="n"/>
      <c r="E258" s="45" t="n"/>
      <c r="F258" s="45" t="n"/>
      <c r="G258" s="45" t="n"/>
      <c r="H258" s="43" t="n"/>
      <c r="I258" s="45" t="n"/>
      <c r="J258" s="43" t="n">
        <v>452337415724</v>
      </c>
      <c r="K258" s="44" t="n">
        <v>45825</v>
      </c>
      <c r="L258" s="44" t="n">
        <v>45832</v>
      </c>
      <c r="M258" s="45" t="inlineStr">
        <is>
          <t>No</t>
        </is>
      </c>
      <c r="N258" s="45" t="inlineStr">
        <is>
          <t>1 HBL</t>
        </is>
      </c>
      <c r="O258" s="45" t="n"/>
      <c r="P258" s="45" t="inlineStr">
        <is>
          <t>LW</t>
        </is>
      </c>
      <c r="Q258" s="44" t="n">
        <v>45824</v>
      </c>
      <c r="R258" s="45" t="n">
        <v>1</v>
      </c>
      <c r="S258" s="44" t="n">
        <v>45826</v>
      </c>
    </row>
    <row r="259" ht="12.75" customHeight="1">
      <c r="A259" s="45" t="n"/>
      <c r="B259" s="45" t="n"/>
      <c r="C259" s="45" t="n"/>
      <c r="D259" s="45" t="n"/>
      <c r="E259" s="45" t="n"/>
      <c r="F259" s="45" t="n"/>
      <c r="G259" s="45" t="n"/>
      <c r="H259" s="43" t="n"/>
      <c r="I259" s="45" t="n"/>
      <c r="J259" s="43" t="n">
        <v>452337503304</v>
      </c>
      <c r="K259" s="44" t="n">
        <v>45825</v>
      </c>
      <c r="L259" s="44" t="n">
        <v>45832</v>
      </c>
      <c r="M259" s="45" t="inlineStr">
        <is>
          <t>No</t>
        </is>
      </c>
      <c r="N259" s="45" t="inlineStr">
        <is>
          <t>1 HBL</t>
        </is>
      </c>
      <c r="O259" s="45" t="n"/>
      <c r="P259" s="45" t="inlineStr">
        <is>
          <t>LW</t>
        </is>
      </c>
      <c r="Q259" s="44" t="n">
        <v>45824</v>
      </c>
      <c r="R259" s="45" t="n">
        <v>1</v>
      </c>
      <c r="S259" s="44" t="n">
        <v>45826</v>
      </c>
    </row>
    <row r="260" ht="12.75" customHeight="1">
      <c r="A260" s="45" t="n"/>
      <c r="B260" s="45" t="n"/>
      <c r="C260" s="45" t="n"/>
      <c r="D260" s="45" t="n"/>
      <c r="E260" s="45" t="n"/>
      <c r="F260" s="45" t="n"/>
      <c r="G260" s="45" t="n"/>
      <c r="H260" s="43" t="n"/>
      <c r="I260" s="45" t="n"/>
      <c r="J260" s="43" t="n">
        <v>452338733738</v>
      </c>
      <c r="K260" s="44" t="n">
        <v>45825</v>
      </c>
      <c r="L260" s="44" t="n">
        <v>45832</v>
      </c>
      <c r="M260" s="45" t="inlineStr">
        <is>
          <t>No</t>
        </is>
      </c>
      <c r="N260" s="45" t="inlineStr">
        <is>
          <t>1 HBL</t>
        </is>
      </c>
      <c r="O260" s="45" t="n"/>
      <c r="P260" s="45" t="inlineStr">
        <is>
          <t>LW</t>
        </is>
      </c>
      <c r="Q260" s="44" t="n">
        <v>45824</v>
      </c>
      <c r="R260" s="45" t="n">
        <v>1</v>
      </c>
      <c r="S260" s="44" t="n">
        <v>45826</v>
      </c>
    </row>
    <row r="261" ht="12.75" customHeight="1">
      <c r="A261" s="45" t="n"/>
      <c r="B261" s="45" t="n"/>
      <c r="C261" s="45" t="n"/>
      <c r="D261" s="45" t="n"/>
      <c r="E261" s="45" t="n"/>
      <c r="F261" s="45" t="n"/>
      <c r="G261" s="45" t="n"/>
      <c r="H261" s="43" t="n"/>
      <c r="I261" s="45" t="n"/>
      <c r="J261" s="43" t="n">
        <v>452339268805</v>
      </c>
      <c r="K261" s="44" t="n">
        <v>45825</v>
      </c>
      <c r="L261" s="44" t="n">
        <v>45832</v>
      </c>
      <c r="M261" s="45" t="inlineStr">
        <is>
          <t>No</t>
        </is>
      </c>
      <c r="N261" s="45" t="inlineStr">
        <is>
          <t>1 HBL</t>
        </is>
      </c>
      <c r="O261" s="45" t="n"/>
      <c r="P261" s="45" t="inlineStr">
        <is>
          <t>LW</t>
        </is>
      </c>
      <c r="Q261" s="44" t="n">
        <v>45824</v>
      </c>
      <c r="R261" s="45" t="n">
        <v>1</v>
      </c>
      <c r="S261" s="44" t="n">
        <v>45826</v>
      </c>
    </row>
    <row r="262" ht="12.75" customHeight="1">
      <c r="A262" s="45" t="n"/>
      <c r="B262" s="45" t="n"/>
      <c r="C262" s="45" t="n"/>
      <c r="D262" s="45" t="n"/>
      <c r="E262" s="45" t="n"/>
      <c r="F262" s="45" t="n"/>
      <c r="G262" s="45" t="n"/>
      <c r="H262" s="43" t="n"/>
      <c r="I262" s="45" t="n"/>
      <c r="J262" s="43" t="n">
        <v>452340224599</v>
      </c>
      <c r="K262" s="44" t="n">
        <v>45825</v>
      </c>
      <c r="L262" s="44" t="n">
        <v>45832</v>
      </c>
      <c r="M262" s="45" t="inlineStr">
        <is>
          <t>No</t>
        </is>
      </c>
      <c r="N262" s="45" t="inlineStr">
        <is>
          <t>1 HBL</t>
        </is>
      </c>
      <c r="O262" s="45" t="n"/>
      <c r="P262" s="45" t="inlineStr">
        <is>
          <t>LW</t>
        </is>
      </c>
      <c r="Q262" s="44" t="n">
        <v>45824</v>
      </c>
      <c r="R262" s="45" t="n">
        <v>1</v>
      </c>
      <c r="S262" s="44" t="n">
        <v>45826</v>
      </c>
    </row>
    <row r="263" ht="12.75" customHeight="1">
      <c r="A263" s="45" t="n"/>
      <c r="B263" s="45" t="n"/>
      <c r="C263" s="45" t="n"/>
      <c r="D263" s="45" t="n"/>
      <c r="E263" s="45" t="n"/>
      <c r="F263" s="45" t="n"/>
      <c r="G263" s="45" t="n"/>
      <c r="H263" s="43" t="n"/>
      <c r="I263" s="45" t="n"/>
      <c r="J263" s="43" t="n">
        <v>452342044538</v>
      </c>
      <c r="K263" s="44" t="n">
        <v>45825</v>
      </c>
      <c r="L263" s="44" t="n">
        <v>45832</v>
      </c>
      <c r="M263" s="45" t="inlineStr">
        <is>
          <t>No</t>
        </is>
      </c>
      <c r="N263" s="45" t="inlineStr">
        <is>
          <t>1 HBL</t>
        </is>
      </c>
      <c r="O263" s="45" t="n"/>
      <c r="P263" s="45" t="inlineStr">
        <is>
          <t>LW</t>
        </is>
      </c>
      <c r="Q263" s="44" t="n">
        <v>45824</v>
      </c>
      <c r="R263" s="45" t="n">
        <v>1</v>
      </c>
      <c r="S263" s="44" t="n">
        <v>45826</v>
      </c>
    </row>
    <row r="264" ht="12.75" customHeight="1">
      <c r="A264" s="45" t="n"/>
      <c r="B264" s="45" t="n"/>
      <c r="C264" s="45" t="n"/>
      <c r="D264" s="45" t="n"/>
      <c r="E264" s="45" t="n"/>
      <c r="F264" s="45" t="n"/>
      <c r="G264" s="45" t="n"/>
      <c r="H264" s="43" t="n"/>
      <c r="I264" s="45" t="n"/>
      <c r="J264" s="43" t="n">
        <v>452342279624</v>
      </c>
      <c r="K264" s="44" t="n">
        <v>45825</v>
      </c>
      <c r="L264" s="44" t="n">
        <v>45832</v>
      </c>
      <c r="M264" s="45" t="inlineStr">
        <is>
          <t>No</t>
        </is>
      </c>
      <c r="N264" s="45" t="inlineStr">
        <is>
          <t>1 HBL</t>
        </is>
      </c>
      <c r="O264" s="45" t="n"/>
      <c r="P264" s="45" t="inlineStr">
        <is>
          <t>LW</t>
        </is>
      </c>
      <c r="Q264" s="44" t="n">
        <v>45824</v>
      </c>
      <c r="R264" s="45" t="n">
        <v>1</v>
      </c>
      <c r="S264" s="44" t="n">
        <v>45826</v>
      </c>
    </row>
    <row r="265" ht="12.75" customHeight="1">
      <c r="A265" s="45" t="n"/>
      <c r="B265" s="45" t="n"/>
      <c r="C265" s="45" t="n"/>
      <c r="D265" s="45" t="n"/>
      <c r="E265" s="45" t="n"/>
      <c r="F265" s="45" t="n"/>
      <c r="G265" s="45" t="n"/>
      <c r="H265" s="43" t="n"/>
      <c r="I265" s="45" t="n"/>
      <c r="J265" s="43" t="n">
        <v>452343218294</v>
      </c>
      <c r="K265" s="44" t="n">
        <v>45825</v>
      </c>
      <c r="L265" s="44" t="n">
        <v>45832</v>
      </c>
      <c r="M265" s="45" t="inlineStr">
        <is>
          <t>No</t>
        </is>
      </c>
      <c r="N265" s="45" t="inlineStr">
        <is>
          <t>1 HBL</t>
        </is>
      </c>
      <c r="O265" s="45" t="n"/>
      <c r="P265" s="45" t="inlineStr">
        <is>
          <t>LW</t>
        </is>
      </c>
      <c r="Q265" s="44" t="n">
        <v>45824</v>
      </c>
      <c r="R265" s="45" t="n">
        <v>1</v>
      </c>
      <c r="S265" s="44" t="n">
        <v>45826</v>
      </c>
    </row>
    <row r="266" ht="12.75" customHeight="1">
      <c r="A266" s="45" t="n"/>
      <c r="B266" s="45" t="n"/>
      <c r="C266" s="45" t="n"/>
      <c r="D266" s="45" t="n"/>
      <c r="E266" s="45" t="n"/>
      <c r="F266" s="45" t="n"/>
      <c r="G266" s="45" t="n"/>
      <c r="H266" s="43" t="n"/>
      <c r="I266" s="45" t="n"/>
      <c r="J266" s="43" t="n">
        <v>452343456868</v>
      </c>
      <c r="K266" s="44" t="n">
        <v>45825</v>
      </c>
      <c r="L266" s="44" t="n">
        <v>45832</v>
      </c>
      <c r="M266" s="45" t="inlineStr">
        <is>
          <t>No</t>
        </is>
      </c>
      <c r="N266" s="45" t="inlineStr">
        <is>
          <t>1 HBL</t>
        </is>
      </c>
      <c r="O266" s="45" t="n"/>
      <c r="P266" s="45" t="inlineStr">
        <is>
          <t>LW</t>
        </is>
      </c>
      <c r="Q266" s="44" t="n">
        <v>45824</v>
      </c>
      <c r="R266" s="45" t="n">
        <v>1</v>
      </c>
      <c r="S266" s="44" t="n">
        <v>45826</v>
      </c>
    </row>
    <row r="267" ht="12.75" customHeight="1">
      <c r="A267" s="45" t="n"/>
      <c r="B267" s="45" t="n"/>
      <c r="C267" s="45" t="n"/>
      <c r="D267" s="45" t="n"/>
      <c r="E267" s="45" t="n"/>
      <c r="F267" s="45" t="n"/>
      <c r="G267" s="45" t="n"/>
      <c r="H267" s="43" t="n"/>
      <c r="I267" s="45" t="n"/>
      <c r="J267" s="43" t="n">
        <v>452345792788</v>
      </c>
      <c r="K267" s="44" t="n">
        <v>45825</v>
      </c>
      <c r="L267" s="44" t="n">
        <v>45832</v>
      </c>
      <c r="M267" s="45" t="inlineStr">
        <is>
          <t>No</t>
        </is>
      </c>
      <c r="N267" s="45" t="inlineStr">
        <is>
          <t>1 HBL</t>
        </is>
      </c>
      <c r="O267" s="45" t="n"/>
      <c r="P267" s="45" t="inlineStr">
        <is>
          <t>LW</t>
        </is>
      </c>
      <c r="Q267" s="44" t="n">
        <v>45824</v>
      </c>
      <c r="R267" s="45" t="n">
        <v>1</v>
      </c>
      <c r="S267" s="44" t="n">
        <v>45826</v>
      </c>
    </row>
    <row r="268" ht="12.75" customHeight="1">
      <c r="A268" s="45" t="n"/>
      <c r="B268" s="45" t="n"/>
      <c r="C268" s="45" t="n"/>
      <c r="D268" s="45" t="n"/>
      <c r="E268" s="45" t="n"/>
      <c r="F268" s="45" t="n"/>
      <c r="G268" s="45" t="n"/>
      <c r="H268" s="43" t="n"/>
      <c r="I268" s="45" t="n"/>
      <c r="J268" s="43" t="n">
        <v>452347475679</v>
      </c>
      <c r="K268" s="44" t="n">
        <v>45825</v>
      </c>
      <c r="L268" s="44" t="n">
        <v>45832</v>
      </c>
      <c r="M268" s="45" t="inlineStr">
        <is>
          <t>No</t>
        </is>
      </c>
      <c r="N268" s="45" t="inlineStr">
        <is>
          <t>1 HBL</t>
        </is>
      </c>
      <c r="O268" s="45" t="n"/>
      <c r="P268" s="45" t="inlineStr">
        <is>
          <t>LW</t>
        </is>
      </c>
      <c r="Q268" s="44" t="n">
        <v>45824</v>
      </c>
      <c r="R268" s="45" t="n">
        <v>1</v>
      </c>
      <c r="S268" s="44" t="n">
        <v>45826</v>
      </c>
    </row>
    <row r="269" ht="12.75" customHeight="1">
      <c r="A269" s="45" t="n"/>
      <c r="B269" s="45" t="inlineStr">
        <is>
          <t>C. 1 x 40HC Total</t>
        </is>
      </c>
      <c r="C269" s="45" t="n"/>
      <c r="D269" s="45" t="n"/>
      <c r="E269" s="45" t="n"/>
      <c r="F269" s="45" t="n"/>
      <c r="G269" s="45" t="n"/>
      <c r="H269" s="43" t="n"/>
      <c r="I269" s="45" t="n"/>
      <c r="J269" s="45" t="n"/>
      <c r="K269" s="45" t="n"/>
      <c r="L269" s="45" t="n"/>
      <c r="M269" s="45" t="n"/>
      <c r="N269" s="45" t="n"/>
      <c r="O269" s="45" t="n"/>
      <c r="P269" s="45" t="n"/>
      <c r="Q269" s="44" t="e">
        <v>#VALUE!</v>
      </c>
      <c r="R269" s="45" t="n">
        <v>949</v>
      </c>
      <c r="S269" s="44" t="e">
        <v>#VALUE!</v>
      </c>
    </row>
    <row r="270" ht="12.75" customHeight="1">
      <c r="A270" s="45" t="n"/>
      <c r="B270" s="45" t="inlineStr">
        <is>
          <t>D. 1 x 40HC</t>
        </is>
      </c>
      <c r="C270" s="45" t="inlineStr">
        <is>
          <t>New York, NY, US</t>
        </is>
      </c>
      <c r="D270" s="45" t="inlineStr">
        <is>
          <t>Milton, ON, CA</t>
        </is>
      </c>
      <c r="E270" s="45" t="inlineStr">
        <is>
          <t>CFS/CY</t>
        </is>
      </c>
      <c r="F270" s="45" t="inlineStr">
        <is>
          <t>OCEAN</t>
        </is>
      </c>
      <c r="G270" s="45" t="n">
        <v>-14</v>
      </c>
      <c r="H270" s="43" t="n"/>
      <c r="I270" s="44" t="inlineStr">
        <is>
          <t>MAS Active (Pvt) Ltd - Linea Intimo</t>
        </is>
      </c>
      <c r="J270" s="43" t="n">
        <v>454723450691</v>
      </c>
      <c r="K270" s="44" t="n">
        <v>45825</v>
      </c>
      <c r="L270" s="44" t="n">
        <v>45832</v>
      </c>
      <c r="M270" s="45" t="inlineStr">
        <is>
          <t>No</t>
        </is>
      </c>
      <c r="N270" s="45" t="inlineStr">
        <is>
          <t>1 HBL</t>
        </is>
      </c>
      <c r="O270" s="45" t="n"/>
      <c r="P270" s="45" t="inlineStr">
        <is>
          <t>LW</t>
        </is>
      </c>
      <c r="Q270" s="44" t="n">
        <v>45824</v>
      </c>
      <c r="R270" s="45" t="n">
        <v>4</v>
      </c>
      <c r="S270" s="44" t="n">
        <v>45826</v>
      </c>
    </row>
    <row r="271" ht="12.75" customHeight="1">
      <c r="A271" s="45" t="n"/>
      <c r="B271" s="45" t="n"/>
      <c r="C271" s="45" t="n"/>
      <c r="D271" s="45" t="n"/>
      <c r="E271" s="45" t="n"/>
      <c r="F271" s="45" t="n"/>
      <c r="G271" s="45" t="n"/>
      <c r="H271" s="43" t="n"/>
      <c r="I271" s="45" t="n"/>
      <c r="J271" s="43" t="n">
        <v>454724680701</v>
      </c>
      <c r="K271" s="44" t="n">
        <v>45825</v>
      </c>
      <c r="L271" s="44" t="n">
        <v>45832</v>
      </c>
      <c r="M271" s="45" t="inlineStr">
        <is>
          <t>No</t>
        </is>
      </c>
      <c r="N271" s="45" t="inlineStr">
        <is>
          <t>1 HBL</t>
        </is>
      </c>
      <c r="O271" s="45" t="n"/>
      <c r="P271" s="45" t="inlineStr">
        <is>
          <t>LW</t>
        </is>
      </c>
      <c r="Q271" s="44" t="n">
        <v>45824</v>
      </c>
      <c r="R271" s="45" t="n">
        <v>21</v>
      </c>
      <c r="S271" s="44" t="n">
        <v>45826</v>
      </c>
    </row>
    <row r="272" ht="12.75" customHeight="1">
      <c r="A272" s="45" t="n"/>
      <c r="B272" s="45" t="n"/>
      <c r="C272" s="45" t="n"/>
      <c r="D272" s="45" t="n"/>
      <c r="E272" s="45" t="n"/>
      <c r="F272" s="45" t="n"/>
      <c r="G272" s="45" t="n"/>
      <c r="H272" s="43" t="n"/>
      <c r="I272" s="45" t="n"/>
      <c r="J272" s="43" t="n">
        <v>454725048313</v>
      </c>
      <c r="K272" s="44" t="n">
        <v>45825</v>
      </c>
      <c r="L272" s="44" t="n">
        <v>45832</v>
      </c>
      <c r="M272" s="45" t="inlineStr">
        <is>
          <t>No</t>
        </is>
      </c>
      <c r="N272" s="45" t="inlineStr">
        <is>
          <t>1 HBL</t>
        </is>
      </c>
      <c r="O272" s="45" t="n"/>
      <c r="P272" s="45" t="inlineStr">
        <is>
          <t>LW</t>
        </is>
      </c>
      <c r="Q272" s="44" t="n">
        <v>45824</v>
      </c>
      <c r="R272" s="45" t="n">
        <v>7</v>
      </c>
      <c r="S272" s="44" t="n">
        <v>45826</v>
      </c>
    </row>
    <row r="273" ht="12.75" customHeight="1">
      <c r="A273" s="45" t="n"/>
      <c r="B273" s="45" t="n"/>
      <c r="C273" s="45" t="n"/>
      <c r="D273" s="45" t="n"/>
      <c r="E273" s="45" t="n"/>
      <c r="F273" s="45" t="n"/>
      <c r="G273" s="45" t="n">
        <v>-9</v>
      </c>
      <c r="H273" s="43" t="n"/>
      <c r="I273" s="44" t="inlineStr">
        <is>
          <t>MAS Active (Pvt) Ltd - Linea Intimo</t>
        </is>
      </c>
      <c r="J273" s="43" t="n">
        <v>454698382746</v>
      </c>
      <c r="K273" s="44" t="n">
        <v>45825</v>
      </c>
      <c r="L273" s="44" t="n">
        <v>45832</v>
      </c>
      <c r="M273" s="45" t="inlineStr">
        <is>
          <t>No</t>
        </is>
      </c>
      <c r="N273" s="45" t="inlineStr">
        <is>
          <t>1 HBL</t>
        </is>
      </c>
      <c r="O273" s="45" t="n"/>
      <c r="P273" s="45" t="inlineStr">
        <is>
          <t>LW</t>
        </is>
      </c>
      <c r="Q273" s="44" t="n">
        <v>45824</v>
      </c>
      <c r="R273" s="45" t="n">
        <v>4</v>
      </c>
      <c r="S273" s="44" t="n">
        <v>45826</v>
      </c>
    </row>
    <row r="274" ht="12.75" customHeight="1">
      <c r="A274" s="45" t="n"/>
      <c r="B274" s="45" t="n"/>
      <c r="C274" s="45" t="n"/>
      <c r="D274" s="45" t="n"/>
      <c r="E274" s="45" t="n"/>
      <c r="F274" s="45" t="n"/>
      <c r="G274" s="45" t="n"/>
      <c r="H274" s="43" t="n"/>
      <c r="I274" s="45" t="n"/>
      <c r="J274" s="43" t="n">
        <v>454698451896</v>
      </c>
      <c r="K274" s="44" t="n">
        <v>45825</v>
      </c>
      <c r="L274" s="44" t="n">
        <v>45832</v>
      </c>
      <c r="M274" s="45" t="inlineStr">
        <is>
          <t>No</t>
        </is>
      </c>
      <c r="N274" s="45" t="inlineStr">
        <is>
          <t>1 HBL</t>
        </is>
      </c>
      <c r="O274" s="45" t="n"/>
      <c r="P274" s="45" t="inlineStr">
        <is>
          <t>LW</t>
        </is>
      </c>
      <c r="Q274" s="44" t="n">
        <v>45824</v>
      </c>
      <c r="R274" s="45" t="n">
        <v>3</v>
      </c>
      <c r="S274" s="44" t="n">
        <v>45826</v>
      </c>
    </row>
    <row r="275" ht="12.75" customHeight="1">
      <c r="A275" s="45" t="n"/>
      <c r="B275" s="45" t="n"/>
      <c r="C275" s="45" t="n"/>
      <c r="D275" s="45" t="n"/>
      <c r="E275" s="45" t="n"/>
      <c r="F275" s="45" t="n"/>
      <c r="G275" s="45" t="n"/>
      <c r="H275" s="43" t="n"/>
      <c r="I275" s="45" t="n"/>
      <c r="J275" s="43" t="n">
        <v>454698452151</v>
      </c>
      <c r="K275" s="44" t="n">
        <v>45825</v>
      </c>
      <c r="L275" s="44" t="n">
        <v>45832</v>
      </c>
      <c r="M275" s="45" t="inlineStr">
        <is>
          <t>No</t>
        </is>
      </c>
      <c r="N275" s="45" t="inlineStr">
        <is>
          <t>1 HBL</t>
        </is>
      </c>
      <c r="O275" s="45" t="n"/>
      <c r="P275" s="45" t="inlineStr">
        <is>
          <t>LW</t>
        </is>
      </c>
      <c r="Q275" s="44" t="n">
        <v>45824</v>
      </c>
      <c r="R275" s="45" t="n">
        <v>3</v>
      </c>
      <c r="S275" s="44" t="n">
        <v>45826</v>
      </c>
    </row>
    <row r="276" ht="12.75" customHeight="1">
      <c r="A276" s="45" t="n"/>
      <c r="B276" s="45" t="n"/>
      <c r="C276" s="45" t="n"/>
      <c r="D276" s="45" t="n"/>
      <c r="E276" s="45" t="n"/>
      <c r="F276" s="45" t="n"/>
      <c r="G276" s="45" t="n"/>
      <c r="H276" s="43" t="n"/>
      <c r="I276" s="45" t="n"/>
      <c r="J276" s="43" t="n">
        <v>454698725219</v>
      </c>
      <c r="K276" s="44" t="n">
        <v>45825</v>
      </c>
      <c r="L276" s="44" t="n">
        <v>45832</v>
      </c>
      <c r="M276" s="45" t="inlineStr">
        <is>
          <t>No</t>
        </is>
      </c>
      <c r="N276" s="45" t="inlineStr">
        <is>
          <t>1 HBL</t>
        </is>
      </c>
      <c r="O276" s="45" t="n"/>
      <c r="P276" s="45" t="inlineStr">
        <is>
          <t>LW</t>
        </is>
      </c>
      <c r="Q276" s="44" t="n">
        <v>45824</v>
      </c>
      <c r="R276" s="45" t="n">
        <v>2</v>
      </c>
      <c r="S276" s="44" t="n">
        <v>45826</v>
      </c>
    </row>
    <row r="277" ht="12.75" customHeight="1">
      <c r="A277" s="45" t="n"/>
      <c r="B277" s="45" t="n"/>
      <c r="C277" s="45" t="n"/>
      <c r="D277" s="45" t="n"/>
      <c r="E277" s="45" t="n"/>
      <c r="F277" s="45" t="n"/>
      <c r="G277" s="45" t="n"/>
      <c r="H277" s="43" t="n"/>
      <c r="I277" s="45" t="n"/>
      <c r="J277" s="43" t="n">
        <v>454699451892</v>
      </c>
      <c r="K277" s="44" t="n">
        <v>45825</v>
      </c>
      <c r="L277" s="44" t="n">
        <v>45832</v>
      </c>
      <c r="M277" s="45" t="inlineStr">
        <is>
          <t>No</t>
        </is>
      </c>
      <c r="N277" s="45" t="inlineStr">
        <is>
          <t>1 HBL</t>
        </is>
      </c>
      <c r="O277" s="45" t="n"/>
      <c r="P277" s="45" t="inlineStr">
        <is>
          <t>LW</t>
        </is>
      </c>
      <c r="Q277" s="44" t="n">
        <v>45824</v>
      </c>
      <c r="R277" s="45" t="n">
        <v>6</v>
      </c>
      <c r="S277" s="44" t="n">
        <v>45826</v>
      </c>
    </row>
    <row r="278" ht="12.75" customHeight="1">
      <c r="A278" s="45" t="n"/>
      <c r="B278" s="45" t="n"/>
      <c r="C278" s="45" t="n"/>
      <c r="D278" s="45" t="n"/>
      <c r="E278" s="45" t="n"/>
      <c r="F278" s="45" t="n"/>
      <c r="G278" s="45" t="n"/>
      <c r="H278" s="43" t="n"/>
      <c r="I278" s="45" t="n"/>
      <c r="J278" s="43" t="n">
        <v>454700125508</v>
      </c>
      <c r="K278" s="44" t="n">
        <v>45825</v>
      </c>
      <c r="L278" s="44" t="n">
        <v>45832</v>
      </c>
      <c r="M278" s="45" t="inlineStr">
        <is>
          <t>No</t>
        </is>
      </c>
      <c r="N278" s="45" t="inlineStr">
        <is>
          <t>1 HBL</t>
        </is>
      </c>
      <c r="O278" s="45" t="n"/>
      <c r="P278" s="45" t="inlineStr">
        <is>
          <t>LW</t>
        </is>
      </c>
      <c r="Q278" s="44" t="n">
        <v>45824</v>
      </c>
      <c r="R278" s="45" t="n">
        <v>1</v>
      </c>
      <c r="S278" s="44" t="n">
        <v>45826</v>
      </c>
    </row>
    <row r="279" ht="12.75" customHeight="1">
      <c r="A279" s="45" t="n"/>
      <c r="B279" s="45" t="n"/>
      <c r="C279" s="45" t="n"/>
      <c r="D279" s="45" t="n"/>
      <c r="E279" s="45" t="n"/>
      <c r="F279" s="45" t="n"/>
      <c r="G279" s="45" t="n"/>
      <c r="H279" s="43" t="n"/>
      <c r="I279" s="45" t="n"/>
      <c r="J279" s="43" t="n">
        <v>454700362711</v>
      </c>
      <c r="K279" s="44" t="n">
        <v>45825</v>
      </c>
      <c r="L279" s="44" t="n">
        <v>45832</v>
      </c>
      <c r="M279" s="45" t="inlineStr">
        <is>
          <t>No</t>
        </is>
      </c>
      <c r="N279" s="45" t="inlineStr">
        <is>
          <t>1 HBL</t>
        </is>
      </c>
      <c r="O279" s="45" t="n"/>
      <c r="P279" s="45" t="inlineStr">
        <is>
          <t>LW</t>
        </is>
      </c>
      <c r="Q279" s="44" t="n">
        <v>45824</v>
      </c>
      <c r="R279" s="45" t="n">
        <v>9</v>
      </c>
      <c r="S279" s="44" t="n">
        <v>45826</v>
      </c>
    </row>
    <row r="280" ht="12.75" customHeight="1">
      <c r="A280" s="45" t="n"/>
      <c r="B280" s="45" t="n"/>
      <c r="C280" s="45" t="n"/>
      <c r="D280" s="45" t="n"/>
      <c r="E280" s="45" t="n"/>
      <c r="F280" s="45" t="n"/>
      <c r="G280" s="45" t="n"/>
      <c r="H280" s="43" t="n"/>
      <c r="I280" s="45" t="n"/>
      <c r="J280" s="43" t="n">
        <v>454700762303</v>
      </c>
      <c r="K280" s="44" t="n">
        <v>45825</v>
      </c>
      <c r="L280" s="44" t="n">
        <v>45832</v>
      </c>
      <c r="M280" s="45" t="inlineStr">
        <is>
          <t>No</t>
        </is>
      </c>
      <c r="N280" s="45" t="inlineStr">
        <is>
          <t>1 HBL</t>
        </is>
      </c>
      <c r="O280" s="45" t="n"/>
      <c r="P280" s="45" t="inlineStr">
        <is>
          <t>LW</t>
        </is>
      </c>
      <c r="Q280" s="44" t="n">
        <v>45824</v>
      </c>
      <c r="R280" s="45" t="n">
        <v>6</v>
      </c>
      <c r="S280" s="44" t="n">
        <v>45826</v>
      </c>
    </row>
    <row r="281" ht="12.75" customHeight="1">
      <c r="A281" s="45" t="n"/>
      <c r="B281" s="45" t="n"/>
      <c r="C281" s="45" t="n"/>
      <c r="D281" s="45" t="n"/>
      <c r="E281" s="45" t="n"/>
      <c r="F281" s="45" t="n"/>
      <c r="G281" s="45" t="n"/>
      <c r="H281" s="43" t="n"/>
      <c r="I281" s="45" t="n"/>
      <c r="J281" s="43" t="n">
        <v>454700903665</v>
      </c>
      <c r="K281" s="44" t="n">
        <v>45825</v>
      </c>
      <c r="L281" s="44" t="n">
        <v>45832</v>
      </c>
      <c r="M281" s="45" t="inlineStr">
        <is>
          <t>No</t>
        </is>
      </c>
      <c r="N281" s="45" t="inlineStr">
        <is>
          <t>1 HBL</t>
        </is>
      </c>
      <c r="O281" s="45" t="n"/>
      <c r="P281" s="45" t="inlineStr">
        <is>
          <t>LW</t>
        </is>
      </c>
      <c r="Q281" s="44" t="n">
        <v>45824</v>
      </c>
      <c r="R281" s="45" t="n">
        <v>8</v>
      </c>
      <c r="S281" s="44" t="n">
        <v>45826</v>
      </c>
    </row>
    <row r="282" ht="12.75" customHeight="1">
      <c r="A282" s="45" t="n"/>
      <c r="B282" s="45" t="n"/>
      <c r="C282" s="45" t="n"/>
      <c r="D282" s="45" t="n"/>
      <c r="E282" s="45" t="n"/>
      <c r="F282" s="45" t="n"/>
      <c r="G282" s="45" t="n"/>
      <c r="H282" s="43" t="n"/>
      <c r="I282" s="45" t="n"/>
      <c r="J282" s="43" t="n">
        <v>454701117988</v>
      </c>
      <c r="K282" s="44" t="n">
        <v>45825</v>
      </c>
      <c r="L282" s="44" t="n">
        <v>45832</v>
      </c>
      <c r="M282" s="45" t="inlineStr">
        <is>
          <t>No</t>
        </is>
      </c>
      <c r="N282" s="45" t="inlineStr">
        <is>
          <t>1 HBL</t>
        </is>
      </c>
      <c r="O282" s="45" t="n"/>
      <c r="P282" s="45" t="inlineStr">
        <is>
          <t>LW</t>
        </is>
      </c>
      <c r="Q282" s="44" t="n">
        <v>45824</v>
      </c>
      <c r="R282" s="45" t="n">
        <v>2</v>
      </c>
      <c r="S282" s="44" t="n">
        <v>45826</v>
      </c>
    </row>
    <row r="283" ht="12.75" customHeight="1">
      <c r="A283" s="45" t="n"/>
      <c r="B283" s="45" t="n"/>
      <c r="C283" s="45" t="n"/>
      <c r="D283" s="45" t="n"/>
      <c r="E283" s="45" t="n"/>
      <c r="F283" s="45" t="n"/>
      <c r="G283" s="45" t="n"/>
      <c r="H283" s="43" t="n"/>
      <c r="I283" s="45" t="n"/>
      <c r="J283" s="43" t="n">
        <v>454701118361</v>
      </c>
      <c r="K283" s="44" t="n">
        <v>45825</v>
      </c>
      <c r="L283" s="44" t="n">
        <v>45832</v>
      </c>
      <c r="M283" s="45" t="inlineStr">
        <is>
          <t>No</t>
        </is>
      </c>
      <c r="N283" s="45" t="inlineStr">
        <is>
          <t>1 HBL</t>
        </is>
      </c>
      <c r="O283" s="45" t="n"/>
      <c r="P283" s="45" t="inlineStr">
        <is>
          <t>LW</t>
        </is>
      </c>
      <c r="Q283" s="44" t="n">
        <v>45824</v>
      </c>
      <c r="R283" s="45" t="n">
        <v>11</v>
      </c>
      <c r="S283" s="44" t="n">
        <v>45826</v>
      </c>
    </row>
    <row r="284" ht="12.75" customHeight="1">
      <c r="A284" s="45" t="n"/>
      <c r="B284" s="45" t="n"/>
      <c r="C284" s="45" t="n"/>
      <c r="D284" s="45" t="n"/>
      <c r="E284" s="45" t="n"/>
      <c r="F284" s="45" t="n"/>
      <c r="G284" s="45" t="n"/>
      <c r="H284" s="43" t="n"/>
      <c r="I284" s="45" t="n"/>
      <c r="J284" s="43" t="n">
        <v>454701233029</v>
      </c>
      <c r="K284" s="44" t="n">
        <v>45825</v>
      </c>
      <c r="L284" s="44" t="n">
        <v>45832</v>
      </c>
      <c r="M284" s="45" t="inlineStr">
        <is>
          <t>No</t>
        </is>
      </c>
      <c r="N284" s="45" t="inlineStr">
        <is>
          <t>1 HBL</t>
        </is>
      </c>
      <c r="O284" s="45" t="n"/>
      <c r="P284" s="45" t="inlineStr">
        <is>
          <t>LW</t>
        </is>
      </c>
      <c r="Q284" s="44" t="n">
        <v>45824</v>
      </c>
      <c r="R284" s="45" t="n">
        <v>18</v>
      </c>
      <c r="S284" s="44" t="n">
        <v>45826</v>
      </c>
    </row>
    <row r="285" ht="12.75" customHeight="1">
      <c r="A285" s="45" t="n"/>
      <c r="B285" s="45" t="n"/>
      <c r="C285" s="45" t="n"/>
      <c r="D285" s="45" t="n"/>
      <c r="E285" s="45" t="n"/>
      <c r="F285" s="45" t="n"/>
      <c r="G285" s="45" t="n"/>
      <c r="H285" s="43" t="n"/>
      <c r="I285" s="45" t="n"/>
      <c r="J285" s="43" t="n">
        <v>454701612929</v>
      </c>
      <c r="K285" s="44" t="n">
        <v>45825</v>
      </c>
      <c r="L285" s="44" t="n">
        <v>45832</v>
      </c>
      <c r="M285" s="45" t="inlineStr">
        <is>
          <t>No</t>
        </is>
      </c>
      <c r="N285" s="45" t="inlineStr">
        <is>
          <t>1 HBL</t>
        </is>
      </c>
      <c r="O285" s="45" t="n"/>
      <c r="P285" s="45" t="inlineStr">
        <is>
          <t>LW</t>
        </is>
      </c>
      <c r="Q285" s="44" t="n">
        <v>45824</v>
      </c>
      <c r="R285" s="45" t="n">
        <v>5</v>
      </c>
      <c r="S285" s="44" t="n">
        <v>45826</v>
      </c>
    </row>
    <row r="286" ht="12.75" customHeight="1">
      <c r="A286" s="45" t="n"/>
      <c r="B286" s="45" t="n"/>
      <c r="C286" s="45" t="n"/>
      <c r="D286" s="45" t="n"/>
      <c r="E286" s="45" t="n"/>
      <c r="F286" s="45" t="n"/>
      <c r="G286" s="45" t="n"/>
      <c r="H286" s="43" t="n"/>
      <c r="I286" s="44" t="inlineStr">
        <is>
          <t>MAS Fabrics (Pvt) Ltd Intimo</t>
        </is>
      </c>
      <c r="J286" s="43" t="n">
        <v>454698380029</v>
      </c>
      <c r="K286" s="44" t="n">
        <v>45825</v>
      </c>
      <c r="L286" s="44" t="n">
        <v>45832</v>
      </c>
      <c r="M286" s="45" t="inlineStr">
        <is>
          <t>No</t>
        </is>
      </c>
      <c r="N286" s="45" t="inlineStr">
        <is>
          <t>1 HBL</t>
        </is>
      </c>
      <c r="O286" s="45" t="n"/>
      <c r="P286" s="45" t="inlineStr">
        <is>
          <t>LW</t>
        </is>
      </c>
      <c r="Q286" s="44" t="n">
        <v>45824</v>
      </c>
      <c r="R286" s="45" t="n">
        <v>20</v>
      </c>
      <c r="S286" s="44" t="n">
        <v>45826</v>
      </c>
    </row>
    <row r="287" ht="12.75" customHeight="1">
      <c r="A287" s="45" t="n"/>
      <c r="B287" s="45" t="n"/>
      <c r="C287" s="45" t="n"/>
      <c r="D287" s="45" t="n"/>
      <c r="E287" s="45" t="n"/>
      <c r="F287" s="45" t="n"/>
      <c r="G287" s="45" t="n"/>
      <c r="H287" s="43" t="n"/>
      <c r="I287" s="45" t="n"/>
      <c r="J287" s="43" t="n">
        <v>454698381085</v>
      </c>
      <c r="K287" s="44" t="n">
        <v>45825</v>
      </c>
      <c r="L287" s="44" t="n">
        <v>45832</v>
      </c>
      <c r="M287" s="45" t="inlineStr">
        <is>
          <t>No</t>
        </is>
      </c>
      <c r="N287" s="45" t="inlineStr">
        <is>
          <t>1 HBL</t>
        </is>
      </c>
      <c r="O287" s="45" t="n"/>
      <c r="P287" s="45" t="inlineStr">
        <is>
          <t>LW</t>
        </is>
      </c>
      <c r="Q287" s="44" t="n">
        <v>45824</v>
      </c>
      <c r="R287" s="45" t="n">
        <v>6</v>
      </c>
      <c r="S287" s="44" t="n">
        <v>45826</v>
      </c>
    </row>
    <row r="288" ht="12.75" customHeight="1">
      <c r="A288" s="45" t="n"/>
      <c r="B288" s="45" t="n"/>
      <c r="C288" s="45" t="n"/>
      <c r="D288" s="45" t="n"/>
      <c r="E288" s="45" t="n"/>
      <c r="F288" s="45" t="n"/>
      <c r="G288" s="45" t="n"/>
      <c r="H288" s="43" t="n"/>
      <c r="I288" s="45" t="n"/>
      <c r="J288" s="43" t="n">
        <v>454699447395</v>
      </c>
      <c r="K288" s="44" t="n">
        <v>45825</v>
      </c>
      <c r="L288" s="44" t="n">
        <v>45832</v>
      </c>
      <c r="M288" s="45" t="inlineStr">
        <is>
          <t>No</t>
        </is>
      </c>
      <c r="N288" s="45" t="inlineStr">
        <is>
          <t>1 HBL</t>
        </is>
      </c>
      <c r="O288" s="45" t="n"/>
      <c r="P288" s="45" t="inlineStr">
        <is>
          <t>LW</t>
        </is>
      </c>
      <c r="Q288" s="44" t="n">
        <v>45824</v>
      </c>
      <c r="R288" s="45" t="n">
        <v>6</v>
      </c>
      <c r="S288" s="44" t="n">
        <v>45826</v>
      </c>
    </row>
    <row r="289" ht="12.75" customHeight="1">
      <c r="A289" s="45" t="n"/>
      <c r="B289" s="45" t="n"/>
      <c r="C289" s="45" t="n"/>
      <c r="D289" s="45" t="n"/>
      <c r="E289" s="45" t="n"/>
      <c r="F289" s="45" t="n"/>
      <c r="G289" s="45" t="n"/>
      <c r="H289" s="43" t="n"/>
      <c r="I289" s="45" t="n"/>
      <c r="J289" s="43" t="n">
        <v>454699447554</v>
      </c>
      <c r="K289" s="44" t="n">
        <v>45825</v>
      </c>
      <c r="L289" s="44" t="n">
        <v>45832</v>
      </c>
      <c r="M289" s="45" t="inlineStr">
        <is>
          <t>No</t>
        </is>
      </c>
      <c r="N289" s="45" t="inlineStr">
        <is>
          <t>1 HBL</t>
        </is>
      </c>
      <c r="O289" s="45" t="n"/>
      <c r="P289" s="45" t="inlineStr">
        <is>
          <t>LW</t>
        </is>
      </c>
      <c r="Q289" s="44" t="n">
        <v>45824</v>
      </c>
      <c r="R289" s="45" t="n">
        <v>4</v>
      </c>
      <c r="S289" s="44" t="n">
        <v>45826</v>
      </c>
    </row>
    <row r="290" ht="12.75" customHeight="1">
      <c r="A290" s="45" t="n"/>
      <c r="B290" s="45" t="n"/>
      <c r="C290" s="45" t="n"/>
      <c r="D290" s="45" t="n"/>
      <c r="E290" s="45" t="n"/>
      <c r="F290" s="45" t="n"/>
      <c r="G290" s="45" t="n"/>
      <c r="H290" s="43" t="n"/>
      <c r="I290" s="45" t="n"/>
      <c r="J290" s="43" t="n">
        <v>454699452340</v>
      </c>
      <c r="K290" s="44" t="n">
        <v>45825</v>
      </c>
      <c r="L290" s="44" t="n">
        <v>45832</v>
      </c>
      <c r="M290" s="45" t="inlineStr">
        <is>
          <t>No</t>
        </is>
      </c>
      <c r="N290" s="45" t="inlineStr">
        <is>
          <t>1 HBL</t>
        </is>
      </c>
      <c r="O290" s="45" t="n"/>
      <c r="P290" s="45" t="inlineStr">
        <is>
          <t>LW</t>
        </is>
      </c>
      <c r="Q290" s="44" t="n">
        <v>45824</v>
      </c>
      <c r="R290" s="45" t="n">
        <v>32</v>
      </c>
      <c r="S290" s="44" t="n">
        <v>45826</v>
      </c>
    </row>
    <row r="291" ht="12.75" customHeight="1">
      <c r="A291" s="45" t="n"/>
      <c r="B291" s="45" t="n"/>
      <c r="C291" s="45" t="n"/>
      <c r="D291" s="45" t="n"/>
      <c r="E291" s="45" t="n"/>
      <c r="F291" s="45" t="n"/>
      <c r="G291" s="45" t="n"/>
      <c r="H291" s="43" t="n"/>
      <c r="I291" s="45" t="n"/>
      <c r="J291" s="43" t="n">
        <v>454955582669</v>
      </c>
      <c r="K291" s="44" t="n">
        <v>45825</v>
      </c>
      <c r="L291" s="44" t="n">
        <v>45832</v>
      </c>
      <c r="M291" s="45" t="inlineStr">
        <is>
          <t>No</t>
        </is>
      </c>
      <c r="N291" s="45" t="inlineStr">
        <is>
          <t>1 HBL</t>
        </is>
      </c>
      <c r="O291" s="45" t="n"/>
      <c r="P291" s="45" t="inlineStr">
        <is>
          <t>LW</t>
        </is>
      </c>
      <c r="Q291" s="44" t="n">
        <v>45824</v>
      </c>
      <c r="R291" s="45" t="n">
        <v>3</v>
      </c>
      <c r="S291" s="44" t="n">
        <v>45826</v>
      </c>
    </row>
    <row r="292" ht="12.75" customHeight="1">
      <c r="A292" s="45" t="n"/>
      <c r="B292" s="45" t="n"/>
      <c r="C292" s="45" t="n"/>
      <c r="D292" s="45" t="n"/>
      <c r="E292" s="45" t="n"/>
      <c r="F292" s="45" t="n"/>
      <c r="G292" s="45" t="n"/>
      <c r="H292" s="43" t="n"/>
      <c r="I292" s="45" t="n"/>
      <c r="J292" s="43" t="n">
        <v>455588584748</v>
      </c>
      <c r="K292" s="44" t="n">
        <v>45825</v>
      </c>
      <c r="L292" s="44" t="n">
        <v>45832</v>
      </c>
      <c r="M292" s="45" t="inlineStr">
        <is>
          <t>No</t>
        </is>
      </c>
      <c r="N292" s="45" t="inlineStr">
        <is>
          <t>1 HBL</t>
        </is>
      </c>
      <c r="O292" s="45" t="n"/>
      <c r="P292" s="45" t="inlineStr">
        <is>
          <t>LW</t>
        </is>
      </c>
      <c r="Q292" s="44" t="n">
        <v>45824</v>
      </c>
      <c r="R292" s="45" t="n">
        <v>2</v>
      </c>
      <c r="S292" s="44" t="n">
        <v>45826</v>
      </c>
    </row>
    <row r="293" ht="12.75" customHeight="1">
      <c r="A293" s="45" t="n"/>
      <c r="B293" s="45" t="n"/>
      <c r="C293" s="45" t="n"/>
      <c r="D293" s="45" t="inlineStr">
        <is>
          <t>Mississauga, ON, CA</t>
        </is>
      </c>
      <c r="E293" s="45" t="inlineStr">
        <is>
          <t>CFS/CY</t>
        </is>
      </c>
      <c r="F293" s="45" t="inlineStr">
        <is>
          <t>OCEAN</t>
        </is>
      </c>
      <c r="G293" s="45" t="n">
        <v>-14</v>
      </c>
      <c r="H293" s="43" t="n"/>
      <c r="I293" s="44" t="inlineStr">
        <is>
          <t>MAS Active (Pvt) Ltd - Linea Intimo</t>
        </is>
      </c>
      <c r="J293" s="43" t="n">
        <v>454722313774</v>
      </c>
      <c r="K293" s="44" t="n">
        <v>45825</v>
      </c>
      <c r="L293" s="44" t="n">
        <v>45832</v>
      </c>
      <c r="M293" s="45" t="inlineStr">
        <is>
          <t>No</t>
        </is>
      </c>
      <c r="N293" s="45" t="inlineStr">
        <is>
          <t>1 HBL</t>
        </is>
      </c>
      <c r="O293" s="45" t="n"/>
      <c r="P293" s="45" t="inlineStr">
        <is>
          <t>LW</t>
        </is>
      </c>
      <c r="Q293" s="44" t="n">
        <v>45824</v>
      </c>
      <c r="R293" s="45" t="n">
        <v>4</v>
      </c>
      <c r="S293" s="44" t="n">
        <v>45826</v>
      </c>
    </row>
    <row r="294" ht="12.75" customHeight="1">
      <c r="A294" s="45" t="n"/>
      <c r="B294" s="45" t="n"/>
      <c r="C294" s="45" t="n"/>
      <c r="D294" s="45" t="n"/>
      <c r="E294" s="45" t="n"/>
      <c r="F294" s="45" t="n"/>
      <c r="G294" s="45" t="n"/>
      <c r="H294" s="43" t="n"/>
      <c r="I294" s="45" t="n"/>
      <c r="J294" s="43" t="n">
        <v>454722738479</v>
      </c>
      <c r="K294" s="44" t="n">
        <v>45825</v>
      </c>
      <c r="L294" s="44" t="n">
        <v>45832</v>
      </c>
      <c r="M294" s="45" t="inlineStr">
        <is>
          <t>No</t>
        </is>
      </c>
      <c r="N294" s="45" t="inlineStr">
        <is>
          <t>1 HBL</t>
        </is>
      </c>
      <c r="O294" s="45" t="n"/>
      <c r="P294" s="45" t="inlineStr">
        <is>
          <t>LW</t>
        </is>
      </c>
      <c r="Q294" s="44" t="n">
        <v>45824</v>
      </c>
      <c r="R294" s="45" t="n">
        <v>9</v>
      </c>
      <c r="S294" s="44" t="n">
        <v>45826</v>
      </c>
    </row>
    <row r="295" ht="12.75" customHeight="1">
      <c r="A295" s="45" t="n"/>
      <c r="B295" s="45" t="n"/>
      <c r="C295" s="45" t="n"/>
      <c r="D295" s="45" t="n"/>
      <c r="E295" s="45" t="n"/>
      <c r="F295" s="45" t="n"/>
      <c r="G295" s="45" t="n"/>
      <c r="H295" s="43" t="n"/>
      <c r="I295" s="45" t="n"/>
      <c r="J295" s="43" t="n">
        <v>454722776959</v>
      </c>
      <c r="K295" s="44" t="n">
        <v>45825</v>
      </c>
      <c r="L295" s="44" t="n">
        <v>45832</v>
      </c>
      <c r="M295" s="45" t="inlineStr">
        <is>
          <t>No</t>
        </is>
      </c>
      <c r="N295" s="45" t="inlineStr">
        <is>
          <t>1 HBL</t>
        </is>
      </c>
      <c r="O295" s="45" t="n"/>
      <c r="P295" s="45" t="inlineStr">
        <is>
          <t>LW</t>
        </is>
      </c>
      <c r="Q295" s="44" t="n">
        <v>45824</v>
      </c>
      <c r="R295" s="45" t="n">
        <v>6</v>
      </c>
      <c r="S295" s="44" t="n">
        <v>45826</v>
      </c>
    </row>
    <row r="296" ht="12.75" customHeight="1">
      <c r="A296" s="45" t="n"/>
      <c r="B296" s="45" t="n"/>
      <c r="C296" s="45" t="n"/>
      <c r="D296" s="45" t="n"/>
      <c r="E296" s="45" t="n"/>
      <c r="F296" s="45" t="n"/>
      <c r="G296" s="45" t="n"/>
      <c r="H296" s="43" t="n"/>
      <c r="I296" s="45" t="n"/>
      <c r="J296" s="43" t="n">
        <v>454723020703</v>
      </c>
      <c r="K296" s="44" t="n">
        <v>45825</v>
      </c>
      <c r="L296" s="44" t="n">
        <v>45832</v>
      </c>
      <c r="M296" s="45" t="inlineStr">
        <is>
          <t>No</t>
        </is>
      </c>
      <c r="N296" s="45" t="inlineStr">
        <is>
          <t>1 HBL</t>
        </is>
      </c>
      <c r="O296" s="45" t="n"/>
      <c r="P296" s="45" t="inlineStr">
        <is>
          <t>LW</t>
        </is>
      </c>
      <c r="Q296" s="44" t="n">
        <v>45824</v>
      </c>
      <c r="R296" s="45" t="n">
        <v>3</v>
      </c>
      <c r="S296" s="44" t="n">
        <v>45826</v>
      </c>
    </row>
    <row r="297" ht="12.75" customHeight="1">
      <c r="A297" s="45" t="n"/>
      <c r="B297" s="45" t="n"/>
      <c r="C297" s="45" t="n"/>
      <c r="D297" s="45" t="n"/>
      <c r="E297" s="45" t="n"/>
      <c r="F297" s="45" t="n"/>
      <c r="G297" s="45" t="n"/>
      <c r="H297" s="43" t="n"/>
      <c r="I297" s="45" t="n"/>
      <c r="J297" s="43" t="n">
        <v>454723057272</v>
      </c>
      <c r="K297" s="44" t="n">
        <v>45825</v>
      </c>
      <c r="L297" s="44" t="n">
        <v>45832</v>
      </c>
      <c r="M297" s="45" t="inlineStr">
        <is>
          <t>No</t>
        </is>
      </c>
      <c r="N297" s="45" t="inlineStr">
        <is>
          <t>1 HBL</t>
        </is>
      </c>
      <c r="O297" s="45" t="n"/>
      <c r="P297" s="45" t="inlineStr">
        <is>
          <t>LW</t>
        </is>
      </c>
      <c r="Q297" s="44" t="n">
        <v>45824</v>
      </c>
      <c r="R297" s="45" t="n">
        <v>6</v>
      </c>
      <c r="S297" s="44" t="n">
        <v>45826</v>
      </c>
    </row>
    <row r="298" ht="12.75" customHeight="1">
      <c r="A298" s="45" t="n"/>
      <c r="B298" s="45" t="n"/>
      <c r="C298" s="45" t="n"/>
      <c r="D298" s="45" t="n"/>
      <c r="E298" s="45" t="n"/>
      <c r="F298" s="45" t="n"/>
      <c r="G298" s="45" t="n"/>
      <c r="H298" s="43" t="n"/>
      <c r="I298" s="45" t="n"/>
      <c r="J298" s="43" t="n">
        <v>454723175180</v>
      </c>
      <c r="K298" s="44" t="n">
        <v>45825</v>
      </c>
      <c r="L298" s="44" t="n">
        <v>45832</v>
      </c>
      <c r="M298" s="45" t="inlineStr">
        <is>
          <t>No</t>
        </is>
      </c>
      <c r="N298" s="45" t="inlineStr">
        <is>
          <t>1 HBL</t>
        </is>
      </c>
      <c r="O298" s="45" t="n"/>
      <c r="P298" s="45" t="inlineStr">
        <is>
          <t>LW</t>
        </is>
      </c>
      <c r="Q298" s="44" t="n">
        <v>45824</v>
      </c>
      <c r="R298" s="45" t="n">
        <v>2</v>
      </c>
      <c r="S298" s="44" t="n">
        <v>45826</v>
      </c>
    </row>
    <row r="299" ht="12.75" customHeight="1">
      <c r="A299" s="45" t="n"/>
      <c r="B299" s="45" t="n"/>
      <c r="C299" s="45" t="n"/>
      <c r="D299" s="45" t="n"/>
      <c r="E299" s="45" t="n"/>
      <c r="F299" s="45" t="n"/>
      <c r="G299" s="45" t="n"/>
      <c r="H299" s="43" t="n"/>
      <c r="I299" s="45" t="n"/>
      <c r="J299" s="43" t="n">
        <v>454723268762</v>
      </c>
      <c r="K299" s="44" t="n">
        <v>45825</v>
      </c>
      <c r="L299" s="44" t="n">
        <v>45832</v>
      </c>
      <c r="M299" s="45" t="inlineStr">
        <is>
          <t>No</t>
        </is>
      </c>
      <c r="N299" s="45" t="inlineStr">
        <is>
          <t>1 HBL</t>
        </is>
      </c>
      <c r="O299" s="45" t="n"/>
      <c r="P299" s="45" t="inlineStr">
        <is>
          <t>LW</t>
        </is>
      </c>
      <c r="Q299" s="44" t="n">
        <v>45824</v>
      </c>
      <c r="R299" s="45" t="n">
        <v>15</v>
      </c>
      <c r="S299" s="44" t="n">
        <v>45826</v>
      </c>
    </row>
    <row r="300" ht="12.75" customHeight="1">
      <c r="A300" s="45" t="n"/>
      <c r="B300" s="45" t="n"/>
      <c r="C300" s="45" t="n"/>
      <c r="D300" s="45" t="n"/>
      <c r="E300" s="45" t="n"/>
      <c r="F300" s="45" t="n"/>
      <c r="G300" s="45" t="n"/>
      <c r="H300" s="43" t="n"/>
      <c r="I300" s="45" t="n"/>
      <c r="J300" s="43" t="n">
        <v>454723365495</v>
      </c>
      <c r="K300" s="44" t="n">
        <v>45825</v>
      </c>
      <c r="L300" s="44" t="n">
        <v>45832</v>
      </c>
      <c r="M300" s="45" t="inlineStr">
        <is>
          <t>No</t>
        </is>
      </c>
      <c r="N300" s="45" t="inlineStr">
        <is>
          <t>1 HBL</t>
        </is>
      </c>
      <c r="O300" s="45" t="n"/>
      <c r="P300" s="45" t="inlineStr">
        <is>
          <t>LW</t>
        </is>
      </c>
      <c r="Q300" s="44" t="n">
        <v>45824</v>
      </c>
      <c r="R300" s="45" t="n">
        <v>6</v>
      </c>
      <c r="S300" s="44" t="n">
        <v>45826</v>
      </c>
    </row>
    <row r="301" ht="12.75" customHeight="1">
      <c r="A301" s="45" t="n"/>
      <c r="B301" s="45" t="n"/>
      <c r="C301" s="45" t="n"/>
      <c r="D301" s="45" t="n"/>
      <c r="E301" s="45" t="n"/>
      <c r="F301" s="45" t="n"/>
      <c r="G301" s="45" t="n"/>
      <c r="H301" s="43" t="n"/>
      <c r="I301" s="45" t="n"/>
      <c r="J301" s="43" t="n">
        <v>454723855655</v>
      </c>
      <c r="K301" s="44" t="n">
        <v>45825</v>
      </c>
      <c r="L301" s="44" t="n">
        <v>45832</v>
      </c>
      <c r="M301" s="45" t="inlineStr">
        <is>
          <t>No</t>
        </is>
      </c>
      <c r="N301" s="45" t="inlineStr">
        <is>
          <t>1 HBL</t>
        </is>
      </c>
      <c r="O301" s="45" t="n"/>
      <c r="P301" s="45" t="inlineStr">
        <is>
          <t>LW</t>
        </is>
      </c>
      <c r="Q301" s="44" t="n">
        <v>45824</v>
      </c>
      <c r="R301" s="45" t="n">
        <v>5</v>
      </c>
      <c r="S301" s="44" t="n">
        <v>45826</v>
      </c>
    </row>
    <row r="302" ht="12.75" customHeight="1">
      <c r="A302" s="45" t="n"/>
      <c r="B302" s="45" t="n"/>
      <c r="C302" s="45" t="n"/>
      <c r="D302" s="45" t="n"/>
      <c r="E302" s="45" t="n"/>
      <c r="F302" s="45" t="n"/>
      <c r="G302" s="45" t="n"/>
      <c r="H302" s="43" t="n"/>
      <c r="I302" s="45" t="n"/>
      <c r="J302" s="43" t="n">
        <v>454724077022</v>
      </c>
      <c r="K302" s="44" t="n">
        <v>45825</v>
      </c>
      <c r="L302" s="44" t="n">
        <v>45832</v>
      </c>
      <c r="M302" s="45" t="inlineStr">
        <is>
          <t>No</t>
        </is>
      </c>
      <c r="N302" s="45" t="inlineStr">
        <is>
          <t>1 HBL</t>
        </is>
      </c>
      <c r="O302" s="45" t="n"/>
      <c r="P302" s="45" t="inlineStr">
        <is>
          <t>LW</t>
        </is>
      </c>
      <c r="Q302" s="44" t="n">
        <v>45824</v>
      </c>
      <c r="R302" s="45" t="n">
        <v>6</v>
      </c>
      <c r="S302" s="44" t="n">
        <v>45826</v>
      </c>
    </row>
    <row r="303" ht="12.75" customHeight="1">
      <c r="A303" s="45" t="n"/>
      <c r="B303" s="45" t="n"/>
      <c r="C303" s="45" t="n"/>
      <c r="D303" s="45" t="n"/>
      <c r="E303" s="45" t="n"/>
      <c r="F303" s="45" t="n"/>
      <c r="G303" s="45" t="n"/>
      <c r="H303" s="43" t="n"/>
      <c r="I303" s="45" t="n"/>
      <c r="J303" s="43" t="n">
        <v>454724077099</v>
      </c>
      <c r="K303" s="44" t="n">
        <v>45825</v>
      </c>
      <c r="L303" s="44" t="n">
        <v>45832</v>
      </c>
      <c r="M303" s="45" t="inlineStr">
        <is>
          <t>No</t>
        </is>
      </c>
      <c r="N303" s="45" t="inlineStr">
        <is>
          <t>1 HBL</t>
        </is>
      </c>
      <c r="O303" s="45" t="n"/>
      <c r="P303" s="45" t="inlineStr">
        <is>
          <t>LW</t>
        </is>
      </c>
      <c r="Q303" s="44" t="n">
        <v>45824</v>
      </c>
      <c r="R303" s="45" t="n">
        <v>29</v>
      </c>
      <c r="S303" s="44" t="n">
        <v>45826</v>
      </c>
    </row>
    <row r="304" ht="12.75" customHeight="1">
      <c r="A304" s="45" t="n"/>
      <c r="B304" s="45" t="n"/>
      <c r="C304" s="45" t="n"/>
      <c r="D304" s="45" t="n"/>
      <c r="E304" s="45" t="n"/>
      <c r="F304" s="45" t="n"/>
      <c r="G304" s="45" t="n"/>
      <c r="H304" s="43" t="n"/>
      <c r="I304" s="45" t="n"/>
      <c r="J304" s="43" t="n">
        <v>454724615265</v>
      </c>
      <c r="K304" s="44" t="n">
        <v>45825</v>
      </c>
      <c r="L304" s="44" t="n">
        <v>45832</v>
      </c>
      <c r="M304" s="45" t="inlineStr">
        <is>
          <t>No</t>
        </is>
      </c>
      <c r="N304" s="45" t="inlineStr">
        <is>
          <t>1 HBL</t>
        </is>
      </c>
      <c r="O304" s="45" t="n"/>
      <c r="P304" s="45" t="inlineStr">
        <is>
          <t>LW</t>
        </is>
      </c>
      <c r="Q304" s="44" t="n">
        <v>45824</v>
      </c>
      <c r="R304" s="45" t="n">
        <v>5</v>
      </c>
      <c r="S304" s="44" t="n">
        <v>45826</v>
      </c>
    </row>
    <row r="305" ht="12.75" customHeight="1">
      <c r="A305" s="45" t="n"/>
      <c r="B305" s="45" t="n"/>
      <c r="C305" s="45" t="n"/>
      <c r="D305" s="45" t="n"/>
      <c r="E305" s="45" t="n"/>
      <c r="F305" s="45" t="n"/>
      <c r="G305" s="45" t="n"/>
      <c r="H305" s="43" t="n"/>
      <c r="I305" s="45" t="n"/>
      <c r="J305" s="43" t="n">
        <v>454724642367</v>
      </c>
      <c r="K305" s="44" t="n">
        <v>45825</v>
      </c>
      <c r="L305" s="44" t="n">
        <v>45832</v>
      </c>
      <c r="M305" s="45" t="inlineStr">
        <is>
          <t>No</t>
        </is>
      </c>
      <c r="N305" s="45" t="inlineStr">
        <is>
          <t>1 HBL</t>
        </is>
      </c>
      <c r="O305" s="45" t="n"/>
      <c r="P305" s="45" t="inlineStr">
        <is>
          <t>LW</t>
        </is>
      </c>
      <c r="Q305" s="44" t="n">
        <v>45824</v>
      </c>
      <c r="R305" s="45" t="n">
        <v>5</v>
      </c>
      <c r="S305" s="44" t="n">
        <v>45826</v>
      </c>
    </row>
    <row r="306" ht="12.75" customHeight="1">
      <c r="A306" s="45" t="n"/>
      <c r="B306" s="45" t="n"/>
      <c r="C306" s="45" t="n"/>
      <c r="D306" s="45" t="n"/>
      <c r="E306" s="45" t="n"/>
      <c r="F306" s="45" t="n"/>
      <c r="G306" s="45" t="n"/>
      <c r="H306" s="43" t="n"/>
      <c r="I306" s="45" t="n"/>
      <c r="J306" s="43" t="n">
        <v>454724758343</v>
      </c>
      <c r="K306" s="44" t="n">
        <v>45825</v>
      </c>
      <c r="L306" s="44" t="n">
        <v>45832</v>
      </c>
      <c r="M306" s="45" t="inlineStr">
        <is>
          <t>No</t>
        </is>
      </c>
      <c r="N306" s="45" t="inlineStr">
        <is>
          <t>1 HBL</t>
        </is>
      </c>
      <c r="O306" s="45" t="n"/>
      <c r="P306" s="45" t="inlineStr">
        <is>
          <t>LW</t>
        </is>
      </c>
      <c r="Q306" s="44" t="n">
        <v>45824</v>
      </c>
      <c r="R306" s="45" t="n">
        <v>5</v>
      </c>
      <c r="S306" s="44" t="n">
        <v>45826</v>
      </c>
    </row>
    <row r="307" ht="12.75" customHeight="1">
      <c r="A307" s="45" t="n"/>
      <c r="B307" s="45" t="n"/>
      <c r="C307" s="45" t="n"/>
      <c r="D307" s="45" t="n"/>
      <c r="E307" s="45" t="n"/>
      <c r="F307" s="45" t="n"/>
      <c r="G307" s="45" t="n"/>
      <c r="H307" s="43" t="n"/>
      <c r="I307" s="45" t="n"/>
      <c r="J307" s="43" t="n">
        <v>454724803920</v>
      </c>
      <c r="K307" s="44" t="n">
        <v>45825</v>
      </c>
      <c r="L307" s="44" t="n">
        <v>45832</v>
      </c>
      <c r="M307" s="45" t="inlineStr">
        <is>
          <t>No</t>
        </is>
      </c>
      <c r="N307" s="45" t="inlineStr">
        <is>
          <t>1 HBL</t>
        </is>
      </c>
      <c r="O307" s="45" t="n"/>
      <c r="P307" s="45" t="inlineStr">
        <is>
          <t>LW</t>
        </is>
      </c>
      <c r="Q307" s="44" t="n">
        <v>45824</v>
      </c>
      <c r="R307" s="45" t="n">
        <v>9</v>
      </c>
      <c r="S307" s="44" t="n">
        <v>45826</v>
      </c>
    </row>
    <row r="308" ht="12.75" customHeight="1">
      <c r="A308" s="45" t="n"/>
      <c r="B308" s="45" t="n"/>
      <c r="C308" s="45" t="n"/>
      <c r="D308" s="45" t="n"/>
      <c r="E308" s="45" t="n"/>
      <c r="F308" s="45" t="n"/>
      <c r="G308" s="45" t="n"/>
      <c r="H308" s="43" t="n"/>
      <c r="I308" s="45" t="n"/>
      <c r="J308" s="43" t="n">
        <v>454725048506</v>
      </c>
      <c r="K308" s="44" t="n">
        <v>45825</v>
      </c>
      <c r="L308" s="44" t="n">
        <v>45832</v>
      </c>
      <c r="M308" s="45" t="inlineStr">
        <is>
          <t>No</t>
        </is>
      </c>
      <c r="N308" s="45" t="inlineStr">
        <is>
          <t>1 HBL</t>
        </is>
      </c>
      <c r="O308" s="45" t="n"/>
      <c r="P308" s="45" t="inlineStr">
        <is>
          <t>LW</t>
        </is>
      </c>
      <c r="Q308" s="44" t="n">
        <v>45824</v>
      </c>
      <c r="R308" s="45" t="n">
        <v>18</v>
      </c>
      <c r="S308" s="44" t="n">
        <v>45826</v>
      </c>
    </row>
    <row r="309" ht="12.75" customHeight="1">
      <c r="A309" s="45" t="n"/>
      <c r="B309" s="45" t="n"/>
      <c r="C309" s="45" t="n"/>
      <c r="D309" s="45" t="n"/>
      <c r="E309" s="45" t="n"/>
      <c r="F309" s="45" t="n"/>
      <c r="G309" s="45" t="n"/>
      <c r="H309" s="43" t="n"/>
      <c r="I309" s="45" t="n"/>
      <c r="J309" s="43" t="n">
        <v>454725071476</v>
      </c>
      <c r="K309" s="44" t="n">
        <v>45825</v>
      </c>
      <c r="L309" s="44" t="n">
        <v>45832</v>
      </c>
      <c r="M309" s="45" t="inlineStr">
        <is>
          <t>No</t>
        </is>
      </c>
      <c r="N309" s="45" t="inlineStr">
        <is>
          <t>1 HBL</t>
        </is>
      </c>
      <c r="O309" s="45" t="n"/>
      <c r="P309" s="45" t="inlineStr">
        <is>
          <t>LW</t>
        </is>
      </c>
      <c r="Q309" s="44" t="n">
        <v>45824</v>
      </c>
      <c r="R309" s="45" t="n">
        <v>14</v>
      </c>
      <c r="S309" s="44" t="n">
        <v>45826</v>
      </c>
    </row>
    <row r="310" ht="12.75" customHeight="1">
      <c r="A310" s="45" t="n"/>
      <c r="B310" s="45" t="n"/>
      <c r="C310" s="45" t="n"/>
      <c r="D310" s="45" t="n"/>
      <c r="E310" s="45" t="n"/>
      <c r="F310" s="45" t="n"/>
      <c r="G310" s="45" t="n"/>
      <c r="H310" s="43" t="n"/>
      <c r="I310" s="45" t="n"/>
      <c r="J310" s="43" t="n">
        <v>454725479476</v>
      </c>
      <c r="K310" s="44" t="n">
        <v>45825</v>
      </c>
      <c r="L310" s="44" t="n">
        <v>45832</v>
      </c>
      <c r="M310" s="45" t="inlineStr">
        <is>
          <t>No</t>
        </is>
      </c>
      <c r="N310" s="45" t="inlineStr">
        <is>
          <t>1 HBL</t>
        </is>
      </c>
      <c r="O310" s="45" t="n"/>
      <c r="P310" s="45" t="inlineStr">
        <is>
          <t>LW</t>
        </is>
      </c>
      <c r="Q310" s="44" t="n">
        <v>45824</v>
      </c>
      <c r="R310" s="45" t="n">
        <v>2</v>
      </c>
      <c r="S310" s="44" t="n">
        <v>45826</v>
      </c>
    </row>
    <row r="311" ht="12.75" customHeight="1">
      <c r="A311" s="45" t="n"/>
      <c r="B311" s="45" t="n"/>
      <c r="C311" s="45" t="n"/>
      <c r="D311" s="45" t="n"/>
      <c r="E311" s="45" t="n"/>
      <c r="F311" s="45" t="n"/>
      <c r="G311" s="45" t="n"/>
      <c r="H311" s="43" t="n"/>
      <c r="I311" s="45" t="n"/>
      <c r="J311" s="43" t="n">
        <v>454725529445</v>
      </c>
      <c r="K311" s="44" t="n">
        <v>45825</v>
      </c>
      <c r="L311" s="44" t="n">
        <v>45832</v>
      </c>
      <c r="M311" s="45" t="inlineStr">
        <is>
          <t>No</t>
        </is>
      </c>
      <c r="N311" s="45" t="inlineStr">
        <is>
          <t>1 HBL</t>
        </is>
      </c>
      <c r="O311" s="45" t="n"/>
      <c r="P311" s="45" t="inlineStr">
        <is>
          <t>LW</t>
        </is>
      </c>
      <c r="Q311" s="44" t="n">
        <v>45824</v>
      </c>
      <c r="R311" s="45" t="n">
        <v>2</v>
      </c>
      <c r="S311" s="44" t="n">
        <v>45826</v>
      </c>
    </row>
    <row r="312" ht="12.75" customHeight="1">
      <c r="A312" s="45" t="n"/>
      <c r="B312" s="45" t="n"/>
      <c r="C312" s="45" t="n"/>
      <c r="D312" s="45" t="n"/>
      <c r="E312" s="45" t="n"/>
      <c r="F312" s="45" t="n"/>
      <c r="G312" s="45" t="n"/>
      <c r="H312" s="43" t="n"/>
      <c r="I312" s="45" t="n"/>
      <c r="J312" s="43" t="n">
        <v>454725656610</v>
      </c>
      <c r="K312" s="44" t="n">
        <v>45825</v>
      </c>
      <c r="L312" s="44" t="n">
        <v>45832</v>
      </c>
      <c r="M312" s="45" t="inlineStr">
        <is>
          <t>No</t>
        </is>
      </c>
      <c r="N312" s="45" t="inlineStr">
        <is>
          <t>1 HBL</t>
        </is>
      </c>
      <c r="O312" s="45" t="n"/>
      <c r="P312" s="45" t="inlineStr">
        <is>
          <t>LW</t>
        </is>
      </c>
      <c r="Q312" s="44" t="n">
        <v>45824</v>
      </c>
      <c r="R312" s="45" t="n">
        <v>2</v>
      </c>
      <c r="S312" s="44" t="n">
        <v>45826</v>
      </c>
    </row>
    <row r="313" ht="12.75" customHeight="1">
      <c r="A313" s="45" t="n"/>
      <c r="B313" s="45" t="n"/>
      <c r="C313" s="45" t="n"/>
      <c r="D313" s="45" t="n"/>
      <c r="E313" s="45" t="n"/>
      <c r="F313" s="45" t="n"/>
      <c r="G313" s="45" t="n"/>
      <c r="H313" s="43" t="n"/>
      <c r="I313" s="45" t="n"/>
      <c r="J313" s="43" t="n">
        <v>454725757512</v>
      </c>
      <c r="K313" s="44" t="n">
        <v>45825</v>
      </c>
      <c r="L313" s="44" t="n">
        <v>45832</v>
      </c>
      <c r="M313" s="45" t="inlineStr">
        <is>
          <t>No</t>
        </is>
      </c>
      <c r="N313" s="45" t="inlineStr">
        <is>
          <t>1 HBL</t>
        </is>
      </c>
      <c r="O313" s="45" t="n"/>
      <c r="P313" s="45" t="inlineStr">
        <is>
          <t>LW</t>
        </is>
      </c>
      <c r="Q313" s="44" t="n">
        <v>45824</v>
      </c>
      <c r="R313" s="45" t="n">
        <v>5</v>
      </c>
      <c r="S313" s="44" t="n">
        <v>45826</v>
      </c>
    </row>
    <row r="314" ht="12.75" customHeight="1">
      <c r="A314" s="45" t="n"/>
      <c r="B314" s="45" t="n"/>
      <c r="C314" s="45" t="n"/>
      <c r="D314" s="45" t="n"/>
      <c r="E314" s="45" t="n"/>
      <c r="F314" s="45" t="n"/>
      <c r="G314" s="45" t="n"/>
      <c r="H314" s="43" t="n"/>
      <c r="I314" s="45" t="n"/>
      <c r="J314" s="43" t="n">
        <v>454725863744</v>
      </c>
      <c r="K314" s="44" t="n">
        <v>45825</v>
      </c>
      <c r="L314" s="44" t="n">
        <v>45832</v>
      </c>
      <c r="M314" s="45" t="inlineStr">
        <is>
          <t>No</t>
        </is>
      </c>
      <c r="N314" s="45" t="inlineStr">
        <is>
          <t>1 HBL</t>
        </is>
      </c>
      <c r="O314" s="45" t="n"/>
      <c r="P314" s="45" t="inlineStr">
        <is>
          <t>LW</t>
        </is>
      </c>
      <c r="Q314" s="44" t="n">
        <v>45824</v>
      </c>
      <c r="R314" s="45" t="n">
        <v>2</v>
      </c>
      <c r="S314" s="44" t="n">
        <v>45826</v>
      </c>
    </row>
    <row r="315" ht="12.75" customHeight="1">
      <c r="A315" s="45" t="n"/>
      <c r="B315" s="45" t="n"/>
      <c r="C315" s="45" t="n"/>
      <c r="D315" s="45" t="n"/>
      <c r="E315" s="45" t="n"/>
      <c r="F315" s="45" t="n"/>
      <c r="G315" s="45" t="n"/>
      <c r="H315" s="43" t="n"/>
      <c r="I315" s="45" t="n"/>
      <c r="J315" s="43" t="n">
        <v>454725864133</v>
      </c>
      <c r="K315" s="44" t="n">
        <v>45825</v>
      </c>
      <c r="L315" s="44" t="n">
        <v>45832</v>
      </c>
      <c r="M315" s="45" t="inlineStr">
        <is>
          <t>No</t>
        </is>
      </c>
      <c r="N315" s="45" t="inlineStr">
        <is>
          <t>1 HBL</t>
        </is>
      </c>
      <c r="O315" s="45" t="n"/>
      <c r="P315" s="45" t="inlineStr">
        <is>
          <t>LW</t>
        </is>
      </c>
      <c r="Q315" s="44" t="n">
        <v>45824</v>
      </c>
      <c r="R315" s="45" t="n">
        <v>4</v>
      </c>
      <c r="S315" s="44" t="n">
        <v>45826</v>
      </c>
    </row>
    <row r="316" ht="12.75" customHeight="1">
      <c r="A316" s="45" t="n"/>
      <c r="B316" s="45" t="n"/>
      <c r="C316" s="45" t="n"/>
      <c r="D316" s="45" t="n"/>
      <c r="E316" s="45" t="n"/>
      <c r="F316" s="45" t="n"/>
      <c r="G316" s="45" t="n"/>
      <c r="H316" s="43" t="n"/>
      <c r="I316" s="45" t="n"/>
      <c r="J316" s="43" t="n">
        <v>454725919857</v>
      </c>
      <c r="K316" s="44" t="n">
        <v>45825</v>
      </c>
      <c r="L316" s="44" t="n">
        <v>45832</v>
      </c>
      <c r="M316" s="45" t="inlineStr">
        <is>
          <t>No</t>
        </is>
      </c>
      <c r="N316" s="45" t="inlineStr">
        <is>
          <t>1 HBL</t>
        </is>
      </c>
      <c r="O316" s="45" t="n"/>
      <c r="P316" s="45" t="inlineStr">
        <is>
          <t>LW</t>
        </is>
      </c>
      <c r="Q316" s="44" t="n">
        <v>45824</v>
      </c>
      <c r="R316" s="45" t="n">
        <v>5</v>
      </c>
      <c r="S316" s="44" t="n">
        <v>45826</v>
      </c>
    </row>
    <row r="317" ht="12.75" customHeight="1">
      <c r="A317" s="45" t="n"/>
      <c r="B317" s="45" t="n"/>
      <c r="C317" s="45" t="n"/>
      <c r="D317" s="45" t="n"/>
      <c r="E317" s="45" t="n"/>
      <c r="F317" s="45" t="n"/>
      <c r="G317" s="45" t="n">
        <v>-9</v>
      </c>
      <c r="H317" s="43" t="n"/>
      <c r="I317" s="44" t="inlineStr">
        <is>
          <t>Bodyline (Private) Limited</t>
        </is>
      </c>
      <c r="J317" s="43" t="n">
        <v>455263739084</v>
      </c>
      <c r="K317" s="44" t="n">
        <v>45825</v>
      </c>
      <c r="L317" s="44" t="n">
        <v>45832</v>
      </c>
      <c r="M317" s="45" t="inlineStr">
        <is>
          <t>No</t>
        </is>
      </c>
      <c r="N317" s="45" t="inlineStr">
        <is>
          <t>1 HBL</t>
        </is>
      </c>
      <c r="O317" s="45" t="n"/>
      <c r="P317" s="45" t="inlineStr">
        <is>
          <t>LW</t>
        </is>
      </c>
      <c r="Q317" s="44" t="n">
        <v>45824</v>
      </c>
      <c r="R317" s="45" t="n">
        <v>3</v>
      </c>
      <c r="S317" s="44" t="n">
        <v>45826</v>
      </c>
    </row>
    <row r="318" ht="12.75" customHeight="1">
      <c r="A318" s="45" t="n"/>
      <c r="B318" s="45" t="n"/>
      <c r="C318" s="45" t="n"/>
      <c r="D318" s="45" t="n"/>
      <c r="E318" s="45" t="n"/>
      <c r="F318" s="45" t="n"/>
      <c r="G318" s="45" t="n"/>
      <c r="H318" s="43" t="n"/>
      <c r="I318" s="45" t="n"/>
      <c r="J318" s="43" t="n">
        <v>455263920586</v>
      </c>
      <c r="K318" s="44" t="n">
        <v>45825</v>
      </c>
      <c r="L318" s="44" t="n">
        <v>45832</v>
      </c>
      <c r="M318" s="45" t="inlineStr">
        <is>
          <t>No</t>
        </is>
      </c>
      <c r="N318" s="45" t="inlineStr">
        <is>
          <t>1 HBL</t>
        </is>
      </c>
      <c r="O318" s="45" t="n"/>
      <c r="P318" s="45" t="inlineStr">
        <is>
          <t>LW</t>
        </is>
      </c>
      <c r="Q318" s="44" t="n">
        <v>45824</v>
      </c>
      <c r="R318" s="45" t="n">
        <v>6</v>
      </c>
      <c r="S318" s="44" t="n">
        <v>45826</v>
      </c>
    </row>
    <row r="319" ht="12.75" customHeight="1">
      <c r="A319" s="45" t="n"/>
      <c r="B319" s="45" t="n"/>
      <c r="C319" s="45" t="n"/>
      <c r="D319" s="45" t="n"/>
      <c r="E319" s="45" t="n"/>
      <c r="F319" s="45" t="n"/>
      <c r="G319" s="45" t="n"/>
      <c r="H319" s="43" t="n"/>
      <c r="I319" s="45" t="n"/>
      <c r="J319" s="43" t="n">
        <v>455264408885</v>
      </c>
      <c r="K319" s="44" t="n">
        <v>45825</v>
      </c>
      <c r="L319" s="44" t="n">
        <v>45832</v>
      </c>
      <c r="M319" s="45" t="inlineStr">
        <is>
          <t>No</t>
        </is>
      </c>
      <c r="N319" s="45" t="inlineStr">
        <is>
          <t>1 HBL</t>
        </is>
      </c>
      <c r="O319" s="45" t="n"/>
      <c r="P319" s="45" t="inlineStr">
        <is>
          <t>LW</t>
        </is>
      </c>
      <c r="Q319" s="44" t="n">
        <v>45824</v>
      </c>
      <c r="R319" s="45" t="n">
        <v>3</v>
      </c>
      <c r="S319" s="44" t="n">
        <v>45826</v>
      </c>
    </row>
    <row r="320" ht="12.75" customHeight="1">
      <c r="A320" s="45" t="n"/>
      <c r="B320" s="45" t="n"/>
      <c r="C320" s="45" t="n"/>
      <c r="D320" s="45" t="n"/>
      <c r="E320" s="45" t="n"/>
      <c r="F320" s="45" t="n"/>
      <c r="G320" s="45" t="n"/>
      <c r="H320" s="43" t="n"/>
      <c r="I320" s="44" t="inlineStr">
        <is>
          <t>Brandix Apparel Solutions Limited - Minuwangoda</t>
        </is>
      </c>
      <c r="J320" s="43" t="n">
        <v>455683716916</v>
      </c>
      <c r="K320" s="44" t="n">
        <v>45825</v>
      </c>
      <c r="L320" s="44" t="n">
        <v>45832</v>
      </c>
      <c r="M320" s="45" t="inlineStr">
        <is>
          <t>No</t>
        </is>
      </c>
      <c r="N320" s="45" t="inlineStr">
        <is>
          <t>1 HBL</t>
        </is>
      </c>
      <c r="O320" s="45" t="n"/>
      <c r="P320" s="45" t="inlineStr">
        <is>
          <t>LW</t>
        </is>
      </c>
      <c r="Q320" s="44" t="n">
        <v>45824</v>
      </c>
      <c r="R320" s="45" t="n">
        <v>5</v>
      </c>
      <c r="S320" s="44" t="n">
        <v>45826</v>
      </c>
    </row>
    <row r="321" ht="12.75" customHeight="1">
      <c r="A321" s="45" t="n"/>
      <c r="B321" s="45" t="n"/>
      <c r="C321" s="45" t="n"/>
      <c r="D321" s="45" t="n"/>
      <c r="E321" s="45" t="n"/>
      <c r="F321" s="45" t="n"/>
      <c r="G321" s="45" t="n"/>
      <c r="H321" s="43" t="n"/>
      <c r="I321" s="45" t="n"/>
      <c r="J321" s="43" t="n">
        <v>455688329627</v>
      </c>
      <c r="K321" s="44" t="n">
        <v>45825</v>
      </c>
      <c r="L321" s="44" t="n">
        <v>45832</v>
      </c>
      <c r="M321" s="45" t="inlineStr">
        <is>
          <t>No</t>
        </is>
      </c>
      <c r="N321" s="45" t="inlineStr">
        <is>
          <t>1 HBL</t>
        </is>
      </c>
      <c r="O321" s="45" t="n"/>
      <c r="P321" s="45" t="inlineStr">
        <is>
          <t>LW</t>
        </is>
      </c>
      <c r="Q321" s="44" t="n">
        <v>45824</v>
      </c>
      <c r="R321" s="45" t="n">
        <v>12</v>
      </c>
      <c r="S321" s="44" t="n">
        <v>45826</v>
      </c>
    </row>
    <row r="322" ht="12.75" customHeight="1">
      <c r="A322" s="45" t="n"/>
      <c r="B322" s="45" t="n"/>
      <c r="C322" s="45" t="n"/>
      <c r="D322" s="45" t="n"/>
      <c r="E322" s="45" t="n"/>
      <c r="F322" s="45" t="n"/>
      <c r="G322" s="45" t="n"/>
      <c r="H322" s="43" t="n"/>
      <c r="I322" s="44" t="inlineStr">
        <is>
          <t>MAS Active (Pvt) Ltd - Linea Intimo</t>
        </is>
      </c>
      <c r="J322" s="43" t="n">
        <v>454703725465</v>
      </c>
      <c r="K322" s="44" t="n">
        <v>45825</v>
      </c>
      <c r="L322" s="44" t="n">
        <v>45832</v>
      </c>
      <c r="M322" s="45" t="inlineStr">
        <is>
          <t>No</t>
        </is>
      </c>
      <c r="N322" s="45" t="inlineStr">
        <is>
          <t>1 HBL</t>
        </is>
      </c>
      <c r="O322" s="45" t="n"/>
      <c r="P322" s="45" t="inlineStr">
        <is>
          <t>LW</t>
        </is>
      </c>
      <c r="Q322" s="44" t="n">
        <v>45824</v>
      </c>
      <c r="R322" s="45" t="n">
        <v>5</v>
      </c>
      <c r="S322" s="44" t="n">
        <v>45826</v>
      </c>
    </row>
    <row r="323" ht="12.75" customHeight="1">
      <c r="A323" s="45" t="n"/>
      <c r="B323" s="45" t="n"/>
      <c r="C323" s="45" t="n"/>
      <c r="D323" s="45" t="n"/>
      <c r="E323" s="45" t="n"/>
      <c r="F323" s="45" t="n"/>
      <c r="G323" s="45" t="n"/>
      <c r="H323" s="43" t="n"/>
      <c r="I323" s="45" t="n"/>
      <c r="J323" s="43" t="n">
        <v>454703726031</v>
      </c>
      <c r="K323" s="44" t="n">
        <v>45825</v>
      </c>
      <c r="L323" s="44" t="n">
        <v>45832</v>
      </c>
      <c r="M323" s="45" t="inlineStr">
        <is>
          <t>No</t>
        </is>
      </c>
      <c r="N323" s="45" t="inlineStr">
        <is>
          <t>1 HBL</t>
        </is>
      </c>
      <c r="O323" s="45" t="n"/>
      <c r="P323" s="45" t="inlineStr">
        <is>
          <t>LW</t>
        </is>
      </c>
      <c r="Q323" s="44" t="n">
        <v>45824</v>
      </c>
      <c r="R323" s="45" t="n">
        <v>3</v>
      </c>
      <c r="S323" s="44" t="n">
        <v>45826</v>
      </c>
    </row>
    <row r="324" ht="12.75" customHeight="1">
      <c r="A324" s="45" t="n"/>
      <c r="B324" s="45" t="n"/>
      <c r="C324" s="45" t="n"/>
      <c r="D324" s="45" t="n"/>
      <c r="E324" s="45" t="n"/>
      <c r="F324" s="45" t="n"/>
      <c r="G324" s="45" t="n"/>
      <c r="H324" s="43" t="n"/>
      <c r="I324" s="45" t="n"/>
      <c r="J324" s="43" t="n">
        <v>454704211021</v>
      </c>
      <c r="K324" s="44" t="n">
        <v>45825</v>
      </c>
      <c r="L324" s="44" t="n">
        <v>45832</v>
      </c>
      <c r="M324" s="45" t="inlineStr">
        <is>
          <t>No</t>
        </is>
      </c>
      <c r="N324" s="45" t="inlineStr">
        <is>
          <t>1 HBL</t>
        </is>
      </c>
      <c r="O324" s="45" t="n"/>
      <c r="P324" s="45" t="inlineStr">
        <is>
          <t>LW</t>
        </is>
      </c>
      <c r="Q324" s="44" t="n">
        <v>45824</v>
      </c>
      <c r="R324" s="45" t="n">
        <v>5</v>
      </c>
      <c r="S324" s="44" t="n">
        <v>45826</v>
      </c>
    </row>
    <row r="325" ht="12.75" customHeight="1">
      <c r="A325" s="45" t="n"/>
      <c r="B325" s="45" t="n"/>
      <c r="C325" s="45" t="n"/>
      <c r="D325" s="45" t="n"/>
      <c r="E325" s="45" t="n"/>
      <c r="F325" s="45" t="n"/>
      <c r="G325" s="45" t="n"/>
      <c r="H325" s="43" t="n"/>
      <c r="I325" s="45" t="n"/>
      <c r="J325" s="43" t="n">
        <v>454705023730</v>
      </c>
      <c r="K325" s="44" t="n">
        <v>45825</v>
      </c>
      <c r="L325" s="44" t="n">
        <v>45832</v>
      </c>
      <c r="M325" s="45" t="inlineStr">
        <is>
          <t>No</t>
        </is>
      </c>
      <c r="N325" s="45" t="inlineStr">
        <is>
          <t>1 HBL</t>
        </is>
      </c>
      <c r="O325" s="45" t="n"/>
      <c r="P325" s="45" t="inlineStr">
        <is>
          <t>LW</t>
        </is>
      </c>
      <c r="Q325" s="44" t="n">
        <v>45824</v>
      </c>
      <c r="R325" s="45" t="n">
        <v>5</v>
      </c>
      <c r="S325" s="44" t="n">
        <v>45826</v>
      </c>
    </row>
    <row r="326" ht="12.75" customHeight="1">
      <c r="A326" s="45" t="n"/>
      <c r="B326" s="45" t="n"/>
      <c r="C326" s="45" t="n"/>
      <c r="D326" s="45" t="n"/>
      <c r="E326" s="45" t="n"/>
      <c r="F326" s="45" t="n"/>
      <c r="G326" s="45" t="n"/>
      <c r="H326" s="43" t="n"/>
      <c r="I326" s="45" t="n"/>
      <c r="J326" s="43" t="n">
        <v>454705502633</v>
      </c>
      <c r="K326" s="44" t="n">
        <v>45825</v>
      </c>
      <c r="L326" s="44" t="n">
        <v>45832</v>
      </c>
      <c r="M326" s="45" t="inlineStr">
        <is>
          <t>No</t>
        </is>
      </c>
      <c r="N326" s="45" t="inlineStr">
        <is>
          <t>1 HBL</t>
        </is>
      </c>
      <c r="O326" s="45" t="n"/>
      <c r="P326" s="45" t="inlineStr">
        <is>
          <t>LW</t>
        </is>
      </c>
      <c r="Q326" s="44" t="n">
        <v>45824</v>
      </c>
      <c r="R326" s="45" t="n">
        <v>3</v>
      </c>
      <c r="S326" s="44" t="n">
        <v>45826</v>
      </c>
    </row>
    <row r="327" ht="12.75" customHeight="1">
      <c r="A327" s="45" t="n"/>
      <c r="B327" s="45" t="n"/>
      <c r="C327" s="45" t="n"/>
      <c r="D327" s="45" t="n"/>
      <c r="E327" s="45" t="n"/>
      <c r="F327" s="45" t="n"/>
      <c r="G327" s="45" t="n"/>
      <c r="H327" s="43" t="n"/>
      <c r="I327" s="45" t="n"/>
      <c r="J327" s="43" t="n">
        <v>454705691334</v>
      </c>
      <c r="K327" s="44" t="n">
        <v>45825</v>
      </c>
      <c r="L327" s="44" t="n">
        <v>45832</v>
      </c>
      <c r="M327" s="45" t="inlineStr">
        <is>
          <t>No</t>
        </is>
      </c>
      <c r="N327" s="45" t="inlineStr">
        <is>
          <t>1 HBL</t>
        </is>
      </c>
      <c r="O327" s="45" t="n"/>
      <c r="P327" s="45" t="inlineStr">
        <is>
          <t>LW</t>
        </is>
      </c>
      <c r="Q327" s="44" t="n">
        <v>45824</v>
      </c>
      <c r="R327" s="45" t="n">
        <v>2</v>
      </c>
      <c r="S327" s="44" t="n">
        <v>45826</v>
      </c>
    </row>
    <row r="328" ht="12.75" customHeight="1">
      <c r="A328" s="45" t="n"/>
      <c r="B328" s="45" t="n"/>
      <c r="C328" s="45" t="n"/>
      <c r="D328" s="45" t="n"/>
      <c r="E328" s="45" t="n"/>
      <c r="F328" s="45" t="n"/>
      <c r="G328" s="45" t="n"/>
      <c r="H328" s="43" t="n"/>
      <c r="I328" s="45" t="n"/>
      <c r="J328" s="43" t="n">
        <v>454706023813</v>
      </c>
      <c r="K328" s="44" t="n">
        <v>45825</v>
      </c>
      <c r="L328" s="44" t="n">
        <v>45832</v>
      </c>
      <c r="M328" s="45" t="inlineStr">
        <is>
          <t>No</t>
        </is>
      </c>
      <c r="N328" s="45" t="inlineStr">
        <is>
          <t>1 HBL</t>
        </is>
      </c>
      <c r="O328" s="45" t="n"/>
      <c r="P328" s="45" t="inlineStr">
        <is>
          <t>LW</t>
        </is>
      </c>
      <c r="Q328" s="44" t="n">
        <v>45824</v>
      </c>
      <c r="R328" s="45" t="n">
        <v>2</v>
      </c>
      <c r="S328" s="44" t="n">
        <v>45826</v>
      </c>
    </row>
    <row r="329" ht="12.75" customHeight="1">
      <c r="A329" s="45" t="n"/>
      <c r="B329" s="45" t="n"/>
      <c r="C329" s="45" t="n"/>
      <c r="D329" s="45" t="n"/>
      <c r="E329" s="45" t="n"/>
      <c r="F329" s="45" t="n"/>
      <c r="G329" s="45" t="n"/>
      <c r="H329" s="43" t="n"/>
      <c r="I329" s="45" t="n"/>
      <c r="J329" s="43" t="n">
        <v>454706080383</v>
      </c>
      <c r="K329" s="44" t="n">
        <v>45825</v>
      </c>
      <c r="L329" s="44" t="n">
        <v>45832</v>
      </c>
      <c r="M329" s="45" t="inlineStr">
        <is>
          <t>No</t>
        </is>
      </c>
      <c r="N329" s="45" t="inlineStr">
        <is>
          <t>1 HBL</t>
        </is>
      </c>
      <c r="O329" s="45" t="n"/>
      <c r="P329" s="45" t="inlineStr">
        <is>
          <t>LW</t>
        </is>
      </c>
      <c r="Q329" s="44" t="n">
        <v>45824</v>
      </c>
      <c r="R329" s="45" t="n">
        <v>10</v>
      </c>
      <c r="S329" s="44" t="n">
        <v>45826</v>
      </c>
    </row>
    <row r="330" ht="12.75" customHeight="1">
      <c r="A330" s="45" t="n"/>
      <c r="B330" s="45" t="n"/>
      <c r="C330" s="45" t="n"/>
      <c r="D330" s="45" t="n"/>
      <c r="E330" s="45" t="n"/>
      <c r="F330" s="45" t="n"/>
      <c r="G330" s="45" t="n"/>
      <c r="H330" s="43" t="n"/>
      <c r="I330" s="45" t="n"/>
      <c r="J330" s="43" t="n">
        <v>454706121015</v>
      </c>
      <c r="K330" s="44" t="n">
        <v>45825</v>
      </c>
      <c r="L330" s="44" t="n">
        <v>45832</v>
      </c>
      <c r="M330" s="45" t="inlineStr">
        <is>
          <t>No</t>
        </is>
      </c>
      <c r="N330" s="45" t="inlineStr">
        <is>
          <t>1 HBL</t>
        </is>
      </c>
      <c r="O330" s="45" t="n"/>
      <c r="P330" s="45" t="inlineStr">
        <is>
          <t>LW</t>
        </is>
      </c>
      <c r="Q330" s="44" t="n">
        <v>45824</v>
      </c>
      <c r="R330" s="45" t="n">
        <v>2</v>
      </c>
      <c r="S330" s="44" t="n">
        <v>45826</v>
      </c>
    </row>
    <row r="331" ht="12.75" customHeight="1">
      <c r="A331" s="45" t="n"/>
      <c r="B331" s="45" t="n"/>
      <c r="C331" s="45" t="n"/>
      <c r="D331" s="45" t="n"/>
      <c r="E331" s="45" t="n"/>
      <c r="F331" s="45" t="n"/>
      <c r="G331" s="45" t="n"/>
      <c r="H331" s="43" t="n"/>
      <c r="I331" s="45" t="n"/>
      <c r="J331" s="43" t="n">
        <v>454706405931</v>
      </c>
      <c r="K331" s="44" t="n">
        <v>45825</v>
      </c>
      <c r="L331" s="44" t="n">
        <v>45832</v>
      </c>
      <c r="M331" s="45" t="inlineStr">
        <is>
          <t>No</t>
        </is>
      </c>
      <c r="N331" s="45" t="inlineStr">
        <is>
          <t>1 HBL</t>
        </is>
      </c>
      <c r="O331" s="45" t="n"/>
      <c r="P331" s="45" t="inlineStr">
        <is>
          <t>LW</t>
        </is>
      </c>
      <c r="Q331" s="44" t="n">
        <v>45824</v>
      </c>
      <c r="R331" s="45" t="n">
        <v>11</v>
      </c>
      <c r="S331" s="44" t="n">
        <v>45826</v>
      </c>
    </row>
    <row r="332" ht="12.75" customHeight="1">
      <c r="A332" s="45" t="n"/>
      <c r="B332" s="45" t="n"/>
      <c r="C332" s="45" t="n"/>
      <c r="D332" s="45" t="n"/>
      <c r="E332" s="45" t="n"/>
      <c r="F332" s="45" t="n"/>
      <c r="G332" s="45" t="n"/>
      <c r="H332" s="43" t="n"/>
      <c r="I332" s="45" t="n"/>
      <c r="J332" s="43" t="n">
        <v>454706712546</v>
      </c>
      <c r="K332" s="44" t="n">
        <v>45825</v>
      </c>
      <c r="L332" s="44" t="n">
        <v>45832</v>
      </c>
      <c r="M332" s="45" t="inlineStr">
        <is>
          <t>No</t>
        </is>
      </c>
      <c r="N332" s="45" t="inlineStr">
        <is>
          <t>1 HBL</t>
        </is>
      </c>
      <c r="O332" s="45" t="n"/>
      <c r="P332" s="45" t="inlineStr">
        <is>
          <t>LW</t>
        </is>
      </c>
      <c r="Q332" s="44" t="n">
        <v>45824</v>
      </c>
      <c r="R332" s="45" t="n">
        <v>9</v>
      </c>
      <c r="S332" s="44" t="n">
        <v>45826</v>
      </c>
    </row>
    <row r="333" ht="12.75" customHeight="1">
      <c r="A333" s="45" t="n"/>
      <c r="B333" s="45" t="n"/>
      <c r="C333" s="45" t="n"/>
      <c r="D333" s="45" t="n"/>
      <c r="E333" s="45" t="n"/>
      <c r="F333" s="45" t="n"/>
      <c r="G333" s="45" t="n"/>
      <c r="H333" s="43" t="n"/>
      <c r="I333" s="45" t="n"/>
      <c r="J333" s="43" t="n">
        <v>454706949394</v>
      </c>
      <c r="K333" s="44" t="n">
        <v>45825</v>
      </c>
      <c r="L333" s="44" t="n">
        <v>45832</v>
      </c>
      <c r="M333" s="45" t="inlineStr">
        <is>
          <t>No</t>
        </is>
      </c>
      <c r="N333" s="45" t="inlineStr">
        <is>
          <t>1 HBL</t>
        </is>
      </c>
      <c r="O333" s="45" t="n"/>
      <c r="P333" s="45" t="inlineStr">
        <is>
          <t>LW</t>
        </is>
      </c>
      <c r="Q333" s="44" t="n">
        <v>45824</v>
      </c>
      <c r="R333" s="45" t="n">
        <v>6</v>
      </c>
      <c r="S333" s="44" t="n">
        <v>45826</v>
      </c>
    </row>
    <row r="334" ht="12.75" customHeight="1">
      <c r="A334" s="45" t="n"/>
      <c r="B334" s="45" t="n"/>
      <c r="C334" s="45" t="n"/>
      <c r="D334" s="45" t="n"/>
      <c r="E334" s="45" t="n"/>
      <c r="F334" s="45" t="n"/>
      <c r="G334" s="45" t="n"/>
      <c r="H334" s="43" t="n"/>
      <c r="I334" s="45" t="n"/>
      <c r="J334" s="43" t="n">
        <v>454707107149</v>
      </c>
      <c r="K334" s="44" t="n">
        <v>45825</v>
      </c>
      <c r="L334" s="44" t="n">
        <v>45832</v>
      </c>
      <c r="M334" s="45" t="inlineStr">
        <is>
          <t>No</t>
        </is>
      </c>
      <c r="N334" s="45" t="inlineStr">
        <is>
          <t>1 HBL</t>
        </is>
      </c>
      <c r="O334" s="45" t="n"/>
      <c r="P334" s="45" t="inlineStr">
        <is>
          <t>LW</t>
        </is>
      </c>
      <c r="Q334" s="44" t="n">
        <v>45824</v>
      </c>
      <c r="R334" s="45" t="n">
        <v>4</v>
      </c>
      <c r="S334" s="44" t="n">
        <v>45826</v>
      </c>
    </row>
    <row r="335" ht="12.75" customHeight="1">
      <c r="A335" s="45" t="n"/>
      <c r="B335" s="45" t="n"/>
      <c r="C335" s="45" t="n"/>
      <c r="D335" s="45" t="n"/>
      <c r="E335" s="45" t="n"/>
      <c r="F335" s="45" t="n"/>
      <c r="G335" s="45" t="n"/>
      <c r="H335" s="43" t="n"/>
      <c r="I335" s="45" t="n"/>
      <c r="J335" s="43" t="n">
        <v>454707657000</v>
      </c>
      <c r="K335" s="44" t="n">
        <v>45825</v>
      </c>
      <c r="L335" s="44" t="n">
        <v>45832</v>
      </c>
      <c r="M335" s="45" t="inlineStr">
        <is>
          <t>No</t>
        </is>
      </c>
      <c r="N335" s="45" t="inlineStr">
        <is>
          <t>1 HBL</t>
        </is>
      </c>
      <c r="O335" s="45" t="n"/>
      <c r="P335" s="45" t="inlineStr">
        <is>
          <t>LW</t>
        </is>
      </c>
      <c r="Q335" s="44" t="n">
        <v>45824</v>
      </c>
      <c r="R335" s="45" t="n">
        <v>6</v>
      </c>
      <c r="S335" s="44" t="n">
        <v>45826</v>
      </c>
    </row>
    <row r="336" ht="12.75" customHeight="1">
      <c r="A336" s="45" t="n"/>
      <c r="B336" s="45" t="n"/>
      <c r="C336" s="45" t="n"/>
      <c r="D336" s="45" t="n"/>
      <c r="E336" s="45" t="n"/>
      <c r="F336" s="45" t="n"/>
      <c r="G336" s="45" t="n"/>
      <c r="H336" s="43" t="n"/>
      <c r="I336" s="45" t="n"/>
      <c r="J336" s="43" t="n">
        <v>454707704516</v>
      </c>
      <c r="K336" s="44" t="n">
        <v>45825</v>
      </c>
      <c r="L336" s="44" t="n">
        <v>45832</v>
      </c>
      <c r="M336" s="45" t="inlineStr">
        <is>
          <t>No</t>
        </is>
      </c>
      <c r="N336" s="45" t="inlineStr">
        <is>
          <t>1 HBL</t>
        </is>
      </c>
      <c r="O336" s="45" t="n"/>
      <c r="P336" s="45" t="inlineStr">
        <is>
          <t>LW</t>
        </is>
      </c>
      <c r="Q336" s="44" t="n">
        <v>45824</v>
      </c>
      <c r="R336" s="45" t="n">
        <v>7</v>
      </c>
      <c r="S336" s="44" t="n">
        <v>45826</v>
      </c>
    </row>
    <row r="337" ht="12.75" customHeight="1">
      <c r="A337" s="45" t="n"/>
      <c r="B337" s="45" t="n"/>
      <c r="C337" s="45" t="n"/>
      <c r="D337" s="45" t="n"/>
      <c r="E337" s="45" t="n"/>
      <c r="F337" s="45" t="n"/>
      <c r="G337" s="45" t="n"/>
      <c r="H337" s="43" t="n"/>
      <c r="I337" s="45" t="n"/>
      <c r="J337" s="43" t="n">
        <v>454707967199</v>
      </c>
      <c r="K337" s="44" t="n">
        <v>45825</v>
      </c>
      <c r="L337" s="44" t="n">
        <v>45832</v>
      </c>
      <c r="M337" s="45" t="inlineStr">
        <is>
          <t>No</t>
        </is>
      </c>
      <c r="N337" s="45" t="inlineStr">
        <is>
          <t>1 HBL</t>
        </is>
      </c>
      <c r="O337" s="45" t="n"/>
      <c r="P337" s="45" t="inlineStr">
        <is>
          <t>LW</t>
        </is>
      </c>
      <c r="Q337" s="44" t="n">
        <v>45824</v>
      </c>
      <c r="R337" s="45" t="n">
        <v>7</v>
      </c>
      <c r="S337" s="44" t="n">
        <v>45826</v>
      </c>
    </row>
    <row r="338" ht="12.75" customHeight="1">
      <c r="A338" s="45" t="n"/>
      <c r="B338" s="45" t="n"/>
      <c r="C338" s="45" t="n"/>
      <c r="D338" s="45" t="n"/>
      <c r="E338" s="45" t="n"/>
      <c r="F338" s="45" t="n"/>
      <c r="G338" s="45" t="n"/>
      <c r="H338" s="43" t="n"/>
      <c r="I338" s="45" t="n"/>
      <c r="J338" s="43" t="n">
        <v>454708168021</v>
      </c>
      <c r="K338" s="44" t="n">
        <v>45825</v>
      </c>
      <c r="L338" s="44" t="n">
        <v>45832</v>
      </c>
      <c r="M338" s="45" t="inlineStr">
        <is>
          <t>No</t>
        </is>
      </c>
      <c r="N338" s="45" t="inlineStr">
        <is>
          <t>1 HBL</t>
        </is>
      </c>
      <c r="O338" s="45" t="n"/>
      <c r="P338" s="45" t="inlineStr">
        <is>
          <t>LW</t>
        </is>
      </c>
      <c r="Q338" s="44" t="n">
        <v>45824</v>
      </c>
      <c r="R338" s="45" t="n">
        <v>6</v>
      </c>
      <c r="S338" s="44" t="n">
        <v>45826</v>
      </c>
    </row>
    <row r="339" ht="12.75" customHeight="1">
      <c r="A339" s="45" t="n"/>
      <c r="B339" s="45" t="n"/>
      <c r="C339" s="45" t="n"/>
      <c r="D339" s="45" t="n"/>
      <c r="E339" s="45" t="n"/>
      <c r="F339" s="45" t="n"/>
      <c r="G339" s="45" t="n"/>
      <c r="H339" s="43" t="n"/>
      <c r="I339" s="45" t="n"/>
      <c r="J339" s="43" t="n">
        <v>454708616885</v>
      </c>
      <c r="K339" s="44" t="n">
        <v>45825</v>
      </c>
      <c r="L339" s="44" t="n">
        <v>45832</v>
      </c>
      <c r="M339" s="45" t="inlineStr">
        <is>
          <t>No</t>
        </is>
      </c>
      <c r="N339" s="45" t="inlineStr">
        <is>
          <t>1 HBL</t>
        </is>
      </c>
      <c r="O339" s="45" t="n"/>
      <c r="P339" s="45" t="inlineStr">
        <is>
          <t>LW</t>
        </is>
      </c>
      <c r="Q339" s="44" t="n">
        <v>45824</v>
      </c>
      <c r="R339" s="45" t="n">
        <v>4</v>
      </c>
      <c r="S339" s="44" t="n">
        <v>45826</v>
      </c>
    </row>
    <row r="340" ht="12.75" customHeight="1">
      <c r="A340" s="45" t="n"/>
      <c r="B340" s="45" t="n"/>
      <c r="C340" s="45" t="n"/>
      <c r="D340" s="45" t="n"/>
      <c r="E340" s="45" t="n"/>
      <c r="F340" s="45" t="n"/>
      <c r="G340" s="45" t="n"/>
      <c r="H340" s="43" t="n"/>
      <c r="I340" s="45" t="n"/>
      <c r="J340" s="43" t="n">
        <v>454708617020</v>
      </c>
      <c r="K340" s="44" t="n">
        <v>45825</v>
      </c>
      <c r="L340" s="44" t="n">
        <v>45832</v>
      </c>
      <c r="M340" s="45" t="inlineStr">
        <is>
          <t>No</t>
        </is>
      </c>
      <c r="N340" s="45" t="inlineStr">
        <is>
          <t>1 HBL</t>
        </is>
      </c>
      <c r="O340" s="45" t="n"/>
      <c r="P340" s="45" t="inlineStr">
        <is>
          <t>LW</t>
        </is>
      </c>
      <c r="Q340" s="44" t="n">
        <v>45824</v>
      </c>
      <c r="R340" s="45" t="n">
        <v>3</v>
      </c>
      <c r="S340" s="44" t="n">
        <v>45826</v>
      </c>
    </row>
    <row r="341" ht="12.75" customHeight="1">
      <c r="A341" s="45" t="n"/>
      <c r="B341" s="45" t="n"/>
      <c r="C341" s="45" t="n"/>
      <c r="D341" s="45" t="n"/>
      <c r="E341" s="45" t="n"/>
      <c r="F341" s="45" t="n"/>
      <c r="G341" s="45" t="n"/>
      <c r="H341" s="43" t="n"/>
      <c r="I341" s="45" t="n"/>
      <c r="J341" s="43" t="n">
        <v>454708657110</v>
      </c>
      <c r="K341" s="44" t="n">
        <v>45825</v>
      </c>
      <c r="L341" s="44" t="n">
        <v>45832</v>
      </c>
      <c r="M341" s="45" t="inlineStr">
        <is>
          <t>No</t>
        </is>
      </c>
      <c r="N341" s="45" t="inlineStr">
        <is>
          <t>1 HBL</t>
        </is>
      </c>
      <c r="O341" s="45" t="n"/>
      <c r="P341" s="45" t="inlineStr">
        <is>
          <t>LW</t>
        </is>
      </c>
      <c r="Q341" s="44" t="n">
        <v>45824</v>
      </c>
      <c r="R341" s="45" t="n">
        <v>2</v>
      </c>
      <c r="S341" s="44" t="n">
        <v>45826</v>
      </c>
    </row>
    <row r="342" ht="12.75" customHeight="1">
      <c r="A342" s="45" t="n"/>
      <c r="B342" s="45" t="n"/>
      <c r="C342" s="45" t="n"/>
      <c r="D342" s="45" t="n"/>
      <c r="E342" s="45" t="n"/>
      <c r="F342" s="45" t="n"/>
      <c r="G342" s="45" t="n"/>
      <c r="H342" s="43" t="n"/>
      <c r="I342" s="45" t="n"/>
      <c r="J342" s="43" t="n">
        <v>454708773563</v>
      </c>
      <c r="K342" s="44" t="n">
        <v>45825</v>
      </c>
      <c r="L342" s="44" t="n">
        <v>45832</v>
      </c>
      <c r="M342" s="45" t="inlineStr">
        <is>
          <t>No</t>
        </is>
      </c>
      <c r="N342" s="45" t="inlineStr">
        <is>
          <t>1 HBL</t>
        </is>
      </c>
      <c r="O342" s="45" t="n"/>
      <c r="P342" s="45" t="inlineStr">
        <is>
          <t>LW</t>
        </is>
      </c>
      <c r="Q342" s="44" t="n">
        <v>45824</v>
      </c>
      <c r="R342" s="45" t="n">
        <v>2</v>
      </c>
      <c r="S342" s="44" t="n">
        <v>45826</v>
      </c>
    </row>
    <row r="343" ht="12.75" customHeight="1">
      <c r="A343" s="45" t="n"/>
      <c r="B343" s="45" t="n"/>
      <c r="C343" s="45" t="n"/>
      <c r="D343" s="45" t="n"/>
      <c r="E343" s="45" t="n"/>
      <c r="F343" s="45" t="n"/>
      <c r="G343" s="45" t="n"/>
      <c r="H343" s="43" t="n"/>
      <c r="I343" s="45" t="n"/>
      <c r="J343" s="43" t="n">
        <v>454708903460</v>
      </c>
      <c r="K343" s="44" t="n">
        <v>45825</v>
      </c>
      <c r="L343" s="44" t="n">
        <v>45832</v>
      </c>
      <c r="M343" s="45" t="inlineStr">
        <is>
          <t>No</t>
        </is>
      </c>
      <c r="N343" s="45" t="inlineStr">
        <is>
          <t>1 HBL</t>
        </is>
      </c>
      <c r="O343" s="45" t="n"/>
      <c r="P343" s="45" t="inlineStr">
        <is>
          <t>LW</t>
        </is>
      </c>
      <c r="Q343" s="44" t="n">
        <v>45824</v>
      </c>
      <c r="R343" s="45" t="n">
        <v>4</v>
      </c>
      <c r="S343" s="44" t="n">
        <v>45826</v>
      </c>
    </row>
    <row r="344" ht="12.75" customHeight="1">
      <c r="A344" s="45" t="n"/>
      <c r="B344" s="45" t="n"/>
      <c r="C344" s="45" t="n"/>
      <c r="D344" s="45" t="n"/>
      <c r="E344" s="45" t="n"/>
      <c r="F344" s="45" t="n"/>
      <c r="G344" s="45" t="n"/>
      <c r="H344" s="43" t="n"/>
      <c r="I344" s="45" t="n"/>
      <c r="J344" s="43" t="n">
        <v>454709130141</v>
      </c>
      <c r="K344" s="44" t="n">
        <v>45825</v>
      </c>
      <c r="L344" s="44" t="n">
        <v>45832</v>
      </c>
      <c r="M344" s="45" t="inlineStr">
        <is>
          <t>No</t>
        </is>
      </c>
      <c r="N344" s="45" t="inlineStr">
        <is>
          <t>1 HBL</t>
        </is>
      </c>
      <c r="O344" s="45" t="n"/>
      <c r="P344" s="45" t="inlineStr">
        <is>
          <t>LW</t>
        </is>
      </c>
      <c r="Q344" s="44" t="n">
        <v>45824</v>
      </c>
      <c r="R344" s="45" t="n">
        <v>4</v>
      </c>
      <c r="S344" s="44" t="n">
        <v>45826</v>
      </c>
    </row>
    <row r="345" ht="12.75" customHeight="1">
      <c r="A345" s="45" t="n"/>
      <c r="B345" s="45" t="n"/>
      <c r="C345" s="45" t="n"/>
      <c r="D345" s="45" t="n"/>
      <c r="E345" s="45" t="n"/>
      <c r="F345" s="45" t="n"/>
      <c r="G345" s="45" t="n"/>
      <c r="H345" s="43" t="n"/>
      <c r="I345" s="45" t="n"/>
      <c r="J345" s="43" t="n">
        <v>454709285841</v>
      </c>
      <c r="K345" s="44" t="n">
        <v>45825</v>
      </c>
      <c r="L345" s="44" t="n">
        <v>45832</v>
      </c>
      <c r="M345" s="45" t="inlineStr">
        <is>
          <t>No</t>
        </is>
      </c>
      <c r="N345" s="45" t="inlineStr">
        <is>
          <t>1 HBL</t>
        </is>
      </c>
      <c r="O345" s="45" t="n"/>
      <c r="P345" s="45" t="inlineStr">
        <is>
          <t>LW</t>
        </is>
      </c>
      <c r="Q345" s="44" t="n">
        <v>45824</v>
      </c>
      <c r="R345" s="45" t="n">
        <v>3</v>
      </c>
      <c r="S345" s="44" t="n">
        <v>45826</v>
      </c>
    </row>
    <row r="346" ht="12.75" customHeight="1">
      <c r="A346" s="45" t="n"/>
      <c r="B346" s="45" t="n"/>
      <c r="C346" s="45" t="n"/>
      <c r="D346" s="45" t="n"/>
      <c r="E346" s="45" t="n"/>
      <c r="F346" s="45" t="n"/>
      <c r="G346" s="45" t="n"/>
      <c r="H346" s="43" t="n"/>
      <c r="I346" s="45" t="n"/>
      <c r="J346" s="43" t="n">
        <v>454709307367</v>
      </c>
      <c r="K346" s="44" t="n">
        <v>45825</v>
      </c>
      <c r="L346" s="44" t="n">
        <v>45832</v>
      </c>
      <c r="M346" s="45" t="inlineStr">
        <is>
          <t>No</t>
        </is>
      </c>
      <c r="N346" s="45" t="inlineStr">
        <is>
          <t>1 HBL</t>
        </is>
      </c>
      <c r="O346" s="45" t="n"/>
      <c r="P346" s="45" t="inlineStr">
        <is>
          <t>LW</t>
        </is>
      </c>
      <c r="Q346" s="44" t="n">
        <v>45824</v>
      </c>
      <c r="R346" s="45" t="n">
        <v>2</v>
      </c>
      <c r="S346" s="44" t="n">
        <v>45826</v>
      </c>
    </row>
    <row r="347" ht="12.75" customHeight="1">
      <c r="A347" s="45" t="n"/>
      <c r="B347" s="45" t="n"/>
      <c r="C347" s="45" t="n"/>
      <c r="D347" s="45" t="n"/>
      <c r="E347" s="45" t="n"/>
      <c r="F347" s="45" t="n"/>
      <c r="G347" s="45" t="n"/>
      <c r="H347" s="43" t="n"/>
      <c r="I347" s="45" t="n"/>
      <c r="J347" s="43" t="n">
        <v>454709477054</v>
      </c>
      <c r="K347" s="44" t="n">
        <v>45825</v>
      </c>
      <c r="L347" s="44" t="n">
        <v>45832</v>
      </c>
      <c r="M347" s="45" t="inlineStr">
        <is>
          <t>No</t>
        </is>
      </c>
      <c r="N347" s="45" t="inlineStr">
        <is>
          <t>1 HBL</t>
        </is>
      </c>
      <c r="O347" s="45" t="n"/>
      <c r="P347" s="45" t="inlineStr">
        <is>
          <t>LW</t>
        </is>
      </c>
      <c r="Q347" s="44" t="n">
        <v>45824</v>
      </c>
      <c r="R347" s="45" t="n">
        <v>3</v>
      </c>
      <c r="S347" s="44" t="n">
        <v>45826</v>
      </c>
    </row>
    <row r="348" ht="12.75" customHeight="1">
      <c r="A348" s="45" t="n"/>
      <c r="B348" s="45" t="n"/>
      <c r="C348" s="45" t="n"/>
      <c r="D348" s="45" t="n"/>
      <c r="E348" s="45" t="n"/>
      <c r="F348" s="45" t="n"/>
      <c r="G348" s="45" t="n"/>
      <c r="H348" s="43" t="n"/>
      <c r="I348" s="45" t="n"/>
      <c r="J348" s="43" t="n">
        <v>454709781645</v>
      </c>
      <c r="K348" s="44" t="n">
        <v>45825</v>
      </c>
      <c r="L348" s="44" t="n">
        <v>45832</v>
      </c>
      <c r="M348" s="45" t="inlineStr">
        <is>
          <t>No</t>
        </is>
      </c>
      <c r="N348" s="45" t="inlineStr">
        <is>
          <t>1 HBL</t>
        </is>
      </c>
      <c r="O348" s="45" t="n"/>
      <c r="P348" s="45" t="inlineStr">
        <is>
          <t>LW</t>
        </is>
      </c>
      <c r="Q348" s="44" t="n">
        <v>45824</v>
      </c>
      <c r="R348" s="45" t="n">
        <v>13</v>
      </c>
      <c r="S348" s="44" t="n">
        <v>45826</v>
      </c>
    </row>
    <row r="349" ht="12.75" customHeight="1">
      <c r="A349" s="45" t="n"/>
      <c r="B349" s="45" t="n"/>
      <c r="C349" s="45" t="n"/>
      <c r="D349" s="45" t="n"/>
      <c r="E349" s="45" t="n"/>
      <c r="F349" s="45" t="n"/>
      <c r="G349" s="45" t="n"/>
      <c r="H349" s="43" t="n"/>
      <c r="I349" s="45" t="n"/>
      <c r="J349" s="43" t="n">
        <v>454709782023</v>
      </c>
      <c r="K349" s="44" t="n">
        <v>45825</v>
      </c>
      <c r="L349" s="44" t="n">
        <v>45832</v>
      </c>
      <c r="M349" s="45" t="inlineStr">
        <is>
          <t>No</t>
        </is>
      </c>
      <c r="N349" s="45" t="inlineStr">
        <is>
          <t>1 HBL</t>
        </is>
      </c>
      <c r="O349" s="45" t="n"/>
      <c r="P349" s="45" t="inlineStr">
        <is>
          <t>LW</t>
        </is>
      </c>
      <c r="Q349" s="44" t="n">
        <v>45824</v>
      </c>
      <c r="R349" s="45" t="n">
        <v>8</v>
      </c>
      <c r="S349" s="44" t="n">
        <v>45826</v>
      </c>
    </row>
    <row r="350" ht="12.75" customHeight="1">
      <c r="A350" s="45" t="n"/>
      <c r="B350" s="45" t="n"/>
      <c r="C350" s="45" t="n"/>
      <c r="D350" s="45" t="n"/>
      <c r="E350" s="45" t="n"/>
      <c r="F350" s="45" t="n"/>
      <c r="G350" s="45" t="n"/>
      <c r="H350" s="43" t="n"/>
      <c r="I350" s="45" t="n"/>
      <c r="J350" s="43" t="n">
        <v>454710211186</v>
      </c>
      <c r="K350" s="44" t="n">
        <v>45825</v>
      </c>
      <c r="L350" s="44" t="n">
        <v>45832</v>
      </c>
      <c r="M350" s="45" t="inlineStr">
        <is>
          <t>No</t>
        </is>
      </c>
      <c r="N350" s="45" t="inlineStr">
        <is>
          <t>1 HBL</t>
        </is>
      </c>
      <c r="O350" s="45" t="n"/>
      <c r="P350" s="45" t="inlineStr">
        <is>
          <t>LW</t>
        </is>
      </c>
      <c r="Q350" s="44" t="n">
        <v>45824</v>
      </c>
      <c r="R350" s="45" t="n">
        <v>7</v>
      </c>
      <c r="S350" s="44" t="n">
        <v>45826</v>
      </c>
    </row>
    <row r="351" ht="12.75" customHeight="1">
      <c r="A351" s="45" t="n"/>
      <c r="B351" s="45" t="n"/>
      <c r="C351" s="45" t="n"/>
      <c r="D351" s="45" t="n"/>
      <c r="E351" s="45" t="n"/>
      <c r="F351" s="45" t="n"/>
      <c r="G351" s="45" t="n"/>
      <c r="H351" s="43" t="n"/>
      <c r="I351" s="45" t="n"/>
      <c r="J351" s="43" t="n">
        <v>454710569610</v>
      </c>
      <c r="K351" s="44" t="n">
        <v>45825</v>
      </c>
      <c r="L351" s="44" t="n">
        <v>45832</v>
      </c>
      <c r="M351" s="45" t="inlineStr">
        <is>
          <t>No</t>
        </is>
      </c>
      <c r="N351" s="45" t="inlineStr">
        <is>
          <t>1 HBL</t>
        </is>
      </c>
      <c r="O351" s="45" t="n"/>
      <c r="P351" s="45" t="inlineStr">
        <is>
          <t>LW</t>
        </is>
      </c>
      <c r="Q351" s="44" t="n">
        <v>45824</v>
      </c>
      <c r="R351" s="45" t="n">
        <v>3</v>
      </c>
      <c r="S351" s="44" t="n">
        <v>45826</v>
      </c>
    </row>
    <row r="352" ht="12.75" customHeight="1">
      <c r="A352" s="45" t="n"/>
      <c r="B352" s="45" t="n"/>
      <c r="C352" s="45" t="n"/>
      <c r="D352" s="45" t="n"/>
      <c r="E352" s="45" t="n"/>
      <c r="F352" s="45" t="n"/>
      <c r="G352" s="45" t="n"/>
      <c r="H352" s="43" t="n"/>
      <c r="I352" s="45" t="n"/>
      <c r="J352" s="43" t="n">
        <v>454710569927</v>
      </c>
      <c r="K352" s="44" t="n">
        <v>45825</v>
      </c>
      <c r="L352" s="44" t="n">
        <v>45832</v>
      </c>
      <c r="M352" s="45" t="inlineStr">
        <is>
          <t>No</t>
        </is>
      </c>
      <c r="N352" s="45" t="inlineStr">
        <is>
          <t>1 HBL</t>
        </is>
      </c>
      <c r="O352" s="45" t="n"/>
      <c r="P352" s="45" t="inlineStr">
        <is>
          <t>LW</t>
        </is>
      </c>
      <c r="Q352" s="44" t="n">
        <v>45824</v>
      </c>
      <c r="R352" s="45" t="n">
        <v>12</v>
      </c>
      <c r="S352" s="44" t="n">
        <v>45826</v>
      </c>
    </row>
    <row r="353" ht="12.75" customHeight="1">
      <c r="A353" s="45" t="n"/>
      <c r="B353" s="45" t="n"/>
      <c r="C353" s="45" t="n"/>
      <c r="D353" s="45" t="n"/>
      <c r="E353" s="45" t="n"/>
      <c r="F353" s="45" t="n"/>
      <c r="G353" s="45" t="n"/>
      <c r="H353" s="43" t="n"/>
      <c r="I353" s="45" t="n"/>
      <c r="J353" s="43" t="n">
        <v>454710728906</v>
      </c>
      <c r="K353" s="44" t="n">
        <v>45825</v>
      </c>
      <c r="L353" s="44" t="n">
        <v>45832</v>
      </c>
      <c r="M353" s="45" t="inlineStr">
        <is>
          <t>No</t>
        </is>
      </c>
      <c r="N353" s="45" t="inlineStr">
        <is>
          <t>1 HBL</t>
        </is>
      </c>
      <c r="O353" s="45" t="n"/>
      <c r="P353" s="45" t="inlineStr">
        <is>
          <t>LW</t>
        </is>
      </c>
      <c r="Q353" s="44" t="n">
        <v>45824</v>
      </c>
      <c r="R353" s="45" t="n">
        <v>9</v>
      </c>
      <c r="S353" s="44" t="n">
        <v>45826</v>
      </c>
    </row>
    <row r="354" ht="12.75" customHeight="1">
      <c r="A354" s="45" t="n"/>
      <c r="B354" s="45" t="n"/>
      <c r="C354" s="45" t="n"/>
      <c r="D354" s="45" t="n"/>
      <c r="E354" s="45" t="n"/>
      <c r="F354" s="45" t="n"/>
      <c r="G354" s="45" t="n"/>
      <c r="H354" s="43" t="n"/>
      <c r="I354" s="45" t="n"/>
      <c r="J354" s="43" t="n">
        <v>454711375758</v>
      </c>
      <c r="K354" s="44" t="n">
        <v>45825</v>
      </c>
      <c r="L354" s="44" t="n">
        <v>45832</v>
      </c>
      <c r="M354" s="45" t="inlineStr">
        <is>
          <t>No</t>
        </is>
      </c>
      <c r="N354" s="45" t="inlineStr">
        <is>
          <t>1 HBL</t>
        </is>
      </c>
      <c r="O354" s="45" t="n"/>
      <c r="P354" s="45" t="inlineStr">
        <is>
          <t>LW</t>
        </is>
      </c>
      <c r="Q354" s="44" t="n">
        <v>45824</v>
      </c>
      <c r="R354" s="45" t="n">
        <v>9</v>
      </c>
      <c r="S354" s="44" t="n">
        <v>45826</v>
      </c>
    </row>
    <row r="355" ht="12.75" customHeight="1">
      <c r="A355" s="45" t="n"/>
      <c r="B355" s="45" t="n"/>
      <c r="C355" s="45" t="n"/>
      <c r="D355" s="45" t="n"/>
      <c r="E355" s="45" t="n"/>
      <c r="F355" s="45" t="n"/>
      <c r="G355" s="45" t="n"/>
      <c r="H355" s="43" t="n"/>
      <c r="I355" s="45" t="n"/>
      <c r="J355" s="43" t="n">
        <v>454714025577</v>
      </c>
      <c r="K355" s="44" t="n">
        <v>45825</v>
      </c>
      <c r="L355" s="44" t="n">
        <v>45832</v>
      </c>
      <c r="M355" s="45" t="inlineStr">
        <is>
          <t>No</t>
        </is>
      </c>
      <c r="N355" s="45" t="inlineStr">
        <is>
          <t>1 HBL</t>
        </is>
      </c>
      <c r="O355" s="45" t="n"/>
      <c r="P355" s="45" t="inlineStr">
        <is>
          <t>LW</t>
        </is>
      </c>
      <c r="Q355" s="44" t="n">
        <v>45824</v>
      </c>
      <c r="R355" s="45" t="n">
        <v>12</v>
      </c>
      <c r="S355" s="44" t="n">
        <v>45826</v>
      </c>
    </row>
    <row r="356" ht="12.75" customHeight="1">
      <c r="A356" s="45" t="n"/>
      <c r="B356" s="45" t="n"/>
      <c r="C356" s="45" t="n"/>
      <c r="D356" s="45" t="n"/>
      <c r="E356" s="45" t="n"/>
      <c r="F356" s="45" t="n"/>
      <c r="G356" s="45" t="n"/>
      <c r="H356" s="43" t="n"/>
      <c r="I356" s="45" t="n"/>
      <c r="J356" s="43" t="n">
        <v>454714622428</v>
      </c>
      <c r="K356" s="44" t="n">
        <v>45825</v>
      </c>
      <c r="L356" s="44" t="n">
        <v>45832</v>
      </c>
      <c r="M356" s="45" t="inlineStr">
        <is>
          <t>No</t>
        </is>
      </c>
      <c r="N356" s="45" t="inlineStr">
        <is>
          <t>1 HBL</t>
        </is>
      </c>
      <c r="O356" s="45" t="n"/>
      <c r="P356" s="45" t="inlineStr">
        <is>
          <t>LW</t>
        </is>
      </c>
      <c r="Q356" s="44" t="n">
        <v>45824</v>
      </c>
      <c r="R356" s="45" t="n">
        <v>2</v>
      </c>
      <c r="S356" s="44" t="n">
        <v>45826</v>
      </c>
    </row>
    <row r="357" ht="12.75" customHeight="1">
      <c r="A357" s="45" t="n"/>
      <c r="B357" s="45" t="n"/>
      <c r="C357" s="45" t="n"/>
      <c r="D357" s="45" t="n"/>
      <c r="E357" s="45" t="n"/>
      <c r="F357" s="45" t="n"/>
      <c r="G357" s="45" t="n"/>
      <c r="H357" s="43" t="n"/>
      <c r="I357" s="45" t="n"/>
      <c r="J357" s="43" t="n">
        <v>454714661923</v>
      </c>
      <c r="K357" s="44" t="n">
        <v>45825</v>
      </c>
      <c r="L357" s="44" t="n">
        <v>45832</v>
      </c>
      <c r="M357" s="45" t="inlineStr">
        <is>
          <t>No</t>
        </is>
      </c>
      <c r="N357" s="45" t="inlineStr">
        <is>
          <t>1 HBL</t>
        </is>
      </c>
      <c r="O357" s="45" t="n"/>
      <c r="P357" s="45" t="inlineStr">
        <is>
          <t>LW</t>
        </is>
      </c>
      <c r="Q357" s="44" t="n">
        <v>45824</v>
      </c>
      <c r="R357" s="45" t="n">
        <v>3</v>
      </c>
      <c r="S357" s="44" t="n">
        <v>45826</v>
      </c>
    </row>
    <row r="358" ht="12.75" customHeight="1">
      <c r="A358" s="45" t="n"/>
      <c r="B358" s="45" t="n"/>
      <c r="C358" s="45" t="n"/>
      <c r="D358" s="45" t="n"/>
      <c r="E358" s="45" t="n"/>
      <c r="F358" s="45" t="n"/>
      <c r="G358" s="45" t="n"/>
      <c r="H358" s="43" t="n"/>
      <c r="I358" s="45" t="n"/>
      <c r="J358" s="43" t="n">
        <v>454714789370</v>
      </c>
      <c r="K358" s="44" t="n">
        <v>45825</v>
      </c>
      <c r="L358" s="44" t="n">
        <v>45832</v>
      </c>
      <c r="M358" s="45" t="inlineStr">
        <is>
          <t>No</t>
        </is>
      </c>
      <c r="N358" s="45" t="inlineStr">
        <is>
          <t>1 HBL</t>
        </is>
      </c>
      <c r="O358" s="45" t="n"/>
      <c r="P358" s="45" t="inlineStr">
        <is>
          <t>LW</t>
        </is>
      </c>
      <c r="Q358" s="44" t="n">
        <v>45824</v>
      </c>
      <c r="R358" s="45" t="n">
        <v>9</v>
      </c>
      <c r="S358" s="44" t="n">
        <v>45826</v>
      </c>
    </row>
    <row r="359" ht="12.75" customHeight="1">
      <c r="A359" s="45" t="n"/>
      <c r="B359" s="45" t="n"/>
      <c r="C359" s="45" t="n"/>
      <c r="D359" s="45" t="n"/>
      <c r="E359" s="45" t="n"/>
      <c r="F359" s="45" t="n"/>
      <c r="G359" s="45" t="n"/>
      <c r="H359" s="43" t="n"/>
      <c r="I359" s="45" t="n"/>
      <c r="J359" s="43" t="n">
        <v>454714960542</v>
      </c>
      <c r="K359" s="44" t="n">
        <v>45825</v>
      </c>
      <c r="L359" s="44" t="n">
        <v>45832</v>
      </c>
      <c r="M359" s="45" t="inlineStr">
        <is>
          <t>No</t>
        </is>
      </c>
      <c r="N359" s="45" t="inlineStr">
        <is>
          <t>1 HBL</t>
        </is>
      </c>
      <c r="O359" s="45" t="n"/>
      <c r="P359" s="45" t="inlineStr">
        <is>
          <t>LW</t>
        </is>
      </c>
      <c r="Q359" s="44" t="n">
        <v>45824</v>
      </c>
      <c r="R359" s="45" t="n">
        <v>1</v>
      </c>
      <c r="S359" s="44" t="n">
        <v>45826</v>
      </c>
    </row>
    <row r="360" ht="12.75" customHeight="1">
      <c r="A360" s="45" t="n"/>
      <c r="B360" s="45" t="n"/>
      <c r="C360" s="45" t="n"/>
      <c r="D360" s="45" t="n"/>
      <c r="E360" s="45" t="n"/>
      <c r="F360" s="45" t="n"/>
      <c r="G360" s="45" t="n"/>
      <c r="H360" s="43" t="n"/>
      <c r="I360" s="45" t="n"/>
      <c r="J360" s="43" t="n">
        <v>454714967164</v>
      </c>
      <c r="K360" s="44" t="n">
        <v>45825</v>
      </c>
      <c r="L360" s="44" t="n">
        <v>45832</v>
      </c>
      <c r="M360" s="45" t="inlineStr">
        <is>
          <t>No</t>
        </is>
      </c>
      <c r="N360" s="45" t="inlineStr">
        <is>
          <t>1 HBL</t>
        </is>
      </c>
      <c r="O360" s="45" t="n"/>
      <c r="P360" s="45" t="inlineStr">
        <is>
          <t>LW</t>
        </is>
      </c>
      <c r="Q360" s="44" t="n">
        <v>45824</v>
      </c>
      <c r="R360" s="45" t="n">
        <v>3</v>
      </c>
      <c r="S360" s="44" t="n">
        <v>45826</v>
      </c>
    </row>
    <row r="361" ht="12.75" customHeight="1">
      <c r="A361" s="45" t="n"/>
      <c r="B361" s="45" t="n"/>
      <c r="C361" s="45" t="n"/>
      <c r="D361" s="45" t="n"/>
      <c r="E361" s="45" t="n"/>
      <c r="F361" s="45" t="n"/>
      <c r="G361" s="45" t="n"/>
      <c r="H361" s="43" t="n"/>
      <c r="I361" s="45" t="n"/>
      <c r="J361" s="43" t="n">
        <v>454715072465</v>
      </c>
      <c r="K361" s="44" t="n">
        <v>45825</v>
      </c>
      <c r="L361" s="44" t="n">
        <v>45832</v>
      </c>
      <c r="M361" s="45" t="inlineStr">
        <is>
          <t>No</t>
        </is>
      </c>
      <c r="N361" s="45" t="inlineStr">
        <is>
          <t>1 HBL</t>
        </is>
      </c>
      <c r="O361" s="45" t="n"/>
      <c r="P361" s="45" t="inlineStr">
        <is>
          <t>LW</t>
        </is>
      </c>
      <c r="Q361" s="44" t="n">
        <v>45824</v>
      </c>
      <c r="R361" s="45" t="n">
        <v>3</v>
      </c>
      <c r="S361" s="44" t="n">
        <v>45826</v>
      </c>
    </row>
    <row r="362" ht="12.75" customHeight="1">
      <c r="A362" s="45" t="n"/>
      <c r="B362" s="45" t="n"/>
      <c r="C362" s="45" t="n"/>
      <c r="D362" s="45" t="n"/>
      <c r="E362" s="45" t="n"/>
      <c r="F362" s="45" t="n"/>
      <c r="G362" s="45" t="n"/>
      <c r="H362" s="43" t="n"/>
      <c r="I362" s="45" t="n"/>
      <c r="J362" s="43" t="n">
        <v>454715264989</v>
      </c>
      <c r="K362" s="44" t="n">
        <v>45825</v>
      </c>
      <c r="L362" s="44" t="n">
        <v>45832</v>
      </c>
      <c r="M362" s="45" t="inlineStr">
        <is>
          <t>No</t>
        </is>
      </c>
      <c r="N362" s="45" t="inlineStr">
        <is>
          <t>1 HBL</t>
        </is>
      </c>
      <c r="O362" s="45" t="n"/>
      <c r="P362" s="45" t="inlineStr">
        <is>
          <t>LW</t>
        </is>
      </c>
      <c r="Q362" s="44" t="n">
        <v>45824</v>
      </c>
      <c r="R362" s="45" t="n">
        <v>1</v>
      </c>
      <c r="S362" s="44" t="n">
        <v>45826</v>
      </c>
    </row>
    <row r="363" ht="12.75" customHeight="1">
      <c r="A363" s="45" t="n"/>
      <c r="B363" s="45" t="n"/>
      <c r="C363" s="45" t="n"/>
      <c r="D363" s="45" t="n"/>
      <c r="E363" s="45" t="n"/>
      <c r="F363" s="45" t="n"/>
      <c r="G363" s="45" t="n"/>
      <c r="H363" s="43" t="n"/>
      <c r="I363" s="45" t="n"/>
      <c r="J363" s="43" t="n">
        <v>454715350749</v>
      </c>
      <c r="K363" s="44" t="n">
        <v>45825</v>
      </c>
      <c r="L363" s="44" t="n">
        <v>45832</v>
      </c>
      <c r="M363" s="45" t="inlineStr">
        <is>
          <t>No</t>
        </is>
      </c>
      <c r="N363" s="45" t="inlineStr">
        <is>
          <t>1 HBL</t>
        </is>
      </c>
      <c r="O363" s="45" t="n"/>
      <c r="P363" s="45" t="inlineStr">
        <is>
          <t>LW</t>
        </is>
      </c>
      <c r="Q363" s="44" t="n">
        <v>45824</v>
      </c>
      <c r="R363" s="45" t="n">
        <v>1</v>
      </c>
      <c r="S363" s="44" t="n">
        <v>45826</v>
      </c>
    </row>
    <row r="364" ht="12.75" customHeight="1">
      <c r="A364" s="45" t="n"/>
      <c r="B364" s="45" t="n"/>
      <c r="C364" s="45" t="n"/>
      <c r="D364" s="45" t="n"/>
      <c r="E364" s="45" t="n"/>
      <c r="F364" s="45" t="n"/>
      <c r="G364" s="45" t="n"/>
      <c r="H364" s="43" t="n"/>
      <c r="I364" s="45" t="n"/>
      <c r="J364" s="43" t="n">
        <v>454715529553</v>
      </c>
      <c r="K364" s="44" t="n">
        <v>45825</v>
      </c>
      <c r="L364" s="44" t="n">
        <v>45832</v>
      </c>
      <c r="M364" s="45" t="inlineStr">
        <is>
          <t>No</t>
        </is>
      </c>
      <c r="N364" s="45" t="inlineStr">
        <is>
          <t>1 HBL</t>
        </is>
      </c>
      <c r="O364" s="45" t="n"/>
      <c r="P364" s="45" t="inlineStr">
        <is>
          <t>LW</t>
        </is>
      </c>
      <c r="Q364" s="44" t="n">
        <v>45824</v>
      </c>
      <c r="R364" s="45" t="n">
        <v>21</v>
      </c>
      <c r="S364" s="44" t="n">
        <v>45826</v>
      </c>
    </row>
    <row r="365" ht="12.75" customHeight="1">
      <c r="A365" s="45" t="n"/>
      <c r="B365" s="45" t="n"/>
      <c r="C365" s="45" t="n"/>
      <c r="D365" s="45" t="n"/>
      <c r="E365" s="45" t="n"/>
      <c r="F365" s="45" t="n"/>
      <c r="G365" s="45" t="n"/>
      <c r="H365" s="43" t="n"/>
      <c r="I365" s="45" t="n"/>
      <c r="J365" s="43" t="n">
        <v>454715880007</v>
      </c>
      <c r="K365" s="44" t="n">
        <v>45825</v>
      </c>
      <c r="L365" s="44" t="n">
        <v>45832</v>
      </c>
      <c r="M365" s="45" t="inlineStr">
        <is>
          <t>No</t>
        </is>
      </c>
      <c r="N365" s="45" t="inlineStr">
        <is>
          <t>1 HBL</t>
        </is>
      </c>
      <c r="O365" s="45" t="n"/>
      <c r="P365" s="45" t="inlineStr">
        <is>
          <t>LW</t>
        </is>
      </c>
      <c r="Q365" s="44" t="n">
        <v>45824</v>
      </c>
      <c r="R365" s="45" t="n">
        <v>8</v>
      </c>
      <c r="S365" s="44" t="n">
        <v>45826</v>
      </c>
    </row>
    <row r="366" ht="12.75" customHeight="1">
      <c r="A366" s="45" t="n"/>
      <c r="B366" s="45" t="n"/>
      <c r="C366" s="45" t="n"/>
      <c r="D366" s="45" t="n"/>
      <c r="E366" s="45" t="n"/>
      <c r="F366" s="45" t="n"/>
      <c r="G366" s="45" t="n"/>
      <c r="H366" s="43" t="n"/>
      <c r="I366" s="45" t="n"/>
      <c r="J366" s="43" t="n">
        <v>454715944362</v>
      </c>
      <c r="K366" s="44" t="n">
        <v>45825</v>
      </c>
      <c r="L366" s="44" t="n">
        <v>45832</v>
      </c>
      <c r="M366" s="45" t="inlineStr">
        <is>
          <t>No</t>
        </is>
      </c>
      <c r="N366" s="45" t="inlineStr">
        <is>
          <t>1 HBL</t>
        </is>
      </c>
      <c r="O366" s="45" t="n"/>
      <c r="P366" s="45" t="inlineStr">
        <is>
          <t>LW</t>
        </is>
      </c>
      <c r="Q366" s="44" t="n">
        <v>45824</v>
      </c>
      <c r="R366" s="45" t="n">
        <v>8</v>
      </c>
      <c r="S366" s="44" t="n">
        <v>45826</v>
      </c>
    </row>
    <row r="367" ht="12.75" customHeight="1">
      <c r="A367" s="45" t="n"/>
      <c r="B367" s="45" t="n"/>
      <c r="C367" s="45" t="n"/>
      <c r="D367" s="45" t="n"/>
      <c r="E367" s="45" t="n"/>
      <c r="F367" s="45" t="n"/>
      <c r="G367" s="45" t="n"/>
      <c r="H367" s="43" t="n"/>
      <c r="I367" s="45" t="n"/>
      <c r="J367" s="43" t="n">
        <v>454716220598</v>
      </c>
      <c r="K367" s="44" t="n">
        <v>45825</v>
      </c>
      <c r="L367" s="44" t="n">
        <v>45832</v>
      </c>
      <c r="M367" s="45" t="inlineStr">
        <is>
          <t>No</t>
        </is>
      </c>
      <c r="N367" s="45" t="inlineStr">
        <is>
          <t>1 HBL</t>
        </is>
      </c>
      <c r="O367" s="45" t="n"/>
      <c r="P367" s="45" t="inlineStr">
        <is>
          <t>LW</t>
        </is>
      </c>
      <c r="Q367" s="44" t="n">
        <v>45824</v>
      </c>
      <c r="R367" s="45" t="n">
        <v>4</v>
      </c>
      <c r="S367" s="44" t="n">
        <v>45826</v>
      </c>
    </row>
    <row r="368" ht="12.75" customHeight="1">
      <c r="A368" s="45" t="n"/>
      <c r="B368" s="45" t="n"/>
      <c r="C368" s="45" t="n"/>
      <c r="D368" s="45" t="n"/>
      <c r="E368" s="45" t="n"/>
      <c r="F368" s="45" t="n"/>
      <c r="G368" s="45" t="n"/>
      <c r="H368" s="43" t="n"/>
      <c r="I368" s="45" t="n"/>
      <c r="J368" s="43" t="n">
        <v>454716420390</v>
      </c>
      <c r="K368" s="44" t="n">
        <v>45825</v>
      </c>
      <c r="L368" s="44" t="n">
        <v>45832</v>
      </c>
      <c r="M368" s="45" t="inlineStr">
        <is>
          <t>No</t>
        </is>
      </c>
      <c r="N368" s="45" t="inlineStr">
        <is>
          <t>1 HBL</t>
        </is>
      </c>
      <c r="O368" s="45" t="n"/>
      <c r="P368" s="45" t="inlineStr">
        <is>
          <t>LW</t>
        </is>
      </c>
      <c r="Q368" s="44" t="n">
        <v>45824</v>
      </c>
      <c r="R368" s="45" t="n">
        <v>7</v>
      </c>
      <c r="S368" s="44" t="n">
        <v>45826</v>
      </c>
    </row>
    <row r="369" ht="12.75" customHeight="1">
      <c r="A369" s="45" t="n"/>
      <c r="B369" s="45" t="n"/>
      <c r="C369" s="45" t="n"/>
      <c r="D369" s="45" t="n"/>
      <c r="E369" s="45" t="n"/>
      <c r="F369" s="45" t="n"/>
      <c r="G369" s="45" t="n"/>
      <c r="H369" s="43" t="n"/>
      <c r="I369" s="45" t="n"/>
      <c r="J369" s="43" t="n">
        <v>454716539002</v>
      </c>
      <c r="K369" s="44" t="n">
        <v>45825</v>
      </c>
      <c r="L369" s="44" t="n">
        <v>45832</v>
      </c>
      <c r="M369" s="45" t="inlineStr">
        <is>
          <t>No</t>
        </is>
      </c>
      <c r="N369" s="45" t="inlineStr">
        <is>
          <t>1 HBL</t>
        </is>
      </c>
      <c r="O369" s="45" t="n"/>
      <c r="P369" s="45" t="inlineStr">
        <is>
          <t>LW</t>
        </is>
      </c>
      <c r="Q369" s="44" t="n">
        <v>45824</v>
      </c>
      <c r="R369" s="45" t="n">
        <v>6</v>
      </c>
      <c r="S369" s="44" t="n">
        <v>45826</v>
      </c>
    </row>
    <row r="370" ht="12.75" customHeight="1">
      <c r="A370" s="45" t="n"/>
      <c r="B370" s="45" t="n"/>
      <c r="C370" s="45" t="n"/>
      <c r="D370" s="45" t="n"/>
      <c r="E370" s="45" t="n"/>
      <c r="F370" s="45" t="n"/>
      <c r="G370" s="45" t="n"/>
      <c r="H370" s="43" t="n"/>
      <c r="I370" s="45" t="n"/>
      <c r="J370" s="43" t="n">
        <v>454716985952</v>
      </c>
      <c r="K370" s="44" t="n">
        <v>45825</v>
      </c>
      <c r="L370" s="44" t="n">
        <v>45832</v>
      </c>
      <c r="M370" s="45" t="inlineStr">
        <is>
          <t>No</t>
        </is>
      </c>
      <c r="N370" s="45" t="inlineStr">
        <is>
          <t>1 HBL</t>
        </is>
      </c>
      <c r="O370" s="45" t="n"/>
      <c r="P370" s="45" t="inlineStr">
        <is>
          <t>LW</t>
        </is>
      </c>
      <c r="Q370" s="44" t="n">
        <v>45824</v>
      </c>
      <c r="R370" s="45" t="n">
        <v>3</v>
      </c>
      <c r="S370" s="44" t="n">
        <v>45826</v>
      </c>
    </row>
    <row r="371" ht="12.75" customHeight="1">
      <c r="A371" s="45" t="n"/>
      <c r="B371" s="45" t="n"/>
      <c r="C371" s="45" t="n"/>
      <c r="D371" s="45" t="n"/>
      <c r="E371" s="45" t="n"/>
      <c r="F371" s="45" t="n"/>
      <c r="G371" s="45" t="n"/>
      <c r="H371" s="43" t="n"/>
      <c r="I371" s="45" t="n"/>
      <c r="J371" s="43" t="n">
        <v>454719838375</v>
      </c>
      <c r="K371" s="44" t="n">
        <v>45825</v>
      </c>
      <c r="L371" s="44" t="n">
        <v>45832</v>
      </c>
      <c r="M371" s="45" t="inlineStr">
        <is>
          <t>No</t>
        </is>
      </c>
      <c r="N371" s="45" t="inlineStr">
        <is>
          <t>1 HBL</t>
        </is>
      </c>
      <c r="O371" s="45" t="n"/>
      <c r="P371" s="45" t="inlineStr">
        <is>
          <t>LW</t>
        </is>
      </c>
      <c r="Q371" s="44" t="n">
        <v>45824</v>
      </c>
      <c r="R371" s="45" t="n">
        <v>10</v>
      </c>
      <c r="S371" s="44" t="n">
        <v>45826</v>
      </c>
    </row>
    <row r="372" ht="12.75" customHeight="1">
      <c r="A372" s="45" t="n"/>
      <c r="B372" s="45" t="n"/>
      <c r="C372" s="45" t="n"/>
      <c r="D372" s="45" t="n"/>
      <c r="E372" s="45" t="n"/>
      <c r="F372" s="45" t="n"/>
      <c r="G372" s="45" t="n"/>
      <c r="H372" s="43" t="n"/>
      <c r="I372" s="45" t="n"/>
      <c r="J372" s="43" t="n">
        <v>454719838790</v>
      </c>
      <c r="K372" s="44" t="n">
        <v>45825</v>
      </c>
      <c r="L372" s="44" t="n">
        <v>45832</v>
      </c>
      <c r="M372" s="45" t="inlineStr">
        <is>
          <t>No</t>
        </is>
      </c>
      <c r="N372" s="45" t="inlineStr">
        <is>
          <t>1 HBL</t>
        </is>
      </c>
      <c r="O372" s="45" t="n"/>
      <c r="P372" s="45" t="inlineStr">
        <is>
          <t>LW</t>
        </is>
      </c>
      <c r="Q372" s="44" t="n">
        <v>45824</v>
      </c>
      <c r="R372" s="45" t="n">
        <v>4</v>
      </c>
      <c r="S372" s="44" t="n">
        <v>45826</v>
      </c>
    </row>
    <row r="373" ht="12.75" customHeight="1">
      <c r="A373" s="45" t="n"/>
      <c r="B373" s="45" t="n"/>
      <c r="C373" s="45" t="n"/>
      <c r="D373" s="45" t="n"/>
      <c r="E373" s="45" t="n"/>
      <c r="F373" s="45" t="n"/>
      <c r="G373" s="45" t="n"/>
      <c r="H373" s="43" t="n"/>
      <c r="I373" s="45" t="n"/>
      <c r="J373" s="43" t="n">
        <v>454720839532</v>
      </c>
      <c r="K373" s="44" t="n">
        <v>45825</v>
      </c>
      <c r="L373" s="44" t="n">
        <v>45832</v>
      </c>
      <c r="M373" s="45" t="inlineStr">
        <is>
          <t>No</t>
        </is>
      </c>
      <c r="N373" s="45" t="inlineStr">
        <is>
          <t>1 HBL</t>
        </is>
      </c>
      <c r="O373" s="45" t="n"/>
      <c r="P373" s="45" t="inlineStr">
        <is>
          <t>LW</t>
        </is>
      </c>
      <c r="Q373" s="44" t="n">
        <v>45824</v>
      </c>
      <c r="R373" s="45" t="n">
        <v>6</v>
      </c>
      <c r="S373" s="44" t="n">
        <v>45826</v>
      </c>
    </row>
    <row r="374" ht="12.75" customHeight="1">
      <c r="A374" s="45" t="n"/>
      <c r="B374" s="45" t="n"/>
      <c r="C374" s="45" t="n"/>
      <c r="D374" s="45" t="n"/>
      <c r="E374" s="45" t="n"/>
      <c r="F374" s="45" t="n"/>
      <c r="G374" s="45" t="n"/>
      <c r="H374" s="43" t="n"/>
      <c r="I374" s="45" t="n"/>
      <c r="J374" s="43" t="n">
        <v>454720922371</v>
      </c>
      <c r="K374" s="44" t="n">
        <v>45825</v>
      </c>
      <c r="L374" s="44" t="n">
        <v>45832</v>
      </c>
      <c r="M374" s="45" t="inlineStr">
        <is>
          <t>No</t>
        </is>
      </c>
      <c r="N374" s="45" t="inlineStr">
        <is>
          <t>1 HBL</t>
        </is>
      </c>
      <c r="O374" s="45" t="n"/>
      <c r="P374" s="45" t="inlineStr">
        <is>
          <t>LW</t>
        </is>
      </c>
      <c r="Q374" s="44" t="n">
        <v>45824</v>
      </c>
      <c r="R374" s="45" t="n">
        <v>7</v>
      </c>
      <c r="S374" s="44" t="n">
        <v>45826</v>
      </c>
    </row>
    <row r="375" ht="12.75" customHeight="1">
      <c r="A375" s="45" t="n"/>
      <c r="B375" s="45" t="n"/>
      <c r="C375" s="45" t="n"/>
      <c r="D375" s="45" t="n"/>
      <c r="E375" s="45" t="n"/>
      <c r="F375" s="45" t="n"/>
      <c r="G375" s="45" t="n"/>
      <c r="H375" s="43" t="n"/>
      <c r="I375" s="45" t="n"/>
      <c r="J375" s="43" t="n">
        <v>454721233456</v>
      </c>
      <c r="K375" s="44" t="n">
        <v>45825</v>
      </c>
      <c r="L375" s="44" t="n">
        <v>45832</v>
      </c>
      <c r="M375" s="45" t="inlineStr">
        <is>
          <t>No</t>
        </is>
      </c>
      <c r="N375" s="45" t="inlineStr">
        <is>
          <t>1 HBL</t>
        </is>
      </c>
      <c r="O375" s="45" t="n"/>
      <c r="P375" s="45" t="inlineStr">
        <is>
          <t>LW</t>
        </is>
      </c>
      <c r="Q375" s="44" t="n">
        <v>45824</v>
      </c>
      <c r="R375" s="45" t="n">
        <v>5</v>
      </c>
      <c r="S375" s="44" t="n">
        <v>45826</v>
      </c>
    </row>
    <row r="376" ht="12.75" customHeight="1">
      <c r="A376" s="45" t="n"/>
      <c r="B376" s="45" t="n"/>
      <c r="C376" s="45" t="n"/>
      <c r="D376" s="45" t="n"/>
      <c r="E376" s="45" t="n"/>
      <c r="F376" s="45" t="n"/>
      <c r="G376" s="45" t="n"/>
      <c r="H376" s="43" t="n"/>
      <c r="I376" s="44" t="inlineStr">
        <is>
          <t>MAS Active (Pvt) Ltd – Sleekline</t>
        </is>
      </c>
      <c r="J376" s="43" t="n">
        <v>454770292169</v>
      </c>
      <c r="K376" s="44" t="n">
        <v>45825</v>
      </c>
      <c r="L376" s="44" t="n">
        <v>45832</v>
      </c>
      <c r="M376" s="45" t="inlineStr">
        <is>
          <t>No</t>
        </is>
      </c>
      <c r="N376" s="45" t="inlineStr">
        <is>
          <t>1 HBL</t>
        </is>
      </c>
      <c r="O376" s="45" t="n"/>
      <c r="P376" s="45" t="inlineStr">
        <is>
          <t>LW</t>
        </is>
      </c>
      <c r="Q376" s="44" t="n">
        <v>45824</v>
      </c>
      <c r="R376" s="45" t="n">
        <v>3</v>
      </c>
      <c r="S376" s="44" t="n">
        <v>45826</v>
      </c>
    </row>
    <row r="377" ht="12.75" customHeight="1">
      <c r="A377" s="45" t="n"/>
      <c r="B377" s="45" t="n"/>
      <c r="C377" s="45" t="n"/>
      <c r="D377" s="45" t="n"/>
      <c r="E377" s="45" t="n"/>
      <c r="F377" s="45" t="n"/>
      <c r="G377" s="45" t="n"/>
      <c r="H377" s="43" t="n"/>
      <c r="I377" s="45" t="n"/>
      <c r="J377" s="43" t="n">
        <v>454776741148</v>
      </c>
      <c r="K377" s="44" t="n">
        <v>45825</v>
      </c>
      <c r="L377" s="44" t="n">
        <v>45832</v>
      </c>
      <c r="M377" s="45" t="inlineStr">
        <is>
          <t>No</t>
        </is>
      </c>
      <c r="N377" s="45" t="inlineStr">
        <is>
          <t>1 HBL</t>
        </is>
      </c>
      <c r="O377" s="45" t="n"/>
      <c r="P377" s="45" t="inlineStr">
        <is>
          <t>LW</t>
        </is>
      </c>
      <c r="Q377" s="44" t="n">
        <v>45824</v>
      </c>
      <c r="R377" s="45" t="n">
        <v>3</v>
      </c>
      <c r="S377" s="44" t="n">
        <v>45826</v>
      </c>
    </row>
    <row r="378" ht="12.75" customHeight="1">
      <c r="A378" s="45" t="n"/>
      <c r="B378" s="45" t="n"/>
      <c r="C378" s="45" t="n"/>
      <c r="D378" s="45" t="n"/>
      <c r="E378" s="45" t="n"/>
      <c r="F378" s="45" t="n"/>
      <c r="G378" s="45" t="n"/>
      <c r="H378" s="43" t="n"/>
      <c r="I378" s="45" t="n"/>
      <c r="J378" s="43" t="n">
        <v>454776741208</v>
      </c>
      <c r="K378" s="44" t="n">
        <v>45825</v>
      </c>
      <c r="L378" s="44" t="n">
        <v>45832</v>
      </c>
      <c r="M378" s="45" t="inlineStr">
        <is>
          <t>No</t>
        </is>
      </c>
      <c r="N378" s="45" t="inlineStr">
        <is>
          <t>1 HBL</t>
        </is>
      </c>
      <c r="O378" s="45" t="n"/>
      <c r="P378" s="45" t="inlineStr">
        <is>
          <t>LW</t>
        </is>
      </c>
      <c r="Q378" s="44" t="n">
        <v>45824</v>
      </c>
      <c r="R378" s="45" t="n">
        <v>1</v>
      </c>
      <c r="S378" s="44" t="n">
        <v>45826</v>
      </c>
    </row>
    <row r="379" ht="12.75" customHeight="1">
      <c r="A379" s="45" t="n"/>
      <c r="B379" s="45" t="n"/>
      <c r="C379" s="45" t="n"/>
      <c r="D379" s="45" t="n"/>
      <c r="E379" s="45" t="n"/>
      <c r="F379" s="45" t="n"/>
      <c r="G379" s="45" t="n"/>
      <c r="H379" s="43" t="n"/>
      <c r="I379" s="45" t="n"/>
      <c r="J379" s="43" t="n">
        <v>454776867307</v>
      </c>
      <c r="K379" s="44" t="n">
        <v>45825</v>
      </c>
      <c r="L379" s="44" t="n">
        <v>45832</v>
      </c>
      <c r="M379" s="45" t="inlineStr">
        <is>
          <t>No</t>
        </is>
      </c>
      <c r="N379" s="45" t="inlineStr">
        <is>
          <t>1 HBL</t>
        </is>
      </c>
      <c r="O379" s="45" t="n"/>
      <c r="P379" s="45" t="inlineStr">
        <is>
          <t>LW</t>
        </is>
      </c>
      <c r="Q379" s="44" t="n">
        <v>45824</v>
      </c>
      <c r="R379" s="45" t="n">
        <v>1</v>
      </c>
      <c r="S379" s="44" t="n">
        <v>45826</v>
      </c>
    </row>
    <row r="380" ht="12.75" customHeight="1">
      <c r="A380" s="45" t="n"/>
      <c r="B380" s="45" t="n"/>
      <c r="C380" s="45" t="n"/>
      <c r="D380" s="45" t="n"/>
      <c r="E380" s="45" t="n"/>
      <c r="F380" s="45" t="n"/>
      <c r="G380" s="45" t="n"/>
      <c r="H380" s="43" t="n"/>
      <c r="I380" s="45" t="n"/>
      <c r="J380" s="43" t="n">
        <v>454777443457</v>
      </c>
      <c r="K380" s="44" t="n">
        <v>45825</v>
      </c>
      <c r="L380" s="44" t="n">
        <v>45832</v>
      </c>
      <c r="M380" s="45" t="inlineStr">
        <is>
          <t>No</t>
        </is>
      </c>
      <c r="N380" s="45" t="inlineStr">
        <is>
          <t>1 HBL</t>
        </is>
      </c>
      <c r="O380" s="45" t="n"/>
      <c r="P380" s="45" t="inlineStr">
        <is>
          <t>LW</t>
        </is>
      </c>
      <c r="Q380" s="44" t="n">
        <v>45824</v>
      </c>
      <c r="R380" s="45" t="n">
        <v>4</v>
      </c>
      <c r="S380" s="44" t="n">
        <v>45826</v>
      </c>
    </row>
    <row r="381" ht="12.75" customHeight="1">
      <c r="A381" s="45" t="n"/>
      <c r="B381" s="45" t="n"/>
      <c r="C381" s="45" t="n"/>
      <c r="D381" s="45" t="n"/>
      <c r="E381" s="45" t="n"/>
      <c r="F381" s="45" t="n"/>
      <c r="G381" s="45" t="n"/>
      <c r="H381" s="43" t="n"/>
      <c r="I381" s="45" t="n"/>
      <c r="J381" s="43" t="n">
        <v>454777445244</v>
      </c>
      <c r="K381" s="44" t="n">
        <v>45825</v>
      </c>
      <c r="L381" s="44" t="n">
        <v>45832</v>
      </c>
      <c r="M381" s="45" t="inlineStr">
        <is>
          <t>No</t>
        </is>
      </c>
      <c r="N381" s="45" t="inlineStr">
        <is>
          <t>1 HBL</t>
        </is>
      </c>
      <c r="O381" s="45" t="n"/>
      <c r="P381" s="45" t="inlineStr">
        <is>
          <t>LW</t>
        </is>
      </c>
      <c r="Q381" s="44" t="n">
        <v>45824</v>
      </c>
      <c r="R381" s="45" t="n">
        <v>1</v>
      </c>
      <c r="S381" s="44" t="n">
        <v>45826</v>
      </c>
    </row>
    <row r="382" ht="12.75" customHeight="1">
      <c r="A382" s="45" t="n"/>
      <c r="B382" s="45" t="n"/>
      <c r="C382" s="45" t="n"/>
      <c r="D382" s="45" t="n"/>
      <c r="E382" s="45" t="n"/>
      <c r="F382" s="45" t="n"/>
      <c r="G382" s="45" t="n"/>
      <c r="H382" s="43" t="n"/>
      <c r="I382" s="45" t="n"/>
      <c r="J382" s="43" t="n">
        <v>454777445314</v>
      </c>
      <c r="K382" s="44" t="n">
        <v>45825</v>
      </c>
      <c r="L382" s="44" t="n">
        <v>45832</v>
      </c>
      <c r="M382" s="45" t="inlineStr">
        <is>
          <t>No</t>
        </is>
      </c>
      <c r="N382" s="45" t="inlineStr">
        <is>
          <t>1 HBL</t>
        </is>
      </c>
      <c r="O382" s="45" t="n"/>
      <c r="P382" s="45" t="inlineStr">
        <is>
          <t>LW</t>
        </is>
      </c>
      <c r="Q382" s="44" t="n">
        <v>45824</v>
      </c>
      <c r="R382" s="45" t="n">
        <v>3</v>
      </c>
      <c r="S382" s="44" t="n">
        <v>45826</v>
      </c>
    </row>
    <row r="383" ht="12.75" customHeight="1">
      <c r="A383" s="45" t="n"/>
      <c r="B383" s="45" t="n"/>
      <c r="C383" s="45" t="n"/>
      <c r="D383" s="45" t="n"/>
      <c r="E383" s="45" t="n"/>
      <c r="F383" s="45" t="n"/>
      <c r="G383" s="45" t="n"/>
      <c r="H383" s="43" t="n"/>
      <c r="I383" s="44" t="inlineStr">
        <is>
          <t>MAS Active(Pvt) Ltd – CONTOURLINE</t>
        </is>
      </c>
      <c r="J383" s="43" t="n">
        <v>452907207315</v>
      </c>
      <c r="K383" s="44" t="n">
        <v>45825</v>
      </c>
      <c r="L383" s="44" t="n">
        <v>45832</v>
      </c>
      <c r="M383" s="45" t="inlineStr">
        <is>
          <t>No</t>
        </is>
      </c>
      <c r="N383" s="45" t="inlineStr">
        <is>
          <t>1 HBL</t>
        </is>
      </c>
      <c r="O383" s="45" t="n"/>
      <c r="P383" s="45" t="inlineStr">
        <is>
          <t>LW</t>
        </is>
      </c>
      <c r="Q383" s="44" t="n">
        <v>45824</v>
      </c>
      <c r="R383" s="45" t="n">
        <v>1</v>
      </c>
      <c r="S383" s="44" t="n">
        <v>45826</v>
      </c>
    </row>
    <row r="384" ht="12.75" customHeight="1">
      <c r="A384" s="45" t="n"/>
      <c r="B384" s="45" t="n"/>
      <c r="C384" s="45" t="n"/>
      <c r="D384" s="45" t="n"/>
      <c r="E384" s="45" t="n"/>
      <c r="F384" s="45" t="n"/>
      <c r="G384" s="45" t="n"/>
      <c r="H384" s="43" t="n"/>
      <c r="I384" s="45" t="n"/>
      <c r="J384" s="43" t="n">
        <v>452907209433</v>
      </c>
      <c r="K384" s="44" t="n">
        <v>45825</v>
      </c>
      <c r="L384" s="44" t="n">
        <v>45832</v>
      </c>
      <c r="M384" s="45" t="inlineStr">
        <is>
          <t>No</t>
        </is>
      </c>
      <c r="N384" s="45" t="inlineStr">
        <is>
          <t>1 HBL</t>
        </is>
      </c>
      <c r="O384" s="45" t="n"/>
      <c r="P384" s="45" t="inlineStr">
        <is>
          <t>LW</t>
        </is>
      </c>
      <c r="Q384" s="44" t="n">
        <v>45824</v>
      </c>
      <c r="R384" s="45" t="n">
        <v>9</v>
      </c>
      <c r="S384" s="44" t="n">
        <v>45826</v>
      </c>
    </row>
    <row r="385" ht="12.75" customHeight="1">
      <c r="A385" s="45" t="n"/>
      <c r="B385" s="45" t="n"/>
      <c r="C385" s="45" t="n"/>
      <c r="D385" s="45" t="n"/>
      <c r="E385" s="45" t="n"/>
      <c r="F385" s="45" t="n"/>
      <c r="G385" s="45" t="n"/>
      <c r="H385" s="43" t="n"/>
      <c r="I385" s="45" t="n"/>
      <c r="J385" s="43" t="n">
        <v>452907289795</v>
      </c>
      <c r="K385" s="44" t="n">
        <v>45825</v>
      </c>
      <c r="L385" s="44" t="n">
        <v>45832</v>
      </c>
      <c r="M385" s="45" t="inlineStr">
        <is>
          <t>No</t>
        </is>
      </c>
      <c r="N385" s="45" t="inlineStr">
        <is>
          <t>1 HBL</t>
        </is>
      </c>
      <c r="O385" s="45" t="n"/>
      <c r="P385" s="45" t="inlineStr">
        <is>
          <t>LW</t>
        </is>
      </c>
      <c r="Q385" s="44" t="n">
        <v>45824</v>
      </c>
      <c r="R385" s="45" t="n">
        <v>1</v>
      </c>
      <c r="S385" s="44" t="n">
        <v>45826</v>
      </c>
    </row>
    <row r="386" ht="12.75" customHeight="1">
      <c r="A386" s="45" t="n"/>
      <c r="B386" s="45" t="n"/>
      <c r="C386" s="45" t="n"/>
      <c r="D386" s="45" t="n"/>
      <c r="E386" s="45" t="n"/>
      <c r="F386" s="45" t="n"/>
      <c r="G386" s="45" t="n"/>
      <c r="H386" s="43" t="n"/>
      <c r="I386" s="45" t="n"/>
      <c r="J386" s="43" t="n">
        <v>452910674494</v>
      </c>
      <c r="K386" s="44" t="n">
        <v>45825</v>
      </c>
      <c r="L386" s="44" t="n">
        <v>45832</v>
      </c>
      <c r="M386" s="45" t="inlineStr">
        <is>
          <t>No</t>
        </is>
      </c>
      <c r="N386" s="45" t="inlineStr">
        <is>
          <t>1 HBL</t>
        </is>
      </c>
      <c r="O386" s="45" t="n"/>
      <c r="P386" s="45" t="inlineStr">
        <is>
          <t>LW</t>
        </is>
      </c>
      <c r="Q386" s="44" t="n">
        <v>45824</v>
      </c>
      <c r="R386" s="45" t="n">
        <v>5</v>
      </c>
      <c r="S386" s="44" t="n">
        <v>45826</v>
      </c>
    </row>
    <row r="387" ht="12.75" customHeight="1">
      <c r="A387" s="45" t="n"/>
      <c r="B387" s="45" t="n"/>
      <c r="C387" s="45" t="n"/>
      <c r="D387" s="45" t="n"/>
      <c r="E387" s="45" t="n"/>
      <c r="F387" s="45" t="n"/>
      <c r="G387" s="45" t="n"/>
      <c r="H387" s="43" t="n"/>
      <c r="I387" s="45" t="n"/>
      <c r="J387" s="43" t="n">
        <v>452914344646</v>
      </c>
      <c r="K387" s="44" t="n">
        <v>45825</v>
      </c>
      <c r="L387" s="44" t="n">
        <v>45832</v>
      </c>
      <c r="M387" s="45" t="inlineStr">
        <is>
          <t>No</t>
        </is>
      </c>
      <c r="N387" s="45" t="inlineStr">
        <is>
          <t>1 HBL</t>
        </is>
      </c>
      <c r="O387" s="45" t="n"/>
      <c r="P387" s="45" t="inlineStr">
        <is>
          <t>LW</t>
        </is>
      </c>
      <c r="Q387" s="44" t="n">
        <v>45824</v>
      </c>
      <c r="R387" s="45" t="n">
        <v>8</v>
      </c>
      <c r="S387" s="44" t="n">
        <v>45826</v>
      </c>
    </row>
    <row r="388" ht="12.75" customHeight="1">
      <c r="A388" s="45" t="n"/>
      <c r="B388" s="45" t="n"/>
      <c r="C388" s="45" t="n"/>
      <c r="D388" s="45" t="n"/>
      <c r="E388" s="45" t="n"/>
      <c r="F388" s="45" t="n"/>
      <c r="G388" s="45" t="n"/>
      <c r="H388" s="43" t="n"/>
      <c r="I388" s="45" t="n"/>
      <c r="J388" s="43" t="n">
        <v>452914765943</v>
      </c>
      <c r="K388" s="44" t="n">
        <v>45825</v>
      </c>
      <c r="L388" s="44" t="n">
        <v>45832</v>
      </c>
      <c r="M388" s="45" t="inlineStr">
        <is>
          <t>No</t>
        </is>
      </c>
      <c r="N388" s="45" t="inlineStr">
        <is>
          <t>1 HBL</t>
        </is>
      </c>
      <c r="O388" s="45" t="n"/>
      <c r="P388" s="45" t="inlineStr">
        <is>
          <t>LW</t>
        </is>
      </c>
      <c r="Q388" s="44" t="n">
        <v>45824</v>
      </c>
      <c r="R388" s="45" t="n">
        <v>9</v>
      </c>
      <c r="S388" s="44" t="n">
        <v>45826</v>
      </c>
    </row>
    <row r="389" ht="12.75" customHeight="1">
      <c r="A389" s="45" t="n"/>
      <c r="B389" s="45" t="n"/>
      <c r="C389" s="45" t="n"/>
      <c r="D389" s="45" t="n"/>
      <c r="E389" s="45" t="n"/>
      <c r="F389" s="45" t="n"/>
      <c r="G389" s="45" t="n"/>
      <c r="H389" s="43" t="n"/>
      <c r="I389" s="45" t="n"/>
      <c r="J389" s="43" t="n">
        <v>454980124369</v>
      </c>
      <c r="K389" s="44" t="n">
        <v>45825</v>
      </c>
      <c r="L389" s="44" t="n">
        <v>45832</v>
      </c>
      <c r="M389" s="45" t="inlineStr">
        <is>
          <t>No</t>
        </is>
      </c>
      <c r="N389" s="45" t="inlineStr">
        <is>
          <t>1 HBL</t>
        </is>
      </c>
      <c r="O389" s="45" t="n"/>
      <c r="P389" s="45" t="inlineStr">
        <is>
          <t>LW</t>
        </is>
      </c>
      <c r="Q389" s="44" t="n">
        <v>45824</v>
      </c>
      <c r="R389" s="45" t="n">
        <v>1</v>
      </c>
      <c r="S389" s="44" t="n">
        <v>45826</v>
      </c>
    </row>
    <row r="390" ht="12.75" customHeight="1">
      <c r="A390" s="45" t="n"/>
      <c r="B390" s="45" t="n"/>
      <c r="C390" s="45" t="n"/>
      <c r="D390" s="45" t="n"/>
      <c r="E390" s="45" t="n"/>
      <c r="F390" s="45" t="n"/>
      <c r="G390" s="45" t="n"/>
      <c r="H390" s="43" t="n"/>
      <c r="I390" s="45" t="n"/>
      <c r="J390" s="43" t="n">
        <v>454984993809</v>
      </c>
      <c r="K390" s="44" t="n">
        <v>45825</v>
      </c>
      <c r="L390" s="44" t="n">
        <v>45832</v>
      </c>
      <c r="M390" s="45" t="inlineStr">
        <is>
          <t>No</t>
        </is>
      </c>
      <c r="N390" s="45" t="inlineStr">
        <is>
          <t>1 HBL</t>
        </is>
      </c>
      <c r="O390" s="45" t="n"/>
      <c r="P390" s="45" t="inlineStr">
        <is>
          <t>LW</t>
        </is>
      </c>
      <c r="Q390" s="44" t="n">
        <v>45824</v>
      </c>
      <c r="R390" s="45" t="n">
        <v>3</v>
      </c>
      <c r="S390" s="44" t="n">
        <v>45826</v>
      </c>
    </row>
    <row r="391" ht="12.75" customHeight="1">
      <c r="A391" s="45" t="n"/>
      <c r="B391" s="45" t="n"/>
      <c r="C391" s="45" t="n"/>
      <c r="D391" s="45" t="n"/>
      <c r="E391" s="45" t="n"/>
      <c r="F391" s="45" t="n"/>
      <c r="G391" s="45" t="n"/>
      <c r="H391" s="43" t="n"/>
      <c r="I391" s="44" t="inlineStr">
        <is>
          <t>MAS Fabrics (Pvt) Ltd Intimo</t>
        </is>
      </c>
      <c r="J391" s="43" t="n">
        <v>454700184543</v>
      </c>
      <c r="K391" s="44" t="n">
        <v>45825</v>
      </c>
      <c r="L391" s="44" t="n">
        <v>45832</v>
      </c>
      <c r="M391" s="45" t="inlineStr">
        <is>
          <t>No</t>
        </is>
      </c>
      <c r="N391" s="45" t="inlineStr">
        <is>
          <t>1 HBL</t>
        </is>
      </c>
      <c r="O391" s="45" t="n"/>
      <c r="P391" s="45" t="inlineStr">
        <is>
          <t>LW</t>
        </is>
      </c>
      <c r="Q391" s="44" t="n">
        <v>45824</v>
      </c>
      <c r="R391" s="45" t="n">
        <v>4</v>
      </c>
      <c r="S391" s="44" t="n">
        <v>45826</v>
      </c>
    </row>
    <row r="392" ht="12.75" customHeight="1">
      <c r="A392" s="45" t="n"/>
      <c r="B392" s="45" t="n"/>
      <c r="C392" s="45" t="n"/>
      <c r="D392" s="45" t="n"/>
      <c r="E392" s="45" t="n"/>
      <c r="F392" s="45" t="n"/>
      <c r="G392" s="45" t="n"/>
      <c r="H392" s="43" t="n"/>
      <c r="I392" s="45" t="n"/>
      <c r="J392" s="43" t="n">
        <v>454701118584</v>
      </c>
      <c r="K392" s="44" t="n">
        <v>45825</v>
      </c>
      <c r="L392" s="44" t="n">
        <v>45832</v>
      </c>
      <c r="M392" s="45" t="inlineStr">
        <is>
          <t>No</t>
        </is>
      </c>
      <c r="N392" s="45" t="inlineStr">
        <is>
          <t>1 HBL</t>
        </is>
      </c>
      <c r="O392" s="45" t="n"/>
      <c r="P392" s="45" t="inlineStr">
        <is>
          <t>LW</t>
        </is>
      </c>
      <c r="Q392" s="44" t="n">
        <v>45824</v>
      </c>
      <c r="R392" s="45" t="n">
        <v>7</v>
      </c>
      <c r="S392" s="44" t="n">
        <v>45826</v>
      </c>
    </row>
    <row r="393" ht="12.75" customHeight="1">
      <c r="A393" s="45" t="n"/>
      <c r="B393" s="45" t="n"/>
      <c r="C393" s="45" t="n"/>
      <c r="D393" s="45" t="n"/>
      <c r="E393" s="45" t="n"/>
      <c r="F393" s="45" t="n"/>
      <c r="G393" s="45" t="n"/>
      <c r="H393" s="43" t="n"/>
      <c r="I393" s="45" t="n"/>
      <c r="J393" s="43" t="n">
        <v>454701898077</v>
      </c>
      <c r="K393" s="44" t="n">
        <v>45825</v>
      </c>
      <c r="L393" s="44" t="n">
        <v>45832</v>
      </c>
      <c r="M393" s="45" t="inlineStr">
        <is>
          <t>No</t>
        </is>
      </c>
      <c r="N393" s="45" t="inlineStr">
        <is>
          <t>1 HBL</t>
        </is>
      </c>
      <c r="O393" s="45" t="n"/>
      <c r="P393" s="45" t="inlineStr">
        <is>
          <t>LW</t>
        </is>
      </c>
      <c r="Q393" s="44" t="n">
        <v>45824</v>
      </c>
      <c r="R393" s="45" t="n">
        <v>5</v>
      </c>
      <c r="S393" s="44" t="n">
        <v>45826</v>
      </c>
    </row>
    <row r="394" ht="12.75" customHeight="1">
      <c r="A394" s="45" t="n"/>
      <c r="B394" s="45" t="n"/>
      <c r="C394" s="45" t="n"/>
      <c r="D394" s="45" t="n"/>
      <c r="E394" s="45" t="n"/>
      <c r="F394" s="45" t="n"/>
      <c r="G394" s="45" t="n"/>
      <c r="H394" s="43" t="n"/>
      <c r="I394" s="45" t="n"/>
      <c r="J394" s="43" t="n">
        <v>454701899241</v>
      </c>
      <c r="K394" s="44" t="n">
        <v>45825</v>
      </c>
      <c r="L394" s="44" t="n">
        <v>45832</v>
      </c>
      <c r="M394" s="45" t="inlineStr">
        <is>
          <t>No</t>
        </is>
      </c>
      <c r="N394" s="45" t="inlineStr">
        <is>
          <t>1 HBL</t>
        </is>
      </c>
      <c r="O394" s="45" t="n"/>
      <c r="P394" s="45" t="inlineStr">
        <is>
          <t>LW</t>
        </is>
      </c>
      <c r="Q394" s="44" t="n">
        <v>45824</v>
      </c>
      <c r="R394" s="45" t="n">
        <v>5</v>
      </c>
      <c r="S394" s="44" t="n">
        <v>45826</v>
      </c>
    </row>
    <row r="395" ht="12.75" customHeight="1">
      <c r="A395" s="45" t="n"/>
      <c r="B395" s="45" t="n"/>
      <c r="C395" s="45" t="n"/>
      <c r="D395" s="45" t="n"/>
      <c r="E395" s="45" t="n"/>
      <c r="F395" s="45" t="n"/>
      <c r="G395" s="45" t="n"/>
      <c r="H395" s="43" t="n"/>
      <c r="I395" s="45" t="n"/>
      <c r="J395" s="43" t="n">
        <v>454702650660</v>
      </c>
      <c r="K395" s="44" t="n">
        <v>45825</v>
      </c>
      <c r="L395" s="44" t="n">
        <v>45832</v>
      </c>
      <c r="M395" s="45" t="inlineStr">
        <is>
          <t>No</t>
        </is>
      </c>
      <c r="N395" s="45" t="inlineStr">
        <is>
          <t>1 HBL</t>
        </is>
      </c>
      <c r="O395" s="45" t="n"/>
      <c r="P395" s="45" t="inlineStr">
        <is>
          <t>LW</t>
        </is>
      </c>
      <c r="Q395" s="44" t="n">
        <v>45824</v>
      </c>
      <c r="R395" s="45" t="n">
        <v>5</v>
      </c>
      <c r="S395" s="44" t="n">
        <v>45826</v>
      </c>
    </row>
    <row r="396" ht="12.75" customHeight="1">
      <c r="A396" s="45" t="n"/>
      <c r="B396" s="45" t="n"/>
      <c r="C396" s="45" t="n"/>
      <c r="D396" s="45" t="n"/>
      <c r="E396" s="45" t="n"/>
      <c r="F396" s="45" t="n"/>
      <c r="G396" s="45" t="n"/>
      <c r="H396" s="43" t="n"/>
      <c r="I396" s="45" t="n"/>
      <c r="J396" s="43" t="n">
        <v>454702745689</v>
      </c>
      <c r="K396" s="44" t="n">
        <v>45825</v>
      </c>
      <c r="L396" s="44" t="n">
        <v>45832</v>
      </c>
      <c r="M396" s="45" t="inlineStr">
        <is>
          <t>No</t>
        </is>
      </c>
      <c r="N396" s="45" t="inlineStr">
        <is>
          <t>1 HBL</t>
        </is>
      </c>
      <c r="O396" s="45" t="n"/>
      <c r="P396" s="45" t="inlineStr">
        <is>
          <t>LW</t>
        </is>
      </c>
      <c r="Q396" s="44" t="n">
        <v>45824</v>
      </c>
      <c r="R396" s="45" t="n">
        <v>4</v>
      </c>
      <c r="S396" s="44" t="n">
        <v>45826</v>
      </c>
    </row>
    <row r="397" ht="12.75" customHeight="1">
      <c r="A397" s="45" t="n"/>
      <c r="B397" s="45" t="n"/>
      <c r="C397" s="45" t="n"/>
      <c r="D397" s="45" t="n"/>
      <c r="E397" s="45" t="n"/>
      <c r="F397" s="45" t="n"/>
      <c r="G397" s="45" t="n"/>
      <c r="H397" s="43" t="n"/>
      <c r="I397" s="45" t="n"/>
      <c r="J397" s="43" t="n">
        <v>454703022457</v>
      </c>
      <c r="K397" s="44" t="n">
        <v>45825</v>
      </c>
      <c r="L397" s="44" t="n">
        <v>45832</v>
      </c>
      <c r="M397" s="45" t="inlineStr">
        <is>
          <t>No</t>
        </is>
      </c>
      <c r="N397" s="45" t="inlineStr">
        <is>
          <t>1 HBL</t>
        </is>
      </c>
      <c r="O397" s="45" t="n"/>
      <c r="P397" s="45" t="inlineStr">
        <is>
          <t>LW</t>
        </is>
      </c>
      <c r="Q397" s="44" t="n">
        <v>45824</v>
      </c>
      <c r="R397" s="45" t="n">
        <v>10</v>
      </c>
      <c r="S397" s="44" t="n">
        <v>45826</v>
      </c>
    </row>
    <row r="398" ht="12.75" customHeight="1">
      <c r="A398" s="45" t="n"/>
      <c r="B398" s="45" t="n"/>
      <c r="C398" s="45" t="n"/>
      <c r="D398" s="45" t="n"/>
      <c r="E398" s="45" t="n"/>
      <c r="F398" s="45" t="n"/>
      <c r="G398" s="45" t="n"/>
      <c r="H398" s="43" t="n"/>
      <c r="I398" s="45" t="n"/>
      <c r="J398" s="43" t="n">
        <v>454703722960</v>
      </c>
      <c r="K398" s="44" t="n">
        <v>45825</v>
      </c>
      <c r="L398" s="44" t="n">
        <v>45832</v>
      </c>
      <c r="M398" s="45" t="inlineStr">
        <is>
          <t>No</t>
        </is>
      </c>
      <c r="N398" s="45" t="inlineStr">
        <is>
          <t>1 HBL</t>
        </is>
      </c>
      <c r="O398" s="45" t="n"/>
      <c r="P398" s="45" t="inlineStr">
        <is>
          <t>LW</t>
        </is>
      </c>
      <c r="Q398" s="44" t="n">
        <v>45824</v>
      </c>
      <c r="R398" s="45" t="n">
        <v>13</v>
      </c>
      <c r="S398" s="44" t="n">
        <v>45826</v>
      </c>
    </row>
    <row r="399" ht="12.75" customHeight="1">
      <c r="A399" s="45" t="n"/>
      <c r="B399" s="45" t="n"/>
      <c r="C399" s="45" t="n"/>
      <c r="D399" s="45" t="n"/>
      <c r="E399" s="45" t="n"/>
      <c r="F399" s="45" t="n"/>
      <c r="G399" s="45" t="n"/>
      <c r="H399" s="43" t="n"/>
      <c r="I399" s="45" t="n"/>
      <c r="J399" s="43" t="n">
        <v>454703992680</v>
      </c>
      <c r="K399" s="44" t="n">
        <v>45825</v>
      </c>
      <c r="L399" s="44" t="n">
        <v>45832</v>
      </c>
      <c r="M399" s="45" t="inlineStr">
        <is>
          <t>No</t>
        </is>
      </c>
      <c r="N399" s="45" t="inlineStr">
        <is>
          <t>1 HBL</t>
        </is>
      </c>
      <c r="O399" s="45" t="n"/>
      <c r="P399" s="45" t="inlineStr">
        <is>
          <t>LW</t>
        </is>
      </c>
      <c r="Q399" s="44" t="n">
        <v>45824</v>
      </c>
      <c r="R399" s="45" t="n">
        <v>7</v>
      </c>
      <c r="S399" s="44" t="n">
        <v>45826</v>
      </c>
    </row>
    <row r="400" ht="12.75" customHeight="1">
      <c r="A400" s="45" t="n"/>
      <c r="B400" s="45" t="n"/>
      <c r="C400" s="45" t="n"/>
      <c r="D400" s="45" t="n"/>
      <c r="E400" s="45" t="n"/>
      <c r="F400" s="45" t="n"/>
      <c r="G400" s="45" t="n"/>
      <c r="H400" s="43" t="n"/>
      <c r="I400" s="45" t="n"/>
      <c r="J400" s="43" t="n">
        <v>454704210198</v>
      </c>
      <c r="K400" s="44" t="n">
        <v>45825</v>
      </c>
      <c r="L400" s="44" t="n">
        <v>45832</v>
      </c>
      <c r="M400" s="45" t="inlineStr">
        <is>
          <t>No</t>
        </is>
      </c>
      <c r="N400" s="45" t="inlineStr">
        <is>
          <t>1 HBL</t>
        </is>
      </c>
      <c r="O400" s="45" t="n"/>
      <c r="P400" s="45" t="inlineStr">
        <is>
          <t>LW</t>
        </is>
      </c>
      <c r="Q400" s="44" t="n">
        <v>45824</v>
      </c>
      <c r="R400" s="45" t="n">
        <v>6</v>
      </c>
      <c r="S400" s="44" t="n">
        <v>45826</v>
      </c>
    </row>
    <row r="401" ht="12.75" customHeight="1">
      <c r="A401" s="45" t="n"/>
      <c r="B401" s="45" t="n"/>
      <c r="C401" s="45" t="n"/>
      <c r="D401" s="45" t="n"/>
      <c r="E401" s="45" t="n"/>
      <c r="F401" s="45" t="n"/>
      <c r="G401" s="45" t="n"/>
      <c r="H401" s="43" t="n"/>
      <c r="I401" s="45" t="n"/>
      <c r="J401" s="43" t="n">
        <v>454711350541</v>
      </c>
      <c r="K401" s="44" t="n">
        <v>45825</v>
      </c>
      <c r="L401" s="44" t="n">
        <v>45832</v>
      </c>
      <c r="M401" s="45" t="inlineStr">
        <is>
          <t>No</t>
        </is>
      </c>
      <c r="N401" s="45" t="inlineStr">
        <is>
          <t>1 HBL</t>
        </is>
      </c>
      <c r="O401" s="45" t="n"/>
      <c r="P401" s="45" t="inlineStr">
        <is>
          <t>LW</t>
        </is>
      </c>
      <c r="Q401" s="44" t="n">
        <v>45824</v>
      </c>
      <c r="R401" s="45" t="n">
        <v>4</v>
      </c>
      <c r="S401" s="44" t="n">
        <v>45826</v>
      </c>
    </row>
    <row r="402" ht="12.75" customHeight="1">
      <c r="A402" s="45" t="n"/>
      <c r="B402" s="45" t="n"/>
      <c r="C402" s="45" t="n"/>
      <c r="D402" s="45" t="n"/>
      <c r="E402" s="45" t="n"/>
      <c r="F402" s="45" t="n"/>
      <c r="G402" s="45" t="n"/>
      <c r="H402" s="43" t="n"/>
      <c r="I402" s="45" t="n"/>
      <c r="J402" s="43" t="n">
        <v>454711488388</v>
      </c>
      <c r="K402" s="44" t="n">
        <v>45825</v>
      </c>
      <c r="L402" s="44" t="n">
        <v>45832</v>
      </c>
      <c r="M402" s="45" t="inlineStr">
        <is>
          <t>No</t>
        </is>
      </c>
      <c r="N402" s="45" t="inlineStr">
        <is>
          <t>1 HBL</t>
        </is>
      </c>
      <c r="O402" s="45" t="n"/>
      <c r="P402" s="45" t="inlineStr">
        <is>
          <t>LW</t>
        </is>
      </c>
      <c r="Q402" s="44" t="n">
        <v>45824</v>
      </c>
      <c r="R402" s="45" t="n">
        <v>7</v>
      </c>
      <c r="S402" s="44" t="n">
        <v>45826</v>
      </c>
    </row>
    <row r="403" ht="12.75" customHeight="1">
      <c r="A403" s="45" t="n"/>
      <c r="B403" s="45" t="n"/>
      <c r="C403" s="45" t="n"/>
      <c r="D403" s="45" t="n"/>
      <c r="E403" s="45" t="n"/>
      <c r="F403" s="45" t="n"/>
      <c r="G403" s="45" t="n"/>
      <c r="H403" s="43" t="n"/>
      <c r="I403" s="45" t="n"/>
      <c r="J403" s="43" t="n">
        <v>454711982979</v>
      </c>
      <c r="K403" s="44" t="n">
        <v>45825</v>
      </c>
      <c r="L403" s="44" t="n">
        <v>45832</v>
      </c>
      <c r="M403" s="45" t="inlineStr">
        <is>
          <t>No</t>
        </is>
      </c>
      <c r="N403" s="45" t="inlineStr">
        <is>
          <t>1 HBL</t>
        </is>
      </c>
      <c r="O403" s="45" t="n"/>
      <c r="P403" s="45" t="inlineStr">
        <is>
          <t>LW</t>
        </is>
      </c>
      <c r="Q403" s="44" t="n">
        <v>45824</v>
      </c>
      <c r="R403" s="45" t="n">
        <v>8</v>
      </c>
      <c r="S403" s="44" t="n">
        <v>45826</v>
      </c>
    </row>
    <row r="404" ht="12.75" customHeight="1">
      <c r="A404" s="45" t="n"/>
      <c r="B404" s="45" t="n"/>
      <c r="C404" s="45" t="n"/>
      <c r="D404" s="45" t="n"/>
      <c r="E404" s="45" t="n"/>
      <c r="F404" s="45" t="n"/>
      <c r="G404" s="45" t="n"/>
      <c r="H404" s="43" t="n"/>
      <c r="I404" s="45" t="n"/>
      <c r="J404" s="43" t="n">
        <v>454712171432</v>
      </c>
      <c r="K404" s="44" t="n">
        <v>45825</v>
      </c>
      <c r="L404" s="44" t="n">
        <v>45832</v>
      </c>
      <c r="M404" s="45" t="inlineStr">
        <is>
          <t>No</t>
        </is>
      </c>
      <c r="N404" s="45" t="inlineStr">
        <is>
          <t>1 HBL</t>
        </is>
      </c>
      <c r="O404" s="45" t="n"/>
      <c r="P404" s="45" t="inlineStr">
        <is>
          <t>LW</t>
        </is>
      </c>
      <c r="Q404" s="44" t="n">
        <v>45824</v>
      </c>
      <c r="R404" s="45" t="n">
        <v>5</v>
      </c>
      <c r="S404" s="44" t="n">
        <v>45826</v>
      </c>
    </row>
    <row r="405" ht="12.75" customHeight="1">
      <c r="A405" s="45" t="n"/>
      <c r="B405" s="45" t="n"/>
      <c r="C405" s="45" t="n"/>
      <c r="D405" s="45" t="n"/>
      <c r="E405" s="45" t="n"/>
      <c r="F405" s="45" t="n"/>
      <c r="G405" s="45" t="n"/>
      <c r="H405" s="43" t="n"/>
      <c r="I405" s="45" t="n"/>
      <c r="J405" s="43" t="n">
        <v>454712183469</v>
      </c>
      <c r="K405" s="44" t="n">
        <v>45825</v>
      </c>
      <c r="L405" s="44" t="n">
        <v>45832</v>
      </c>
      <c r="M405" s="45" t="inlineStr">
        <is>
          <t>No</t>
        </is>
      </c>
      <c r="N405" s="45" t="inlineStr">
        <is>
          <t>1 HBL</t>
        </is>
      </c>
      <c r="O405" s="45" t="n"/>
      <c r="P405" s="45" t="inlineStr">
        <is>
          <t>LW</t>
        </is>
      </c>
      <c r="Q405" s="44" t="n">
        <v>45824</v>
      </c>
      <c r="R405" s="45" t="n">
        <v>5</v>
      </c>
      <c r="S405" s="44" t="n">
        <v>45826</v>
      </c>
    </row>
    <row r="406" ht="12.75" customHeight="1">
      <c r="A406" s="45" t="n"/>
      <c r="B406" s="45" t="n"/>
      <c r="C406" s="45" t="n"/>
      <c r="D406" s="45" t="n"/>
      <c r="E406" s="45" t="n"/>
      <c r="F406" s="45" t="n"/>
      <c r="G406" s="45" t="n"/>
      <c r="H406" s="43" t="n"/>
      <c r="I406" s="45" t="n"/>
      <c r="J406" s="43" t="n">
        <v>454712197828</v>
      </c>
      <c r="K406" s="44" t="n">
        <v>45825</v>
      </c>
      <c r="L406" s="44" t="n">
        <v>45832</v>
      </c>
      <c r="M406" s="45" t="inlineStr">
        <is>
          <t>No</t>
        </is>
      </c>
      <c r="N406" s="45" t="inlineStr">
        <is>
          <t>1 HBL</t>
        </is>
      </c>
      <c r="O406" s="45" t="n"/>
      <c r="P406" s="45" t="inlineStr">
        <is>
          <t>LW</t>
        </is>
      </c>
      <c r="Q406" s="44" t="n">
        <v>45824</v>
      </c>
      <c r="R406" s="45" t="n">
        <v>6</v>
      </c>
      <c r="S406" s="44" t="n">
        <v>45826</v>
      </c>
    </row>
    <row r="407" ht="12.75" customHeight="1">
      <c r="A407" s="45" t="n"/>
      <c r="B407" s="45" t="n"/>
      <c r="C407" s="45" t="n"/>
      <c r="D407" s="45" t="n"/>
      <c r="E407" s="45" t="n"/>
      <c r="F407" s="45" t="n"/>
      <c r="G407" s="45" t="n"/>
      <c r="H407" s="43" t="n"/>
      <c r="I407" s="45" t="n"/>
      <c r="J407" s="43" t="n">
        <v>454712198075</v>
      </c>
      <c r="K407" s="44" t="n">
        <v>45825</v>
      </c>
      <c r="L407" s="44" t="n">
        <v>45832</v>
      </c>
      <c r="M407" s="45" t="inlineStr">
        <is>
          <t>No</t>
        </is>
      </c>
      <c r="N407" s="45" t="inlineStr">
        <is>
          <t>1 HBL</t>
        </is>
      </c>
      <c r="O407" s="45" t="n"/>
      <c r="P407" s="45" t="inlineStr">
        <is>
          <t>LW</t>
        </is>
      </c>
      <c r="Q407" s="44" t="n">
        <v>45824</v>
      </c>
      <c r="R407" s="45" t="n">
        <v>5</v>
      </c>
      <c r="S407" s="44" t="n">
        <v>45826</v>
      </c>
    </row>
    <row r="408" ht="12.75" customHeight="1">
      <c r="A408" s="45" t="n"/>
      <c r="B408" s="45" t="n"/>
      <c r="C408" s="45" t="n"/>
      <c r="D408" s="45" t="n"/>
      <c r="E408" s="45" t="n"/>
      <c r="F408" s="45" t="n"/>
      <c r="G408" s="45" t="n"/>
      <c r="H408" s="43" t="n"/>
      <c r="I408" s="45" t="n"/>
      <c r="J408" s="43" t="n">
        <v>454712670472</v>
      </c>
      <c r="K408" s="44" t="n">
        <v>45825</v>
      </c>
      <c r="L408" s="44" t="n">
        <v>45832</v>
      </c>
      <c r="M408" s="45" t="inlineStr">
        <is>
          <t>No</t>
        </is>
      </c>
      <c r="N408" s="45" t="inlineStr">
        <is>
          <t>1 HBL</t>
        </is>
      </c>
      <c r="O408" s="45" t="n"/>
      <c r="P408" s="45" t="inlineStr">
        <is>
          <t>LW</t>
        </is>
      </c>
      <c r="Q408" s="44" t="n">
        <v>45824</v>
      </c>
      <c r="R408" s="45" t="n">
        <v>3</v>
      </c>
      <c r="S408" s="44" t="n">
        <v>45826</v>
      </c>
    </row>
    <row r="409" ht="12.75" customHeight="1">
      <c r="A409" s="45" t="n"/>
      <c r="B409" s="45" t="n"/>
      <c r="C409" s="45" t="n"/>
      <c r="D409" s="45" t="n"/>
      <c r="E409" s="45" t="n"/>
      <c r="F409" s="45" t="n"/>
      <c r="G409" s="45" t="n"/>
      <c r="H409" s="43" t="n"/>
      <c r="I409" s="45" t="n"/>
      <c r="J409" s="43" t="n">
        <v>454712851437</v>
      </c>
      <c r="K409" s="44" t="n">
        <v>45825</v>
      </c>
      <c r="L409" s="44" t="n">
        <v>45832</v>
      </c>
      <c r="M409" s="45" t="inlineStr">
        <is>
          <t>No</t>
        </is>
      </c>
      <c r="N409" s="45" t="inlineStr">
        <is>
          <t>1 HBL</t>
        </is>
      </c>
      <c r="O409" s="45" t="n"/>
      <c r="P409" s="45" t="inlineStr">
        <is>
          <t>LW</t>
        </is>
      </c>
      <c r="Q409" s="44" t="n">
        <v>45824</v>
      </c>
      <c r="R409" s="45" t="n">
        <v>4</v>
      </c>
      <c r="S409" s="44" t="n">
        <v>45826</v>
      </c>
    </row>
    <row r="410" ht="12.75" customHeight="1">
      <c r="A410" s="45" t="n"/>
      <c r="B410" s="45" t="n"/>
      <c r="C410" s="45" t="n"/>
      <c r="D410" s="45" t="n"/>
      <c r="E410" s="45" t="n"/>
      <c r="F410" s="45" t="n"/>
      <c r="G410" s="45" t="n"/>
      <c r="H410" s="43" t="n"/>
      <c r="I410" s="45" t="n"/>
      <c r="J410" s="43" t="n">
        <v>454713043181</v>
      </c>
      <c r="K410" s="44" t="n">
        <v>45825</v>
      </c>
      <c r="L410" s="44" t="n">
        <v>45832</v>
      </c>
      <c r="M410" s="45" t="inlineStr">
        <is>
          <t>No</t>
        </is>
      </c>
      <c r="N410" s="45" t="inlineStr">
        <is>
          <t>1 HBL</t>
        </is>
      </c>
      <c r="O410" s="45" t="n"/>
      <c r="P410" s="45" t="inlineStr">
        <is>
          <t>LW</t>
        </is>
      </c>
      <c r="Q410" s="44" t="n">
        <v>45824</v>
      </c>
      <c r="R410" s="45" t="n">
        <v>3</v>
      </c>
      <c r="S410" s="44" t="n">
        <v>45826</v>
      </c>
    </row>
    <row r="411" ht="12.75" customHeight="1">
      <c r="A411" s="45" t="n"/>
      <c r="B411" s="45" t="n"/>
      <c r="C411" s="45" t="n"/>
      <c r="D411" s="45" t="n"/>
      <c r="E411" s="45" t="n"/>
      <c r="F411" s="45" t="n"/>
      <c r="G411" s="45" t="n"/>
      <c r="H411" s="43" t="n"/>
      <c r="I411" s="45" t="n"/>
      <c r="J411" s="43" t="n">
        <v>454713073528</v>
      </c>
      <c r="K411" s="44" t="n">
        <v>45825</v>
      </c>
      <c r="L411" s="44" t="n">
        <v>45832</v>
      </c>
      <c r="M411" s="45" t="inlineStr">
        <is>
          <t>No</t>
        </is>
      </c>
      <c r="N411" s="45" t="inlineStr">
        <is>
          <t>1 HBL</t>
        </is>
      </c>
      <c r="O411" s="45" t="n"/>
      <c r="P411" s="45" t="inlineStr">
        <is>
          <t>LW</t>
        </is>
      </c>
      <c r="Q411" s="44" t="n">
        <v>45824</v>
      </c>
      <c r="R411" s="45" t="n">
        <v>15</v>
      </c>
      <c r="S411" s="44" t="n">
        <v>45826</v>
      </c>
    </row>
    <row r="412" ht="12.75" customHeight="1">
      <c r="A412" s="45" t="n"/>
      <c r="B412" s="45" t="n"/>
      <c r="C412" s="45" t="n"/>
      <c r="D412" s="45" t="n"/>
      <c r="E412" s="45" t="n"/>
      <c r="F412" s="45" t="n"/>
      <c r="G412" s="45" t="n"/>
      <c r="H412" s="43" t="n"/>
      <c r="I412" s="45" t="n"/>
      <c r="J412" s="43" t="n">
        <v>454713416339</v>
      </c>
      <c r="K412" s="44" t="n">
        <v>45825</v>
      </c>
      <c r="L412" s="44" t="n">
        <v>45832</v>
      </c>
      <c r="M412" s="45" t="inlineStr">
        <is>
          <t>No</t>
        </is>
      </c>
      <c r="N412" s="45" t="inlineStr">
        <is>
          <t>1 HBL</t>
        </is>
      </c>
      <c r="O412" s="45" t="n"/>
      <c r="P412" s="45" t="inlineStr">
        <is>
          <t>LW</t>
        </is>
      </c>
      <c r="Q412" s="44" t="n">
        <v>45824</v>
      </c>
      <c r="R412" s="45" t="n">
        <v>7</v>
      </c>
      <c r="S412" s="44" t="n">
        <v>45826</v>
      </c>
    </row>
    <row r="413" ht="12.75" customHeight="1">
      <c r="A413" s="45" t="n"/>
      <c r="B413" s="45" t="n"/>
      <c r="C413" s="45" t="n"/>
      <c r="D413" s="45" t="n"/>
      <c r="E413" s="45" t="n"/>
      <c r="F413" s="45" t="n"/>
      <c r="G413" s="45" t="n"/>
      <c r="H413" s="43" t="n"/>
      <c r="I413" s="45" t="n"/>
      <c r="J413" s="43" t="n">
        <v>454713717867</v>
      </c>
      <c r="K413" s="44" t="n">
        <v>45825</v>
      </c>
      <c r="L413" s="44" t="n">
        <v>45832</v>
      </c>
      <c r="M413" s="45" t="inlineStr">
        <is>
          <t>No</t>
        </is>
      </c>
      <c r="N413" s="45" t="inlineStr">
        <is>
          <t>1 HBL</t>
        </is>
      </c>
      <c r="O413" s="45" t="n"/>
      <c r="P413" s="45" t="inlineStr">
        <is>
          <t>LW</t>
        </is>
      </c>
      <c r="Q413" s="44" t="n">
        <v>45824</v>
      </c>
      <c r="R413" s="45" t="n">
        <v>7</v>
      </c>
      <c r="S413" s="44" t="n">
        <v>45826</v>
      </c>
    </row>
    <row r="414" ht="12.75" customHeight="1">
      <c r="A414" s="45" t="n"/>
      <c r="B414" s="45" t="n"/>
      <c r="C414" s="45" t="n"/>
      <c r="D414" s="45" t="n"/>
      <c r="E414" s="45" t="n"/>
      <c r="F414" s="45" t="n"/>
      <c r="G414" s="45" t="n"/>
      <c r="H414" s="43" t="n"/>
      <c r="I414" s="45" t="n"/>
      <c r="J414" s="43" t="n">
        <v>454717637878</v>
      </c>
      <c r="K414" s="44" t="n">
        <v>45825</v>
      </c>
      <c r="L414" s="44" t="n">
        <v>45832</v>
      </c>
      <c r="M414" s="45" t="inlineStr">
        <is>
          <t>No</t>
        </is>
      </c>
      <c r="N414" s="45" t="inlineStr">
        <is>
          <t>1 HBL</t>
        </is>
      </c>
      <c r="O414" s="45" t="n"/>
      <c r="P414" s="45" t="inlineStr">
        <is>
          <t>LW</t>
        </is>
      </c>
      <c r="Q414" s="44" t="n">
        <v>45824</v>
      </c>
      <c r="R414" s="45" t="n">
        <v>2</v>
      </c>
      <c r="S414" s="44" t="n">
        <v>45826</v>
      </c>
    </row>
    <row r="415" ht="12.75" customHeight="1">
      <c r="A415" s="45" t="n"/>
      <c r="B415" s="45" t="n"/>
      <c r="C415" s="45" t="n"/>
      <c r="D415" s="45" t="n"/>
      <c r="E415" s="45" t="n"/>
      <c r="F415" s="45" t="n"/>
      <c r="G415" s="45" t="n"/>
      <c r="H415" s="43" t="n"/>
      <c r="I415" s="45" t="n"/>
      <c r="J415" s="43" t="n">
        <v>454717661378</v>
      </c>
      <c r="K415" s="44" t="n">
        <v>45825</v>
      </c>
      <c r="L415" s="44" t="n">
        <v>45832</v>
      </c>
      <c r="M415" s="45" t="inlineStr">
        <is>
          <t>No</t>
        </is>
      </c>
      <c r="N415" s="45" t="inlineStr">
        <is>
          <t>1 HBL</t>
        </is>
      </c>
      <c r="O415" s="45" t="n"/>
      <c r="P415" s="45" t="inlineStr">
        <is>
          <t>LW</t>
        </is>
      </c>
      <c r="Q415" s="44" t="n">
        <v>45824</v>
      </c>
      <c r="R415" s="45" t="n">
        <v>5</v>
      </c>
      <c r="S415" s="44" t="n">
        <v>45826</v>
      </c>
    </row>
    <row r="416" ht="12.75" customHeight="1">
      <c r="A416" s="45" t="n"/>
      <c r="B416" s="45" t="n"/>
      <c r="C416" s="45" t="n"/>
      <c r="D416" s="45" t="n"/>
      <c r="E416" s="45" t="n"/>
      <c r="F416" s="45" t="n"/>
      <c r="G416" s="45" t="n"/>
      <c r="H416" s="43" t="n"/>
      <c r="I416" s="45" t="n"/>
      <c r="J416" s="43" t="n">
        <v>454717719021</v>
      </c>
      <c r="K416" s="44" t="n">
        <v>45825</v>
      </c>
      <c r="L416" s="44" t="n">
        <v>45832</v>
      </c>
      <c r="M416" s="45" t="inlineStr">
        <is>
          <t>No</t>
        </is>
      </c>
      <c r="N416" s="45" t="inlineStr">
        <is>
          <t>1 HBL</t>
        </is>
      </c>
      <c r="O416" s="45" t="n"/>
      <c r="P416" s="45" t="inlineStr">
        <is>
          <t>LW</t>
        </is>
      </c>
      <c r="Q416" s="44" t="n">
        <v>45824</v>
      </c>
      <c r="R416" s="45" t="n">
        <v>7</v>
      </c>
      <c r="S416" s="44" t="n">
        <v>45826</v>
      </c>
    </row>
    <row r="417" ht="12.75" customHeight="1">
      <c r="A417" s="45" t="n"/>
      <c r="B417" s="45" t="n"/>
      <c r="C417" s="45" t="n"/>
      <c r="D417" s="45" t="n"/>
      <c r="E417" s="45" t="n"/>
      <c r="F417" s="45" t="n"/>
      <c r="G417" s="45" t="n"/>
      <c r="H417" s="43" t="n"/>
      <c r="I417" s="45" t="n"/>
      <c r="J417" s="43" t="n">
        <v>454717943996</v>
      </c>
      <c r="K417" s="44" t="n">
        <v>45825</v>
      </c>
      <c r="L417" s="44" t="n">
        <v>45832</v>
      </c>
      <c r="M417" s="45" t="inlineStr">
        <is>
          <t>No</t>
        </is>
      </c>
      <c r="N417" s="45" t="inlineStr">
        <is>
          <t>1 HBL</t>
        </is>
      </c>
      <c r="O417" s="45" t="n"/>
      <c r="P417" s="45" t="inlineStr">
        <is>
          <t>LW</t>
        </is>
      </c>
      <c r="Q417" s="44" t="n">
        <v>45824</v>
      </c>
      <c r="R417" s="45" t="n">
        <v>8</v>
      </c>
      <c r="S417" s="44" t="n">
        <v>45826</v>
      </c>
    </row>
    <row r="418" ht="12.75" customHeight="1">
      <c r="A418" s="45" t="n"/>
      <c r="B418" s="45" t="n"/>
      <c r="C418" s="45" t="n"/>
      <c r="D418" s="45" t="n"/>
      <c r="E418" s="45" t="n"/>
      <c r="F418" s="45" t="n"/>
      <c r="G418" s="45" t="n"/>
      <c r="H418" s="43" t="n"/>
      <c r="I418" s="45" t="n"/>
      <c r="J418" s="43" t="n">
        <v>454718596121</v>
      </c>
      <c r="K418" s="44" t="n">
        <v>45825</v>
      </c>
      <c r="L418" s="44" t="n">
        <v>45832</v>
      </c>
      <c r="M418" s="45" t="inlineStr">
        <is>
          <t>No</t>
        </is>
      </c>
      <c r="N418" s="45" t="inlineStr">
        <is>
          <t>1 HBL</t>
        </is>
      </c>
      <c r="O418" s="45" t="n"/>
      <c r="P418" s="45" t="inlineStr">
        <is>
          <t>LW</t>
        </is>
      </c>
      <c r="Q418" s="44" t="n">
        <v>45824</v>
      </c>
      <c r="R418" s="45" t="n">
        <v>2</v>
      </c>
      <c r="S418" s="44" t="n">
        <v>45826</v>
      </c>
    </row>
    <row r="419" ht="12.75" customHeight="1">
      <c r="A419" s="45" t="n"/>
      <c r="B419" s="45" t="n"/>
      <c r="C419" s="45" t="n"/>
      <c r="D419" s="45" t="n"/>
      <c r="E419" s="45" t="n"/>
      <c r="F419" s="45" t="n"/>
      <c r="G419" s="45" t="n"/>
      <c r="H419" s="43" t="n"/>
      <c r="I419" s="45" t="n"/>
      <c r="J419" s="43" t="n">
        <v>454718830888</v>
      </c>
      <c r="K419" s="44" t="n">
        <v>45825</v>
      </c>
      <c r="L419" s="44" t="n">
        <v>45832</v>
      </c>
      <c r="M419" s="45" t="inlineStr">
        <is>
          <t>No</t>
        </is>
      </c>
      <c r="N419" s="45" t="inlineStr">
        <is>
          <t>1 HBL</t>
        </is>
      </c>
      <c r="O419" s="45" t="n"/>
      <c r="P419" s="45" t="inlineStr">
        <is>
          <t>LW</t>
        </is>
      </c>
      <c r="Q419" s="44" t="n">
        <v>45824</v>
      </c>
      <c r="R419" s="45" t="n">
        <v>12</v>
      </c>
      <c r="S419" s="44" t="n">
        <v>45826</v>
      </c>
    </row>
    <row r="420" ht="12.75" customHeight="1">
      <c r="A420" s="45" t="n"/>
      <c r="B420" s="45" t="n"/>
      <c r="C420" s="45" t="n"/>
      <c r="D420" s="45" t="n"/>
      <c r="E420" s="45" t="n"/>
      <c r="F420" s="45" t="n"/>
      <c r="G420" s="45" t="n"/>
      <c r="H420" s="43" t="n"/>
      <c r="I420" s="45" t="n"/>
      <c r="J420" s="43" t="n">
        <v>454719489186</v>
      </c>
      <c r="K420" s="44" t="n">
        <v>45825</v>
      </c>
      <c r="L420" s="44" t="n">
        <v>45832</v>
      </c>
      <c r="M420" s="45" t="inlineStr">
        <is>
          <t>No</t>
        </is>
      </c>
      <c r="N420" s="45" t="inlineStr">
        <is>
          <t>1 HBL</t>
        </is>
      </c>
      <c r="O420" s="45" t="n"/>
      <c r="P420" s="45" t="inlineStr">
        <is>
          <t>LW</t>
        </is>
      </c>
      <c r="Q420" s="44" t="n">
        <v>45824</v>
      </c>
      <c r="R420" s="45" t="n">
        <v>7</v>
      </c>
      <c r="S420" s="44" t="n">
        <v>45826</v>
      </c>
    </row>
    <row r="421" ht="12.75" customHeight="1">
      <c r="A421" s="45" t="n"/>
      <c r="B421" s="45" t="n"/>
      <c r="C421" s="45" t="n"/>
      <c r="D421" s="45" t="n"/>
      <c r="E421" s="45" t="n"/>
      <c r="F421" s="45" t="n"/>
      <c r="G421" s="45" t="n"/>
      <c r="H421" s="43" t="n"/>
      <c r="I421" s="45" t="n"/>
      <c r="J421" s="43" t="n">
        <v>455588526597</v>
      </c>
      <c r="K421" s="44" t="n">
        <v>45825</v>
      </c>
      <c r="L421" s="44" t="n">
        <v>45832</v>
      </c>
      <c r="M421" s="45" t="inlineStr">
        <is>
          <t>No</t>
        </is>
      </c>
      <c r="N421" s="45" t="inlineStr">
        <is>
          <t>1 HBL</t>
        </is>
      </c>
      <c r="O421" s="45" t="n"/>
      <c r="P421" s="45" t="inlineStr">
        <is>
          <t>LW</t>
        </is>
      </c>
      <c r="Q421" s="44" t="n">
        <v>45824</v>
      </c>
      <c r="R421" s="45" t="n">
        <v>11</v>
      </c>
      <c r="S421" s="44" t="n">
        <v>45826</v>
      </c>
    </row>
    <row r="422" ht="12.75" customHeight="1">
      <c r="A422" s="45" t="n"/>
      <c r="B422" s="45" t="n"/>
      <c r="C422" s="45" t="n"/>
      <c r="D422" s="45" t="n"/>
      <c r="E422" s="45" t="n"/>
      <c r="F422" s="45" t="n"/>
      <c r="G422" s="45" t="n"/>
      <c r="H422" s="43" t="n"/>
      <c r="I422" s="45" t="n"/>
      <c r="J422" s="43" t="n">
        <v>455589046661</v>
      </c>
      <c r="K422" s="44" t="n">
        <v>45825</v>
      </c>
      <c r="L422" s="44" t="n">
        <v>45832</v>
      </c>
      <c r="M422" s="45" t="inlineStr">
        <is>
          <t>No</t>
        </is>
      </c>
      <c r="N422" s="45" t="inlineStr">
        <is>
          <t>1 HBL</t>
        </is>
      </c>
      <c r="O422" s="45" t="n"/>
      <c r="P422" s="45" t="inlineStr">
        <is>
          <t>LW</t>
        </is>
      </c>
      <c r="Q422" s="44" t="n">
        <v>45824</v>
      </c>
      <c r="R422" s="45" t="n">
        <v>5</v>
      </c>
      <c r="S422" s="44" t="n">
        <v>45826</v>
      </c>
    </row>
    <row r="423" ht="12.75" customHeight="1">
      <c r="A423" s="45" t="n"/>
      <c r="B423" s="45" t="n"/>
      <c r="C423" s="45" t="n"/>
      <c r="D423" s="45" t="n"/>
      <c r="E423" s="45" t="n"/>
      <c r="F423" s="45" t="n"/>
      <c r="G423" s="45" t="n"/>
      <c r="H423" s="43" t="n"/>
      <c r="I423" s="44" t="inlineStr">
        <is>
          <t>Quantum Clothing Lanka (Pvt) Ltd</t>
        </is>
      </c>
      <c r="J423" s="43" t="n">
        <v>452347858422</v>
      </c>
      <c r="K423" s="44" t="n">
        <v>45825</v>
      </c>
      <c r="L423" s="44" t="n">
        <v>45832</v>
      </c>
      <c r="M423" s="45" t="inlineStr">
        <is>
          <t>No</t>
        </is>
      </c>
      <c r="N423" s="45" t="inlineStr">
        <is>
          <t>1 HBL</t>
        </is>
      </c>
      <c r="O423" s="45" t="n"/>
      <c r="P423" s="45" t="inlineStr">
        <is>
          <t>LW</t>
        </is>
      </c>
      <c r="Q423" s="44" t="n">
        <v>45824</v>
      </c>
      <c r="R423" s="45" t="n">
        <v>1</v>
      </c>
      <c r="S423" s="44" t="n">
        <v>45826</v>
      </c>
    </row>
    <row r="424" ht="12.75" customHeight="1">
      <c r="A424" s="45" t="n"/>
      <c r="B424" s="45" t="inlineStr">
        <is>
          <t>D. 1 x 40HC Total</t>
        </is>
      </c>
      <c r="C424" s="45" t="n"/>
      <c r="D424" s="45" t="n"/>
      <c r="E424" s="45" t="n"/>
      <c r="F424" s="45" t="n"/>
      <c r="G424" s="45" t="n"/>
      <c r="H424" s="43" t="n"/>
      <c r="I424" s="45" t="n"/>
      <c r="J424" s="45" t="n"/>
      <c r="K424" s="45" t="n"/>
      <c r="L424" s="45" t="n"/>
      <c r="M424" s="45" t="n"/>
      <c r="N424" s="45" t="n"/>
      <c r="O424" s="45" t="n"/>
      <c r="P424" s="45" t="n"/>
      <c r="Q424" s="44" t="e">
        <v>#VALUE!</v>
      </c>
      <c r="R424" s="45" t="n">
        <v>944</v>
      </c>
      <c r="S424" s="44" t="e">
        <v>#VALUE!</v>
      </c>
    </row>
    <row r="425" ht="12.75" customHeight="1">
      <c r="H425" s="43" t="n"/>
    </row>
    <row r="426" ht="12.75" customHeight="1">
      <c r="H426" s="43" t="n"/>
    </row>
    <row r="427" ht="12.75" customHeight="1">
      <c r="H427" s="43" t="n"/>
    </row>
    <row r="428" ht="12.75" customHeight="1">
      <c r="H428" s="43" t="n"/>
    </row>
    <row r="429" ht="12.75" customHeight="1">
      <c r="H429" s="43" t="n"/>
    </row>
    <row r="430" ht="12.75" customHeight="1">
      <c r="H430" s="43" t="n"/>
    </row>
    <row r="431" ht="12.75" customHeight="1">
      <c r="H431" s="43" t="n"/>
    </row>
    <row r="432" ht="12.75" customHeight="1">
      <c r="H432" s="43" t="n"/>
    </row>
    <row r="433" ht="12.75" customHeight="1">
      <c r="H433" s="43" t="n"/>
    </row>
    <row r="434" ht="12.75" customHeight="1">
      <c r="H434" s="43" t="n"/>
    </row>
    <row r="435" ht="12.75" customHeight="1">
      <c r="H435" s="43" t="n"/>
    </row>
    <row r="436" ht="12.75" customHeight="1">
      <c r="H436" s="43" t="n"/>
    </row>
    <row r="437" ht="12.75" customHeight="1">
      <c r="H437" s="43" t="n"/>
    </row>
    <row r="438" ht="12.75" customHeight="1">
      <c r="H438" s="43" t="n"/>
    </row>
    <row r="439" ht="12.75" customHeight="1">
      <c r="H439" s="43" t="n"/>
    </row>
    <row r="440" ht="12.75" customHeight="1">
      <c r="H440" s="43" t="n"/>
    </row>
    <row r="441" ht="12.75" customHeight="1">
      <c r="H441" s="43" t="n"/>
    </row>
    <row r="442" ht="12.75" customHeight="1">
      <c r="H442" s="43" t="n"/>
    </row>
    <row r="443" ht="12.75" customHeight="1">
      <c r="H443" s="43" t="n"/>
    </row>
    <row r="444" ht="12.75" customHeight="1">
      <c r="H444" s="43" t="n"/>
    </row>
    <row r="445" ht="12.75" customHeight="1">
      <c r="H445" s="43" t="n"/>
    </row>
    <row r="446" ht="12.75" customHeight="1">
      <c r="H446" s="43" t="n"/>
    </row>
    <row r="447" ht="12.75" customHeight="1">
      <c r="H447" s="43" t="n"/>
    </row>
    <row r="448" ht="12.75" customHeight="1">
      <c r="H448" s="43" t="n"/>
    </row>
    <row r="449" ht="12.75" customHeight="1">
      <c r="H449" s="43" t="n"/>
    </row>
    <row r="450" ht="12.75" customHeight="1">
      <c r="H450" s="43" t="n"/>
    </row>
    <row r="451" ht="12.75" customHeight="1">
      <c r="H451" s="43" t="n"/>
    </row>
    <row r="452" ht="12.75" customHeight="1">
      <c r="H452" s="43" t="n"/>
    </row>
    <row r="453" ht="12.75" customHeight="1">
      <c r="H453" s="43" t="n"/>
    </row>
    <row r="454" ht="12.75" customHeight="1">
      <c r="H454" s="43" t="n"/>
    </row>
    <row r="455" ht="12.75" customHeight="1">
      <c r="H455" s="43" t="n"/>
    </row>
    <row r="456" ht="12.75" customHeight="1">
      <c r="H456" s="43" t="n"/>
    </row>
    <row r="457" ht="12.75" customHeight="1">
      <c r="H457" s="43" t="n"/>
    </row>
    <row r="458" ht="12.75" customHeight="1">
      <c r="H458" s="43" t="n"/>
    </row>
    <row r="459" ht="12.75" customHeight="1">
      <c r="H459" s="43" t="n"/>
    </row>
    <row r="460" ht="12.75" customHeight="1">
      <c r="H460" s="43" t="n"/>
    </row>
    <row r="461" ht="12.75" customHeight="1">
      <c r="H461" s="43" t="n"/>
    </row>
    <row r="462" ht="12.75" customHeight="1">
      <c r="H462" s="43" t="n"/>
    </row>
    <row r="463" ht="12.75" customHeight="1">
      <c r="H463" s="43" t="n"/>
    </row>
    <row r="464" ht="12.75" customHeight="1">
      <c r="H464" s="43" t="n"/>
    </row>
    <row r="465" ht="12.75" customHeight="1">
      <c r="H465" s="43" t="n"/>
    </row>
    <row r="466" ht="12.75" customHeight="1">
      <c r="H466" s="43" t="n"/>
    </row>
    <row r="467" ht="12.75" customHeight="1">
      <c r="H467" s="43" t="n"/>
    </row>
    <row r="468" ht="12.75" customHeight="1">
      <c r="H468" s="43" t="n"/>
    </row>
    <row r="469" ht="12.75" customHeight="1">
      <c r="H469" s="43" t="n"/>
    </row>
    <row r="470" ht="12.75" customHeight="1">
      <c r="H470" s="43" t="n"/>
    </row>
    <row r="471" ht="12.75" customHeight="1">
      <c r="H471" s="43" t="n"/>
    </row>
    <row r="472" ht="12.75" customHeight="1">
      <c r="H472" s="43" t="n"/>
    </row>
    <row r="473" ht="12.75" customHeight="1">
      <c r="H473" s="43" t="n"/>
    </row>
    <row r="474" ht="12.75" customHeight="1">
      <c r="H474" s="43" t="n"/>
    </row>
    <row r="475" ht="12.75" customHeight="1">
      <c r="H475" s="43" t="n"/>
    </row>
    <row r="476" ht="12.75" customHeight="1">
      <c r="H476" s="43" t="n"/>
    </row>
    <row r="477" ht="12.75" customHeight="1">
      <c r="H477" s="43" t="n"/>
    </row>
    <row r="478" ht="12.75" customHeight="1">
      <c r="H478" s="43" t="n"/>
    </row>
    <row r="479" ht="12.75" customHeight="1">
      <c r="H479" s="43" t="n"/>
    </row>
    <row r="480" ht="12.75" customHeight="1">
      <c r="H480" s="43" t="n"/>
    </row>
    <row r="481" ht="12.75" customHeight="1">
      <c r="H481" s="43" t="n"/>
    </row>
    <row r="482" ht="12.75" customHeight="1">
      <c r="H482" s="43" t="n"/>
    </row>
    <row r="483" ht="12.75" customHeight="1">
      <c r="H483" s="43" t="n"/>
    </row>
    <row r="484" ht="12.75" customHeight="1">
      <c r="H484" s="43" t="n"/>
    </row>
    <row r="485" ht="12.75" customHeight="1">
      <c r="H485" s="43" t="n"/>
    </row>
    <row r="486" ht="12.75" customHeight="1">
      <c r="H486" s="43" t="n"/>
    </row>
    <row r="487" ht="12.75" customHeight="1">
      <c r="H487" s="43" t="n"/>
    </row>
    <row r="488" ht="12.75" customHeight="1">
      <c r="H488" s="43" t="n"/>
    </row>
    <row r="489" ht="12.75" customHeight="1">
      <c r="H489" s="43" t="n"/>
    </row>
    <row r="490" ht="12.75" customHeight="1">
      <c r="H490" s="43" t="n"/>
    </row>
    <row r="491" ht="12.75" customHeight="1">
      <c r="H491" s="43" t="n"/>
    </row>
    <row r="492" ht="12.75" customHeight="1">
      <c r="H492" s="43" t="n"/>
    </row>
    <row r="493" ht="12.75" customHeight="1">
      <c r="H493" s="43" t="n"/>
    </row>
    <row r="494" ht="12.75" customHeight="1">
      <c r="H494" s="43" t="n"/>
    </row>
    <row r="495" ht="12.75" customHeight="1">
      <c r="H495" s="43" t="n"/>
    </row>
    <row r="496" ht="12.75" customHeight="1">
      <c r="H496" s="43" t="n"/>
    </row>
    <row r="497" ht="12.75" customHeight="1">
      <c r="H497" s="43" t="n"/>
    </row>
    <row r="498" ht="12.75" customHeight="1">
      <c r="H498" s="43" t="n"/>
    </row>
    <row r="499" ht="12.75" customHeight="1">
      <c r="H499" s="43" t="n"/>
    </row>
    <row r="500" ht="12.75" customHeight="1">
      <c r="H500" s="43" t="n"/>
    </row>
    <row r="501" ht="12.75" customHeight="1">
      <c r="H501" s="43" t="n"/>
    </row>
    <row r="502" ht="12.75" customHeight="1">
      <c r="H502" s="43" t="n"/>
    </row>
    <row r="503" ht="12.75" customHeight="1">
      <c r="H503" s="43" t="n"/>
    </row>
    <row r="504" ht="12.75" customHeight="1">
      <c r="H504" s="43" t="n"/>
    </row>
    <row r="505" ht="12.75" customHeight="1">
      <c r="H505" s="43" t="n"/>
    </row>
    <row r="506" ht="12.75" customHeight="1">
      <c r="H506" s="43" t="n"/>
    </row>
    <row r="507" ht="12.75" customHeight="1">
      <c r="H507" s="43" t="n"/>
    </row>
    <row r="508" ht="12.75" customHeight="1">
      <c r="H508" s="43" t="n"/>
    </row>
    <row r="509" ht="12.75" customHeight="1">
      <c r="H509" s="43" t="n"/>
    </row>
    <row r="510" ht="12.75" customHeight="1">
      <c r="H510" s="43" t="n"/>
    </row>
    <row r="511" ht="12.75" customHeight="1">
      <c r="H511" s="43" t="n"/>
    </row>
    <row r="512" ht="12.75" customHeight="1">
      <c r="H512" s="43" t="n"/>
    </row>
    <row r="513" ht="12.75" customHeight="1">
      <c r="H513" s="43" t="n"/>
    </row>
    <row r="514" ht="12.75" customHeight="1">
      <c r="H514" s="43" t="n"/>
    </row>
    <row r="515" ht="12.75" customHeight="1">
      <c r="H515" s="43" t="n"/>
    </row>
    <row r="516" ht="12.75" customHeight="1">
      <c r="H516" s="43" t="n"/>
    </row>
    <row r="517" ht="12.75" customHeight="1">
      <c r="H517" s="43" t="n"/>
    </row>
    <row r="518" ht="12.75" customHeight="1">
      <c r="H518" s="43" t="n"/>
    </row>
    <row r="519" ht="12.75" customHeight="1">
      <c r="H519" s="43" t="n"/>
    </row>
    <row r="520" ht="12.75" customHeight="1">
      <c r="H520" s="43" t="n"/>
    </row>
    <row r="521" ht="12.75" customHeight="1">
      <c r="H521" s="43" t="n"/>
    </row>
    <row r="522" ht="12.75" customHeight="1">
      <c r="H522" s="43" t="n"/>
    </row>
    <row r="523" ht="12.75" customHeight="1">
      <c r="H523" s="43" t="n"/>
    </row>
    <row r="524" ht="12.75" customHeight="1">
      <c r="H524" s="43" t="n"/>
    </row>
    <row r="525" ht="12.75" customHeight="1">
      <c r="H525" s="43" t="n"/>
    </row>
    <row r="526" ht="12.75" customHeight="1">
      <c r="H526" s="43" t="n"/>
    </row>
    <row r="527" ht="12.75" customHeight="1">
      <c r="H527" s="43" t="n"/>
    </row>
    <row r="528" ht="12.75" customHeight="1">
      <c r="H528" s="43" t="n"/>
    </row>
    <row r="529" ht="12.75" customHeight="1">
      <c r="H529" s="43" t="n"/>
    </row>
    <row r="530" ht="12.75" customHeight="1">
      <c r="H530" s="43" t="n"/>
    </row>
    <row r="531" ht="12.75" customHeight="1">
      <c r="H531" s="43" t="n"/>
    </row>
    <row r="532" ht="12.75" customHeight="1">
      <c r="H532" s="43" t="n"/>
    </row>
    <row r="533" ht="12.75" customHeight="1">
      <c r="H533" s="43" t="n"/>
    </row>
    <row r="534" ht="12.75" customHeight="1">
      <c r="H534" s="43" t="n"/>
    </row>
    <row r="535" ht="12.75" customHeight="1">
      <c r="H535" s="43" t="n"/>
    </row>
    <row r="536" ht="12.75" customHeight="1">
      <c r="H536" s="43" t="n"/>
    </row>
    <row r="537" ht="12.75" customHeight="1">
      <c r="H537" s="43" t="n"/>
    </row>
    <row r="538" ht="12.75" customHeight="1">
      <c r="H538" s="43" t="n"/>
    </row>
    <row r="539" ht="12.75" customHeight="1">
      <c r="H539" s="43" t="n"/>
    </row>
    <row r="540" ht="12.75" customHeight="1">
      <c r="H540" s="43" t="n"/>
    </row>
    <row r="541" ht="12.75" customHeight="1">
      <c r="H541" s="43" t="n"/>
    </row>
    <row r="542" ht="12.75" customHeight="1">
      <c r="H542" s="43" t="n"/>
    </row>
    <row r="543" ht="12.75" customHeight="1">
      <c r="H543" s="43" t="n"/>
    </row>
    <row r="544" ht="12.75" customHeight="1">
      <c r="H544" s="43" t="n"/>
    </row>
    <row r="545" ht="12.75" customHeight="1">
      <c r="H545" s="43" t="n"/>
    </row>
    <row r="546" ht="12.75" customHeight="1">
      <c r="H546" s="43" t="n"/>
    </row>
    <row r="547" ht="12.75" customHeight="1">
      <c r="H547" s="43" t="n"/>
    </row>
    <row r="548" ht="12.75" customHeight="1">
      <c r="H548" s="43" t="n"/>
    </row>
    <row r="549" ht="12.75" customHeight="1">
      <c r="H549" s="43" t="n"/>
    </row>
    <row r="550" ht="12.75" customHeight="1">
      <c r="H550" s="43" t="n"/>
    </row>
    <row r="551" ht="12.75" customHeight="1">
      <c r="H551" s="43" t="n"/>
    </row>
    <row r="552" ht="12.75" customHeight="1">
      <c r="H552" s="43" t="n"/>
    </row>
    <row r="553" ht="12.75" customHeight="1">
      <c r="H553" s="43" t="n"/>
    </row>
    <row r="554" ht="12.75" customHeight="1">
      <c r="H554" s="43" t="n"/>
    </row>
    <row r="555" ht="12.75" customHeight="1">
      <c r="H555" s="43" t="n"/>
    </row>
    <row r="556" ht="12.75" customHeight="1">
      <c r="H556" s="43" t="n"/>
    </row>
    <row r="557" ht="12.75" customHeight="1">
      <c r="H557" s="43" t="n"/>
    </row>
    <row r="558" ht="12.75" customHeight="1">
      <c r="H558" s="43" t="n"/>
    </row>
    <row r="559" ht="12.75" customHeight="1">
      <c r="H559" s="43" t="n"/>
    </row>
    <row r="560" ht="12.75" customHeight="1">
      <c r="H560" s="43" t="n"/>
    </row>
    <row r="561" ht="12.75" customHeight="1">
      <c r="H561" s="43" t="n"/>
    </row>
    <row r="562" ht="12.75" customHeight="1">
      <c r="H562" s="43" t="n"/>
    </row>
    <row r="563" ht="12.75" customHeight="1">
      <c r="H563" s="43" t="n"/>
    </row>
    <row r="564" ht="12.75" customHeight="1">
      <c r="H564" s="43" t="n"/>
    </row>
    <row r="565" ht="12.75" customHeight="1">
      <c r="H565" s="43" t="n"/>
    </row>
    <row r="566" ht="12.75" customHeight="1">
      <c r="H566" s="43" t="n"/>
    </row>
    <row r="567" ht="12.75" customHeight="1">
      <c r="H567" s="43" t="n"/>
    </row>
    <row r="568" ht="12.75" customHeight="1">
      <c r="H568" s="43" t="n"/>
    </row>
    <row r="569" ht="12.75" customHeight="1">
      <c r="H569" s="43" t="n"/>
    </row>
    <row r="570" ht="12.75" customHeight="1">
      <c r="H570" s="43" t="n"/>
    </row>
    <row r="571" ht="12.75" customHeight="1">
      <c r="H571" s="43" t="n"/>
    </row>
    <row r="572" ht="12.75" customHeight="1">
      <c r="H572" s="43" t="n"/>
    </row>
    <row r="573" ht="12.75" customHeight="1">
      <c r="H573" s="43" t="n"/>
    </row>
    <row r="574" ht="12.75" customHeight="1">
      <c r="H574" s="43" t="n"/>
    </row>
    <row r="575" ht="12.75" customHeight="1">
      <c r="H575" s="43" t="n"/>
    </row>
    <row r="576" ht="12.75" customHeight="1">
      <c r="H576" s="43" t="n"/>
    </row>
    <row r="577" ht="12.75" customHeight="1">
      <c r="H577" s="43" t="n"/>
    </row>
    <row r="578" ht="12.75" customHeight="1">
      <c r="H578" s="43" t="n"/>
    </row>
    <row r="579" ht="12.75" customHeight="1">
      <c r="H579" s="43" t="n"/>
    </row>
    <row r="580" ht="12.75" customHeight="1">
      <c r="H580" s="43" t="n"/>
    </row>
    <row r="581" ht="12.75" customHeight="1">
      <c r="H581" s="43" t="n"/>
    </row>
    <row r="582" ht="12.75" customHeight="1">
      <c r="H582" s="43" t="n"/>
    </row>
    <row r="583" ht="12.75" customHeight="1">
      <c r="H583" s="43" t="n"/>
    </row>
    <row r="584" ht="12.75" customHeight="1">
      <c r="H584" s="43" t="n"/>
    </row>
    <row r="585" ht="12.75" customHeight="1">
      <c r="H585" s="43" t="n"/>
    </row>
    <row r="586" ht="12.75" customHeight="1">
      <c r="H586" s="43" t="n"/>
    </row>
    <row r="587" ht="12.75" customHeight="1">
      <c r="H587" s="43" t="n"/>
    </row>
    <row r="588" ht="12.75" customHeight="1">
      <c r="H588" s="43" t="n"/>
    </row>
    <row r="589" ht="12.75" customHeight="1">
      <c r="H589" s="43" t="n"/>
    </row>
    <row r="590" ht="12.75" customHeight="1">
      <c r="H590" s="43" t="n"/>
    </row>
    <row r="591" ht="12.75" customHeight="1">
      <c r="H591" s="43" t="n"/>
    </row>
    <row r="592" ht="12.75" customHeight="1">
      <c r="H592" s="43" t="n"/>
    </row>
    <row r="593" ht="12.75" customHeight="1">
      <c r="H593" s="43" t="n"/>
    </row>
    <row r="594" ht="12.75" customHeight="1">
      <c r="H594" s="43" t="n"/>
    </row>
    <row r="595" ht="12.75" customHeight="1">
      <c r="H595" s="43" t="n"/>
    </row>
    <row r="596" ht="12.75" customHeight="1">
      <c r="H596" s="43" t="n"/>
    </row>
    <row r="597" ht="12.75" customHeight="1">
      <c r="H597" s="43" t="n"/>
    </row>
    <row r="598" ht="12.75" customHeight="1">
      <c r="H598" s="43" t="n"/>
    </row>
    <row r="599" ht="12.75" customHeight="1">
      <c r="H599" s="43" t="n"/>
    </row>
    <row r="600" ht="12.75" customHeight="1">
      <c r="H600" s="43" t="n"/>
    </row>
    <row r="601" ht="12.75" customHeight="1">
      <c r="H601" s="43" t="n"/>
    </row>
    <row r="602" ht="12.75" customHeight="1">
      <c r="H602" s="43" t="n"/>
    </row>
    <row r="603" ht="12.75" customHeight="1">
      <c r="H603" s="43" t="n"/>
    </row>
    <row r="604" ht="12.75" customHeight="1">
      <c r="H604" s="43" t="n"/>
    </row>
    <row r="605" ht="12.75" customHeight="1">
      <c r="H605" s="43" t="n"/>
    </row>
    <row r="606" ht="12.75" customHeight="1">
      <c r="H606" s="43" t="n"/>
    </row>
    <row r="607" ht="12.75" customHeight="1">
      <c r="H607" s="43" t="n"/>
    </row>
    <row r="608" ht="12.75" customHeight="1">
      <c r="H608" s="43" t="n"/>
    </row>
    <row r="609" ht="12.75" customHeight="1">
      <c r="H609" s="43" t="n"/>
    </row>
    <row r="610" ht="12.75" customHeight="1">
      <c r="H610" s="43" t="n"/>
    </row>
    <row r="611" ht="12.75" customHeight="1">
      <c r="H611" s="43" t="n"/>
    </row>
    <row r="612" ht="12.75" customHeight="1">
      <c r="H612" s="43" t="n"/>
    </row>
    <row r="613" ht="12.75" customHeight="1">
      <c r="H613" s="43" t="n"/>
    </row>
    <row r="614" ht="12.75" customHeight="1">
      <c r="H614" s="43" t="n"/>
    </row>
    <row r="615" ht="12.75" customHeight="1">
      <c r="H615" s="43" t="n"/>
    </row>
    <row r="616" ht="12.75" customHeight="1">
      <c r="H616" s="43" t="n"/>
    </row>
    <row r="617" ht="12.75" customHeight="1">
      <c r="H617" s="43" t="n"/>
    </row>
    <row r="618" ht="12.75" customHeight="1">
      <c r="H618" s="43" t="n"/>
    </row>
    <row r="619" ht="12.75" customHeight="1">
      <c r="H619" s="43" t="n"/>
    </row>
    <row r="620" ht="12.75" customHeight="1">
      <c r="H620" s="43" t="n"/>
    </row>
    <row r="621" ht="12.75" customHeight="1">
      <c r="H621" s="43" t="n"/>
    </row>
    <row r="622" ht="12.75" customHeight="1">
      <c r="H622" s="43" t="n"/>
    </row>
    <row r="623" ht="12.75" customHeight="1">
      <c r="H623" s="43" t="n"/>
    </row>
    <row r="624" ht="12.75" customHeight="1">
      <c r="H624" s="43" t="n"/>
    </row>
    <row r="625" ht="12.75" customHeight="1">
      <c r="H625" s="43" t="n"/>
    </row>
    <row r="626" ht="12.75" customHeight="1">
      <c r="H626" s="43" t="n"/>
    </row>
    <row r="627" ht="12.75" customHeight="1">
      <c r="H627" s="43" t="n"/>
    </row>
    <row r="628" ht="12.75" customHeight="1">
      <c r="H628" s="43" t="n"/>
    </row>
    <row r="629" ht="12.75" customHeight="1">
      <c r="H629" s="43" t="n"/>
    </row>
    <row r="630" ht="12.75" customHeight="1">
      <c r="H630" s="43" t="n"/>
    </row>
    <row r="631" ht="12.75" customHeight="1">
      <c r="H631" s="43" t="n"/>
    </row>
    <row r="632" ht="12.75" customHeight="1">
      <c r="H632" s="43" t="n"/>
    </row>
    <row r="633" ht="12.75" customHeight="1">
      <c r="H633" s="43" t="n"/>
    </row>
    <row r="634" ht="12.75" customHeight="1">
      <c r="H634" s="43" t="n"/>
    </row>
    <row r="635" ht="12.75" customHeight="1">
      <c r="H635" s="43" t="n"/>
    </row>
    <row r="636" ht="12.75" customHeight="1">
      <c r="H636" s="43" t="n"/>
    </row>
    <row r="637" ht="12.75" customHeight="1">
      <c r="H637" s="43" t="n"/>
    </row>
    <row r="638" ht="12.75" customHeight="1">
      <c r="H638" s="43" t="n"/>
    </row>
    <row r="639" ht="12.75" customHeight="1">
      <c r="H639" s="43" t="n"/>
    </row>
    <row r="640" ht="12.75" customHeight="1">
      <c r="H640" s="43" t="n"/>
    </row>
    <row r="641" ht="12.75" customHeight="1">
      <c r="H641" s="43" t="n"/>
    </row>
    <row r="642" ht="12.75" customHeight="1">
      <c r="H642" s="43" t="n"/>
    </row>
    <row r="643" ht="12.75" customHeight="1">
      <c r="H643" s="43" t="n"/>
    </row>
    <row r="644" ht="12.75" customHeight="1">
      <c r="H644" s="43" t="n"/>
    </row>
    <row r="645" ht="12.75" customHeight="1">
      <c r="H645" s="43" t="n"/>
    </row>
    <row r="646" ht="12.75" customHeight="1">
      <c r="H646" s="43" t="n"/>
    </row>
    <row r="647" ht="12.75" customHeight="1">
      <c r="H647" s="43" t="n"/>
    </row>
    <row r="648" ht="12.75" customHeight="1">
      <c r="H648" s="43" t="n"/>
    </row>
    <row r="649" ht="12.75" customHeight="1">
      <c r="H649" s="43" t="n"/>
    </row>
    <row r="650" ht="12.75" customHeight="1">
      <c r="H650" s="43" t="n"/>
    </row>
    <row r="651" ht="12.75" customHeight="1">
      <c r="H651" s="43" t="n"/>
    </row>
    <row r="652" ht="12.75" customHeight="1">
      <c r="H652" s="43" t="n"/>
    </row>
    <row r="653" ht="12.75" customHeight="1">
      <c r="H653" s="43" t="n"/>
    </row>
    <row r="654" ht="12.75" customHeight="1">
      <c r="H654" s="43" t="n"/>
    </row>
    <row r="655" ht="12.75" customHeight="1">
      <c r="H655" s="43" t="n"/>
    </row>
    <row r="656" ht="12.75" customHeight="1">
      <c r="H656" s="43" t="n"/>
    </row>
    <row r="657" ht="12.75" customHeight="1">
      <c r="H657" s="43" t="n"/>
    </row>
    <row r="658" ht="12.75" customHeight="1">
      <c r="H658" s="43" t="n"/>
    </row>
    <row r="659" ht="12.75" customHeight="1">
      <c r="H659" s="43" t="n"/>
    </row>
    <row r="660" ht="12.75" customHeight="1">
      <c r="H660" s="43" t="n"/>
    </row>
    <row r="661" ht="12.75" customHeight="1">
      <c r="H661" s="43" t="n"/>
    </row>
    <row r="662" ht="12.75" customHeight="1">
      <c r="H662" s="43" t="n"/>
    </row>
    <row r="663" ht="12.75" customHeight="1">
      <c r="H663" s="43" t="n"/>
    </row>
    <row r="664" ht="12.75" customHeight="1">
      <c r="H664" s="43" t="n"/>
    </row>
    <row r="665" ht="12.75" customHeight="1">
      <c r="H665" s="43" t="n"/>
    </row>
    <row r="666" ht="12.75" customHeight="1">
      <c r="H666" s="43" t="n"/>
    </row>
    <row r="667" ht="12.75" customHeight="1">
      <c r="H667" s="43" t="n"/>
    </row>
    <row r="668" ht="12.75" customHeight="1">
      <c r="H668" s="43" t="n"/>
    </row>
    <row r="669" ht="12.75" customHeight="1">
      <c r="H669" s="43" t="n"/>
    </row>
    <row r="670" ht="12.75" customHeight="1">
      <c r="H670" s="43" t="n"/>
    </row>
    <row r="671" ht="12.75" customHeight="1">
      <c r="H671" s="43" t="n"/>
    </row>
    <row r="672" ht="12.75" customHeight="1">
      <c r="H672" s="43" t="n"/>
    </row>
    <row r="673" ht="12.75" customHeight="1">
      <c r="H673" s="43" t="n"/>
    </row>
    <row r="674" ht="12.75" customHeight="1">
      <c r="H674" s="43" t="n"/>
    </row>
    <row r="675" ht="12.75" customHeight="1">
      <c r="H675" s="43" t="n"/>
    </row>
    <row r="676" ht="12.75" customHeight="1">
      <c r="H676" s="43" t="n"/>
    </row>
    <row r="677" ht="12.75" customHeight="1">
      <c r="H677" s="43" t="n"/>
    </row>
    <row r="678" ht="12.75" customHeight="1">
      <c r="H678" s="43" t="n"/>
    </row>
    <row r="679" ht="12.75" customHeight="1">
      <c r="H679" s="43" t="n"/>
    </row>
    <row r="680" ht="12.75" customHeight="1">
      <c r="H680" s="43" t="n"/>
    </row>
    <row r="681" ht="12.75" customHeight="1">
      <c r="H681" s="43" t="n"/>
    </row>
    <row r="682" ht="12.75" customHeight="1">
      <c r="H682" s="43" t="n"/>
    </row>
    <row r="683" ht="12.75" customHeight="1">
      <c r="H683" s="43" t="n"/>
    </row>
    <row r="684" ht="12.75" customHeight="1">
      <c r="H684" s="43" t="n"/>
    </row>
    <row r="685" ht="12.75" customHeight="1">
      <c r="H685" s="43" t="n"/>
    </row>
    <row r="686" ht="12.75" customHeight="1">
      <c r="H686" s="43" t="n"/>
    </row>
    <row r="687" ht="12.75" customHeight="1">
      <c r="H687" s="43" t="n"/>
    </row>
    <row r="688" ht="12.75" customHeight="1">
      <c r="H688" s="43" t="n"/>
    </row>
    <row r="689" ht="12.75" customHeight="1">
      <c r="H689" s="43" t="n"/>
    </row>
    <row r="690" ht="12.75" customHeight="1">
      <c r="H690" s="43" t="n"/>
    </row>
    <row r="691" ht="12.75" customHeight="1">
      <c r="H691" s="43" t="n"/>
    </row>
    <row r="692" ht="12.75" customHeight="1">
      <c r="H692" s="43" t="n"/>
    </row>
    <row r="693" ht="12.75" customHeight="1">
      <c r="H693" s="43" t="n"/>
    </row>
    <row r="694" ht="12.75" customHeight="1">
      <c r="H694" s="43" t="n"/>
    </row>
    <row r="695" ht="12.75" customHeight="1">
      <c r="H695" s="43" t="n"/>
    </row>
    <row r="696" ht="12.75" customHeight="1">
      <c r="H696" s="43" t="n"/>
    </row>
    <row r="697" ht="12.75" customHeight="1">
      <c r="H697" s="43" t="n"/>
    </row>
    <row r="698" ht="12.75" customHeight="1">
      <c r="H698" s="43" t="n"/>
    </row>
    <row r="699" ht="12.75" customHeight="1">
      <c r="H699" s="43" t="n"/>
    </row>
    <row r="700" ht="12.75" customHeight="1">
      <c r="H700" s="43" t="n"/>
    </row>
    <row r="701" ht="12.75" customHeight="1">
      <c r="H701" s="43" t="n"/>
    </row>
    <row r="702" ht="12.75" customHeight="1">
      <c r="H702" s="43" t="n"/>
    </row>
    <row r="703" ht="12.75" customHeight="1">
      <c r="H703" s="43" t="n"/>
    </row>
    <row r="704" ht="12.75" customHeight="1">
      <c r="H704" s="43" t="n"/>
    </row>
    <row r="705" ht="12.75" customHeight="1">
      <c r="H705" s="43" t="n"/>
    </row>
    <row r="706" ht="12.75" customHeight="1">
      <c r="H706" s="43" t="n"/>
    </row>
    <row r="707" ht="12.75" customHeight="1">
      <c r="H707" s="43" t="n"/>
    </row>
    <row r="708" ht="12.75" customHeight="1">
      <c r="H708" s="43" t="n"/>
    </row>
    <row r="709" ht="12.75" customHeight="1">
      <c r="H709" s="43" t="n"/>
    </row>
    <row r="710" ht="12.75" customHeight="1">
      <c r="H710" s="43" t="n"/>
    </row>
    <row r="711" ht="12.75" customHeight="1">
      <c r="H711" s="43" t="n"/>
    </row>
    <row r="712" ht="12.75" customHeight="1">
      <c r="H712" s="43" t="n"/>
    </row>
    <row r="713" ht="12.75" customHeight="1">
      <c r="H713" s="43" t="n"/>
    </row>
    <row r="714" ht="12.75" customHeight="1">
      <c r="H714" s="43" t="n"/>
    </row>
    <row r="715" ht="12.75" customHeight="1">
      <c r="H715" s="43" t="n"/>
    </row>
    <row r="716" ht="12.75" customHeight="1">
      <c r="H716" s="43" t="n"/>
    </row>
    <row r="717" ht="12.75" customHeight="1">
      <c r="H717" s="43" t="n"/>
    </row>
    <row r="718" ht="12.75" customHeight="1">
      <c r="H718" s="43" t="n"/>
    </row>
    <row r="719" ht="12.75" customHeight="1">
      <c r="H719" s="43" t="n"/>
    </row>
    <row r="720" ht="12.75" customHeight="1">
      <c r="H720" s="43" t="n"/>
    </row>
    <row r="721" ht="12.75" customHeight="1">
      <c r="H721" s="43" t="n"/>
    </row>
    <row r="722" ht="12.75" customHeight="1">
      <c r="H722" s="43" t="n"/>
    </row>
    <row r="723" ht="12.75" customHeight="1">
      <c r="H723" s="43" t="n"/>
    </row>
    <row r="724" ht="12.75" customHeight="1">
      <c r="H724" s="43" t="n"/>
    </row>
    <row r="725" ht="12.75" customHeight="1">
      <c r="H725" s="43" t="n"/>
    </row>
    <row r="726" ht="12.75" customHeight="1">
      <c r="H726" s="43" t="n"/>
    </row>
    <row r="727" ht="12.75" customHeight="1">
      <c r="H727" s="43" t="n"/>
    </row>
    <row r="728" ht="12.75" customHeight="1">
      <c r="H728" s="43" t="n"/>
    </row>
    <row r="729" ht="12.75" customHeight="1">
      <c r="H729" s="43" t="n"/>
    </row>
    <row r="730" ht="12.75" customHeight="1">
      <c r="H730" s="43" t="n"/>
    </row>
    <row r="731" ht="12.75" customHeight="1">
      <c r="H731" s="43" t="n"/>
    </row>
    <row r="732" ht="12.75" customHeight="1">
      <c r="H732" s="43" t="n"/>
    </row>
    <row r="733" ht="12.75" customHeight="1">
      <c r="H733" s="43" t="n"/>
    </row>
    <row r="734" ht="12.75" customHeight="1">
      <c r="H734" s="43" t="n"/>
    </row>
    <row r="735" ht="12.75" customHeight="1">
      <c r="H735" s="43" t="n"/>
    </row>
    <row r="736" ht="12.75" customHeight="1">
      <c r="H736" s="43" t="n"/>
    </row>
    <row r="737" ht="12.75" customHeight="1">
      <c r="H737" s="43" t="n"/>
    </row>
    <row r="738" ht="12.75" customHeight="1">
      <c r="H738" s="43" t="n"/>
    </row>
    <row r="739" ht="12.75" customHeight="1">
      <c r="H739" s="43" t="n"/>
    </row>
    <row r="740" ht="12.75" customHeight="1">
      <c r="H740" s="43" t="n"/>
    </row>
    <row r="741" ht="12.75" customHeight="1">
      <c r="H741" s="43" t="n"/>
    </row>
    <row r="742" ht="12.75" customHeight="1">
      <c r="H742" s="43" t="n"/>
    </row>
    <row r="743" ht="12.75" customHeight="1">
      <c r="H743" s="43" t="n"/>
    </row>
    <row r="744" ht="12.75" customHeight="1">
      <c r="H744" s="43" t="n"/>
    </row>
    <row r="745" ht="12.75" customHeight="1">
      <c r="H745" s="43" t="n"/>
    </row>
    <row r="746" ht="12.75" customHeight="1">
      <c r="H746" s="43" t="n"/>
    </row>
    <row r="747" ht="12.75" customHeight="1">
      <c r="H747" s="43" t="n"/>
    </row>
    <row r="748" ht="12.75" customHeight="1">
      <c r="H748" s="43" t="n"/>
    </row>
    <row r="749" ht="12.75" customHeight="1">
      <c r="H749" s="43" t="n"/>
    </row>
    <row r="750" ht="12.75" customHeight="1">
      <c r="H750" s="43" t="n"/>
    </row>
    <row r="751" ht="12.75" customHeight="1">
      <c r="H751" s="43" t="n"/>
    </row>
    <row r="752" ht="12.75" customHeight="1">
      <c r="H752" s="43" t="n"/>
    </row>
    <row r="753" ht="12.75" customHeight="1">
      <c r="H753" s="43" t="n"/>
    </row>
    <row r="754" ht="12.75" customHeight="1">
      <c r="H754" s="43" t="n"/>
    </row>
    <row r="755" ht="12.75" customHeight="1">
      <c r="H755" s="43" t="n"/>
    </row>
    <row r="756" ht="12.75" customHeight="1">
      <c r="H756" s="43" t="n"/>
    </row>
    <row r="757" ht="12.75" customHeight="1">
      <c r="H757" s="43" t="n"/>
    </row>
    <row r="758" ht="12.75" customHeight="1">
      <c r="H758" s="43" t="n"/>
    </row>
    <row r="759" ht="12.75" customHeight="1">
      <c r="H759" s="43" t="n"/>
    </row>
    <row r="760" ht="12.75" customHeight="1">
      <c r="H760" s="43" t="n"/>
    </row>
    <row r="761" ht="12.75" customHeight="1">
      <c r="H761" s="43" t="n"/>
    </row>
    <row r="762" ht="12.75" customHeight="1">
      <c r="H762" s="43" t="n"/>
    </row>
    <row r="763" ht="12.75" customHeight="1">
      <c r="H763" s="43" t="n"/>
    </row>
    <row r="764" ht="12.75" customHeight="1">
      <c r="H764" s="43" t="n"/>
    </row>
    <row r="765" ht="12.75" customHeight="1">
      <c r="H765" s="43" t="n"/>
    </row>
    <row r="766" ht="12.75" customHeight="1">
      <c r="H766" s="43" t="n"/>
    </row>
    <row r="767" ht="12.75" customHeight="1">
      <c r="H767" s="43" t="n"/>
    </row>
    <row r="768" ht="12.75" customHeight="1">
      <c r="H768" s="43" t="n"/>
    </row>
    <row r="769" ht="12.75" customHeight="1">
      <c r="H769" s="43" t="n"/>
    </row>
    <row r="770" ht="12.75" customHeight="1">
      <c r="H770" s="43" t="n"/>
    </row>
    <row r="771" ht="12.75" customHeight="1">
      <c r="H771" s="43" t="n"/>
    </row>
    <row r="772" ht="12.75" customHeight="1">
      <c r="H772" s="43" t="n"/>
    </row>
    <row r="773" ht="12.75" customHeight="1">
      <c r="H773" s="43" t="n"/>
    </row>
    <row r="774" ht="12.75" customHeight="1">
      <c r="H774" s="43" t="n"/>
    </row>
    <row r="775" ht="12.75" customHeight="1">
      <c r="H775" s="43" t="n"/>
    </row>
    <row r="776" ht="12.75" customHeight="1">
      <c r="H776" s="43" t="n"/>
    </row>
    <row r="777" ht="12.75" customHeight="1">
      <c r="H777" s="43" t="n"/>
    </row>
    <row r="778" ht="12.75" customHeight="1">
      <c r="H778" s="43" t="n"/>
    </row>
    <row r="779" ht="12.75" customHeight="1">
      <c r="H779" s="43" t="n"/>
    </row>
    <row r="780" ht="12.75" customHeight="1">
      <c r="H780" s="43" t="n"/>
    </row>
    <row r="781" ht="12.75" customHeight="1">
      <c r="H781" s="43" t="n"/>
    </row>
    <row r="782" ht="12.75" customHeight="1">
      <c r="H782" s="43" t="n"/>
    </row>
    <row r="783" ht="12.75" customHeight="1">
      <c r="H783" s="43" t="n"/>
    </row>
    <row r="784" ht="12.75" customHeight="1">
      <c r="H784" s="43" t="n"/>
    </row>
    <row r="785" ht="12.75" customHeight="1">
      <c r="H785" s="43" t="n"/>
    </row>
    <row r="786" ht="12.75" customHeight="1">
      <c r="H786" s="43" t="n"/>
    </row>
    <row r="787" ht="12.75" customHeight="1">
      <c r="H787" s="43" t="n"/>
    </row>
    <row r="788" ht="12.75" customHeight="1">
      <c r="H788" s="43" t="n"/>
    </row>
    <row r="789" ht="12.75" customHeight="1">
      <c r="H789" s="43" t="n"/>
    </row>
    <row r="790" ht="12.75" customHeight="1">
      <c r="H790" s="43" t="n"/>
    </row>
    <row r="791" ht="12.75" customHeight="1">
      <c r="H791" s="43" t="n"/>
    </row>
    <row r="792" ht="12.75" customHeight="1">
      <c r="H792" s="43" t="n"/>
    </row>
    <row r="793" ht="12.75" customHeight="1">
      <c r="H793" s="43" t="n"/>
    </row>
    <row r="794" ht="12.75" customHeight="1">
      <c r="H794" s="43" t="n"/>
    </row>
    <row r="795" ht="12.75" customHeight="1">
      <c r="H795" s="43" t="n"/>
    </row>
    <row r="796" ht="12.75" customHeight="1">
      <c r="H796" s="43" t="n"/>
    </row>
    <row r="797" ht="12.75" customHeight="1">
      <c r="H797" s="43" t="n"/>
    </row>
    <row r="798" ht="12.75" customHeight="1">
      <c r="H798" s="43" t="n"/>
    </row>
    <row r="799" ht="12.75" customHeight="1">
      <c r="H799" s="43" t="n"/>
    </row>
    <row r="800" ht="12.75" customHeight="1">
      <c r="H800" s="43" t="n"/>
    </row>
    <row r="801" ht="12.75" customHeight="1">
      <c r="H801" s="43" t="n"/>
    </row>
    <row r="802" ht="12.75" customHeight="1">
      <c r="H802" s="43" t="n"/>
    </row>
    <row r="803" ht="12.75" customHeight="1">
      <c r="H803" s="43" t="n"/>
    </row>
    <row r="804" ht="12.75" customHeight="1">
      <c r="H804" s="43" t="n"/>
    </row>
    <row r="805" ht="12.75" customHeight="1">
      <c r="H805" s="43" t="n"/>
    </row>
    <row r="806" ht="12.75" customHeight="1">
      <c r="H806" s="43" t="n"/>
    </row>
    <row r="807" ht="12.75" customHeight="1">
      <c r="H807" s="43" t="n"/>
    </row>
    <row r="808" ht="12.75" customHeight="1">
      <c r="H808" s="43" t="n"/>
    </row>
    <row r="809" ht="12.75" customHeight="1">
      <c r="H809" s="43" t="n"/>
    </row>
    <row r="810" ht="12.75" customHeight="1">
      <c r="H810" s="43" t="n"/>
    </row>
    <row r="811" ht="12.75" customHeight="1">
      <c r="H811" s="43" t="n"/>
    </row>
    <row r="812" ht="12.75" customHeight="1">
      <c r="H812" s="43" t="n"/>
    </row>
    <row r="813" ht="12.75" customHeight="1">
      <c r="H813" s="43" t="n"/>
    </row>
    <row r="814" ht="12.75" customHeight="1">
      <c r="H814" s="43" t="n"/>
    </row>
    <row r="815" ht="12.75" customHeight="1">
      <c r="H815" s="43" t="n"/>
    </row>
    <row r="816" ht="12.75" customHeight="1">
      <c r="H816" s="43" t="n"/>
    </row>
    <row r="817" ht="12.75" customHeight="1">
      <c r="H817" s="43" t="n"/>
    </row>
    <row r="818" ht="12.75" customHeight="1">
      <c r="H818" s="43" t="n"/>
    </row>
    <row r="819" ht="12.75" customHeight="1">
      <c r="H819" s="43" t="n"/>
    </row>
    <row r="820" ht="12.75" customHeight="1">
      <c r="H820" s="43" t="n"/>
    </row>
    <row r="821" ht="12.75" customHeight="1">
      <c r="H821" s="43" t="n"/>
    </row>
    <row r="822" ht="12.75" customHeight="1">
      <c r="H822" s="43" t="n"/>
    </row>
    <row r="823" ht="12.75" customHeight="1">
      <c r="H823" s="43" t="n"/>
    </row>
    <row r="824" ht="12.75" customHeight="1">
      <c r="H824" s="43" t="n"/>
    </row>
    <row r="825" ht="12.75" customHeight="1">
      <c r="H825" s="43" t="n"/>
    </row>
    <row r="826" ht="12.75" customHeight="1">
      <c r="H826" s="43" t="n"/>
    </row>
    <row r="827" ht="12.75" customHeight="1">
      <c r="H827" s="43" t="n"/>
    </row>
    <row r="828" ht="12.75" customHeight="1">
      <c r="H828" s="43" t="n"/>
    </row>
    <row r="829" ht="12.75" customHeight="1">
      <c r="H829" s="43" t="n"/>
    </row>
    <row r="830" ht="12.75" customHeight="1">
      <c r="H830" s="43" t="n"/>
    </row>
    <row r="831" ht="12.75" customHeight="1">
      <c r="H831" s="43" t="n"/>
    </row>
    <row r="832" ht="12.75" customHeight="1">
      <c r="H832" s="43" t="n"/>
    </row>
    <row r="833" ht="12.75" customHeight="1">
      <c r="H833" s="43" t="n"/>
    </row>
    <row r="834" ht="12.75" customHeight="1">
      <c r="H834" s="43" t="n"/>
    </row>
    <row r="835" ht="12.75" customHeight="1">
      <c r="H835" s="43" t="n"/>
    </row>
    <row r="836" ht="12.75" customHeight="1">
      <c r="H836" s="43" t="n"/>
    </row>
    <row r="837" ht="12.75" customHeight="1">
      <c r="H837" s="43" t="n"/>
    </row>
    <row r="838" ht="12.75" customHeight="1">
      <c r="H838" s="43" t="n"/>
    </row>
    <row r="839" ht="12.75" customHeight="1">
      <c r="H839" s="43" t="n"/>
    </row>
    <row r="840" ht="12.75" customHeight="1">
      <c r="H840" s="43" t="n"/>
    </row>
    <row r="841" ht="12.75" customHeight="1">
      <c r="H841" s="43" t="n"/>
    </row>
    <row r="842" ht="12.75" customHeight="1">
      <c r="H842" s="43" t="n"/>
    </row>
    <row r="843" ht="12.75" customHeight="1">
      <c r="H843" s="43" t="n"/>
    </row>
    <row r="844" ht="12.75" customHeight="1">
      <c r="H844" s="43" t="n"/>
    </row>
    <row r="845" ht="12.75" customHeight="1">
      <c r="H845" s="43" t="n"/>
    </row>
    <row r="846" ht="12.75" customHeight="1">
      <c r="H846" s="43" t="n"/>
    </row>
    <row r="847" ht="12.75" customHeight="1">
      <c r="H847" s="43" t="n"/>
    </row>
    <row r="848" ht="12.75" customHeight="1">
      <c r="H848" s="43" t="n"/>
    </row>
    <row r="849" ht="12.75" customHeight="1">
      <c r="H849" s="43" t="n"/>
    </row>
    <row r="850" ht="12.75" customHeight="1">
      <c r="H850" s="43" t="n"/>
    </row>
    <row r="851" ht="12.75" customHeight="1">
      <c r="H851" s="43" t="n"/>
    </row>
    <row r="852" ht="12.75" customHeight="1">
      <c r="H852" s="43" t="n"/>
    </row>
    <row r="853" ht="12.75" customHeight="1">
      <c r="H853" s="43" t="n"/>
    </row>
    <row r="854" ht="12.75" customHeight="1">
      <c r="H854" s="43" t="n"/>
    </row>
    <row r="855" ht="12.75" customHeight="1">
      <c r="H855" s="43" t="n"/>
    </row>
    <row r="856" ht="12.75" customHeight="1">
      <c r="H856" s="43" t="n"/>
    </row>
    <row r="857" ht="12.75" customHeight="1">
      <c r="H857" s="43" t="n"/>
    </row>
    <row r="858" ht="12.75" customHeight="1">
      <c r="H858" s="43" t="n"/>
    </row>
    <row r="859" ht="12.75" customHeight="1">
      <c r="H859" s="43" t="n"/>
    </row>
    <row r="860" ht="12.75" customHeight="1">
      <c r="H860" s="43" t="n"/>
    </row>
    <row r="861" ht="12.75" customHeight="1">
      <c r="H861" s="43" t="n"/>
    </row>
    <row r="862" ht="12.75" customHeight="1">
      <c r="H862" s="43" t="n"/>
    </row>
    <row r="863" ht="12.75" customHeight="1">
      <c r="H863" s="43" t="n"/>
    </row>
    <row r="864" ht="12.75" customHeight="1">
      <c r="H864" s="43" t="n"/>
    </row>
    <row r="865" ht="12.75" customHeight="1">
      <c r="H865" s="43" t="n"/>
    </row>
    <row r="866" ht="12.75" customHeight="1">
      <c r="H866" s="43" t="n"/>
    </row>
    <row r="867" ht="12.75" customHeight="1">
      <c r="H867" s="43" t="n"/>
    </row>
    <row r="868" ht="12.75" customHeight="1">
      <c r="H868" s="43" t="n"/>
    </row>
    <row r="869" ht="12.75" customHeight="1">
      <c r="H869" s="43" t="n"/>
    </row>
    <row r="870" ht="12.75" customHeight="1">
      <c r="H870" s="43" t="n"/>
    </row>
    <row r="871" ht="12.75" customHeight="1">
      <c r="H871" s="43" t="n"/>
    </row>
    <row r="872" ht="12.75" customHeight="1">
      <c r="H872" s="43" t="n"/>
    </row>
    <row r="873" ht="12.75" customHeight="1">
      <c r="H873" s="43" t="n"/>
    </row>
    <row r="874" ht="12.75" customHeight="1">
      <c r="H874" s="43" t="n"/>
    </row>
    <row r="875" ht="12.75" customHeight="1">
      <c r="H875" s="43" t="n"/>
    </row>
    <row r="876" ht="12.75" customHeight="1">
      <c r="H876" s="43" t="n"/>
    </row>
    <row r="877" ht="12.75" customHeight="1">
      <c r="H877" s="43" t="n"/>
    </row>
    <row r="878" ht="12.75" customHeight="1">
      <c r="H878" s="43" t="n"/>
    </row>
    <row r="879" ht="12.75" customHeight="1">
      <c r="H879" s="43" t="n"/>
    </row>
    <row r="880" ht="12.75" customHeight="1">
      <c r="H880" s="43" t="n"/>
    </row>
    <row r="881" ht="12.75" customHeight="1">
      <c r="H881" s="43" t="n"/>
    </row>
    <row r="882" ht="12.75" customHeight="1">
      <c r="H882" s="43" t="n"/>
    </row>
    <row r="883" ht="12.75" customHeight="1">
      <c r="H883" s="43" t="n"/>
    </row>
    <row r="884" ht="12.75" customHeight="1">
      <c r="H884" s="43" t="n"/>
    </row>
    <row r="885" ht="12.75" customHeight="1">
      <c r="H885" s="43" t="n"/>
    </row>
    <row r="886" ht="12.75" customHeight="1">
      <c r="H886" s="43" t="n"/>
    </row>
    <row r="887" ht="12.75" customHeight="1">
      <c r="H887" s="43" t="n"/>
    </row>
    <row r="888" ht="12.75" customHeight="1">
      <c r="H888" s="43" t="n"/>
    </row>
    <row r="889" ht="12.75" customHeight="1">
      <c r="H889" s="43" t="n"/>
    </row>
    <row r="890" ht="12.75" customHeight="1">
      <c r="H890" s="43" t="n"/>
    </row>
    <row r="891" ht="12.75" customHeight="1">
      <c r="H891" s="43" t="n"/>
    </row>
    <row r="892" ht="12.75" customHeight="1">
      <c r="H892" s="43" t="n"/>
    </row>
    <row r="893" ht="12.75" customHeight="1">
      <c r="H893" s="43" t="n"/>
    </row>
    <row r="894" ht="12.75" customHeight="1">
      <c r="H894" s="43" t="n"/>
    </row>
    <row r="895" ht="12.75" customHeight="1">
      <c r="H895" s="43" t="n"/>
    </row>
    <row r="896" ht="12.75" customHeight="1">
      <c r="H896" s="43" t="n"/>
    </row>
    <row r="897" ht="12.75" customHeight="1">
      <c r="H897" s="43" t="n"/>
    </row>
    <row r="898" ht="12.75" customHeight="1">
      <c r="H898" s="43" t="n"/>
    </row>
    <row r="899" ht="12.75" customHeight="1">
      <c r="H899" s="43" t="n"/>
    </row>
    <row r="900" ht="12.75" customHeight="1">
      <c r="H900" s="43" t="n"/>
    </row>
    <row r="901" ht="12.75" customHeight="1">
      <c r="H901" s="43" t="n"/>
    </row>
    <row r="902" ht="12.75" customHeight="1">
      <c r="H902" s="43" t="n"/>
    </row>
    <row r="903" ht="12.75" customHeight="1">
      <c r="H903" s="43" t="n"/>
    </row>
    <row r="904" ht="12.75" customHeight="1">
      <c r="H904" s="43" t="n"/>
    </row>
    <row r="905" ht="12.75" customHeight="1">
      <c r="H905" s="43" t="n"/>
    </row>
    <row r="906" ht="12.75" customHeight="1">
      <c r="H906" s="43" t="n"/>
    </row>
    <row r="907" ht="12.75" customHeight="1">
      <c r="H907" s="43" t="n"/>
    </row>
    <row r="908" ht="12.75" customHeight="1">
      <c r="H908" s="43" t="n"/>
    </row>
    <row r="909" ht="12.75" customHeight="1">
      <c r="H909" s="43" t="n"/>
    </row>
    <row r="910" ht="12.75" customHeight="1">
      <c r="H910" s="43" t="n"/>
    </row>
    <row r="911" ht="12.75" customHeight="1">
      <c r="H911" s="43" t="n"/>
    </row>
    <row r="912" ht="12.75" customHeight="1">
      <c r="H912" s="43" t="n"/>
    </row>
    <row r="913" ht="12.75" customHeight="1">
      <c r="H913" s="43" t="n"/>
    </row>
    <row r="914" ht="12.75" customHeight="1">
      <c r="H914" s="43" t="n"/>
    </row>
    <row r="915" ht="12.75" customHeight="1">
      <c r="H915" s="43" t="n"/>
    </row>
    <row r="916" ht="12.75" customHeight="1">
      <c r="H916" s="43" t="n"/>
    </row>
    <row r="917" ht="12.75" customHeight="1">
      <c r="H917" s="43" t="n"/>
    </row>
    <row r="918" ht="12.75" customHeight="1">
      <c r="H918" s="43" t="n"/>
    </row>
    <row r="919" ht="12.75" customHeight="1">
      <c r="H919" s="43" t="n"/>
    </row>
    <row r="920" ht="12.75" customHeight="1">
      <c r="H920" s="43" t="n"/>
    </row>
    <row r="921" ht="12.75" customHeight="1">
      <c r="H921" s="43" t="n"/>
    </row>
    <row r="922" ht="12.75" customHeight="1">
      <c r="H922" s="43" t="n"/>
    </row>
    <row r="923" ht="12.75" customHeight="1">
      <c r="H923" s="43" t="n"/>
    </row>
    <row r="924" ht="12.75" customHeight="1">
      <c r="H924" s="43" t="n"/>
    </row>
    <row r="925" ht="12.75" customHeight="1">
      <c r="H925" s="43" t="n"/>
    </row>
    <row r="926" ht="12.75" customHeight="1">
      <c r="H926" s="43" t="n"/>
    </row>
    <row r="927" ht="12.75" customHeight="1">
      <c r="H927" s="43" t="n"/>
    </row>
    <row r="928" ht="12.75" customHeight="1">
      <c r="H928" s="43" t="n"/>
    </row>
    <row r="929" ht="12.75" customHeight="1">
      <c r="H929" s="43" t="n"/>
    </row>
    <row r="930" ht="12.75" customHeight="1">
      <c r="H930" s="43" t="n"/>
    </row>
    <row r="931" ht="12.75" customHeight="1">
      <c r="H931" s="43" t="n"/>
    </row>
  </sheetData>
  <conditionalFormatting sqref="A1:R1">
    <cfRule type="notContainsBlanks" priority="2" dxfId="2">
      <formula>LEN(TRIM(A1))&gt;0</formula>
    </cfRule>
  </conditionalFormatting>
  <conditionalFormatting sqref="B2:J931 K2:Q7 K11:Q931">
    <cfRule type="expression" priority="1" dxfId="1">
      <formula>total</formula>
    </cfRule>
  </conditionalFormatting>
  <conditionalFormatting sqref="B1:J931 K1:R7 K11:R931">
    <cfRule type="expression" priority="3" dxfId="0">
      <formula>COUNTIF($B1,"*total")&gt;0</formula>
    </cfRule>
  </conditionalFormatting>
  <pageMargins left="0.7" right="0.7" top="0.75" bottom="0.75" header="0.3" footer="0.3"/>
</worksheet>
</file>

<file path=xl/worksheets/sheet3.xml><?xml version="1.0" encoding="utf-8"?>
<worksheet xmlns="http://schemas.openxmlformats.org/spreadsheetml/2006/main">
  <sheetPr filterMode="1">
    <outlinePr summaryBelow="0" summaryRight="0"/>
    <pageSetUpPr/>
  </sheetPr>
  <dimension ref="A1:AW9000"/>
  <sheetViews>
    <sheetView workbookViewId="0">
      <selection activeCell="K210" sqref="K210"/>
    </sheetView>
  </sheetViews>
  <sheetFormatPr baseColWidth="8" defaultColWidth="12.7109375" defaultRowHeight="15.75" customHeight="1"/>
  <cols>
    <col width="12.7109375" customWidth="1" style="42" min="1" max="1"/>
    <col width="9.28515625" customWidth="1" style="42" min="2" max="2"/>
    <col width="15" customWidth="1" style="42" min="3" max="3"/>
    <col width="25" customWidth="1" style="42" min="4" max="4"/>
    <col width="12.7109375" customWidth="1" style="42" min="5" max="5"/>
    <col width="30.140625" customWidth="1" style="42" min="6" max="6"/>
    <col width="12.7109375" customWidth="1" style="42" min="7" max="7"/>
    <col width="17.85546875" customWidth="1" style="42" min="8" max="8"/>
    <col width="11.85546875" customWidth="1" style="42" min="9" max="9"/>
    <col width="12.7109375" customWidth="1" style="42" min="10" max="31"/>
    <col width="329" customWidth="1" style="42" min="32" max="32"/>
    <col width="12.7109375" customWidth="1" style="42" min="33" max="16384"/>
  </cols>
  <sheetData>
    <row r="1" ht="12.75" customHeight="1">
      <c r="A1" s="55">
        <f>IFERROR(__xludf.DUMMYFUNCTION("query(IMPORTRANGE(""https://docs.google.com/spreadsheets/d/172pCWofZWyKNBMKezw4TsYKoUPn_-FiA_eACjtfyEEY/edit#gid=0"", ""Ocean!A:AF""), ""select * where Col1 = 'Colombo'"")"),"Origin")</f>
        <v/>
      </c>
      <c r="B1" s="50">
        <f>IFERROR(__xludf.DUMMYFUNCTION("""COMPUTED_VALUE"""),"")</f>
        <v/>
      </c>
      <c r="C1" s="50">
        <f>IFERROR(__xludf.DUMMYFUNCTION("""COMPUTED_VALUE"""),"FLEX-ID")</f>
        <v/>
      </c>
      <c r="D1" s="50">
        <f>IFERROR(__xludf.DUMMYFUNCTION("""COMPUTED_VALUE"""),"Equipment")</f>
        <v/>
      </c>
      <c r="E1" s="50">
        <f>IFERROR(__xludf.DUMMYFUNCTION("""COMPUTED_VALUE"""),"Load Type *")</f>
        <v/>
      </c>
      <c r="F1" s="50">
        <f>IFERROR(__xludf.DUMMYFUNCTION("""COMPUTED_VALUE"""),"Supplier Name")</f>
        <v/>
      </c>
      <c r="G1" s="50">
        <f>IFERROR(__xludf.DUMMYFUNCTION("""COMPUTED_VALUE"""),"Factory Name")</f>
        <v/>
      </c>
      <c r="H1" s="54">
        <f>IFERROR(__xludf.DUMMYFUNCTION("""COMPUTED_VALUE"""),"Shipping Order Num")</f>
        <v/>
      </c>
      <c r="I1" s="50">
        <f>IFERROR(__xludf.DUMMYFUNCTION("""COMPUTED_VALUE"""),"Purchase Order *")</f>
        <v/>
      </c>
      <c r="J1" s="50">
        <f>IFERROR(__xludf.DUMMYFUNCTION("""COMPUTED_VALUE"""),"Style # *")</f>
        <v/>
      </c>
      <c r="K1" s="50">
        <f>IFERROR(__xludf.DUMMYFUNCTION("""COMPUTED_VALUE"""),"Line Item Id *")</f>
        <v/>
      </c>
      <c r="L1" s="50">
        <f>IFERROR(__xludf.DUMMYFUNCTION("""COMPUTED_VALUE"""),"Cartons")</f>
        <v/>
      </c>
      <c r="M1" s="50">
        <f>IFERROR(__xludf.DUMMYFUNCTION("""COMPUTED_VALUE"""),"Booked Quantity")</f>
        <v/>
      </c>
      <c r="N1" s="50">
        <f>IFERROR(__xludf.DUMMYFUNCTION("""COMPUTED_VALUE"""),"Weight *")</f>
        <v/>
      </c>
      <c r="O1" s="50">
        <f>IFERROR(__xludf.DUMMYFUNCTION("""COMPUTED_VALUE"""),"Volume *")</f>
        <v/>
      </c>
      <c r="P1" s="50">
        <f>IFERROR(__xludf.DUMMYFUNCTION("""COMPUTED_VALUE"""),"POL")</f>
        <v/>
      </c>
      <c r="Q1" s="50">
        <f>IFERROR(__xludf.DUMMYFUNCTION("""COMPUTED_VALUE"""),"POD")</f>
        <v/>
      </c>
      <c r="R1" s="50">
        <f>IFERROR(__xludf.DUMMYFUNCTION("""COMPUTED_VALUE"""),"Actual HOD")</f>
        <v/>
      </c>
      <c r="S1" s="50">
        <f>IFERROR(__xludf.DUMMYFUNCTION("""COMPUTED_VALUE"""),"DC Date")</f>
        <v/>
      </c>
      <c r="T1" s="50">
        <f>IFERROR(__xludf.DUMMYFUNCTION("""COMPUTED_VALUE"""),"Final Destination")</f>
        <v/>
      </c>
      <c r="U1" s="50">
        <f>IFERROR(__xludf.DUMMYFUNCTION("""COMPUTED_VALUE"""),"Org Carrier")</f>
        <v/>
      </c>
      <c r="V1" s="50">
        <f>IFERROR(__xludf.DUMMYFUNCTION("""COMPUTED_VALUE"""),"Service String")</f>
        <v/>
      </c>
      <c r="W1" s="50">
        <f>IFERROR(__xludf.DUMMYFUNCTION("""COMPUTED_VALUE"""),"Cargo Open Date")</f>
        <v/>
      </c>
      <c r="X1" s="50">
        <f>IFERROR(__xludf.DUMMYFUNCTION("""COMPUTED_VALUE"""),"Cargo Cut Off Date")</f>
        <v/>
      </c>
      <c r="Y1" s="50">
        <f>IFERROR(__xludf.DUMMYFUNCTION("""COMPUTED_VALUE"""),"ETD Port Of Load Date")</f>
        <v/>
      </c>
      <c r="Z1" s="50">
        <f>IFERROR(__xludf.DUMMYFUNCTION("""COMPUTED_VALUE"""),"ETA Port Of Discharge Date")</f>
        <v/>
      </c>
      <c r="AA1" s="50">
        <f>IFERROR(__xludf.DUMMYFUNCTION("""COMPUTED_VALUE"""),"ETA IN DC Date")</f>
        <v/>
      </c>
      <c r="AB1" s="50">
        <f>IFERROR(__xludf.DUMMYFUNCTION("""COMPUTED_VALUE"""),"Ship To Addr1")</f>
        <v/>
      </c>
      <c r="AC1" s="50">
        <f>IFERROR(__xludf.DUMMYFUNCTION("""COMPUTED_VALUE"""),"Ship To Addr2")</f>
        <v/>
      </c>
      <c r="AD1" s="50">
        <f>IFERROR(__xludf.DUMMYFUNCTION("""COMPUTED_VALUE"""),"Booked Mode")</f>
        <v/>
      </c>
      <c r="AE1" s="50">
        <f>IFERROR(__xludf.DUMMYFUNCTION("""COMPUTED_VALUE"""),"HOT PO")</f>
        <v/>
      </c>
      <c r="AF1" s="50">
        <f>IFERROR(__xludf.DUMMYFUNCTION("""COMPUTED_VALUE"""),"Exception")</f>
        <v/>
      </c>
      <c r="AG1" s="53" t="inlineStr">
        <is>
          <t>TP#</t>
        </is>
      </c>
      <c r="AH1" s="53" t="inlineStr">
        <is>
          <t>Category</t>
        </is>
      </c>
      <c r="AI1" s="52" t="inlineStr">
        <is>
          <t>HBL No.</t>
        </is>
      </c>
      <c r="AJ1" s="52" t="inlineStr">
        <is>
          <t>Received Cartons</t>
        </is>
      </c>
      <c r="AK1" s="52" t="inlineStr">
        <is>
          <t>Received Weight</t>
        </is>
      </c>
      <c r="AL1" s="52" t="inlineStr">
        <is>
          <t>Received Volume</t>
        </is>
      </c>
      <c r="AM1" s="52" t="inlineStr">
        <is>
          <t>Actual cargo Receipt Date</t>
        </is>
      </c>
      <c r="AN1" s="52" t="inlineStr">
        <is>
          <t>Docs Received Date</t>
        </is>
      </c>
      <c r="AO1" s="51" t="inlineStr">
        <is>
          <t>Exception Description</t>
        </is>
      </c>
      <c r="AP1" s="50" t="n"/>
      <c r="AQ1" s="50" t="n"/>
      <c r="AR1" s="50" t="n"/>
      <c r="AS1" s="50" t="n"/>
      <c r="AT1" s="50" t="n"/>
      <c r="AU1" s="50" t="n"/>
      <c r="AV1" s="50" t="n"/>
      <c r="AW1" s="50" t="n"/>
    </row>
    <row r="2" hidden="1" ht="12.75" customHeight="1">
      <c r="A2" s="45">
        <f>IFERROR(__xludf.DUMMYFUNCTION("""COMPUTED_VALUE"""),"Colombo")</f>
        <v/>
      </c>
      <c r="B2" s="45" t="n"/>
      <c r="C2" s="45">
        <f>IFERROR(__xludf.DUMMYFUNCTION("""COMPUTED_VALUE"""),3231352)</f>
        <v/>
      </c>
      <c r="D2" s="45" t="n"/>
      <c r="E2" s="45">
        <f>IFERROR(__xludf.DUMMYFUNCTION("""COMPUTED_VALUE"""),"CFS")</f>
        <v/>
      </c>
      <c r="F2" s="45">
        <f>IFERROR(__xludf.DUMMYFUNCTION("""COMPUTED_VALUE"""),"MAS AMITY PTE LTD")</f>
        <v/>
      </c>
      <c r="G2" s="45">
        <f>IFERROR(__xludf.DUMMYFUNCTION("""COMPUTED_VALUE"""),"MAS Active (Pvt) Ltd – Sleekline")</f>
        <v/>
      </c>
      <c r="H2" s="43">
        <f>IFERROR(__xludf.DUMMYFUNCTION("""COMPUTED_VALUE"""),450558552651)</f>
        <v/>
      </c>
      <c r="I2" s="45">
        <f>IFERROR(__xludf.DUMMYFUNCTION("""COMPUTED_VALUE"""),19899555)</f>
        <v/>
      </c>
      <c r="J2" s="45">
        <f>IFERROR(__xludf.DUMMYFUNCTION("""COMPUTED_VALUE"""),"LM9B19S")</f>
        <v/>
      </c>
      <c r="K2" s="45">
        <f>IFERROR(__xludf.DUMMYFUNCTION("""COMPUTED_VALUE"""),"LM9B19S-4310")</f>
        <v/>
      </c>
      <c r="L2" s="45">
        <f>IFERROR(__xludf.DUMMYFUNCTION("""COMPUTED_VALUE"""),13)</f>
        <v/>
      </c>
      <c r="M2" s="45">
        <f>IFERROR(__xludf.DUMMYFUNCTION("""COMPUTED_VALUE"""),613)</f>
        <v/>
      </c>
      <c r="N2" s="45">
        <f>IFERROR(__xludf.DUMMYFUNCTION("""COMPUTED_VALUE"""),172.95)</f>
        <v/>
      </c>
      <c r="O2" s="45">
        <f>IFERROR(__xludf.DUMMYFUNCTION("""COMPUTED_VALUE"""),1.031)</f>
        <v/>
      </c>
      <c r="P2" s="45">
        <f>IFERROR(__xludf.DUMMYFUNCTION("""COMPUTED_VALUE"""),"Colombo, LK")</f>
        <v/>
      </c>
      <c r="Q2" s="45">
        <f>IFERROR(__xludf.DUMMYFUNCTION("""COMPUTED_VALUE"""),"New York, NY, US")</f>
        <v/>
      </c>
      <c r="R2" s="44">
        <f>IFERROR(__xludf.DUMMYFUNCTION("""COMPUTED_VALUE"""),45817)</f>
        <v/>
      </c>
      <c r="S2" s="44">
        <f>IFERROR(__xludf.DUMMYFUNCTION("""COMPUTED_VALUE"""),45876)</f>
        <v/>
      </c>
      <c r="T2" s="45">
        <f>IFERROR(__xludf.DUMMYFUNCTION("""COMPUTED_VALUE"""),"Milton, ON, CA")</f>
        <v/>
      </c>
      <c r="U2" s="45" t="n"/>
      <c r="V2" s="45" t="n"/>
      <c r="W2" s="45" t="n"/>
      <c r="X2" s="45" t="n"/>
      <c r="Y2" s="46">
        <f>IFERROR(__xludf.DUMMYFUNCTION("""COMPUTED_VALUE"""),45825)</f>
        <v/>
      </c>
      <c r="Z2" s="46">
        <f>IFERROR(__xludf.DUMMYFUNCTION("""COMPUTED_VALUE"""),45854)</f>
        <v/>
      </c>
      <c r="AA2" s="46">
        <f>IFERROR(__xludf.DUMMYFUNCTION("""COMPUTED_VALUE"""),45867)</f>
        <v/>
      </c>
      <c r="AB2" s="45">
        <f>IFERROR(__xludf.DUMMYFUNCTION("""COMPUTED_VALUE"""),"7211 Fifth Line")</f>
        <v/>
      </c>
      <c r="AC2" s="45" t="n"/>
      <c r="AD2" s="45">
        <f>IFERROR(__xludf.DUMMYFUNCTION("""COMPUTED_VALUE"""),"OCEAN")</f>
        <v/>
      </c>
      <c r="AE2" s="45">
        <f>IFERROR(__xludf.DUMMYFUNCTION("""COMPUTED_VALUE"""),"N")</f>
        <v/>
      </c>
      <c r="AF2" s="45" t="n"/>
      <c r="AG2" s="49">
        <f>IFERROR(__xludf.DUMMYFUNCTION("IFNA(vlookup(H2,IMPORTRANGE(""1vUGwO1n0QQGx9kKbO0_M5gmuhXZ6-LaxQxgrmJnzgP0"",""'TP# look up'!A:C""),3,0),"""")"),"")</f>
        <v/>
      </c>
      <c r="AH2" s="49">
        <f>LEFT(J2,2)</f>
        <v/>
      </c>
    </row>
    <row r="3" hidden="1" ht="12.75" customHeight="1">
      <c r="A3" s="45">
        <f>IFERROR(__xludf.DUMMYFUNCTION("""COMPUTED_VALUE"""),"Colombo")</f>
        <v/>
      </c>
      <c r="B3" s="45" t="n"/>
      <c r="C3" s="45">
        <f>IFERROR(__xludf.DUMMYFUNCTION("""COMPUTED_VALUE"""),3231352)</f>
        <v/>
      </c>
      <c r="D3" s="45" t="n"/>
      <c r="E3" s="45">
        <f>IFERROR(__xludf.DUMMYFUNCTION("""COMPUTED_VALUE"""),"CFS")</f>
        <v/>
      </c>
      <c r="F3" s="45">
        <f>IFERROR(__xludf.DUMMYFUNCTION("""COMPUTED_VALUE"""),"MAS AMITY PTE LTD")</f>
        <v/>
      </c>
      <c r="G3" s="45">
        <f>IFERROR(__xludf.DUMMYFUNCTION("""COMPUTED_VALUE"""),"MAS Active (Pvt) Ltd – Sleekline")</f>
        <v/>
      </c>
      <c r="H3" s="43">
        <f>IFERROR(__xludf.DUMMYFUNCTION("""COMPUTED_VALUE"""),450560742308)</f>
        <v/>
      </c>
      <c r="I3" s="45">
        <f>IFERROR(__xludf.DUMMYFUNCTION("""COMPUTED_VALUE"""),19913285)</f>
        <v/>
      </c>
      <c r="J3" s="45">
        <f>IFERROR(__xludf.DUMMYFUNCTION("""COMPUTED_VALUE"""),"LM9AN5S")</f>
        <v/>
      </c>
      <c r="K3" s="45">
        <f>IFERROR(__xludf.DUMMYFUNCTION("""COMPUTED_VALUE"""),"LM9AN5S-045958")</f>
        <v/>
      </c>
      <c r="L3" s="45">
        <f>IFERROR(__xludf.DUMMYFUNCTION("""COMPUTED_VALUE"""),3)</f>
        <v/>
      </c>
      <c r="M3" s="45">
        <f>IFERROR(__xludf.DUMMYFUNCTION("""COMPUTED_VALUE"""),62)</f>
        <v/>
      </c>
      <c r="N3" s="45">
        <f>IFERROR(__xludf.DUMMYFUNCTION("""COMPUTED_VALUE"""),35.03)</f>
        <v/>
      </c>
      <c r="O3" s="45">
        <f>IFERROR(__xludf.DUMMYFUNCTION("""COMPUTED_VALUE"""),0.238)</f>
        <v/>
      </c>
      <c r="P3" s="45">
        <f>IFERROR(__xludf.DUMMYFUNCTION("""COMPUTED_VALUE"""),"Colombo, LK")</f>
        <v/>
      </c>
      <c r="Q3" s="45">
        <f>IFERROR(__xludf.DUMMYFUNCTION("""COMPUTED_VALUE"""),"New York, NY, US")</f>
        <v/>
      </c>
      <c r="R3" s="44">
        <f>IFERROR(__xludf.DUMMYFUNCTION("""COMPUTED_VALUE"""),45817)</f>
        <v/>
      </c>
      <c r="S3" s="44">
        <f>IFERROR(__xludf.DUMMYFUNCTION("""COMPUTED_VALUE"""),45876)</f>
        <v/>
      </c>
      <c r="T3" s="45">
        <f>IFERROR(__xludf.DUMMYFUNCTION("""COMPUTED_VALUE"""),"Mississauga, ON, CA")</f>
        <v/>
      </c>
      <c r="U3" s="45" t="n"/>
      <c r="V3" s="45" t="n"/>
      <c r="W3" s="45" t="n"/>
      <c r="X3" s="45" t="n"/>
      <c r="Y3" s="46">
        <f>IFERROR(__xludf.DUMMYFUNCTION("""COMPUTED_VALUE"""),45825)</f>
        <v/>
      </c>
      <c r="Z3" s="46">
        <f>IFERROR(__xludf.DUMMYFUNCTION("""COMPUTED_VALUE"""),45854)</f>
        <v/>
      </c>
      <c r="AA3" s="46">
        <f>IFERROR(__xludf.DUMMYFUNCTION("""COMPUTED_VALUE"""),45867)</f>
        <v/>
      </c>
      <c r="AB3" s="45">
        <f>IFERROR(__xludf.DUMMYFUNCTION("""COMPUTED_VALUE"""),"3500 Argentia Road")</f>
        <v/>
      </c>
      <c r="AC3" s="45" t="n"/>
      <c r="AD3" s="45">
        <f>IFERROR(__xludf.DUMMYFUNCTION("""COMPUTED_VALUE"""),"OCEAN")</f>
        <v/>
      </c>
      <c r="AE3" s="45">
        <f>IFERROR(__xludf.DUMMYFUNCTION("""COMPUTED_VALUE"""),"N")</f>
        <v/>
      </c>
      <c r="AF3" s="45" t="n"/>
      <c r="AG3" s="49">
        <f>IFERROR(__xludf.DUMMYFUNCTION("IFNA(vlookup(H3,IMPORTRANGE(""1vUGwO1n0QQGx9kKbO0_M5gmuhXZ6-LaxQxgrmJnzgP0"",""'TP# look up'!A:C""),3,0),"""")"),"")</f>
        <v/>
      </c>
      <c r="AH3" s="49">
        <f>LEFT(J3,2)</f>
        <v/>
      </c>
    </row>
    <row r="4" hidden="1" ht="12.75" customHeight="1">
      <c r="A4" s="45">
        <f>IFERROR(__xludf.DUMMYFUNCTION("""COMPUTED_VALUE"""),"Colombo")</f>
        <v/>
      </c>
      <c r="B4" s="45" t="n"/>
      <c r="C4" s="45">
        <f>IFERROR(__xludf.DUMMYFUNCTION("""COMPUTED_VALUE"""),3231352)</f>
        <v/>
      </c>
      <c r="D4" s="45" t="n"/>
      <c r="E4" s="45">
        <f>IFERROR(__xludf.DUMMYFUNCTION("""COMPUTED_VALUE"""),"CFS")</f>
        <v/>
      </c>
      <c r="F4" s="45">
        <f>IFERROR(__xludf.DUMMYFUNCTION("""COMPUTED_VALUE"""),"MAS AMITY PTE LTD")</f>
        <v/>
      </c>
      <c r="G4" s="45">
        <f>IFERROR(__xludf.DUMMYFUNCTION("""COMPUTED_VALUE"""),"MAS Active (Pvt) Ltd - Linea Intimo")</f>
        <v/>
      </c>
      <c r="H4" s="43">
        <f>IFERROR(__xludf.DUMMYFUNCTION("""COMPUTED_VALUE"""),451413405023)</f>
        <v/>
      </c>
      <c r="I4" s="45">
        <f>IFERROR(__xludf.DUMMYFUNCTION("""COMPUTED_VALUE"""),19918818)</f>
        <v/>
      </c>
      <c r="J4" s="45">
        <f>IFERROR(__xludf.DUMMYFUNCTION("""COMPUTED_VALUE"""),"LW3DFMS")</f>
        <v/>
      </c>
      <c r="K4" s="45">
        <f>IFERROR(__xludf.DUMMYFUNCTION("""COMPUTED_VALUE"""),"LW3DFMS-071306")</f>
        <v/>
      </c>
      <c r="L4" s="45">
        <f>IFERROR(__xludf.DUMMYFUNCTION("""COMPUTED_VALUE"""),15)</f>
        <v/>
      </c>
      <c r="M4" s="45">
        <f>IFERROR(__xludf.DUMMYFUNCTION("""COMPUTED_VALUE"""),1182)</f>
        <v/>
      </c>
      <c r="N4" s="45">
        <f>IFERROR(__xludf.DUMMYFUNCTION("""COMPUTED_VALUE"""),141.26)</f>
        <v/>
      </c>
      <c r="O4" s="45">
        <f>IFERROR(__xludf.DUMMYFUNCTION("""COMPUTED_VALUE"""),1.11)</f>
        <v/>
      </c>
      <c r="P4" s="45">
        <f>IFERROR(__xludf.DUMMYFUNCTION("""COMPUTED_VALUE"""),"Colombo, LK")</f>
        <v/>
      </c>
      <c r="Q4" s="45">
        <f>IFERROR(__xludf.DUMMYFUNCTION("""COMPUTED_VALUE"""),"New York, NY, US")</f>
        <v/>
      </c>
      <c r="R4" s="44">
        <f>IFERROR(__xludf.DUMMYFUNCTION("""COMPUTED_VALUE"""),45817)</f>
        <v/>
      </c>
      <c r="S4" s="44">
        <f>IFERROR(__xludf.DUMMYFUNCTION("""COMPUTED_VALUE"""),45876)</f>
        <v/>
      </c>
      <c r="T4" s="45">
        <f>IFERROR(__xludf.DUMMYFUNCTION("""COMPUTED_VALUE"""),"Mississauga, ON, CA")</f>
        <v/>
      </c>
      <c r="U4" s="45" t="n"/>
      <c r="V4" s="45" t="n"/>
      <c r="W4" s="45" t="n"/>
      <c r="X4" s="45" t="n"/>
      <c r="Y4" s="46">
        <f>IFERROR(__xludf.DUMMYFUNCTION("""COMPUTED_VALUE"""),45825)</f>
        <v/>
      </c>
      <c r="Z4" s="46">
        <f>IFERROR(__xludf.DUMMYFUNCTION("""COMPUTED_VALUE"""),45854)</f>
        <v/>
      </c>
      <c r="AA4" s="46">
        <f>IFERROR(__xludf.DUMMYFUNCTION("""COMPUTED_VALUE"""),45867)</f>
        <v/>
      </c>
      <c r="AB4" s="45">
        <f>IFERROR(__xludf.DUMMYFUNCTION("""COMPUTED_VALUE"""),"3500 Argentia Road")</f>
        <v/>
      </c>
      <c r="AC4" s="45" t="n"/>
      <c r="AD4" s="45">
        <f>IFERROR(__xludf.DUMMYFUNCTION("""COMPUTED_VALUE"""),"OCEAN")</f>
        <v/>
      </c>
      <c r="AE4" s="45">
        <f>IFERROR(__xludf.DUMMYFUNCTION("""COMPUTED_VALUE"""),"N")</f>
        <v/>
      </c>
      <c r="AF4" s="45" t="n"/>
      <c r="AG4" s="49">
        <f>IFERROR(__xludf.DUMMYFUNCTION("IFNA(vlookup(H4,IMPORTRANGE(""1vUGwO1n0QQGx9kKbO0_M5gmuhXZ6-LaxQxgrmJnzgP0"",""'TP# look up'!A:C""),3,0),"""")"),"")</f>
        <v/>
      </c>
      <c r="AH4" s="49">
        <f>LEFT(J4,2)</f>
        <v/>
      </c>
    </row>
    <row r="5" hidden="1" ht="12.75" customHeight="1">
      <c r="A5" s="45">
        <f>IFERROR(__xludf.DUMMYFUNCTION("""COMPUTED_VALUE"""),"Colombo")</f>
        <v/>
      </c>
      <c r="B5" s="45" t="n"/>
      <c r="C5" s="45">
        <f>IFERROR(__xludf.DUMMYFUNCTION("""COMPUTED_VALUE"""),3231352)</f>
        <v/>
      </c>
      <c r="D5" s="45" t="n"/>
      <c r="E5" s="45">
        <f>IFERROR(__xludf.DUMMYFUNCTION("""COMPUTED_VALUE"""),"CFS")</f>
        <v/>
      </c>
      <c r="F5" s="45">
        <f>IFERROR(__xludf.DUMMYFUNCTION("""COMPUTED_VALUE"""),"MAS AMITY PTE LTD")</f>
        <v/>
      </c>
      <c r="G5" s="45">
        <f>IFERROR(__xludf.DUMMYFUNCTION("""COMPUTED_VALUE"""),"MAS Active (Pvt) Ltd - Linea Intimo")</f>
        <v/>
      </c>
      <c r="H5" s="43">
        <f>IFERROR(__xludf.DUMMYFUNCTION("""COMPUTED_VALUE"""),452592342134)</f>
        <v/>
      </c>
      <c r="I5" s="45">
        <f>IFERROR(__xludf.DUMMYFUNCTION("""COMPUTED_VALUE"""),19918397)</f>
        <v/>
      </c>
      <c r="J5" s="45">
        <f>IFERROR(__xludf.DUMMYFUNCTION("""COMPUTED_VALUE"""),"LW3DFMS")</f>
        <v/>
      </c>
      <c r="K5" s="45">
        <f>IFERROR(__xludf.DUMMYFUNCTION("""COMPUTED_VALUE"""),"LW3DFMS-071306")</f>
        <v/>
      </c>
      <c r="L5" s="45">
        <f>IFERROR(__xludf.DUMMYFUNCTION("""COMPUTED_VALUE"""),7)</f>
        <v/>
      </c>
      <c r="M5" s="45">
        <f>IFERROR(__xludf.DUMMYFUNCTION("""COMPUTED_VALUE"""),460)</f>
        <v/>
      </c>
      <c r="N5" s="45">
        <f>IFERROR(__xludf.DUMMYFUNCTION("""COMPUTED_VALUE"""),60.723)</f>
        <v/>
      </c>
      <c r="O5" s="45">
        <f>IFERROR(__xludf.DUMMYFUNCTION("""COMPUTED_VALUE"""),0.434)</f>
        <v/>
      </c>
      <c r="P5" s="45">
        <f>IFERROR(__xludf.DUMMYFUNCTION("""COMPUTED_VALUE"""),"Colombo, LK")</f>
        <v/>
      </c>
      <c r="Q5" s="45">
        <f>IFERROR(__xludf.DUMMYFUNCTION("""COMPUTED_VALUE"""),"New York, NY, US")</f>
        <v/>
      </c>
      <c r="R5" s="44">
        <f>IFERROR(__xludf.DUMMYFUNCTION("""COMPUTED_VALUE"""),45817)</f>
        <v/>
      </c>
      <c r="S5" s="44">
        <f>IFERROR(__xludf.DUMMYFUNCTION("""COMPUTED_VALUE"""),45876)</f>
        <v/>
      </c>
      <c r="T5" s="45">
        <f>IFERROR(__xludf.DUMMYFUNCTION("""COMPUTED_VALUE"""),"Mississauga, ON, CA")</f>
        <v/>
      </c>
      <c r="U5" s="45" t="n"/>
      <c r="V5" s="45" t="n"/>
      <c r="W5" s="45" t="n"/>
      <c r="X5" s="45" t="n"/>
      <c r="Y5" s="46">
        <f>IFERROR(__xludf.DUMMYFUNCTION("""COMPUTED_VALUE"""),45825)</f>
        <v/>
      </c>
      <c r="Z5" s="46">
        <f>IFERROR(__xludf.DUMMYFUNCTION("""COMPUTED_VALUE"""),45854)</f>
        <v/>
      </c>
      <c r="AA5" s="46">
        <f>IFERROR(__xludf.DUMMYFUNCTION("""COMPUTED_VALUE"""),45867)</f>
        <v/>
      </c>
      <c r="AB5" s="45">
        <f>IFERROR(__xludf.DUMMYFUNCTION("""COMPUTED_VALUE"""),"3500 Argentia Road")</f>
        <v/>
      </c>
      <c r="AC5" s="45" t="n"/>
      <c r="AD5" s="45">
        <f>IFERROR(__xludf.DUMMYFUNCTION("""COMPUTED_VALUE"""),"OCEAN")</f>
        <v/>
      </c>
      <c r="AE5" s="45">
        <f>IFERROR(__xludf.DUMMYFUNCTION("""COMPUTED_VALUE"""),"N")</f>
        <v/>
      </c>
      <c r="AF5" s="45" t="n"/>
      <c r="AG5" s="49">
        <f>IFERROR(__xludf.DUMMYFUNCTION("IFNA(vlookup(H5,IMPORTRANGE(""1vUGwO1n0QQGx9kKbO0_M5gmuhXZ6-LaxQxgrmJnzgP0"",""'TP# look up'!A:C""),3,0),"""")"),"")</f>
        <v/>
      </c>
      <c r="AH5" s="49">
        <f>LEFT(J5,2)</f>
        <v/>
      </c>
    </row>
    <row r="6" hidden="1" ht="12.75" customHeight="1">
      <c r="A6" s="45">
        <f>IFERROR(__xludf.DUMMYFUNCTION("""COMPUTED_VALUE"""),"Colombo")</f>
        <v/>
      </c>
      <c r="B6" s="45" t="n"/>
      <c r="C6" s="45">
        <f>IFERROR(__xludf.DUMMYFUNCTION("""COMPUTED_VALUE"""),3231352)</f>
        <v/>
      </c>
      <c r="D6" s="45" t="n"/>
      <c r="E6" s="45">
        <f>IFERROR(__xludf.DUMMYFUNCTION("""COMPUTED_VALUE"""),"CFS")</f>
        <v/>
      </c>
      <c r="F6" s="45">
        <f>IFERROR(__xludf.DUMMYFUNCTION("""COMPUTED_VALUE"""),"MAS AMITY PTE LTD")</f>
        <v/>
      </c>
      <c r="G6" s="45">
        <f>IFERROR(__xludf.DUMMYFUNCTION("""COMPUTED_VALUE"""),"MAS Active (Pvt) Ltd – Sleekline")</f>
        <v/>
      </c>
      <c r="H6" s="43">
        <f>IFERROR(__xludf.DUMMYFUNCTION("""COMPUTED_VALUE"""),450561162511)</f>
        <v/>
      </c>
      <c r="I6" s="45">
        <f>IFERROR(__xludf.DUMMYFUNCTION("""COMPUTED_VALUE"""),19922446)</f>
        <v/>
      </c>
      <c r="J6" s="45">
        <f>IFERROR(__xludf.DUMMYFUNCTION("""COMPUTED_VALUE"""),"LM9AN5S")</f>
        <v/>
      </c>
      <c r="K6" s="45">
        <f>IFERROR(__xludf.DUMMYFUNCTION("""COMPUTED_VALUE"""),"LM9AN5S-072248")</f>
        <v/>
      </c>
      <c r="L6" s="45">
        <f>IFERROR(__xludf.DUMMYFUNCTION("""COMPUTED_VALUE"""),6)</f>
        <v/>
      </c>
      <c r="M6" s="45">
        <f>IFERROR(__xludf.DUMMYFUNCTION("""COMPUTED_VALUE"""),138)</f>
        <v/>
      </c>
      <c r="N6" s="45">
        <f>IFERROR(__xludf.DUMMYFUNCTION("""COMPUTED_VALUE"""),77.03)</f>
        <v/>
      </c>
      <c r="O6" s="45">
        <f>IFERROR(__xludf.DUMMYFUNCTION("""COMPUTED_VALUE"""),0.476)</f>
        <v/>
      </c>
      <c r="P6" s="45">
        <f>IFERROR(__xludf.DUMMYFUNCTION("""COMPUTED_VALUE"""),"Colombo, LK")</f>
        <v/>
      </c>
      <c r="Q6" s="45">
        <f>IFERROR(__xludf.DUMMYFUNCTION("""COMPUTED_VALUE"""),"New York, NY, US")</f>
        <v/>
      </c>
      <c r="R6" s="44">
        <f>IFERROR(__xludf.DUMMYFUNCTION("""COMPUTED_VALUE"""),45817)</f>
        <v/>
      </c>
      <c r="S6" s="44">
        <f>IFERROR(__xludf.DUMMYFUNCTION("""COMPUTED_VALUE"""),45876)</f>
        <v/>
      </c>
      <c r="T6" s="45">
        <f>IFERROR(__xludf.DUMMYFUNCTION("""COMPUTED_VALUE"""),"Mississauga, ON, CA")</f>
        <v/>
      </c>
      <c r="U6" s="45" t="n"/>
      <c r="V6" s="45" t="n"/>
      <c r="W6" s="45" t="n"/>
      <c r="X6" s="45" t="n"/>
      <c r="Y6" s="46">
        <f>IFERROR(__xludf.DUMMYFUNCTION("""COMPUTED_VALUE"""),45825)</f>
        <v/>
      </c>
      <c r="Z6" s="46">
        <f>IFERROR(__xludf.DUMMYFUNCTION("""COMPUTED_VALUE"""),45854)</f>
        <v/>
      </c>
      <c r="AA6" s="46">
        <f>IFERROR(__xludf.DUMMYFUNCTION("""COMPUTED_VALUE"""),45867)</f>
        <v/>
      </c>
      <c r="AB6" s="45">
        <f>IFERROR(__xludf.DUMMYFUNCTION("""COMPUTED_VALUE"""),"3500 Argentia Road")</f>
        <v/>
      </c>
      <c r="AC6" s="45" t="n"/>
      <c r="AD6" s="45">
        <f>IFERROR(__xludf.DUMMYFUNCTION("""COMPUTED_VALUE"""),"OCEAN")</f>
        <v/>
      </c>
      <c r="AE6" s="45">
        <f>IFERROR(__xludf.DUMMYFUNCTION("""COMPUTED_VALUE"""),"N")</f>
        <v/>
      </c>
      <c r="AF6" s="45" t="n"/>
      <c r="AG6" s="49">
        <f>IFERROR(__xludf.DUMMYFUNCTION("IFNA(vlookup(H6,IMPORTRANGE(""1vUGwO1n0QQGx9kKbO0_M5gmuhXZ6-LaxQxgrmJnzgP0"",""'TP# look up'!A:C""),3,0),"""")"),"")</f>
        <v/>
      </c>
      <c r="AH6" s="49">
        <f>LEFT(J6,2)</f>
        <v/>
      </c>
    </row>
    <row r="7" hidden="1" ht="12.75" customHeight="1">
      <c r="A7" s="45">
        <f>IFERROR(__xludf.DUMMYFUNCTION("""COMPUTED_VALUE"""),"Colombo")</f>
        <v/>
      </c>
      <c r="B7" s="45" t="n"/>
      <c r="C7" s="45">
        <f>IFERROR(__xludf.DUMMYFUNCTION("""COMPUTED_VALUE"""),3231352)</f>
        <v/>
      </c>
      <c r="D7" s="45" t="n"/>
      <c r="E7" s="45">
        <f>IFERROR(__xludf.DUMMYFUNCTION("""COMPUTED_VALUE"""),"CFS")</f>
        <v/>
      </c>
      <c r="F7" s="45">
        <f>IFERROR(__xludf.DUMMYFUNCTION("""COMPUTED_VALUE"""),"MAS AMITY PTE LTD")</f>
        <v/>
      </c>
      <c r="G7" s="45">
        <f>IFERROR(__xludf.DUMMYFUNCTION("""COMPUTED_VALUE"""),"MAS Active (Pvt) Ltd – Sleekline")</f>
        <v/>
      </c>
      <c r="H7" s="43">
        <f>IFERROR(__xludf.DUMMYFUNCTION("""COMPUTED_VALUE"""),450566133672)</f>
        <v/>
      </c>
      <c r="I7" s="45">
        <f>IFERROR(__xludf.DUMMYFUNCTION("""COMPUTED_VALUE"""),19922447)</f>
        <v/>
      </c>
      <c r="J7" s="45">
        <f>IFERROR(__xludf.DUMMYFUNCTION("""COMPUTED_VALUE"""),"LM9AN5S")</f>
        <v/>
      </c>
      <c r="K7" s="45">
        <f>IFERROR(__xludf.DUMMYFUNCTION("""COMPUTED_VALUE"""),"LM9AN5S-072248")</f>
        <v/>
      </c>
      <c r="L7" s="45">
        <f>IFERROR(__xludf.DUMMYFUNCTION("""COMPUTED_VALUE"""),5)</f>
        <v/>
      </c>
      <c r="M7" s="45">
        <f>IFERROR(__xludf.DUMMYFUNCTION("""COMPUTED_VALUE"""),113)</f>
        <v/>
      </c>
      <c r="N7" s="45">
        <f>IFERROR(__xludf.DUMMYFUNCTION("""COMPUTED_VALUE"""),63.2)</f>
        <v/>
      </c>
      <c r="O7" s="45">
        <f>IFERROR(__xludf.DUMMYFUNCTION("""COMPUTED_VALUE"""),0.397)</f>
        <v/>
      </c>
      <c r="P7" s="45">
        <f>IFERROR(__xludf.DUMMYFUNCTION("""COMPUTED_VALUE"""),"Colombo, LK")</f>
        <v/>
      </c>
      <c r="Q7" s="45">
        <f>IFERROR(__xludf.DUMMYFUNCTION("""COMPUTED_VALUE"""),"New York, NY, US")</f>
        <v/>
      </c>
      <c r="R7" s="44">
        <f>IFERROR(__xludf.DUMMYFUNCTION("""COMPUTED_VALUE"""),45817)</f>
        <v/>
      </c>
      <c r="S7" s="44">
        <f>IFERROR(__xludf.DUMMYFUNCTION("""COMPUTED_VALUE"""),45876)</f>
        <v/>
      </c>
      <c r="T7" s="45">
        <f>IFERROR(__xludf.DUMMYFUNCTION("""COMPUTED_VALUE"""),"Mississauga, ON, CA")</f>
        <v/>
      </c>
      <c r="U7" s="45" t="n"/>
      <c r="V7" s="45" t="n"/>
      <c r="W7" s="45" t="n"/>
      <c r="X7" s="45" t="n"/>
      <c r="Y7" s="46">
        <f>IFERROR(__xludf.DUMMYFUNCTION("""COMPUTED_VALUE"""),45825)</f>
        <v/>
      </c>
      <c r="Z7" s="46">
        <f>IFERROR(__xludf.DUMMYFUNCTION("""COMPUTED_VALUE"""),45854)</f>
        <v/>
      </c>
      <c r="AA7" s="46">
        <f>IFERROR(__xludf.DUMMYFUNCTION("""COMPUTED_VALUE"""),45867)</f>
        <v/>
      </c>
      <c r="AB7" s="45">
        <f>IFERROR(__xludf.DUMMYFUNCTION("""COMPUTED_VALUE"""),"3500 Argentia Road")</f>
        <v/>
      </c>
      <c r="AC7" s="45" t="n"/>
      <c r="AD7" s="45">
        <f>IFERROR(__xludf.DUMMYFUNCTION("""COMPUTED_VALUE"""),"OCEAN")</f>
        <v/>
      </c>
      <c r="AE7" s="45">
        <f>IFERROR(__xludf.DUMMYFUNCTION("""COMPUTED_VALUE"""),"N")</f>
        <v/>
      </c>
      <c r="AF7" s="45" t="n"/>
      <c r="AG7" s="49">
        <f>IFERROR(__xludf.DUMMYFUNCTION("IFNA(vlookup(H7,IMPORTRANGE(""1vUGwO1n0QQGx9kKbO0_M5gmuhXZ6-LaxQxgrmJnzgP0"",""'TP# look up'!A:C""),3,0),"""")"),"")</f>
        <v/>
      </c>
      <c r="AH7" s="49">
        <f>LEFT(J7,2)</f>
        <v/>
      </c>
    </row>
    <row r="8" hidden="1" ht="12.75" customHeight="1">
      <c r="A8" s="45">
        <f>IFERROR(__xludf.DUMMYFUNCTION("""COMPUTED_VALUE"""),"Colombo")</f>
        <v/>
      </c>
      <c r="B8" s="45" t="n"/>
      <c r="C8" s="45">
        <f>IFERROR(__xludf.DUMMYFUNCTION("""COMPUTED_VALUE"""),3231352)</f>
        <v/>
      </c>
      <c r="D8" s="45" t="n"/>
      <c r="E8" s="45">
        <f>IFERROR(__xludf.DUMMYFUNCTION("""COMPUTED_VALUE"""),"CFS")</f>
        <v/>
      </c>
      <c r="F8" s="45">
        <f>IFERROR(__xludf.DUMMYFUNCTION("""COMPUTED_VALUE"""),"MAS AMITY PTE LTD")</f>
        <v/>
      </c>
      <c r="G8" s="45">
        <f>IFERROR(__xludf.DUMMYFUNCTION("""COMPUTED_VALUE"""),"MAS Active (Pvt) Ltd – Sleekline")</f>
        <v/>
      </c>
      <c r="H8" s="43">
        <f>IFERROR(__xludf.DUMMYFUNCTION("""COMPUTED_VALUE"""),450568366928)</f>
        <v/>
      </c>
      <c r="I8" s="45">
        <f>IFERROR(__xludf.DUMMYFUNCTION("""COMPUTED_VALUE"""),19926762)</f>
        <v/>
      </c>
      <c r="J8" s="45">
        <f>IFERROR(__xludf.DUMMYFUNCTION("""COMPUTED_VALUE"""),"LM9AN8S")</f>
        <v/>
      </c>
      <c r="K8" s="45">
        <f>IFERROR(__xludf.DUMMYFUNCTION("""COMPUTED_VALUE"""),"LM9AN8S-072476")</f>
        <v/>
      </c>
      <c r="L8" s="45">
        <f>IFERROR(__xludf.DUMMYFUNCTION("""COMPUTED_VALUE"""),3)</f>
        <v/>
      </c>
      <c r="M8" s="45">
        <f>IFERROR(__xludf.DUMMYFUNCTION("""COMPUTED_VALUE"""),112)</f>
        <v/>
      </c>
      <c r="N8" s="45">
        <f>IFERROR(__xludf.DUMMYFUNCTION("""COMPUTED_VALUE"""),34.67)</f>
        <v/>
      </c>
      <c r="O8" s="45">
        <f>IFERROR(__xludf.DUMMYFUNCTION("""COMPUTED_VALUE"""),0.238)</f>
        <v/>
      </c>
      <c r="P8" s="45">
        <f>IFERROR(__xludf.DUMMYFUNCTION("""COMPUTED_VALUE"""),"Colombo, LK")</f>
        <v/>
      </c>
      <c r="Q8" s="45">
        <f>IFERROR(__xludf.DUMMYFUNCTION("""COMPUTED_VALUE"""),"New York, NY, US")</f>
        <v/>
      </c>
      <c r="R8" s="44">
        <f>IFERROR(__xludf.DUMMYFUNCTION("""COMPUTED_VALUE"""),45817)</f>
        <v/>
      </c>
      <c r="S8" s="44">
        <f>IFERROR(__xludf.DUMMYFUNCTION("""COMPUTED_VALUE"""),45876)</f>
        <v/>
      </c>
      <c r="T8" s="45">
        <f>IFERROR(__xludf.DUMMYFUNCTION("""COMPUTED_VALUE"""),"Mississauga, ON, CA")</f>
        <v/>
      </c>
      <c r="U8" s="45" t="n"/>
      <c r="V8" s="45" t="n"/>
      <c r="W8" s="45" t="n"/>
      <c r="X8" s="45" t="n"/>
      <c r="Y8" s="46">
        <f>IFERROR(__xludf.DUMMYFUNCTION("""COMPUTED_VALUE"""),45825)</f>
        <v/>
      </c>
      <c r="Z8" s="46">
        <f>IFERROR(__xludf.DUMMYFUNCTION("""COMPUTED_VALUE"""),45854)</f>
        <v/>
      </c>
      <c r="AA8" s="46">
        <f>IFERROR(__xludf.DUMMYFUNCTION("""COMPUTED_VALUE"""),45867)</f>
        <v/>
      </c>
      <c r="AB8" s="45">
        <f>IFERROR(__xludf.DUMMYFUNCTION("""COMPUTED_VALUE"""),"3500 Argentia Road")</f>
        <v/>
      </c>
      <c r="AC8" s="45" t="n"/>
      <c r="AD8" s="45">
        <f>IFERROR(__xludf.DUMMYFUNCTION("""COMPUTED_VALUE"""),"OCEAN")</f>
        <v/>
      </c>
      <c r="AE8" s="45">
        <f>IFERROR(__xludf.DUMMYFUNCTION("""COMPUTED_VALUE"""),"N")</f>
        <v/>
      </c>
      <c r="AF8" s="45" t="n"/>
      <c r="AG8" s="49">
        <f>IFERROR(__xludf.DUMMYFUNCTION("IFNA(vlookup(H8,IMPORTRANGE(""1vUGwO1n0QQGx9kKbO0_M5gmuhXZ6-LaxQxgrmJnzgP0"",""'TP# look up'!A:C""),3,0),"""")"),"")</f>
        <v/>
      </c>
      <c r="AH8" s="49">
        <f>LEFT(J8,2)</f>
        <v/>
      </c>
    </row>
    <row r="9" hidden="1" ht="12.75" customHeight="1">
      <c r="A9" s="45">
        <f>IFERROR(__xludf.DUMMYFUNCTION("""COMPUTED_VALUE"""),"Colombo")</f>
        <v/>
      </c>
      <c r="B9" s="45" t="n"/>
      <c r="C9" s="45">
        <f>IFERROR(__xludf.DUMMYFUNCTION("""COMPUTED_VALUE"""),3231352)</f>
        <v/>
      </c>
      <c r="D9" s="45" t="n"/>
      <c r="E9" s="45">
        <f>IFERROR(__xludf.DUMMYFUNCTION("""COMPUTED_VALUE"""),"CFS")</f>
        <v/>
      </c>
      <c r="F9" s="45">
        <f>IFERROR(__xludf.DUMMYFUNCTION("""COMPUTED_VALUE"""),"MAS AMITY PTE LTD")</f>
        <v/>
      </c>
      <c r="G9" s="45">
        <f>IFERROR(__xludf.DUMMYFUNCTION("""COMPUTED_VALUE"""),"MAS Active (Pvt) Ltd – Sleekline")</f>
        <v/>
      </c>
      <c r="H9" s="43">
        <f>IFERROR(__xludf.DUMMYFUNCTION("""COMPUTED_VALUE"""),450573886301)</f>
        <v/>
      </c>
      <c r="I9" s="45">
        <f>IFERROR(__xludf.DUMMYFUNCTION("""COMPUTED_VALUE"""),19927039)</f>
        <v/>
      </c>
      <c r="J9" s="45">
        <f>IFERROR(__xludf.DUMMYFUNCTION("""COMPUTED_VALUE"""),"LM9AN5S")</f>
        <v/>
      </c>
      <c r="K9" s="45">
        <f>IFERROR(__xludf.DUMMYFUNCTION("""COMPUTED_VALUE"""),"LM9AN5S-045958")</f>
        <v/>
      </c>
      <c r="L9" s="45">
        <f>IFERROR(__xludf.DUMMYFUNCTION("""COMPUTED_VALUE"""),5)</f>
        <v/>
      </c>
      <c r="M9" s="45">
        <f>IFERROR(__xludf.DUMMYFUNCTION("""COMPUTED_VALUE"""),103)</f>
        <v/>
      </c>
      <c r="N9" s="45">
        <f>IFERROR(__xludf.DUMMYFUNCTION("""COMPUTED_VALUE"""),58.11)</f>
        <v/>
      </c>
      <c r="O9" s="45">
        <f>IFERROR(__xludf.DUMMYFUNCTION("""COMPUTED_VALUE"""),0.397)</f>
        <v/>
      </c>
      <c r="P9" s="45">
        <f>IFERROR(__xludf.DUMMYFUNCTION("""COMPUTED_VALUE"""),"Colombo, LK")</f>
        <v/>
      </c>
      <c r="Q9" s="45">
        <f>IFERROR(__xludf.DUMMYFUNCTION("""COMPUTED_VALUE"""),"New York, NY, US")</f>
        <v/>
      </c>
      <c r="R9" s="44">
        <f>IFERROR(__xludf.DUMMYFUNCTION("""COMPUTED_VALUE"""),45817)</f>
        <v/>
      </c>
      <c r="S9" s="44">
        <f>IFERROR(__xludf.DUMMYFUNCTION("""COMPUTED_VALUE"""),45876)</f>
        <v/>
      </c>
      <c r="T9" s="45">
        <f>IFERROR(__xludf.DUMMYFUNCTION("""COMPUTED_VALUE"""),"Mississauga, ON, CA")</f>
        <v/>
      </c>
      <c r="U9" s="45" t="n"/>
      <c r="V9" s="45" t="n"/>
      <c r="W9" s="45" t="n"/>
      <c r="X9" s="45" t="n"/>
      <c r="Y9" s="46">
        <f>IFERROR(__xludf.DUMMYFUNCTION("""COMPUTED_VALUE"""),45825)</f>
        <v/>
      </c>
      <c r="Z9" s="46">
        <f>IFERROR(__xludf.DUMMYFUNCTION("""COMPUTED_VALUE"""),45854)</f>
        <v/>
      </c>
      <c r="AA9" s="46">
        <f>IFERROR(__xludf.DUMMYFUNCTION("""COMPUTED_VALUE"""),45867)</f>
        <v/>
      </c>
      <c r="AB9" s="45">
        <f>IFERROR(__xludf.DUMMYFUNCTION("""COMPUTED_VALUE"""),"3500 Argentia Road")</f>
        <v/>
      </c>
      <c r="AC9" s="45" t="n"/>
      <c r="AD9" s="45">
        <f>IFERROR(__xludf.DUMMYFUNCTION("""COMPUTED_VALUE"""),"OCEAN")</f>
        <v/>
      </c>
      <c r="AE9" s="45">
        <f>IFERROR(__xludf.DUMMYFUNCTION("""COMPUTED_VALUE"""),"N")</f>
        <v/>
      </c>
      <c r="AF9" s="45" t="n"/>
      <c r="AG9" s="49">
        <f>IFERROR(__xludf.DUMMYFUNCTION("IFNA(vlookup(H9,IMPORTRANGE(""1vUGwO1n0QQGx9kKbO0_M5gmuhXZ6-LaxQxgrmJnzgP0"",""'TP# look up'!A:C""),3,0),"""")"),"")</f>
        <v/>
      </c>
      <c r="AH9" s="49">
        <f>LEFT(J9,2)</f>
        <v/>
      </c>
    </row>
    <row r="10" hidden="1" ht="12.75" customHeight="1">
      <c r="A10" s="45">
        <f>IFERROR(__xludf.DUMMYFUNCTION("""COMPUTED_VALUE"""),"Colombo")</f>
        <v/>
      </c>
      <c r="B10" s="45" t="n"/>
      <c r="C10" s="45">
        <f>IFERROR(__xludf.DUMMYFUNCTION("""COMPUTED_VALUE"""),3231352)</f>
        <v/>
      </c>
      <c r="D10" s="45" t="n"/>
      <c r="E10" s="45">
        <f>IFERROR(__xludf.DUMMYFUNCTION("""COMPUTED_VALUE"""),"CFS")</f>
        <v/>
      </c>
      <c r="F10" s="45">
        <f>IFERROR(__xludf.DUMMYFUNCTION("""COMPUTED_VALUE"""),"MAS AMITY PTE LTD")</f>
        <v/>
      </c>
      <c r="G10" s="45">
        <f>IFERROR(__xludf.DUMMYFUNCTION("""COMPUTED_VALUE"""),"MAS Active (Pvt) Ltd – Sleekline")</f>
        <v/>
      </c>
      <c r="H10" s="43">
        <f>IFERROR(__xludf.DUMMYFUNCTION("""COMPUTED_VALUE"""),450574531077)</f>
        <v/>
      </c>
      <c r="I10" s="45">
        <f>IFERROR(__xludf.DUMMYFUNCTION("""COMPUTED_VALUE"""),19927067)</f>
        <v/>
      </c>
      <c r="J10" s="45">
        <f>IFERROR(__xludf.DUMMYFUNCTION("""COMPUTED_VALUE"""),"LM9AN8S")</f>
        <v/>
      </c>
      <c r="K10" s="45">
        <f>IFERROR(__xludf.DUMMYFUNCTION("""COMPUTED_VALUE"""),"LM9AN8S-072476")</f>
        <v/>
      </c>
      <c r="L10" s="45">
        <f>IFERROR(__xludf.DUMMYFUNCTION("""COMPUTED_VALUE"""),4)</f>
        <v/>
      </c>
      <c r="M10" s="45">
        <f>IFERROR(__xludf.DUMMYFUNCTION("""COMPUTED_VALUE"""),187)</f>
        <v/>
      </c>
      <c r="N10" s="45">
        <f>IFERROR(__xludf.DUMMYFUNCTION("""COMPUTED_VALUE"""),56.91)</f>
        <v/>
      </c>
      <c r="O10" s="45">
        <f>IFERROR(__xludf.DUMMYFUNCTION("""COMPUTED_VALUE"""),0.317)</f>
        <v/>
      </c>
      <c r="P10" s="45">
        <f>IFERROR(__xludf.DUMMYFUNCTION("""COMPUTED_VALUE"""),"Colombo, LK")</f>
        <v/>
      </c>
      <c r="Q10" s="45">
        <f>IFERROR(__xludf.DUMMYFUNCTION("""COMPUTED_VALUE"""),"New York, NY, US")</f>
        <v/>
      </c>
      <c r="R10" s="44">
        <f>IFERROR(__xludf.DUMMYFUNCTION("""COMPUTED_VALUE"""),45817)</f>
        <v/>
      </c>
      <c r="S10" s="44">
        <f>IFERROR(__xludf.DUMMYFUNCTION("""COMPUTED_VALUE"""),45876)</f>
        <v/>
      </c>
      <c r="T10" s="45">
        <f>IFERROR(__xludf.DUMMYFUNCTION("""COMPUTED_VALUE"""),"Mississauga, ON, CA")</f>
        <v/>
      </c>
      <c r="U10" s="45" t="n"/>
      <c r="V10" s="45" t="n"/>
      <c r="W10" s="45" t="n"/>
      <c r="X10" s="45" t="n"/>
      <c r="Y10" s="46">
        <f>IFERROR(__xludf.DUMMYFUNCTION("""COMPUTED_VALUE"""),45825)</f>
        <v/>
      </c>
      <c r="Z10" s="46">
        <f>IFERROR(__xludf.DUMMYFUNCTION("""COMPUTED_VALUE"""),45854)</f>
        <v/>
      </c>
      <c r="AA10" s="46">
        <f>IFERROR(__xludf.DUMMYFUNCTION("""COMPUTED_VALUE"""),45867)</f>
        <v/>
      </c>
      <c r="AB10" s="45">
        <f>IFERROR(__xludf.DUMMYFUNCTION("""COMPUTED_VALUE"""),"3500 Argentia Road")</f>
        <v/>
      </c>
      <c r="AC10" s="45" t="n"/>
      <c r="AD10" s="45">
        <f>IFERROR(__xludf.DUMMYFUNCTION("""COMPUTED_VALUE"""),"OCEAN")</f>
        <v/>
      </c>
      <c r="AE10" s="45">
        <f>IFERROR(__xludf.DUMMYFUNCTION("""COMPUTED_VALUE"""),"N")</f>
        <v/>
      </c>
      <c r="AF10" s="45" t="n"/>
      <c r="AG10" s="49">
        <f>IFERROR(__xludf.DUMMYFUNCTION("IFNA(vlookup(H10,IMPORTRANGE(""1vUGwO1n0QQGx9kKbO0_M5gmuhXZ6-LaxQxgrmJnzgP0"",""'TP# look up'!A:C""),3,0),"""")"),"")</f>
        <v/>
      </c>
      <c r="AH10" s="49">
        <f>LEFT(J10,2)</f>
        <v/>
      </c>
    </row>
    <row r="11" hidden="1" ht="12.75" customHeight="1">
      <c r="A11" s="45">
        <f>IFERROR(__xludf.DUMMYFUNCTION("""COMPUTED_VALUE"""),"Colombo")</f>
        <v/>
      </c>
      <c r="B11" s="45" t="n"/>
      <c r="C11" s="45">
        <f>IFERROR(__xludf.DUMMYFUNCTION("""COMPUTED_VALUE"""),3231352)</f>
        <v/>
      </c>
      <c r="D11" s="45" t="n"/>
      <c r="E11" s="45">
        <f>IFERROR(__xludf.DUMMYFUNCTION("""COMPUTED_VALUE"""),"CFS")</f>
        <v/>
      </c>
      <c r="F11" s="45">
        <f>IFERROR(__xludf.DUMMYFUNCTION("""COMPUTED_VALUE"""),"MAS AMITY PTE LTD")</f>
        <v/>
      </c>
      <c r="G11" s="45">
        <f>IFERROR(__xludf.DUMMYFUNCTION("""COMPUTED_VALUE"""),"MAS Active (Pvt) Ltd – Sleekline")</f>
        <v/>
      </c>
      <c r="H11" s="43">
        <f>IFERROR(__xludf.DUMMYFUNCTION("""COMPUTED_VALUE"""),450577078407)</f>
        <v/>
      </c>
      <c r="I11" s="45">
        <f>IFERROR(__xludf.DUMMYFUNCTION("""COMPUTED_VALUE"""),19927182)</f>
        <v/>
      </c>
      <c r="J11" s="45">
        <f>IFERROR(__xludf.DUMMYFUNCTION("""COMPUTED_VALUE"""),"LM9AZ0S")</f>
        <v/>
      </c>
      <c r="K11" s="45">
        <f>IFERROR(__xludf.DUMMYFUNCTION("""COMPUTED_VALUE"""),"LM9AZ0S-032489")</f>
        <v/>
      </c>
      <c r="L11" s="45">
        <f>IFERROR(__xludf.DUMMYFUNCTION("""COMPUTED_VALUE"""),1)</f>
        <v/>
      </c>
      <c r="M11" s="45">
        <f>IFERROR(__xludf.DUMMYFUNCTION("""COMPUTED_VALUE"""),144)</f>
        <v/>
      </c>
      <c r="N11" s="45">
        <f>IFERROR(__xludf.DUMMYFUNCTION("""COMPUTED_VALUE"""),14.26)</f>
        <v/>
      </c>
      <c r="O11" s="45">
        <f>IFERROR(__xludf.DUMMYFUNCTION("""COMPUTED_VALUE"""),0.079)</f>
        <v/>
      </c>
      <c r="P11" s="45">
        <f>IFERROR(__xludf.DUMMYFUNCTION("""COMPUTED_VALUE"""),"Colombo, LK")</f>
        <v/>
      </c>
      <c r="Q11" s="45">
        <f>IFERROR(__xludf.DUMMYFUNCTION("""COMPUTED_VALUE"""),"New York, NY, US")</f>
        <v/>
      </c>
      <c r="R11" s="44">
        <f>IFERROR(__xludf.DUMMYFUNCTION("""COMPUTED_VALUE"""),45817)</f>
        <v/>
      </c>
      <c r="S11" s="44">
        <f>IFERROR(__xludf.DUMMYFUNCTION("""COMPUTED_VALUE"""),45876)</f>
        <v/>
      </c>
      <c r="T11" s="45">
        <f>IFERROR(__xludf.DUMMYFUNCTION("""COMPUTED_VALUE"""),"Mississauga, ON, CA")</f>
        <v/>
      </c>
      <c r="U11" s="45" t="n"/>
      <c r="V11" s="45" t="n"/>
      <c r="W11" s="45" t="n"/>
      <c r="X11" s="45" t="n"/>
      <c r="Y11" s="46">
        <f>IFERROR(__xludf.DUMMYFUNCTION("""COMPUTED_VALUE"""),45825)</f>
        <v/>
      </c>
      <c r="Z11" s="46">
        <f>IFERROR(__xludf.DUMMYFUNCTION("""COMPUTED_VALUE"""),45854)</f>
        <v/>
      </c>
      <c r="AA11" s="46">
        <f>IFERROR(__xludf.DUMMYFUNCTION("""COMPUTED_VALUE"""),45867)</f>
        <v/>
      </c>
      <c r="AB11" s="45">
        <f>IFERROR(__xludf.DUMMYFUNCTION("""COMPUTED_VALUE"""),"3500 Argentia Road")</f>
        <v/>
      </c>
      <c r="AC11" s="45" t="n"/>
      <c r="AD11" s="45">
        <f>IFERROR(__xludf.DUMMYFUNCTION("""COMPUTED_VALUE"""),"OCEAN")</f>
        <v/>
      </c>
      <c r="AE11" s="45">
        <f>IFERROR(__xludf.DUMMYFUNCTION("""COMPUTED_VALUE"""),"N")</f>
        <v/>
      </c>
      <c r="AF11" s="45" t="n"/>
      <c r="AG11" s="49">
        <f>IFERROR(__xludf.DUMMYFUNCTION("IFNA(vlookup(H11,IMPORTRANGE(""1vUGwO1n0QQGx9kKbO0_M5gmuhXZ6-LaxQxgrmJnzgP0"",""'TP# look up'!A:C""),3,0),"""")"),"")</f>
        <v/>
      </c>
      <c r="AH11" s="49">
        <f>LEFT(J11,2)</f>
        <v/>
      </c>
    </row>
    <row r="12" hidden="1" ht="12.75" customHeight="1">
      <c r="A12" s="45">
        <f>IFERROR(__xludf.DUMMYFUNCTION("""COMPUTED_VALUE"""),"Colombo")</f>
        <v/>
      </c>
      <c r="B12" s="45" t="n"/>
      <c r="C12" s="45">
        <f>IFERROR(__xludf.DUMMYFUNCTION("""COMPUTED_VALUE"""),3231352)</f>
        <v/>
      </c>
      <c r="D12" s="45" t="n"/>
      <c r="E12" s="45">
        <f>IFERROR(__xludf.DUMMYFUNCTION("""COMPUTED_VALUE"""),"CFS")</f>
        <v/>
      </c>
      <c r="F12" s="45">
        <f>IFERROR(__xludf.DUMMYFUNCTION("""COMPUTED_VALUE"""),"MAS AMITY PTE LTD")</f>
        <v/>
      </c>
      <c r="G12" s="45">
        <f>IFERROR(__xludf.DUMMYFUNCTION("""COMPUTED_VALUE"""),"MAS Active (Pvt) Ltd – Sleekline")</f>
        <v/>
      </c>
      <c r="H12" s="43">
        <f>IFERROR(__xludf.DUMMYFUNCTION("""COMPUTED_VALUE"""),450577190165)</f>
        <v/>
      </c>
      <c r="I12" s="45">
        <f>IFERROR(__xludf.DUMMYFUNCTION("""COMPUTED_VALUE"""),19927181)</f>
        <v/>
      </c>
      <c r="J12" s="45">
        <f>IFERROR(__xludf.DUMMYFUNCTION("""COMPUTED_VALUE"""),"LM9AZ0S")</f>
        <v/>
      </c>
      <c r="K12" s="45">
        <f>IFERROR(__xludf.DUMMYFUNCTION("""COMPUTED_VALUE"""),"LM9AZ0S-032489")</f>
        <v/>
      </c>
      <c r="L12" s="45">
        <f>IFERROR(__xludf.DUMMYFUNCTION("""COMPUTED_VALUE"""),2)</f>
        <v/>
      </c>
      <c r="M12" s="45">
        <f>IFERROR(__xludf.DUMMYFUNCTION("""COMPUTED_VALUE"""),165)</f>
        <v/>
      </c>
      <c r="N12" s="45">
        <f>IFERROR(__xludf.DUMMYFUNCTION("""COMPUTED_VALUE"""),17.06)</f>
        <v/>
      </c>
      <c r="O12" s="45">
        <f>IFERROR(__xludf.DUMMYFUNCTION("""COMPUTED_VALUE"""),0.119)</f>
        <v/>
      </c>
      <c r="P12" s="45">
        <f>IFERROR(__xludf.DUMMYFUNCTION("""COMPUTED_VALUE"""),"Colombo, LK")</f>
        <v/>
      </c>
      <c r="Q12" s="45">
        <f>IFERROR(__xludf.DUMMYFUNCTION("""COMPUTED_VALUE"""),"New York, NY, US")</f>
        <v/>
      </c>
      <c r="R12" s="44">
        <f>IFERROR(__xludf.DUMMYFUNCTION("""COMPUTED_VALUE"""),45817)</f>
        <v/>
      </c>
      <c r="S12" s="44">
        <f>IFERROR(__xludf.DUMMYFUNCTION("""COMPUTED_VALUE"""),45876)</f>
        <v/>
      </c>
      <c r="T12" s="45">
        <f>IFERROR(__xludf.DUMMYFUNCTION("""COMPUTED_VALUE"""),"Mississauga, ON, CA")</f>
        <v/>
      </c>
      <c r="U12" s="45" t="n"/>
      <c r="V12" s="45" t="n"/>
      <c r="W12" s="45" t="n"/>
      <c r="X12" s="45" t="n"/>
      <c r="Y12" s="46">
        <f>IFERROR(__xludf.DUMMYFUNCTION("""COMPUTED_VALUE"""),45825)</f>
        <v/>
      </c>
      <c r="Z12" s="46">
        <f>IFERROR(__xludf.DUMMYFUNCTION("""COMPUTED_VALUE"""),45854)</f>
        <v/>
      </c>
      <c r="AA12" s="46">
        <f>IFERROR(__xludf.DUMMYFUNCTION("""COMPUTED_VALUE"""),45867)</f>
        <v/>
      </c>
      <c r="AB12" s="45">
        <f>IFERROR(__xludf.DUMMYFUNCTION("""COMPUTED_VALUE"""),"3500 Argentia Road")</f>
        <v/>
      </c>
      <c r="AC12" s="45" t="n"/>
      <c r="AD12" s="45">
        <f>IFERROR(__xludf.DUMMYFUNCTION("""COMPUTED_VALUE"""),"OCEAN")</f>
        <v/>
      </c>
      <c r="AE12" s="45">
        <f>IFERROR(__xludf.DUMMYFUNCTION("""COMPUTED_VALUE"""),"N")</f>
        <v/>
      </c>
      <c r="AF12" s="45" t="n"/>
      <c r="AG12" s="49">
        <f>IFERROR(__xludf.DUMMYFUNCTION("IFNA(vlookup(H12,IMPORTRANGE(""1vUGwO1n0QQGx9kKbO0_M5gmuhXZ6-LaxQxgrmJnzgP0"",""'TP# look up'!A:C""),3,0),"""")"),"")</f>
        <v/>
      </c>
      <c r="AH12" s="49">
        <f>LEFT(J12,2)</f>
        <v/>
      </c>
    </row>
    <row r="13" hidden="1" ht="12.75" customHeight="1">
      <c r="A13" s="45">
        <f>IFERROR(__xludf.DUMMYFUNCTION("""COMPUTED_VALUE"""),"Colombo")</f>
        <v/>
      </c>
      <c r="B13" s="45" t="n"/>
      <c r="C13" s="45">
        <f>IFERROR(__xludf.DUMMYFUNCTION("""COMPUTED_VALUE"""),3231352)</f>
        <v/>
      </c>
      <c r="D13" s="45" t="n"/>
      <c r="E13" s="45">
        <f>IFERROR(__xludf.DUMMYFUNCTION("""COMPUTED_VALUE"""),"CFS")</f>
        <v/>
      </c>
      <c r="F13" s="45">
        <f>IFERROR(__xludf.DUMMYFUNCTION("""COMPUTED_VALUE"""),"MAS AMITY PTE LTD")</f>
        <v/>
      </c>
      <c r="G13" s="45">
        <f>IFERROR(__xludf.DUMMYFUNCTION("""COMPUTED_VALUE"""),"MAS Active (Pvt) Ltd – Sleekline")</f>
        <v/>
      </c>
      <c r="H13" s="43">
        <f>IFERROR(__xludf.DUMMYFUNCTION("""COMPUTED_VALUE"""),450579067864)</f>
        <v/>
      </c>
      <c r="I13" s="45">
        <f>IFERROR(__xludf.DUMMYFUNCTION("""COMPUTED_VALUE"""),19940580)</f>
        <v/>
      </c>
      <c r="J13" s="45">
        <f>IFERROR(__xludf.DUMMYFUNCTION("""COMPUTED_VALUE"""),"LM9AZ0S")</f>
        <v/>
      </c>
      <c r="K13" s="45">
        <f>IFERROR(__xludf.DUMMYFUNCTION("""COMPUTED_VALUE"""),"LM9AZ0S-032489")</f>
        <v/>
      </c>
      <c r="L13" s="45">
        <f>IFERROR(__xludf.DUMMYFUNCTION("""COMPUTED_VALUE"""),1)</f>
        <v/>
      </c>
      <c r="M13" s="45">
        <f>IFERROR(__xludf.DUMMYFUNCTION("""COMPUTED_VALUE"""),62)</f>
        <v/>
      </c>
      <c r="N13" s="45">
        <f>IFERROR(__xludf.DUMMYFUNCTION("""COMPUTED_VALUE"""),6.76)</f>
        <v/>
      </c>
      <c r="O13" s="45">
        <f>IFERROR(__xludf.DUMMYFUNCTION("""COMPUTED_VALUE"""),0.079)</f>
        <v/>
      </c>
      <c r="P13" s="45">
        <f>IFERROR(__xludf.DUMMYFUNCTION("""COMPUTED_VALUE"""),"Colombo, LK")</f>
        <v/>
      </c>
      <c r="Q13" s="45">
        <f>IFERROR(__xludf.DUMMYFUNCTION("""COMPUTED_VALUE"""),"New York, NY, US")</f>
        <v/>
      </c>
      <c r="R13" s="44">
        <f>IFERROR(__xludf.DUMMYFUNCTION("""COMPUTED_VALUE"""),45817)</f>
        <v/>
      </c>
      <c r="S13" s="44">
        <f>IFERROR(__xludf.DUMMYFUNCTION("""COMPUTED_VALUE"""),45876)</f>
        <v/>
      </c>
      <c r="T13" s="45">
        <f>IFERROR(__xludf.DUMMYFUNCTION("""COMPUTED_VALUE"""),"Mississauga, ON, CA")</f>
        <v/>
      </c>
      <c r="U13" s="45" t="n"/>
      <c r="V13" s="45" t="n"/>
      <c r="W13" s="45" t="n"/>
      <c r="X13" s="45" t="n"/>
      <c r="Y13" s="46">
        <f>IFERROR(__xludf.DUMMYFUNCTION("""COMPUTED_VALUE"""),45825)</f>
        <v/>
      </c>
      <c r="Z13" s="46">
        <f>IFERROR(__xludf.DUMMYFUNCTION("""COMPUTED_VALUE"""),45854)</f>
        <v/>
      </c>
      <c r="AA13" s="46">
        <f>IFERROR(__xludf.DUMMYFUNCTION("""COMPUTED_VALUE"""),45867)</f>
        <v/>
      </c>
      <c r="AB13" s="45">
        <f>IFERROR(__xludf.DUMMYFUNCTION("""COMPUTED_VALUE"""),"3500 Argentia Road")</f>
        <v/>
      </c>
      <c r="AC13" s="45" t="n"/>
      <c r="AD13" s="45">
        <f>IFERROR(__xludf.DUMMYFUNCTION("""COMPUTED_VALUE"""),"OCEAN")</f>
        <v/>
      </c>
      <c r="AE13" s="45">
        <f>IFERROR(__xludf.DUMMYFUNCTION("""COMPUTED_VALUE"""),"N")</f>
        <v/>
      </c>
      <c r="AF13" s="45" t="n"/>
      <c r="AG13" s="49">
        <f>IFERROR(__xludf.DUMMYFUNCTION("IFNA(vlookup(H13,IMPORTRANGE(""1vUGwO1n0QQGx9kKbO0_M5gmuhXZ6-LaxQxgrmJnzgP0"",""'TP# look up'!A:C""),3,0),"""")"),"")</f>
        <v/>
      </c>
      <c r="AH13" s="49">
        <f>LEFT(J13,2)</f>
        <v/>
      </c>
    </row>
    <row r="14" hidden="1" ht="12.75" customHeight="1">
      <c r="A14" s="45">
        <f>IFERROR(__xludf.DUMMYFUNCTION("""COMPUTED_VALUE"""),"Colombo")</f>
        <v/>
      </c>
      <c r="B14" s="45" t="n"/>
      <c r="C14" s="45">
        <f>IFERROR(__xludf.DUMMYFUNCTION("""COMPUTED_VALUE"""),3231352)</f>
        <v/>
      </c>
      <c r="D14" s="45" t="n"/>
      <c r="E14" s="45">
        <f>IFERROR(__xludf.DUMMYFUNCTION("""COMPUTED_VALUE"""),"CFS")</f>
        <v/>
      </c>
      <c r="F14" s="45">
        <f>IFERROR(__xludf.DUMMYFUNCTION("""COMPUTED_VALUE"""),"MAS AMITY PTE LTD")</f>
        <v/>
      </c>
      <c r="G14" s="45">
        <f>IFERROR(__xludf.DUMMYFUNCTION("""COMPUTED_VALUE"""),"MAS Active (Pvt) Ltd – Sleekline")</f>
        <v/>
      </c>
      <c r="H14" s="43">
        <f>IFERROR(__xludf.DUMMYFUNCTION("""COMPUTED_VALUE"""),450579629885)</f>
        <v/>
      </c>
      <c r="I14" s="45">
        <f>IFERROR(__xludf.DUMMYFUNCTION("""COMPUTED_VALUE"""),19940654)</f>
        <v/>
      </c>
      <c r="J14" s="45">
        <f>IFERROR(__xludf.DUMMYFUNCTION("""COMPUTED_VALUE"""),"LM9AN8S")</f>
        <v/>
      </c>
      <c r="K14" s="45">
        <f>IFERROR(__xludf.DUMMYFUNCTION("""COMPUTED_VALUE"""),"LM9AN8S-045060")</f>
        <v/>
      </c>
      <c r="L14" s="45">
        <f>IFERROR(__xludf.DUMMYFUNCTION("""COMPUTED_VALUE"""),3)</f>
        <v/>
      </c>
      <c r="M14" s="45">
        <f>IFERROR(__xludf.DUMMYFUNCTION("""COMPUTED_VALUE"""),134)</f>
        <v/>
      </c>
      <c r="N14" s="45">
        <f>IFERROR(__xludf.DUMMYFUNCTION("""COMPUTED_VALUE"""),40.99)</f>
        <v/>
      </c>
      <c r="O14" s="45">
        <f>IFERROR(__xludf.DUMMYFUNCTION("""COMPUTED_VALUE"""),0.238)</f>
        <v/>
      </c>
      <c r="P14" s="45">
        <f>IFERROR(__xludf.DUMMYFUNCTION("""COMPUTED_VALUE"""),"Colombo, LK")</f>
        <v/>
      </c>
      <c r="Q14" s="45">
        <f>IFERROR(__xludf.DUMMYFUNCTION("""COMPUTED_VALUE"""),"New York, NY, US")</f>
        <v/>
      </c>
      <c r="R14" s="44">
        <f>IFERROR(__xludf.DUMMYFUNCTION("""COMPUTED_VALUE"""),45817)</f>
        <v/>
      </c>
      <c r="S14" s="44">
        <f>IFERROR(__xludf.DUMMYFUNCTION("""COMPUTED_VALUE"""),45876)</f>
        <v/>
      </c>
      <c r="T14" s="45">
        <f>IFERROR(__xludf.DUMMYFUNCTION("""COMPUTED_VALUE"""),"Mississauga, ON, CA")</f>
        <v/>
      </c>
      <c r="U14" s="45" t="n"/>
      <c r="V14" s="45" t="n"/>
      <c r="W14" s="45" t="n"/>
      <c r="X14" s="45" t="n"/>
      <c r="Y14" s="46">
        <f>IFERROR(__xludf.DUMMYFUNCTION("""COMPUTED_VALUE"""),45825)</f>
        <v/>
      </c>
      <c r="Z14" s="46">
        <f>IFERROR(__xludf.DUMMYFUNCTION("""COMPUTED_VALUE"""),45854)</f>
        <v/>
      </c>
      <c r="AA14" s="46">
        <f>IFERROR(__xludf.DUMMYFUNCTION("""COMPUTED_VALUE"""),45867)</f>
        <v/>
      </c>
      <c r="AB14" s="45">
        <f>IFERROR(__xludf.DUMMYFUNCTION("""COMPUTED_VALUE"""),"3500 Argentia Road")</f>
        <v/>
      </c>
      <c r="AC14" s="45" t="n"/>
      <c r="AD14" s="45">
        <f>IFERROR(__xludf.DUMMYFUNCTION("""COMPUTED_VALUE"""),"OCEAN")</f>
        <v/>
      </c>
      <c r="AE14" s="45">
        <f>IFERROR(__xludf.DUMMYFUNCTION("""COMPUTED_VALUE"""),"N")</f>
        <v/>
      </c>
      <c r="AF14" s="45" t="n"/>
      <c r="AG14" s="49">
        <f>IFERROR(__xludf.DUMMYFUNCTION("IFNA(vlookup(H14,IMPORTRANGE(""1vUGwO1n0QQGx9kKbO0_M5gmuhXZ6-LaxQxgrmJnzgP0"",""'TP# look up'!A:C""),3,0),"""")"),"")</f>
        <v/>
      </c>
      <c r="AH14" s="49">
        <f>LEFT(J14,2)</f>
        <v/>
      </c>
    </row>
    <row r="15" hidden="1" ht="12.75" customHeight="1">
      <c r="A15" s="45">
        <f>IFERROR(__xludf.DUMMYFUNCTION("""COMPUTED_VALUE"""),"Colombo")</f>
        <v/>
      </c>
      <c r="B15" s="45" t="n"/>
      <c r="C15" s="45">
        <f>IFERROR(__xludf.DUMMYFUNCTION("""COMPUTED_VALUE"""),3231352)</f>
        <v/>
      </c>
      <c r="D15" s="45" t="n"/>
      <c r="E15" s="45">
        <f>IFERROR(__xludf.DUMMYFUNCTION("""COMPUTED_VALUE"""),"CFS")</f>
        <v/>
      </c>
      <c r="F15" s="45">
        <f>IFERROR(__xludf.DUMMYFUNCTION("""COMPUTED_VALUE"""),"Inqube Global (PVT) Ltd")</f>
        <v/>
      </c>
      <c r="G15" s="45">
        <f>IFERROR(__xludf.DUMMYFUNCTION("""COMPUTED_VALUE"""),"BRANDIX APPAREL SOLUTION LTD - GIRITALE")</f>
        <v/>
      </c>
      <c r="H15" s="43">
        <f>IFERROR(__xludf.DUMMYFUNCTION("""COMPUTED_VALUE"""),450934477140)</f>
        <v/>
      </c>
      <c r="I15" s="45">
        <f>IFERROR(__xludf.DUMMYFUNCTION("""COMPUTED_VALUE"""),19822623)</f>
        <v/>
      </c>
      <c r="J15" s="45">
        <f>IFERROR(__xludf.DUMMYFUNCTION("""COMPUTED_VALUE"""),"LM5AO1S")</f>
        <v/>
      </c>
      <c r="K15" s="45">
        <f>IFERROR(__xludf.DUMMYFUNCTION("""COMPUTED_VALUE"""),"LM5AO1S-043731")</f>
        <v/>
      </c>
      <c r="L15" s="45">
        <f>IFERROR(__xludf.DUMMYFUNCTION("""COMPUTED_VALUE"""),2)</f>
        <v/>
      </c>
      <c r="M15" s="45">
        <f>IFERROR(__xludf.DUMMYFUNCTION("""COMPUTED_VALUE"""),71)</f>
        <v/>
      </c>
      <c r="N15" s="45">
        <f>IFERROR(__xludf.DUMMYFUNCTION("""COMPUTED_VALUE"""),33.12)</f>
        <v/>
      </c>
      <c r="O15" s="45">
        <f>IFERROR(__xludf.DUMMYFUNCTION("""COMPUTED_VALUE"""),0.165)</f>
        <v/>
      </c>
      <c r="P15" s="45">
        <f>IFERROR(__xludf.DUMMYFUNCTION("""COMPUTED_VALUE"""),"Colombo, LK")</f>
        <v/>
      </c>
      <c r="Q15" s="45">
        <f>IFERROR(__xludf.DUMMYFUNCTION("""COMPUTED_VALUE"""),"New York, NY, US")</f>
        <v/>
      </c>
      <c r="R15" s="44">
        <f>IFERROR(__xludf.DUMMYFUNCTION("""COMPUTED_VALUE"""),45817)</f>
        <v/>
      </c>
      <c r="S15" s="44">
        <f>IFERROR(__xludf.DUMMYFUNCTION("""COMPUTED_VALUE"""),45876)</f>
        <v/>
      </c>
      <c r="T15" s="45">
        <f>IFERROR(__xludf.DUMMYFUNCTION("""COMPUTED_VALUE"""),"Milton, ON, CA")</f>
        <v/>
      </c>
      <c r="U15" s="45" t="n"/>
      <c r="V15" s="45" t="n"/>
      <c r="W15" s="45" t="n"/>
      <c r="X15" s="45" t="n"/>
      <c r="Y15" s="46">
        <f>IFERROR(__xludf.DUMMYFUNCTION("""COMPUTED_VALUE"""),45825)</f>
        <v/>
      </c>
      <c r="Z15" s="46">
        <f>IFERROR(__xludf.DUMMYFUNCTION("""COMPUTED_VALUE"""),45854)</f>
        <v/>
      </c>
      <c r="AA15" s="46">
        <f>IFERROR(__xludf.DUMMYFUNCTION("""COMPUTED_VALUE"""),45867)</f>
        <v/>
      </c>
      <c r="AB15" s="45">
        <f>IFERROR(__xludf.DUMMYFUNCTION("""COMPUTED_VALUE"""),"7211 Fifth Line")</f>
        <v/>
      </c>
      <c r="AC15" s="45" t="n"/>
      <c r="AD15" s="45">
        <f>IFERROR(__xludf.DUMMYFUNCTION("""COMPUTED_VALUE"""),"OCEAN")</f>
        <v/>
      </c>
      <c r="AE15" s="45">
        <f>IFERROR(__xludf.DUMMYFUNCTION("""COMPUTED_VALUE"""),"N")</f>
        <v/>
      </c>
      <c r="AF15" s="45" t="n"/>
      <c r="AG15" s="49">
        <f>IFERROR(__xludf.DUMMYFUNCTION("IFNA(vlookup(H15,IMPORTRANGE(""1vUGwO1n0QQGx9kKbO0_M5gmuhXZ6-LaxQxgrmJnzgP0"",""'TP# look up'!A:C""),3,0),"""")"),"")</f>
        <v/>
      </c>
      <c r="AH15" s="49">
        <f>LEFT(J15,2)</f>
        <v/>
      </c>
    </row>
    <row r="16" hidden="1" ht="12.75" customHeight="1">
      <c r="A16" s="45">
        <f>IFERROR(__xludf.DUMMYFUNCTION("""COMPUTED_VALUE"""),"Colombo")</f>
        <v/>
      </c>
      <c r="B16" s="45" t="n"/>
      <c r="C16" s="45">
        <f>IFERROR(__xludf.DUMMYFUNCTION("""COMPUTED_VALUE"""),3231352)</f>
        <v/>
      </c>
      <c r="D16" s="45" t="n"/>
      <c r="E16" s="45">
        <f>IFERROR(__xludf.DUMMYFUNCTION("""COMPUTED_VALUE"""),"CFS")</f>
        <v/>
      </c>
      <c r="F16" s="45">
        <f>IFERROR(__xludf.DUMMYFUNCTION("""COMPUTED_VALUE"""),"Inqube Global (PVT) Ltd")</f>
        <v/>
      </c>
      <c r="G16" s="45">
        <f>IFERROR(__xludf.DUMMYFUNCTION("""COMPUTED_VALUE"""),"BRANDIX APPAREL SOLUTION LTD - GIRITALE")</f>
        <v/>
      </c>
      <c r="H16" s="43">
        <f>IFERROR(__xludf.DUMMYFUNCTION("""COMPUTED_VALUE"""),450939506553)</f>
        <v/>
      </c>
      <c r="I16" s="45">
        <f>IFERROR(__xludf.DUMMYFUNCTION("""COMPUTED_VALUE"""),19855627)</f>
        <v/>
      </c>
      <c r="J16" s="45">
        <f>IFERROR(__xludf.DUMMYFUNCTION("""COMPUTED_VALUE"""),"LM5AQ9S")</f>
        <v/>
      </c>
      <c r="K16" s="45">
        <f>IFERROR(__xludf.DUMMYFUNCTION("""COMPUTED_VALUE"""),"LM5AQ9S-029283")</f>
        <v/>
      </c>
      <c r="L16" s="45">
        <f>IFERROR(__xludf.DUMMYFUNCTION("""COMPUTED_VALUE"""),1)</f>
        <v/>
      </c>
      <c r="M16" s="45">
        <f>IFERROR(__xludf.DUMMYFUNCTION("""COMPUTED_VALUE"""),40)</f>
        <v/>
      </c>
      <c r="N16" s="45">
        <f>IFERROR(__xludf.DUMMYFUNCTION("""COMPUTED_VALUE"""),19.96)</f>
        <v/>
      </c>
      <c r="O16" s="45">
        <f>IFERROR(__xludf.DUMMYFUNCTION("""COMPUTED_VALUE"""),0.083)</f>
        <v/>
      </c>
      <c r="P16" s="45">
        <f>IFERROR(__xludf.DUMMYFUNCTION("""COMPUTED_VALUE"""),"Colombo, LK")</f>
        <v/>
      </c>
      <c r="Q16" s="45">
        <f>IFERROR(__xludf.DUMMYFUNCTION("""COMPUTED_VALUE"""),"New York, NY, US")</f>
        <v/>
      </c>
      <c r="R16" s="44">
        <f>IFERROR(__xludf.DUMMYFUNCTION("""COMPUTED_VALUE"""),45817)</f>
        <v/>
      </c>
      <c r="S16" s="44">
        <f>IFERROR(__xludf.DUMMYFUNCTION("""COMPUTED_VALUE"""),45876)</f>
        <v/>
      </c>
      <c r="T16" s="45">
        <f>IFERROR(__xludf.DUMMYFUNCTION("""COMPUTED_VALUE"""),"Mississauga, ON, CA")</f>
        <v/>
      </c>
      <c r="U16" s="45" t="n"/>
      <c r="V16" s="45" t="n"/>
      <c r="W16" s="45" t="n"/>
      <c r="X16" s="45" t="n"/>
      <c r="Y16" s="46">
        <f>IFERROR(__xludf.DUMMYFUNCTION("""COMPUTED_VALUE"""),45825)</f>
        <v/>
      </c>
      <c r="Z16" s="46">
        <f>IFERROR(__xludf.DUMMYFUNCTION("""COMPUTED_VALUE"""),45854)</f>
        <v/>
      </c>
      <c r="AA16" s="46">
        <f>IFERROR(__xludf.DUMMYFUNCTION("""COMPUTED_VALUE"""),45867)</f>
        <v/>
      </c>
      <c r="AB16" s="45">
        <f>IFERROR(__xludf.DUMMYFUNCTION("""COMPUTED_VALUE"""),"3500 Argentia Road")</f>
        <v/>
      </c>
      <c r="AC16" s="45" t="n"/>
      <c r="AD16" s="45">
        <f>IFERROR(__xludf.DUMMYFUNCTION("""COMPUTED_VALUE"""),"OCEAN")</f>
        <v/>
      </c>
      <c r="AE16" s="45">
        <f>IFERROR(__xludf.DUMMYFUNCTION("""COMPUTED_VALUE"""),"N")</f>
        <v/>
      </c>
      <c r="AF16" s="45" t="n"/>
      <c r="AG16" s="49">
        <f>IFERROR(__xludf.DUMMYFUNCTION("IFNA(vlookup(H16,IMPORTRANGE(""1vUGwO1n0QQGx9kKbO0_M5gmuhXZ6-LaxQxgrmJnzgP0"",""'TP# look up'!A:C""),3,0),"""")"),"")</f>
        <v/>
      </c>
      <c r="AH16" s="49">
        <f>LEFT(J16,2)</f>
        <v/>
      </c>
    </row>
    <row r="17" hidden="1" ht="12.75" customHeight="1">
      <c r="A17" s="45">
        <f>IFERROR(__xludf.DUMMYFUNCTION("""COMPUTED_VALUE"""),"Colombo")</f>
        <v/>
      </c>
      <c r="B17" s="45" t="n"/>
      <c r="C17" s="45">
        <f>IFERROR(__xludf.DUMMYFUNCTION("""COMPUTED_VALUE"""),3231352)</f>
        <v/>
      </c>
      <c r="D17" s="45" t="n"/>
      <c r="E17" s="45">
        <f>IFERROR(__xludf.DUMMYFUNCTION("""COMPUTED_VALUE"""),"CFS")</f>
        <v/>
      </c>
      <c r="F17" s="45">
        <f>IFERROR(__xludf.DUMMYFUNCTION("""COMPUTED_VALUE"""),"Inqube Global (PVT) Ltd")</f>
        <v/>
      </c>
      <c r="G17" s="45">
        <f>IFERROR(__xludf.DUMMYFUNCTION("""COMPUTED_VALUE"""),"BRANDIX APPAREL SOLUTION LTD - GIRITALE")</f>
        <v/>
      </c>
      <c r="H17" s="43">
        <f>IFERROR(__xludf.DUMMYFUNCTION("""COMPUTED_VALUE"""),450941696112)</f>
        <v/>
      </c>
      <c r="I17" s="45">
        <f>IFERROR(__xludf.DUMMYFUNCTION("""COMPUTED_VALUE"""),19855930)</f>
        <v/>
      </c>
      <c r="J17" s="45">
        <f>IFERROR(__xludf.DUMMYFUNCTION("""COMPUTED_VALUE"""),"LM5AQ9S")</f>
        <v/>
      </c>
      <c r="K17" s="45">
        <f>IFERROR(__xludf.DUMMYFUNCTION("""COMPUTED_VALUE"""),"LM5AQ9S-029283")</f>
        <v/>
      </c>
      <c r="L17" s="45">
        <f>IFERROR(__xludf.DUMMYFUNCTION("""COMPUTED_VALUE"""),7)</f>
        <v/>
      </c>
      <c r="M17" s="45">
        <f>IFERROR(__xludf.DUMMYFUNCTION("""COMPUTED_VALUE"""),178)</f>
        <v/>
      </c>
      <c r="N17" s="45">
        <f>IFERROR(__xludf.DUMMYFUNCTION("""COMPUTED_VALUE"""),90.37)</f>
        <v/>
      </c>
      <c r="O17" s="45">
        <f>IFERROR(__xludf.DUMMYFUNCTION("""COMPUTED_VALUE"""),0.418)</f>
        <v/>
      </c>
      <c r="P17" s="45">
        <f>IFERROR(__xludf.DUMMYFUNCTION("""COMPUTED_VALUE"""),"Colombo, LK")</f>
        <v/>
      </c>
      <c r="Q17" s="45">
        <f>IFERROR(__xludf.DUMMYFUNCTION("""COMPUTED_VALUE"""),"New York, NY, US")</f>
        <v/>
      </c>
      <c r="R17" s="44">
        <f>IFERROR(__xludf.DUMMYFUNCTION("""COMPUTED_VALUE"""),45817)</f>
        <v/>
      </c>
      <c r="S17" s="44">
        <f>IFERROR(__xludf.DUMMYFUNCTION("""COMPUTED_VALUE"""),45876)</f>
        <v/>
      </c>
      <c r="T17" s="45">
        <f>IFERROR(__xludf.DUMMYFUNCTION("""COMPUTED_VALUE"""),"Mississauga, ON, CA")</f>
        <v/>
      </c>
      <c r="U17" s="45" t="n"/>
      <c r="V17" s="45" t="n"/>
      <c r="W17" s="45" t="n"/>
      <c r="X17" s="45" t="n"/>
      <c r="Y17" s="46">
        <f>IFERROR(__xludf.DUMMYFUNCTION("""COMPUTED_VALUE"""),45825)</f>
        <v/>
      </c>
      <c r="Z17" s="46">
        <f>IFERROR(__xludf.DUMMYFUNCTION("""COMPUTED_VALUE"""),45854)</f>
        <v/>
      </c>
      <c r="AA17" s="46">
        <f>IFERROR(__xludf.DUMMYFUNCTION("""COMPUTED_VALUE"""),45867)</f>
        <v/>
      </c>
      <c r="AB17" s="45">
        <f>IFERROR(__xludf.DUMMYFUNCTION("""COMPUTED_VALUE"""),"3500 Argentia Road")</f>
        <v/>
      </c>
      <c r="AC17" s="45" t="n"/>
      <c r="AD17" s="45">
        <f>IFERROR(__xludf.DUMMYFUNCTION("""COMPUTED_VALUE"""),"OCEAN")</f>
        <v/>
      </c>
      <c r="AE17" s="45">
        <f>IFERROR(__xludf.DUMMYFUNCTION("""COMPUTED_VALUE"""),"N")</f>
        <v/>
      </c>
      <c r="AF17" s="45" t="n"/>
      <c r="AG17" s="49">
        <f>IFERROR(__xludf.DUMMYFUNCTION("IFNA(vlookup(H17,IMPORTRANGE(""1vUGwO1n0QQGx9kKbO0_M5gmuhXZ6-LaxQxgrmJnzgP0"",""'TP# look up'!A:C""),3,0),"""")"),"")</f>
        <v/>
      </c>
      <c r="AH17" s="49">
        <f>LEFT(J17,2)</f>
        <v/>
      </c>
    </row>
    <row r="18" hidden="1" ht="12.75" customHeight="1">
      <c r="A18" s="45">
        <f>IFERROR(__xludf.DUMMYFUNCTION("""COMPUTED_VALUE"""),"Colombo")</f>
        <v/>
      </c>
      <c r="B18" s="45" t="n"/>
      <c r="C18" s="45">
        <f>IFERROR(__xludf.DUMMYFUNCTION("""COMPUTED_VALUE"""),3231352)</f>
        <v/>
      </c>
      <c r="D18" s="45" t="n"/>
      <c r="E18" s="45">
        <f>IFERROR(__xludf.DUMMYFUNCTION("""COMPUTED_VALUE"""),"CFS")</f>
        <v/>
      </c>
      <c r="F18" s="45">
        <f>IFERROR(__xludf.DUMMYFUNCTION("""COMPUTED_VALUE"""),"Inqube Global (PVT) Ltd")</f>
        <v/>
      </c>
      <c r="G18" s="45">
        <f>IFERROR(__xludf.DUMMYFUNCTION("""COMPUTED_VALUE"""),"BRANDIX APPAREL SOLUTION LTD - GIRITALE")</f>
        <v/>
      </c>
      <c r="H18" s="43">
        <f>IFERROR(__xludf.DUMMYFUNCTION("""COMPUTED_VALUE"""),450942425399)</f>
        <v/>
      </c>
      <c r="I18" s="45">
        <f>IFERROR(__xludf.DUMMYFUNCTION("""COMPUTED_VALUE"""),19855635)</f>
        <v/>
      </c>
      <c r="J18" s="45">
        <f>IFERROR(__xludf.DUMMYFUNCTION("""COMPUTED_VALUE"""),"LM5AQ9S")</f>
        <v/>
      </c>
      <c r="K18" s="45">
        <f>IFERROR(__xludf.DUMMYFUNCTION("""COMPUTED_VALUE"""),"LM5AQ9S-031382")</f>
        <v/>
      </c>
      <c r="L18" s="45">
        <f>IFERROR(__xludf.DUMMYFUNCTION("""COMPUTED_VALUE"""),9)</f>
        <v/>
      </c>
      <c r="M18" s="45">
        <f>IFERROR(__xludf.DUMMYFUNCTION("""COMPUTED_VALUE"""),155)</f>
        <v/>
      </c>
      <c r="N18" s="45">
        <f>IFERROR(__xludf.DUMMYFUNCTION("""COMPUTED_VALUE"""),81.15)</f>
        <v/>
      </c>
      <c r="O18" s="45">
        <f>IFERROR(__xludf.DUMMYFUNCTION("""COMPUTED_VALUE"""),0.423)</f>
        <v/>
      </c>
      <c r="P18" s="45">
        <f>IFERROR(__xludf.DUMMYFUNCTION("""COMPUTED_VALUE"""),"Colombo, LK")</f>
        <v/>
      </c>
      <c r="Q18" s="45">
        <f>IFERROR(__xludf.DUMMYFUNCTION("""COMPUTED_VALUE"""),"New York, NY, US")</f>
        <v/>
      </c>
      <c r="R18" s="44">
        <f>IFERROR(__xludf.DUMMYFUNCTION("""COMPUTED_VALUE"""),45817)</f>
        <v/>
      </c>
      <c r="S18" s="44">
        <f>IFERROR(__xludf.DUMMYFUNCTION("""COMPUTED_VALUE"""),45876)</f>
        <v/>
      </c>
      <c r="T18" s="45">
        <f>IFERROR(__xludf.DUMMYFUNCTION("""COMPUTED_VALUE"""),"Milton, ON, CA")</f>
        <v/>
      </c>
      <c r="U18" s="45" t="n"/>
      <c r="V18" s="45" t="n"/>
      <c r="W18" s="45" t="n"/>
      <c r="X18" s="45" t="n"/>
      <c r="Y18" s="46">
        <f>IFERROR(__xludf.DUMMYFUNCTION("""COMPUTED_VALUE"""),45825)</f>
        <v/>
      </c>
      <c r="Z18" s="46">
        <f>IFERROR(__xludf.DUMMYFUNCTION("""COMPUTED_VALUE"""),45854)</f>
        <v/>
      </c>
      <c r="AA18" s="46">
        <f>IFERROR(__xludf.DUMMYFUNCTION("""COMPUTED_VALUE"""),45867)</f>
        <v/>
      </c>
      <c r="AB18" s="45">
        <f>IFERROR(__xludf.DUMMYFUNCTION("""COMPUTED_VALUE"""),"7211 Fifth Line")</f>
        <v/>
      </c>
      <c r="AC18" s="45" t="n"/>
      <c r="AD18" s="45">
        <f>IFERROR(__xludf.DUMMYFUNCTION("""COMPUTED_VALUE"""),"OCEAN")</f>
        <v/>
      </c>
      <c r="AE18" s="45">
        <f>IFERROR(__xludf.DUMMYFUNCTION("""COMPUTED_VALUE"""),"N")</f>
        <v/>
      </c>
      <c r="AF18" s="45" t="n"/>
      <c r="AG18" s="49">
        <f>IFERROR(__xludf.DUMMYFUNCTION("IFNA(vlookup(H18,IMPORTRANGE(""1vUGwO1n0QQGx9kKbO0_M5gmuhXZ6-LaxQxgrmJnzgP0"",""'TP# look up'!A:C""),3,0),"""")"),"")</f>
        <v/>
      </c>
      <c r="AH18" s="49">
        <f>LEFT(J18,2)</f>
        <v/>
      </c>
    </row>
    <row r="19" hidden="1" ht="12.75" customHeight="1">
      <c r="A19" s="45">
        <f>IFERROR(__xludf.DUMMYFUNCTION("""COMPUTED_VALUE"""),"Colombo")</f>
        <v/>
      </c>
      <c r="B19" s="45" t="n"/>
      <c r="C19" s="45">
        <f>IFERROR(__xludf.DUMMYFUNCTION("""COMPUTED_VALUE"""),3231352)</f>
        <v/>
      </c>
      <c r="D19" s="45" t="n"/>
      <c r="E19" s="45">
        <f>IFERROR(__xludf.DUMMYFUNCTION("""COMPUTED_VALUE"""),"CFS")</f>
        <v/>
      </c>
      <c r="F19" s="45">
        <f>IFERROR(__xludf.DUMMYFUNCTION("""COMPUTED_VALUE"""),"Inqube Global (PVT) Ltd")</f>
        <v/>
      </c>
      <c r="G19" s="45">
        <f>IFERROR(__xludf.DUMMYFUNCTION("""COMPUTED_VALUE"""),"Brandix Apparel Solutions Limited - Minuwangoda")</f>
        <v/>
      </c>
      <c r="H19" s="43">
        <f>IFERROR(__xludf.DUMMYFUNCTION("""COMPUTED_VALUE"""),450837918280)</f>
        <v/>
      </c>
      <c r="I19" s="45">
        <f>IFERROR(__xludf.DUMMYFUNCTION("""COMPUTED_VALUE"""),19897579)</f>
        <v/>
      </c>
      <c r="J19" s="45">
        <f>IFERROR(__xludf.DUMMYFUNCTION("""COMPUTED_VALUE"""),"LW3IG8S")</f>
        <v/>
      </c>
      <c r="K19" s="45">
        <f>IFERROR(__xludf.DUMMYFUNCTION("""COMPUTED_VALUE"""),"LW3IG8S-032493")</f>
        <v/>
      </c>
      <c r="L19" s="45">
        <f>IFERROR(__xludf.DUMMYFUNCTION("""COMPUTED_VALUE"""),13)</f>
        <v/>
      </c>
      <c r="M19" s="45">
        <f>IFERROR(__xludf.DUMMYFUNCTION("""COMPUTED_VALUE"""),227)</f>
        <v/>
      </c>
      <c r="N19" s="45">
        <f>IFERROR(__xludf.DUMMYFUNCTION("""COMPUTED_VALUE"""),152.07)</f>
        <v/>
      </c>
      <c r="O19" s="45">
        <f>IFERROR(__xludf.DUMMYFUNCTION("""COMPUTED_VALUE"""),1.021)</f>
        <v/>
      </c>
      <c r="P19" s="45">
        <f>IFERROR(__xludf.DUMMYFUNCTION("""COMPUTED_VALUE"""),"Colombo, LK")</f>
        <v/>
      </c>
      <c r="Q19" s="45">
        <f>IFERROR(__xludf.DUMMYFUNCTION("""COMPUTED_VALUE"""),"New York, NY, US")</f>
        <v/>
      </c>
      <c r="R19" s="44">
        <f>IFERROR(__xludf.DUMMYFUNCTION("""COMPUTED_VALUE"""),45817)</f>
        <v/>
      </c>
      <c r="S19" s="44">
        <f>IFERROR(__xludf.DUMMYFUNCTION("""COMPUTED_VALUE"""),45876)</f>
        <v/>
      </c>
      <c r="T19" s="45">
        <f>IFERROR(__xludf.DUMMYFUNCTION("""COMPUTED_VALUE"""),"Milton, ON, CA")</f>
        <v/>
      </c>
      <c r="U19" s="45" t="n"/>
      <c r="V19" s="45" t="n"/>
      <c r="W19" s="45" t="n"/>
      <c r="X19" s="45" t="n"/>
      <c r="Y19" s="46">
        <f>IFERROR(__xludf.DUMMYFUNCTION("""COMPUTED_VALUE"""),45825)</f>
        <v/>
      </c>
      <c r="Z19" s="46">
        <f>IFERROR(__xludf.DUMMYFUNCTION("""COMPUTED_VALUE"""),45854)</f>
        <v/>
      </c>
      <c r="AA19" s="46">
        <f>IFERROR(__xludf.DUMMYFUNCTION("""COMPUTED_VALUE"""),45867)</f>
        <v/>
      </c>
      <c r="AB19" s="45">
        <f>IFERROR(__xludf.DUMMYFUNCTION("""COMPUTED_VALUE"""),"7211 Fifth Line")</f>
        <v/>
      </c>
      <c r="AC19" s="45" t="n"/>
      <c r="AD19" s="45">
        <f>IFERROR(__xludf.DUMMYFUNCTION("""COMPUTED_VALUE"""),"OCEAN")</f>
        <v/>
      </c>
      <c r="AE19" s="45">
        <f>IFERROR(__xludf.DUMMYFUNCTION("""COMPUTED_VALUE"""),"N")</f>
        <v/>
      </c>
      <c r="AF19" s="45" t="n"/>
      <c r="AG19" s="49">
        <f>IFERROR(__xludf.DUMMYFUNCTION("IFNA(vlookup(H19,IMPORTRANGE(""1vUGwO1n0QQGx9kKbO0_M5gmuhXZ6-LaxQxgrmJnzgP0"",""'TP# look up'!A:C""),3,0),"""")"),"")</f>
        <v/>
      </c>
      <c r="AH19" s="49">
        <f>LEFT(J19,2)</f>
        <v/>
      </c>
    </row>
    <row r="20" hidden="1" ht="12.75" customHeight="1">
      <c r="A20" s="45">
        <f>IFERROR(__xludf.DUMMYFUNCTION("""COMPUTED_VALUE"""),"Colombo")</f>
        <v/>
      </c>
      <c r="B20" s="45" t="n"/>
      <c r="C20" s="45">
        <f>IFERROR(__xludf.DUMMYFUNCTION("""COMPUTED_VALUE"""),3231352)</f>
        <v/>
      </c>
      <c r="D20" s="45" t="n"/>
      <c r="E20" s="45">
        <f>IFERROR(__xludf.DUMMYFUNCTION("""COMPUTED_VALUE"""),"CFS")</f>
        <v/>
      </c>
      <c r="F20" s="45">
        <f>IFERROR(__xludf.DUMMYFUNCTION("""COMPUTED_VALUE"""),"Inqube Global (PVT) Ltd")</f>
        <v/>
      </c>
      <c r="G20" s="45">
        <f>IFERROR(__xludf.DUMMYFUNCTION("""COMPUTED_VALUE"""),"Brandix Apparel Solutions Limited - Minuwangoda")</f>
        <v/>
      </c>
      <c r="H20" s="43">
        <f>IFERROR(__xludf.DUMMYFUNCTION("""COMPUTED_VALUE"""),450838167940)</f>
        <v/>
      </c>
      <c r="I20" s="45">
        <f>IFERROR(__xludf.DUMMYFUNCTION("""COMPUTED_VALUE"""),19897597)</f>
        <v/>
      </c>
      <c r="J20" s="45">
        <f>IFERROR(__xludf.DUMMYFUNCTION("""COMPUTED_VALUE"""),"LW3JBFS")</f>
        <v/>
      </c>
      <c r="K20" s="45">
        <f>IFERROR(__xludf.DUMMYFUNCTION("""COMPUTED_VALUE"""),"LW3JBFS-0002")</f>
        <v/>
      </c>
      <c r="L20" s="45">
        <f>IFERROR(__xludf.DUMMYFUNCTION("""COMPUTED_VALUE"""),62)</f>
        <v/>
      </c>
      <c r="M20" s="45">
        <f>IFERROR(__xludf.DUMMYFUNCTION("""COMPUTED_VALUE"""),1528)</f>
        <v/>
      </c>
      <c r="N20" s="45">
        <f>IFERROR(__xludf.DUMMYFUNCTION("""COMPUTED_VALUE"""),742.96)</f>
        <v/>
      </c>
      <c r="O20" s="45">
        <f>IFERROR(__xludf.DUMMYFUNCTION("""COMPUTED_VALUE"""),4.867)</f>
        <v/>
      </c>
      <c r="P20" s="45">
        <f>IFERROR(__xludf.DUMMYFUNCTION("""COMPUTED_VALUE"""),"Colombo, LK")</f>
        <v/>
      </c>
      <c r="Q20" s="45">
        <f>IFERROR(__xludf.DUMMYFUNCTION("""COMPUTED_VALUE"""),"New York, NY, US")</f>
        <v/>
      </c>
      <c r="R20" s="44">
        <f>IFERROR(__xludf.DUMMYFUNCTION("""COMPUTED_VALUE"""),45817)</f>
        <v/>
      </c>
      <c r="S20" s="44">
        <f>IFERROR(__xludf.DUMMYFUNCTION("""COMPUTED_VALUE"""),45876)</f>
        <v/>
      </c>
      <c r="T20" s="45">
        <f>IFERROR(__xludf.DUMMYFUNCTION("""COMPUTED_VALUE"""),"Milton, ON, CA")</f>
        <v/>
      </c>
      <c r="U20" s="45" t="n"/>
      <c r="V20" s="45" t="n"/>
      <c r="W20" s="45" t="n"/>
      <c r="X20" s="45" t="n"/>
      <c r="Y20" s="46">
        <f>IFERROR(__xludf.DUMMYFUNCTION("""COMPUTED_VALUE"""),45825)</f>
        <v/>
      </c>
      <c r="Z20" s="46">
        <f>IFERROR(__xludf.DUMMYFUNCTION("""COMPUTED_VALUE"""),45854)</f>
        <v/>
      </c>
      <c r="AA20" s="46">
        <f>IFERROR(__xludf.DUMMYFUNCTION("""COMPUTED_VALUE"""),45867)</f>
        <v/>
      </c>
      <c r="AB20" s="45">
        <f>IFERROR(__xludf.DUMMYFUNCTION("""COMPUTED_VALUE"""),"7211 Fifth Line")</f>
        <v/>
      </c>
      <c r="AC20" s="45" t="n"/>
      <c r="AD20" s="45">
        <f>IFERROR(__xludf.DUMMYFUNCTION("""COMPUTED_VALUE"""),"OCEAN")</f>
        <v/>
      </c>
      <c r="AE20" s="45">
        <f>IFERROR(__xludf.DUMMYFUNCTION("""COMPUTED_VALUE"""),"N")</f>
        <v/>
      </c>
      <c r="AF20" s="45" t="n"/>
      <c r="AG20" s="49">
        <f>IFERROR(__xludf.DUMMYFUNCTION("IFNA(vlookup(H20,IMPORTRANGE(""1vUGwO1n0QQGx9kKbO0_M5gmuhXZ6-LaxQxgrmJnzgP0"",""'TP# look up'!A:C""),3,0),"""")"),"")</f>
        <v/>
      </c>
      <c r="AH20" s="49">
        <f>LEFT(J20,2)</f>
        <v/>
      </c>
    </row>
    <row r="21" hidden="1" ht="12.75" customHeight="1">
      <c r="A21" s="45">
        <f>IFERROR(__xludf.DUMMYFUNCTION("""COMPUTED_VALUE"""),"Colombo")</f>
        <v/>
      </c>
      <c r="B21" s="45" t="n"/>
      <c r="C21" s="45">
        <f>IFERROR(__xludf.DUMMYFUNCTION("""COMPUTED_VALUE"""),3231352)</f>
        <v/>
      </c>
      <c r="D21" s="45" t="n"/>
      <c r="E21" s="45">
        <f>IFERROR(__xludf.DUMMYFUNCTION("""COMPUTED_VALUE"""),"CFS")</f>
        <v/>
      </c>
      <c r="F21" s="45">
        <f>IFERROR(__xludf.DUMMYFUNCTION("""COMPUTED_VALUE"""),"MAS AMITY PTE LTD")</f>
        <v/>
      </c>
      <c r="G21" s="45">
        <f>IFERROR(__xludf.DUMMYFUNCTION("""COMPUTED_VALUE"""),"MAS Active(Pvt) Ltd – CONTOURLINE")</f>
        <v/>
      </c>
      <c r="H21" s="43">
        <f>IFERROR(__xludf.DUMMYFUNCTION("""COMPUTED_VALUE"""),450906544001)</f>
        <v/>
      </c>
      <c r="I21" s="45">
        <f>IFERROR(__xludf.DUMMYFUNCTION("""COMPUTED_VALUE"""),19890680)</f>
        <v/>
      </c>
      <c r="J21" s="45">
        <f>IFERROR(__xludf.DUMMYFUNCTION("""COMPUTED_VALUE"""),"LW7CNIS")</f>
        <v/>
      </c>
      <c r="K21" s="45">
        <f>IFERROR(__xludf.DUMMYFUNCTION("""COMPUTED_VALUE"""),"LW7CNIS-0001")</f>
        <v/>
      </c>
      <c r="L21" s="45">
        <f>IFERROR(__xludf.DUMMYFUNCTION("""COMPUTED_VALUE"""),3)</f>
        <v/>
      </c>
      <c r="M21" s="45">
        <f>IFERROR(__xludf.DUMMYFUNCTION("""COMPUTED_VALUE"""),215)</f>
        <v/>
      </c>
      <c r="N21" s="45">
        <f>IFERROR(__xludf.DUMMYFUNCTION("""COMPUTED_VALUE"""),36.961)</f>
        <v/>
      </c>
      <c r="O21" s="45">
        <f>IFERROR(__xludf.DUMMYFUNCTION("""COMPUTED_VALUE"""),0.237)</f>
        <v/>
      </c>
      <c r="P21" s="45">
        <f>IFERROR(__xludf.DUMMYFUNCTION("""COMPUTED_VALUE"""),"Colombo, LK")</f>
        <v/>
      </c>
      <c r="Q21" s="45">
        <f>IFERROR(__xludf.DUMMYFUNCTION("""COMPUTED_VALUE"""),"New York, NY, US")</f>
        <v/>
      </c>
      <c r="R21" s="44">
        <f>IFERROR(__xludf.DUMMYFUNCTION("""COMPUTED_VALUE"""),45817)</f>
        <v/>
      </c>
      <c r="S21" s="44">
        <f>IFERROR(__xludf.DUMMYFUNCTION("""COMPUTED_VALUE"""),45876)</f>
        <v/>
      </c>
      <c r="T21" s="45">
        <f>IFERROR(__xludf.DUMMYFUNCTION("""COMPUTED_VALUE"""),"Mississauga, ON, CA")</f>
        <v/>
      </c>
      <c r="U21" s="45" t="n"/>
      <c r="V21" s="45" t="n"/>
      <c r="W21" s="45" t="n"/>
      <c r="X21" s="45" t="n"/>
      <c r="Y21" s="46">
        <f>IFERROR(__xludf.DUMMYFUNCTION("""COMPUTED_VALUE"""),45825)</f>
        <v/>
      </c>
      <c r="Z21" s="46">
        <f>IFERROR(__xludf.DUMMYFUNCTION("""COMPUTED_VALUE"""),45854)</f>
        <v/>
      </c>
      <c r="AA21" s="46">
        <f>IFERROR(__xludf.DUMMYFUNCTION("""COMPUTED_VALUE"""),45867)</f>
        <v/>
      </c>
      <c r="AB21" s="45">
        <f>IFERROR(__xludf.DUMMYFUNCTION("""COMPUTED_VALUE"""),"3500 Argentia Road")</f>
        <v/>
      </c>
      <c r="AC21" s="45" t="n"/>
      <c r="AD21" s="45">
        <f>IFERROR(__xludf.DUMMYFUNCTION("""COMPUTED_VALUE"""),"OCEAN")</f>
        <v/>
      </c>
      <c r="AE21" s="45">
        <f>IFERROR(__xludf.DUMMYFUNCTION("""COMPUTED_VALUE"""),"N")</f>
        <v/>
      </c>
      <c r="AF21" s="45" t="n"/>
      <c r="AG21" s="49">
        <f>IFERROR(__xludf.DUMMYFUNCTION("IFNA(vlookup(H21,IMPORTRANGE(""1vUGwO1n0QQGx9kKbO0_M5gmuhXZ6-LaxQxgrmJnzgP0"",""'TP# look up'!A:C""),3,0),"""")"),"")</f>
        <v/>
      </c>
      <c r="AH21" s="49">
        <f>LEFT(J21,2)</f>
        <v/>
      </c>
    </row>
    <row r="22" hidden="1" ht="12.75" customHeight="1">
      <c r="A22" s="45">
        <f>IFERROR(__xludf.DUMMYFUNCTION("""COMPUTED_VALUE"""),"Colombo")</f>
        <v/>
      </c>
      <c r="B22" s="45" t="n"/>
      <c r="C22" s="45">
        <f>IFERROR(__xludf.DUMMYFUNCTION("""COMPUTED_VALUE"""),3231352)</f>
        <v/>
      </c>
      <c r="D22" s="45" t="n"/>
      <c r="E22" s="45">
        <f>IFERROR(__xludf.DUMMYFUNCTION("""COMPUTED_VALUE"""),"CFS")</f>
        <v/>
      </c>
      <c r="F22" s="45">
        <f>IFERROR(__xludf.DUMMYFUNCTION("""COMPUTED_VALUE"""),"MAS AMITY PTE LTD")</f>
        <v/>
      </c>
      <c r="G22" s="45">
        <f>IFERROR(__xludf.DUMMYFUNCTION("""COMPUTED_VALUE"""),"MAS Active(Pvt) Ltd – CONTOURLINE")</f>
        <v/>
      </c>
      <c r="H22" s="43">
        <f>IFERROR(__xludf.DUMMYFUNCTION("""COMPUTED_VALUE"""),450912286421)</f>
        <v/>
      </c>
      <c r="I22" s="45">
        <f>IFERROR(__xludf.DUMMYFUNCTION("""COMPUTED_VALUE"""),19939801)</f>
        <v/>
      </c>
      <c r="J22" s="45">
        <f>IFERROR(__xludf.DUMMYFUNCTION("""COMPUTED_VALUE"""),"LM7BCVS")</f>
        <v/>
      </c>
      <c r="K22" s="45">
        <f>IFERROR(__xludf.DUMMYFUNCTION("""COMPUTED_VALUE"""),"LM7BCVS-063781")</f>
        <v/>
      </c>
      <c r="L22" s="45">
        <f>IFERROR(__xludf.DUMMYFUNCTION("""COMPUTED_VALUE"""),7)</f>
        <v/>
      </c>
      <c r="M22" s="45">
        <f>IFERROR(__xludf.DUMMYFUNCTION("""COMPUTED_VALUE"""),330)</f>
        <v/>
      </c>
      <c r="N22" s="45">
        <f>IFERROR(__xludf.DUMMYFUNCTION("""COMPUTED_VALUE"""),57.531)</f>
        <v/>
      </c>
      <c r="O22" s="45">
        <f>IFERROR(__xludf.DUMMYFUNCTION("""COMPUTED_VALUE"""),0.553)</f>
        <v/>
      </c>
      <c r="P22" s="45">
        <f>IFERROR(__xludf.DUMMYFUNCTION("""COMPUTED_VALUE"""),"Colombo, LK")</f>
        <v/>
      </c>
      <c r="Q22" s="45">
        <f>IFERROR(__xludf.DUMMYFUNCTION("""COMPUTED_VALUE"""),"New York, NY, US")</f>
        <v/>
      </c>
      <c r="R22" s="44">
        <f>IFERROR(__xludf.DUMMYFUNCTION("""COMPUTED_VALUE"""),45817)</f>
        <v/>
      </c>
      <c r="S22" s="44">
        <f>IFERROR(__xludf.DUMMYFUNCTION("""COMPUTED_VALUE"""),45876)</f>
        <v/>
      </c>
      <c r="T22" s="45">
        <f>IFERROR(__xludf.DUMMYFUNCTION("""COMPUTED_VALUE"""),"Mississauga, ON, CA")</f>
        <v/>
      </c>
      <c r="U22" s="45" t="n"/>
      <c r="V22" s="45" t="n"/>
      <c r="W22" s="45" t="n"/>
      <c r="X22" s="45" t="n"/>
      <c r="Y22" s="46">
        <f>IFERROR(__xludf.DUMMYFUNCTION("""COMPUTED_VALUE"""),45825)</f>
        <v/>
      </c>
      <c r="Z22" s="46">
        <f>IFERROR(__xludf.DUMMYFUNCTION("""COMPUTED_VALUE"""),45854)</f>
        <v/>
      </c>
      <c r="AA22" s="46">
        <f>IFERROR(__xludf.DUMMYFUNCTION("""COMPUTED_VALUE"""),45867)</f>
        <v/>
      </c>
      <c r="AB22" s="45">
        <f>IFERROR(__xludf.DUMMYFUNCTION("""COMPUTED_VALUE"""),"3500 Argentia Road")</f>
        <v/>
      </c>
      <c r="AC22" s="45" t="n"/>
      <c r="AD22" s="45">
        <f>IFERROR(__xludf.DUMMYFUNCTION("""COMPUTED_VALUE"""),"OCEAN")</f>
        <v/>
      </c>
      <c r="AE22" s="45">
        <f>IFERROR(__xludf.DUMMYFUNCTION("""COMPUTED_VALUE"""),"N")</f>
        <v/>
      </c>
      <c r="AF22" s="45" t="n"/>
      <c r="AG22" s="49">
        <f>IFERROR(__xludf.DUMMYFUNCTION("IFNA(vlookup(H22,IMPORTRANGE(""1vUGwO1n0QQGx9kKbO0_M5gmuhXZ6-LaxQxgrmJnzgP0"",""'TP# look up'!A:C""),3,0),"""")"),"")</f>
        <v/>
      </c>
      <c r="AH22" s="49">
        <f>LEFT(J22,2)</f>
        <v/>
      </c>
    </row>
    <row r="23" hidden="1" ht="12.75" customHeight="1">
      <c r="A23" s="45">
        <f>IFERROR(__xludf.DUMMYFUNCTION("""COMPUTED_VALUE"""),"Colombo")</f>
        <v/>
      </c>
      <c r="B23" s="45" t="n"/>
      <c r="C23" s="45">
        <f>IFERROR(__xludf.DUMMYFUNCTION("""COMPUTED_VALUE"""),3231352)</f>
        <v/>
      </c>
      <c r="D23" s="45" t="n"/>
      <c r="E23" s="45">
        <f>IFERROR(__xludf.DUMMYFUNCTION("""COMPUTED_VALUE"""),"CFS")</f>
        <v/>
      </c>
      <c r="F23" s="45">
        <f>IFERROR(__xludf.DUMMYFUNCTION("""COMPUTED_VALUE"""),"MAS AMITY PTE LTD")</f>
        <v/>
      </c>
      <c r="G23" s="45">
        <f>IFERROR(__xludf.DUMMYFUNCTION("""COMPUTED_VALUE"""),"MAS Active(Pvt) Ltd – CONTOURLINE")</f>
        <v/>
      </c>
      <c r="H23" s="43">
        <f>IFERROR(__xludf.DUMMYFUNCTION("""COMPUTED_VALUE"""),450915404383)</f>
        <v/>
      </c>
      <c r="I23" s="45">
        <f>IFERROR(__xludf.DUMMYFUNCTION("""COMPUTED_VALUE"""),19920764)</f>
        <v/>
      </c>
      <c r="J23" s="45">
        <f>IFERROR(__xludf.DUMMYFUNCTION("""COMPUTED_VALUE"""),"LW6CP2S")</f>
        <v/>
      </c>
      <c r="K23" s="45">
        <f>IFERROR(__xludf.DUMMYFUNCTION("""COMPUTED_VALUE"""),"LW6CP2S-031382")</f>
        <v/>
      </c>
      <c r="L23" s="45">
        <f>IFERROR(__xludf.DUMMYFUNCTION("""COMPUTED_VALUE"""),3)</f>
        <v/>
      </c>
      <c r="M23" s="45">
        <f>IFERROR(__xludf.DUMMYFUNCTION("""COMPUTED_VALUE"""),118)</f>
        <v/>
      </c>
      <c r="N23" s="45">
        <f>IFERROR(__xludf.DUMMYFUNCTION("""COMPUTED_VALUE"""),24.326)</f>
        <v/>
      </c>
      <c r="O23" s="45">
        <f>IFERROR(__xludf.DUMMYFUNCTION("""COMPUTED_VALUE"""),0.158)</f>
        <v/>
      </c>
      <c r="P23" s="45">
        <f>IFERROR(__xludf.DUMMYFUNCTION("""COMPUTED_VALUE"""),"Colombo, LK")</f>
        <v/>
      </c>
      <c r="Q23" s="45">
        <f>IFERROR(__xludf.DUMMYFUNCTION("""COMPUTED_VALUE"""),"New York, NY, US")</f>
        <v/>
      </c>
      <c r="R23" s="44">
        <f>IFERROR(__xludf.DUMMYFUNCTION("""COMPUTED_VALUE"""),45817)</f>
        <v/>
      </c>
      <c r="S23" s="44">
        <f>IFERROR(__xludf.DUMMYFUNCTION("""COMPUTED_VALUE"""),45876)</f>
        <v/>
      </c>
      <c r="T23" s="45">
        <f>IFERROR(__xludf.DUMMYFUNCTION("""COMPUTED_VALUE"""),"Mississauga, ON, CA")</f>
        <v/>
      </c>
      <c r="U23" s="45" t="n"/>
      <c r="V23" s="45" t="n"/>
      <c r="W23" s="45" t="n"/>
      <c r="X23" s="45" t="n"/>
      <c r="Y23" s="46">
        <f>IFERROR(__xludf.DUMMYFUNCTION("""COMPUTED_VALUE"""),45825)</f>
        <v/>
      </c>
      <c r="Z23" s="46">
        <f>IFERROR(__xludf.DUMMYFUNCTION("""COMPUTED_VALUE"""),45854)</f>
        <v/>
      </c>
      <c r="AA23" s="46">
        <f>IFERROR(__xludf.DUMMYFUNCTION("""COMPUTED_VALUE"""),45867)</f>
        <v/>
      </c>
      <c r="AB23" s="45">
        <f>IFERROR(__xludf.DUMMYFUNCTION("""COMPUTED_VALUE"""),"3500 Argentia Road")</f>
        <v/>
      </c>
      <c r="AC23" s="45" t="n"/>
      <c r="AD23" s="45">
        <f>IFERROR(__xludf.DUMMYFUNCTION("""COMPUTED_VALUE"""),"OCEAN")</f>
        <v/>
      </c>
      <c r="AE23" s="45">
        <f>IFERROR(__xludf.DUMMYFUNCTION("""COMPUTED_VALUE"""),"N")</f>
        <v/>
      </c>
      <c r="AF23" s="45" t="n"/>
      <c r="AG23" s="49">
        <f>IFERROR(__xludf.DUMMYFUNCTION("IFNA(vlookup(H23,IMPORTRANGE(""1vUGwO1n0QQGx9kKbO0_M5gmuhXZ6-LaxQxgrmJnzgP0"",""'TP# look up'!A:C""),3,0),"""")"),"")</f>
        <v/>
      </c>
      <c r="AH23" s="49">
        <f>LEFT(J23,2)</f>
        <v/>
      </c>
    </row>
    <row r="24" hidden="1" ht="12.75" customHeight="1">
      <c r="A24" s="45">
        <f>IFERROR(__xludf.DUMMYFUNCTION("""COMPUTED_VALUE"""),"Colombo")</f>
        <v/>
      </c>
      <c r="B24" s="45" t="n"/>
      <c r="C24" s="45">
        <f>IFERROR(__xludf.DUMMYFUNCTION("""COMPUTED_VALUE"""),3231352)</f>
        <v/>
      </c>
      <c r="D24" s="45" t="n"/>
      <c r="E24" s="45">
        <f>IFERROR(__xludf.DUMMYFUNCTION("""COMPUTED_VALUE"""),"CFS")</f>
        <v/>
      </c>
      <c r="F24" s="45">
        <f>IFERROR(__xludf.DUMMYFUNCTION("""COMPUTED_VALUE"""),"MAS AMITY PTE LTD")</f>
        <v/>
      </c>
      <c r="G24" s="45">
        <f>IFERROR(__xludf.DUMMYFUNCTION("""COMPUTED_VALUE"""),"MAS Active(Pvt) Ltd – CONTOURLINE")</f>
        <v/>
      </c>
      <c r="H24" s="43">
        <f>IFERROR(__xludf.DUMMYFUNCTION("""COMPUTED_VALUE"""),450915929050)</f>
        <v/>
      </c>
      <c r="I24" s="45">
        <f>IFERROR(__xludf.DUMMYFUNCTION("""COMPUTED_VALUE"""),19925679)</f>
        <v/>
      </c>
      <c r="J24" s="45">
        <f>IFERROR(__xludf.DUMMYFUNCTION("""COMPUTED_VALUE"""),"LW6CP2S")</f>
        <v/>
      </c>
      <c r="K24" s="45">
        <f>IFERROR(__xludf.DUMMYFUNCTION("""COMPUTED_VALUE"""),"LW6CP2S-031382")</f>
        <v/>
      </c>
      <c r="L24" s="45">
        <f>IFERROR(__xludf.DUMMYFUNCTION("""COMPUTED_VALUE"""),6)</f>
        <v/>
      </c>
      <c r="M24" s="45">
        <f>IFERROR(__xludf.DUMMYFUNCTION("""COMPUTED_VALUE"""),312)</f>
        <v/>
      </c>
      <c r="N24" s="45">
        <f>IFERROR(__xludf.DUMMYFUNCTION("""COMPUTED_VALUE"""),63.697)</f>
        <v/>
      </c>
      <c r="O24" s="45">
        <f>IFERROR(__xludf.DUMMYFUNCTION("""COMPUTED_VALUE"""),0.434)</f>
        <v/>
      </c>
      <c r="P24" s="45">
        <f>IFERROR(__xludf.DUMMYFUNCTION("""COMPUTED_VALUE"""),"Colombo, LK")</f>
        <v/>
      </c>
      <c r="Q24" s="45">
        <f>IFERROR(__xludf.DUMMYFUNCTION("""COMPUTED_VALUE"""),"New York, NY, US")</f>
        <v/>
      </c>
      <c r="R24" s="44">
        <f>IFERROR(__xludf.DUMMYFUNCTION("""COMPUTED_VALUE"""),45817)</f>
        <v/>
      </c>
      <c r="S24" s="44">
        <f>IFERROR(__xludf.DUMMYFUNCTION("""COMPUTED_VALUE"""),45876)</f>
        <v/>
      </c>
      <c r="T24" s="45">
        <f>IFERROR(__xludf.DUMMYFUNCTION("""COMPUTED_VALUE"""),"Mississauga, ON, CA")</f>
        <v/>
      </c>
      <c r="U24" s="45" t="n"/>
      <c r="V24" s="45" t="n"/>
      <c r="W24" s="45" t="n"/>
      <c r="X24" s="45" t="n"/>
      <c r="Y24" s="46">
        <f>IFERROR(__xludf.DUMMYFUNCTION("""COMPUTED_VALUE"""),45825)</f>
        <v/>
      </c>
      <c r="Z24" s="46">
        <f>IFERROR(__xludf.DUMMYFUNCTION("""COMPUTED_VALUE"""),45854)</f>
        <v/>
      </c>
      <c r="AA24" s="46">
        <f>IFERROR(__xludf.DUMMYFUNCTION("""COMPUTED_VALUE"""),45867)</f>
        <v/>
      </c>
      <c r="AB24" s="45">
        <f>IFERROR(__xludf.DUMMYFUNCTION("""COMPUTED_VALUE"""),"3500 Argentia Road")</f>
        <v/>
      </c>
      <c r="AC24" s="45" t="n"/>
      <c r="AD24" s="45">
        <f>IFERROR(__xludf.DUMMYFUNCTION("""COMPUTED_VALUE"""),"OCEAN")</f>
        <v/>
      </c>
      <c r="AE24" s="45">
        <f>IFERROR(__xludf.DUMMYFUNCTION("""COMPUTED_VALUE"""),"N")</f>
        <v/>
      </c>
      <c r="AF24" s="45" t="n"/>
      <c r="AG24" s="49">
        <f>IFERROR(__xludf.DUMMYFUNCTION("IFNA(vlookup(H24,IMPORTRANGE(""1vUGwO1n0QQGx9kKbO0_M5gmuhXZ6-LaxQxgrmJnzgP0"",""'TP# look up'!A:C""),3,0),"""")"),"")</f>
        <v/>
      </c>
      <c r="AH24" s="49">
        <f>LEFT(J24,2)</f>
        <v/>
      </c>
    </row>
    <row r="25" hidden="1" ht="12.75" customHeight="1">
      <c r="A25" s="45">
        <f>IFERROR(__xludf.DUMMYFUNCTION("""COMPUTED_VALUE"""),"Colombo")</f>
        <v/>
      </c>
      <c r="B25" s="45" t="n"/>
      <c r="C25" s="45">
        <f>IFERROR(__xludf.DUMMYFUNCTION("""COMPUTED_VALUE"""),3231352)</f>
        <v/>
      </c>
      <c r="D25" s="45" t="n"/>
      <c r="E25" s="45">
        <f>IFERROR(__xludf.DUMMYFUNCTION("""COMPUTED_VALUE"""),"CFS")</f>
        <v/>
      </c>
      <c r="F25" s="45">
        <f>IFERROR(__xludf.DUMMYFUNCTION("""COMPUTED_VALUE"""),"MAS AMITY PTE LTD")</f>
        <v/>
      </c>
      <c r="G25" s="45">
        <f>IFERROR(__xludf.DUMMYFUNCTION("""COMPUTED_VALUE"""),"MAS Active(Pvt) Ltd – CONTOURLINE")</f>
        <v/>
      </c>
      <c r="H25" s="43">
        <f>IFERROR(__xludf.DUMMYFUNCTION("""COMPUTED_VALUE"""),450916985726)</f>
        <v/>
      </c>
      <c r="I25" s="45">
        <f>IFERROR(__xludf.DUMMYFUNCTION("""COMPUTED_VALUE"""),19920795)</f>
        <v/>
      </c>
      <c r="J25" s="45">
        <f>IFERROR(__xludf.DUMMYFUNCTION("""COMPUTED_VALUE"""),"LM7BCVS")</f>
        <v/>
      </c>
      <c r="K25" s="45">
        <f>IFERROR(__xludf.DUMMYFUNCTION("""COMPUTED_VALUE"""),"LM7BCVS-063781")</f>
        <v/>
      </c>
      <c r="L25" s="45">
        <f>IFERROR(__xludf.DUMMYFUNCTION("""COMPUTED_VALUE"""),1)</f>
        <v/>
      </c>
      <c r="M25" s="45">
        <f>IFERROR(__xludf.DUMMYFUNCTION("""COMPUTED_VALUE"""),59)</f>
        <v/>
      </c>
      <c r="N25" s="45">
        <f>IFERROR(__xludf.DUMMYFUNCTION("""COMPUTED_VALUE"""),9.984)</f>
        <v/>
      </c>
      <c r="O25" s="45">
        <f>IFERROR(__xludf.DUMMYFUNCTION("""COMPUTED_VALUE"""),0.079)</f>
        <v/>
      </c>
      <c r="P25" s="45">
        <f>IFERROR(__xludf.DUMMYFUNCTION("""COMPUTED_VALUE"""),"Colombo, LK")</f>
        <v/>
      </c>
      <c r="Q25" s="45">
        <f>IFERROR(__xludf.DUMMYFUNCTION("""COMPUTED_VALUE"""),"New York, NY, US")</f>
        <v/>
      </c>
      <c r="R25" s="44">
        <f>IFERROR(__xludf.DUMMYFUNCTION("""COMPUTED_VALUE"""),45817)</f>
        <v/>
      </c>
      <c r="S25" s="44">
        <f>IFERROR(__xludf.DUMMYFUNCTION("""COMPUTED_VALUE"""),45876)</f>
        <v/>
      </c>
      <c r="T25" s="45">
        <f>IFERROR(__xludf.DUMMYFUNCTION("""COMPUTED_VALUE"""),"Mississauga, ON, CA")</f>
        <v/>
      </c>
      <c r="U25" s="45" t="n"/>
      <c r="V25" s="45" t="n"/>
      <c r="W25" s="45" t="n"/>
      <c r="X25" s="45" t="n"/>
      <c r="Y25" s="46">
        <f>IFERROR(__xludf.DUMMYFUNCTION("""COMPUTED_VALUE"""),45825)</f>
        <v/>
      </c>
      <c r="Z25" s="46">
        <f>IFERROR(__xludf.DUMMYFUNCTION("""COMPUTED_VALUE"""),45854)</f>
        <v/>
      </c>
      <c r="AA25" s="46">
        <f>IFERROR(__xludf.DUMMYFUNCTION("""COMPUTED_VALUE"""),45867)</f>
        <v/>
      </c>
      <c r="AB25" s="45">
        <f>IFERROR(__xludf.DUMMYFUNCTION("""COMPUTED_VALUE"""),"3500 Argentia Road")</f>
        <v/>
      </c>
      <c r="AC25" s="45" t="n"/>
      <c r="AD25" s="45">
        <f>IFERROR(__xludf.DUMMYFUNCTION("""COMPUTED_VALUE"""),"OCEAN")</f>
        <v/>
      </c>
      <c r="AE25" s="45">
        <f>IFERROR(__xludf.DUMMYFUNCTION("""COMPUTED_VALUE"""),"N")</f>
        <v/>
      </c>
      <c r="AF25" s="45" t="n"/>
      <c r="AG25" s="49">
        <f>IFERROR(__xludf.DUMMYFUNCTION("IFNA(vlookup(H25,IMPORTRANGE(""1vUGwO1n0QQGx9kKbO0_M5gmuhXZ6-LaxQxgrmJnzgP0"",""'TP# look up'!A:C""),3,0),"""")"),"")</f>
        <v/>
      </c>
      <c r="AH25" s="49">
        <f>LEFT(J25,2)</f>
        <v/>
      </c>
    </row>
    <row r="26" hidden="1" ht="12.75" customHeight="1">
      <c r="A26" s="45">
        <f>IFERROR(__xludf.DUMMYFUNCTION("""COMPUTED_VALUE"""),"Colombo")</f>
        <v/>
      </c>
      <c r="B26" s="45" t="n"/>
      <c r="C26" s="45">
        <f>IFERROR(__xludf.DUMMYFUNCTION("""COMPUTED_VALUE"""),3231352)</f>
        <v/>
      </c>
      <c r="D26" s="45" t="n"/>
      <c r="E26" s="45">
        <f>IFERROR(__xludf.DUMMYFUNCTION("""COMPUTED_VALUE"""),"CFS")</f>
        <v/>
      </c>
      <c r="F26" s="45">
        <f>IFERROR(__xludf.DUMMYFUNCTION("""COMPUTED_VALUE"""),"MAS AMITY PTE LTD")</f>
        <v/>
      </c>
      <c r="G26" s="45">
        <f>IFERROR(__xludf.DUMMYFUNCTION("""COMPUTED_VALUE"""),"MAS Active(Pvt) Ltd – CONTOURLINE")</f>
        <v/>
      </c>
      <c r="H26" s="43">
        <f>IFERROR(__xludf.DUMMYFUNCTION("""COMPUTED_VALUE"""),450917032524)</f>
        <v/>
      </c>
      <c r="I26" s="45">
        <f>IFERROR(__xludf.DUMMYFUNCTION("""COMPUTED_VALUE"""),19920796)</f>
        <v/>
      </c>
      <c r="J26" s="45">
        <f>IFERROR(__xludf.DUMMYFUNCTION("""COMPUTED_VALUE"""),"LM7BCVS")</f>
        <v/>
      </c>
      <c r="K26" s="45">
        <f>IFERROR(__xludf.DUMMYFUNCTION("""COMPUTED_VALUE"""),"LM7BCVS-063781")</f>
        <v/>
      </c>
      <c r="L26" s="45">
        <f>IFERROR(__xludf.DUMMYFUNCTION("""COMPUTED_VALUE"""),2)</f>
        <v/>
      </c>
      <c r="M26" s="45">
        <f>IFERROR(__xludf.DUMMYFUNCTION("""COMPUTED_VALUE"""),68)</f>
        <v/>
      </c>
      <c r="N26" s="45">
        <f>IFERROR(__xludf.DUMMYFUNCTION("""COMPUTED_VALUE"""),12.168)</f>
        <v/>
      </c>
      <c r="O26" s="45">
        <f>IFERROR(__xludf.DUMMYFUNCTION("""COMPUTED_VALUE"""),0.118)</f>
        <v/>
      </c>
      <c r="P26" s="45">
        <f>IFERROR(__xludf.DUMMYFUNCTION("""COMPUTED_VALUE"""),"Colombo, LK")</f>
        <v/>
      </c>
      <c r="Q26" s="45">
        <f>IFERROR(__xludf.DUMMYFUNCTION("""COMPUTED_VALUE"""),"New York, NY, US")</f>
        <v/>
      </c>
      <c r="R26" s="44">
        <f>IFERROR(__xludf.DUMMYFUNCTION("""COMPUTED_VALUE"""),45817)</f>
        <v/>
      </c>
      <c r="S26" s="44">
        <f>IFERROR(__xludf.DUMMYFUNCTION("""COMPUTED_VALUE"""),45876)</f>
        <v/>
      </c>
      <c r="T26" s="45">
        <f>IFERROR(__xludf.DUMMYFUNCTION("""COMPUTED_VALUE"""),"Mississauga, ON, CA")</f>
        <v/>
      </c>
      <c r="U26" s="45" t="n"/>
      <c r="V26" s="45" t="n"/>
      <c r="W26" s="45" t="n"/>
      <c r="X26" s="45" t="n"/>
      <c r="Y26" s="46">
        <f>IFERROR(__xludf.DUMMYFUNCTION("""COMPUTED_VALUE"""),45825)</f>
        <v/>
      </c>
      <c r="Z26" s="46">
        <f>IFERROR(__xludf.DUMMYFUNCTION("""COMPUTED_VALUE"""),45854)</f>
        <v/>
      </c>
      <c r="AA26" s="46">
        <f>IFERROR(__xludf.DUMMYFUNCTION("""COMPUTED_VALUE"""),45867)</f>
        <v/>
      </c>
      <c r="AB26" s="45">
        <f>IFERROR(__xludf.DUMMYFUNCTION("""COMPUTED_VALUE"""),"3500 Argentia Road")</f>
        <v/>
      </c>
      <c r="AC26" s="45" t="n"/>
      <c r="AD26" s="45">
        <f>IFERROR(__xludf.DUMMYFUNCTION("""COMPUTED_VALUE"""),"OCEAN")</f>
        <v/>
      </c>
      <c r="AE26" s="45">
        <f>IFERROR(__xludf.DUMMYFUNCTION("""COMPUTED_VALUE"""),"N")</f>
        <v/>
      </c>
      <c r="AF26" s="45" t="n"/>
      <c r="AG26" s="49">
        <f>IFERROR(__xludf.DUMMYFUNCTION("IFNA(vlookup(H26,IMPORTRANGE(""1vUGwO1n0QQGx9kKbO0_M5gmuhXZ6-LaxQxgrmJnzgP0"",""'TP# look up'!A:C""),3,0),"""")"),"")</f>
        <v/>
      </c>
      <c r="AH26" s="49">
        <f>LEFT(J26,2)</f>
        <v/>
      </c>
    </row>
    <row r="27" hidden="1" ht="12.75" customHeight="1">
      <c r="A27" s="45">
        <f>IFERROR(__xludf.DUMMYFUNCTION("""COMPUTED_VALUE"""),"Colombo")</f>
        <v/>
      </c>
      <c r="B27" s="45" t="n"/>
      <c r="C27" s="45">
        <f>IFERROR(__xludf.DUMMYFUNCTION("""COMPUTED_VALUE"""),3231352)</f>
        <v/>
      </c>
      <c r="D27" s="45" t="n"/>
      <c r="E27" s="45">
        <f>IFERROR(__xludf.DUMMYFUNCTION("""COMPUTED_VALUE"""),"CFS")</f>
        <v/>
      </c>
      <c r="F27" s="45">
        <f>IFERROR(__xludf.DUMMYFUNCTION("""COMPUTED_VALUE"""),"MAS AMITY PTE LTD")</f>
        <v/>
      </c>
      <c r="G27" s="45">
        <f>IFERROR(__xludf.DUMMYFUNCTION("""COMPUTED_VALUE"""),"MAS Active(Pvt) Ltd – CONTOURLINE")</f>
        <v/>
      </c>
      <c r="H27" s="43">
        <f>IFERROR(__xludf.DUMMYFUNCTION("""COMPUTED_VALUE"""),450917279870)</f>
        <v/>
      </c>
      <c r="I27" s="45">
        <f>IFERROR(__xludf.DUMMYFUNCTION("""COMPUTED_VALUE"""),19890769)</f>
        <v/>
      </c>
      <c r="J27" s="45">
        <f>IFERROR(__xludf.DUMMYFUNCTION("""COMPUTED_VALUE"""),"LW7CPPS")</f>
        <v/>
      </c>
      <c r="K27" s="45">
        <f>IFERROR(__xludf.DUMMYFUNCTION("""COMPUTED_VALUE"""),"LW7CPPS-049106")</f>
        <v/>
      </c>
      <c r="L27" s="45">
        <f>IFERROR(__xludf.DUMMYFUNCTION("""COMPUTED_VALUE"""),1)</f>
        <v/>
      </c>
      <c r="M27" s="45">
        <f>IFERROR(__xludf.DUMMYFUNCTION("""COMPUTED_VALUE"""),13)</f>
        <v/>
      </c>
      <c r="N27" s="45">
        <f>IFERROR(__xludf.DUMMYFUNCTION("""COMPUTED_VALUE"""),2.582)</f>
        <v/>
      </c>
      <c r="O27" s="45">
        <f>IFERROR(__xludf.DUMMYFUNCTION("""COMPUTED_VALUE"""),0.039)</f>
        <v/>
      </c>
      <c r="P27" s="45">
        <f>IFERROR(__xludf.DUMMYFUNCTION("""COMPUTED_VALUE"""),"Colombo, LK")</f>
        <v/>
      </c>
      <c r="Q27" s="45">
        <f>IFERROR(__xludf.DUMMYFUNCTION("""COMPUTED_VALUE"""),"New York, NY, US")</f>
        <v/>
      </c>
      <c r="R27" s="44">
        <f>IFERROR(__xludf.DUMMYFUNCTION("""COMPUTED_VALUE"""),45817)</f>
        <v/>
      </c>
      <c r="S27" s="44">
        <f>IFERROR(__xludf.DUMMYFUNCTION("""COMPUTED_VALUE"""),45876)</f>
        <v/>
      </c>
      <c r="T27" s="45">
        <f>IFERROR(__xludf.DUMMYFUNCTION("""COMPUTED_VALUE"""),"Milton, ON, CA")</f>
        <v/>
      </c>
      <c r="U27" s="45" t="n"/>
      <c r="V27" s="45" t="n"/>
      <c r="W27" s="45" t="n"/>
      <c r="X27" s="45" t="n"/>
      <c r="Y27" s="46">
        <f>IFERROR(__xludf.DUMMYFUNCTION("""COMPUTED_VALUE"""),45825)</f>
        <v/>
      </c>
      <c r="Z27" s="46">
        <f>IFERROR(__xludf.DUMMYFUNCTION("""COMPUTED_VALUE"""),45854)</f>
        <v/>
      </c>
      <c r="AA27" s="46">
        <f>IFERROR(__xludf.DUMMYFUNCTION("""COMPUTED_VALUE"""),45867)</f>
        <v/>
      </c>
      <c r="AB27" s="45">
        <f>IFERROR(__xludf.DUMMYFUNCTION("""COMPUTED_VALUE"""),"7211 Fifth Line")</f>
        <v/>
      </c>
      <c r="AC27" s="45" t="n"/>
      <c r="AD27" s="45">
        <f>IFERROR(__xludf.DUMMYFUNCTION("""COMPUTED_VALUE"""),"OCEAN")</f>
        <v/>
      </c>
      <c r="AE27" s="45">
        <f>IFERROR(__xludf.DUMMYFUNCTION("""COMPUTED_VALUE"""),"N")</f>
        <v/>
      </c>
      <c r="AF27" s="45" t="n"/>
      <c r="AG27" s="49">
        <f>IFERROR(__xludf.DUMMYFUNCTION("IFNA(vlookup(H27,IMPORTRANGE(""1vUGwO1n0QQGx9kKbO0_M5gmuhXZ6-LaxQxgrmJnzgP0"",""'TP# look up'!A:C""),3,0),"""")"),"")</f>
        <v/>
      </c>
      <c r="AH27" s="49">
        <f>LEFT(J27,2)</f>
        <v/>
      </c>
    </row>
    <row r="28" hidden="1" ht="12.75" customHeight="1">
      <c r="A28" s="45">
        <f>IFERROR(__xludf.DUMMYFUNCTION("""COMPUTED_VALUE"""),"Colombo")</f>
        <v/>
      </c>
      <c r="B28" s="45" t="n"/>
      <c r="C28" s="45">
        <f>IFERROR(__xludf.DUMMYFUNCTION("""COMPUTED_VALUE"""),3231352)</f>
        <v/>
      </c>
      <c r="D28" s="45" t="n"/>
      <c r="E28" s="45">
        <f>IFERROR(__xludf.DUMMYFUNCTION("""COMPUTED_VALUE"""),"CFS")</f>
        <v/>
      </c>
      <c r="F28" s="45">
        <f>IFERROR(__xludf.DUMMYFUNCTION("""COMPUTED_VALUE"""),"MAS AMITY PTE LTD")</f>
        <v/>
      </c>
      <c r="G28" s="45">
        <f>IFERROR(__xludf.DUMMYFUNCTION("""COMPUTED_VALUE"""),"MAS Active(Pvt) Ltd – CONTOURLINE")</f>
        <v/>
      </c>
      <c r="H28" s="43">
        <f>IFERROR(__xludf.DUMMYFUNCTION("""COMPUTED_VALUE"""),450918979842)</f>
        <v/>
      </c>
      <c r="I28" s="45">
        <f>IFERROR(__xludf.DUMMYFUNCTION("""COMPUTED_VALUE"""),19890773)</f>
        <v/>
      </c>
      <c r="J28" s="45">
        <f>IFERROR(__xludf.DUMMYFUNCTION("""COMPUTED_VALUE"""),"LW7CPPS")</f>
        <v/>
      </c>
      <c r="K28" s="45">
        <f>IFERROR(__xludf.DUMMYFUNCTION("""COMPUTED_VALUE"""),"LW7CPPS-049106")</f>
        <v/>
      </c>
      <c r="L28" s="45">
        <f>IFERROR(__xludf.DUMMYFUNCTION("""COMPUTED_VALUE"""),4)</f>
        <v/>
      </c>
      <c r="M28" s="45">
        <f>IFERROR(__xludf.DUMMYFUNCTION("""COMPUTED_VALUE"""),202)</f>
        <v/>
      </c>
      <c r="N28" s="45">
        <f>IFERROR(__xludf.DUMMYFUNCTION("""COMPUTED_VALUE"""),32.334)</f>
        <v/>
      </c>
      <c r="O28" s="45">
        <f>IFERROR(__xludf.DUMMYFUNCTION("""COMPUTED_VALUE"""),0.276)</f>
        <v/>
      </c>
      <c r="P28" s="45">
        <f>IFERROR(__xludf.DUMMYFUNCTION("""COMPUTED_VALUE"""),"Colombo, LK")</f>
        <v/>
      </c>
      <c r="Q28" s="45">
        <f>IFERROR(__xludf.DUMMYFUNCTION("""COMPUTED_VALUE"""),"New York, NY, US")</f>
        <v/>
      </c>
      <c r="R28" s="44">
        <f>IFERROR(__xludf.DUMMYFUNCTION("""COMPUTED_VALUE"""),45817)</f>
        <v/>
      </c>
      <c r="S28" s="44">
        <f>IFERROR(__xludf.DUMMYFUNCTION("""COMPUTED_VALUE"""),45876)</f>
        <v/>
      </c>
      <c r="T28" s="45">
        <f>IFERROR(__xludf.DUMMYFUNCTION("""COMPUTED_VALUE"""),"Mississauga, ON, CA")</f>
        <v/>
      </c>
      <c r="U28" s="45" t="n"/>
      <c r="V28" s="45" t="n"/>
      <c r="W28" s="45" t="n"/>
      <c r="X28" s="45" t="n"/>
      <c r="Y28" s="46">
        <f>IFERROR(__xludf.DUMMYFUNCTION("""COMPUTED_VALUE"""),45825)</f>
        <v/>
      </c>
      <c r="Z28" s="46">
        <f>IFERROR(__xludf.DUMMYFUNCTION("""COMPUTED_VALUE"""),45854)</f>
        <v/>
      </c>
      <c r="AA28" s="46">
        <f>IFERROR(__xludf.DUMMYFUNCTION("""COMPUTED_VALUE"""),45867)</f>
        <v/>
      </c>
      <c r="AB28" s="45">
        <f>IFERROR(__xludf.DUMMYFUNCTION("""COMPUTED_VALUE"""),"3500 Argentia Road")</f>
        <v/>
      </c>
      <c r="AC28" s="45" t="n"/>
      <c r="AD28" s="45">
        <f>IFERROR(__xludf.DUMMYFUNCTION("""COMPUTED_VALUE"""),"OCEAN")</f>
        <v/>
      </c>
      <c r="AE28" s="45">
        <f>IFERROR(__xludf.DUMMYFUNCTION("""COMPUTED_VALUE"""),"N")</f>
        <v/>
      </c>
      <c r="AF28" s="45" t="n"/>
      <c r="AG28" s="49">
        <f>IFERROR(__xludf.DUMMYFUNCTION("IFNA(vlookup(H28,IMPORTRANGE(""1vUGwO1n0QQGx9kKbO0_M5gmuhXZ6-LaxQxgrmJnzgP0"",""'TP# look up'!A:C""),3,0),"""")"),"")</f>
        <v/>
      </c>
      <c r="AH28" s="49">
        <f>LEFT(J28,2)</f>
        <v/>
      </c>
    </row>
    <row r="29" hidden="1" ht="12.75" customHeight="1">
      <c r="A29" s="45">
        <f>IFERROR(__xludf.DUMMYFUNCTION("""COMPUTED_VALUE"""),"Colombo")</f>
        <v/>
      </c>
      <c r="B29" s="45" t="n"/>
      <c r="C29" s="45">
        <f>IFERROR(__xludf.DUMMYFUNCTION("""COMPUTED_VALUE"""),3231352)</f>
        <v/>
      </c>
      <c r="D29" s="45" t="n"/>
      <c r="E29" s="45">
        <f>IFERROR(__xludf.DUMMYFUNCTION("""COMPUTED_VALUE"""),"CFS")</f>
        <v/>
      </c>
      <c r="F29" s="45">
        <f>IFERROR(__xludf.DUMMYFUNCTION("""COMPUTED_VALUE"""),"MAS AMITY PTE LTD")</f>
        <v/>
      </c>
      <c r="G29" s="45">
        <f>IFERROR(__xludf.DUMMYFUNCTION("""COMPUTED_VALUE"""),"MAS Active(Pvt) Ltd – CONTOURLINE")</f>
        <v/>
      </c>
      <c r="H29" s="43">
        <f>IFERROR(__xludf.DUMMYFUNCTION("""COMPUTED_VALUE"""),450920505807)</f>
        <v/>
      </c>
      <c r="I29" s="45">
        <f>IFERROR(__xludf.DUMMYFUNCTION("""COMPUTED_VALUE"""),19920827)</f>
        <v/>
      </c>
      <c r="J29" s="45">
        <f>IFERROR(__xludf.DUMMYFUNCTION("""COMPUTED_VALUE"""),"LW5EPSS")</f>
        <v/>
      </c>
      <c r="K29" s="45">
        <f>IFERROR(__xludf.DUMMYFUNCTION("""COMPUTED_VALUE"""),"LW5EPSS-041179")</f>
        <v/>
      </c>
      <c r="L29" s="45">
        <f>IFERROR(__xludf.DUMMYFUNCTION("""COMPUTED_VALUE"""),8)</f>
        <v/>
      </c>
      <c r="M29" s="45">
        <f>IFERROR(__xludf.DUMMYFUNCTION("""COMPUTED_VALUE"""),390)</f>
        <v/>
      </c>
      <c r="N29" s="45">
        <f>IFERROR(__xludf.DUMMYFUNCTION("""COMPUTED_VALUE"""),88.385)</f>
        <v/>
      </c>
      <c r="O29" s="45">
        <f>IFERROR(__xludf.DUMMYFUNCTION("""COMPUTED_VALUE"""),0.553)</f>
        <v/>
      </c>
      <c r="P29" s="45">
        <f>IFERROR(__xludf.DUMMYFUNCTION("""COMPUTED_VALUE"""),"Colombo, LK")</f>
        <v/>
      </c>
      <c r="Q29" s="45">
        <f>IFERROR(__xludf.DUMMYFUNCTION("""COMPUTED_VALUE"""),"New York, NY, US")</f>
        <v/>
      </c>
      <c r="R29" s="44">
        <f>IFERROR(__xludf.DUMMYFUNCTION("""COMPUTED_VALUE"""),45817)</f>
        <v/>
      </c>
      <c r="S29" s="44">
        <f>IFERROR(__xludf.DUMMYFUNCTION("""COMPUTED_VALUE"""),45876)</f>
        <v/>
      </c>
      <c r="T29" s="45">
        <f>IFERROR(__xludf.DUMMYFUNCTION("""COMPUTED_VALUE"""),"Mississauga, ON, CA")</f>
        <v/>
      </c>
      <c r="U29" s="45" t="n"/>
      <c r="V29" s="45" t="n"/>
      <c r="W29" s="45" t="n"/>
      <c r="X29" s="45" t="n"/>
      <c r="Y29" s="46">
        <f>IFERROR(__xludf.DUMMYFUNCTION("""COMPUTED_VALUE"""),45825)</f>
        <v/>
      </c>
      <c r="Z29" s="46">
        <f>IFERROR(__xludf.DUMMYFUNCTION("""COMPUTED_VALUE"""),45854)</f>
        <v/>
      </c>
      <c r="AA29" s="46">
        <f>IFERROR(__xludf.DUMMYFUNCTION("""COMPUTED_VALUE"""),45867)</f>
        <v/>
      </c>
      <c r="AB29" s="45">
        <f>IFERROR(__xludf.DUMMYFUNCTION("""COMPUTED_VALUE"""),"3500 Argentia Road")</f>
        <v/>
      </c>
      <c r="AC29" s="45" t="n"/>
      <c r="AD29" s="45">
        <f>IFERROR(__xludf.DUMMYFUNCTION("""COMPUTED_VALUE"""),"OCEAN")</f>
        <v/>
      </c>
      <c r="AE29" s="45">
        <f>IFERROR(__xludf.DUMMYFUNCTION("""COMPUTED_VALUE"""),"N")</f>
        <v/>
      </c>
      <c r="AF29" s="45" t="n"/>
      <c r="AG29" s="49">
        <f>IFERROR(__xludf.DUMMYFUNCTION("IFNA(vlookup(H29,IMPORTRANGE(""1vUGwO1n0QQGx9kKbO0_M5gmuhXZ6-LaxQxgrmJnzgP0"",""'TP# look up'!A:C""),3,0),"""")"),"")</f>
        <v/>
      </c>
      <c r="AH29" s="49">
        <f>LEFT(J29,2)</f>
        <v/>
      </c>
    </row>
    <row r="30" hidden="1" ht="12.75" customHeight="1">
      <c r="A30" s="45">
        <f>IFERROR(__xludf.DUMMYFUNCTION("""COMPUTED_VALUE"""),"Colombo")</f>
        <v/>
      </c>
      <c r="B30" s="45" t="n"/>
      <c r="C30" s="45">
        <f>IFERROR(__xludf.DUMMYFUNCTION("""COMPUTED_VALUE"""),3231352)</f>
        <v/>
      </c>
      <c r="D30" s="45" t="n"/>
      <c r="E30" s="45">
        <f>IFERROR(__xludf.DUMMYFUNCTION("""COMPUTED_VALUE"""),"CFS")</f>
        <v/>
      </c>
      <c r="F30" s="45">
        <f>IFERROR(__xludf.DUMMYFUNCTION("""COMPUTED_VALUE"""),"MAS AMITY PTE LTD")</f>
        <v/>
      </c>
      <c r="G30" s="45">
        <f>IFERROR(__xludf.DUMMYFUNCTION("""COMPUTED_VALUE"""),"MAS Active(Pvt) Ltd – CONTOURLINE")</f>
        <v/>
      </c>
      <c r="H30" s="43">
        <f>IFERROR(__xludf.DUMMYFUNCTION("""COMPUTED_VALUE"""),450922839952)</f>
        <v/>
      </c>
      <c r="I30" s="45">
        <f>IFERROR(__xludf.DUMMYFUNCTION("""COMPUTED_VALUE"""),19939402)</f>
        <v/>
      </c>
      <c r="J30" s="45">
        <f>IFERROR(__xludf.DUMMYFUNCTION("""COMPUTED_VALUE"""),"LM7BI2S")</f>
        <v/>
      </c>
      <c r="K30" s="45">
        <f>IFERROR(__xludf.DUMMYFUNCTION("""COMPUTED_VALUE"""),"LM7BI2S-041179")</f>
        <v/>
      </c>
      <c r="L30" s="45">
        <f>IFERROR(__xludf.DUMMYFUNCTION("""COMPUTED_VALUE"""),1)</f>
        <v/>
      </c>
      <c r="M30" s="45">
        <f>IFERROR(__xludf.DUMMYFUNCTION("""COMPUTED_VALUE"""),52)</f>
        <v/>
      </c>
      <c r="N30" s="45">
        <f>IFERROR(__xludf.DUMMYFUNCTION("""COMPUTED_VALUE"""),12.182)</f>
        <v/>
      </c>
      <c r="O30" s="45">
        <f>IFERROR(__xludf.DUMMYFUNCTION("""COMPUTED_VALUE"""),0.079)</f>
        <v/>
      </c>
      <c r="P30" s="45">
        <f>IFERROR(__xludf.DUMMYFUNCTION("""COMPUTED_VALUE"""),"Colombo, LK")</f>
        <v/>
      </c>
      <c r="Q30" s="45">
        <f>IFERROR(__xludf.DUMMYFUNCTION("""COMPUTED_VALUE"""),"New York, NY, US")</f>
        <v/>
      </c>
      <c r="R30" s="44">
        <f>IFERROR(__xludf.DUMMYFUNCTION("""COMPUTED_VALUE"""),45817)</f>
        <v/>
      </c>
      <c r="S30" s="44">
        <f>IFERROR(__xludf.DUMMYFUNCTION("""COMPUTED_VALUE"""),45876)</f>
        <v/>
      </c>
      <c r="T30" s="45">
        <f>IFERROR(__xludf.DUMMYFUNCTION("""COMPUTED_VALUE"""),"Mississauga, ON, CA")</f>
        <v/>
      </c>
      <c r="U30" s="45" t="n"/>
      <c r="V30" s="45" t="n"/>
      <c r="W30" s="45" t="n"/>
      <c r="X30" s="45" t="n"/>
      <c r="Y30" s="46">
        <f>IFERROR(__xludf.DUMMYFUNCTION("""COMPUTED_VALUE"""),45825)</f>
        <v/>
      </c>
      <c r="Z30" s="46">
        <f>IFERROR(__xludf.DUMMYFUNCTION("""COMPUTED_VALUE"""),45854)</f>
        <v/>
      </c>
      <c r="AA30" s="46">
        <f>IFERROR(__xludf.DUMMYFUNCTION("""COMPUTED_VALUE"""),45867)</f>
        <v/>
      </c>
      <c r="AB30" s="45">
        <f>IFERROR(__xludf.DUMMYFUNCTION("""COMPUTED_VALUE"""),"3500 Argentia Road")</f>
        <v/>
      </c>
      <c r="AC30" s="45" t="n"/>
      <c r="AD30" s="45">
        <f>IFERROR(__xludf.DUMMYFUNCTION("""COMPUTED_VALUE"""),"OCEAN")</f>
        <v/>
      </c>
      <c r="AE30" s="45">
        <f>IFERROR(__xludf.DUMMYFUNCTION("""COMPUTED_VALUE"""),"N")</f>
        <v/>
      </c>
      <c r="AF30" s="45" t="n"/>
      <c r="AG30" s="49">
        <f>IFERROR(__xludf.DUMMYFUNCTION("IFNA(vlookup(H30,IMPORTRANGE(""1vUGwO1n0QQGx9kKbO0_M5gmuhXZ6-LaxQxgrmJnzgP0"",""'TP# look up'!A:C""),3,0),"""")"),"")</f>
        <v/>
      </c>
      <c r="AH30" s="49">
        <f>LEFT(J30,2)</f>
        <v/>
      </c>
    </row>
    <row r="31" hidden="1" ht="12.75" customHeight="1">
      <c r="A31" s="45">
        <f>IFERROR(__xludf.DUMMYFUNCTION("""COMPUTED_VALUE"""),"Colombo")</f>
        <v/>
      </c>
      <c r="B31" s="45" t="n"/>
      <c r="C31" s="45">
        <f>IFERROR(__xludf.DUMMYFUNCTION("""COMPUTED_VALUE"""),3231352)</f>
        <v/>
      </c>
      <c r="D31" s="45" t="n"/>
      <c r="E31" s="45">
        <f>IFERROR(__xludf.DUMMYFUNCTION("""COMPUTED_VALUE"""),"CFS")</f>
        <v/>
      </c>
      <c r="F31" s="45">
        <f>IFERROR(__xludf.DUMMYFUNCTION("""COMPUTED_VALUE"""),"MAS AMITY PTE LTD")</f>
        <v/>
      </c>
      <c r="G31" s="45">
        <f>IFERROR(__xludf.DUMMYFUNCTION("""COMPUTED_VALUE"""),"MAS Active(Pvt) Ltd – CONTOURLINE")</f>
        <v/>
      </c>
      <c r="H31" s="43">
        <f>IFERROR(__xludf.DUMMYFUNCTION("""COMPUTED_VALUE"""),450924605569)</f>
        <v/>
      </c>
      <c r="I31" s="45">
        <f>IFERROR(__xludf.DUMMYFUNCTION("""COMPUTED_VALUE"""),19920933)</f>
        <v/>
      </c>
      <c r="J31" s="45">
        <f>IFERROR(__xludf.DUMMYFUNCTION("""COMPUTED_VALUE"""),"LM7BI2S")</f>
        <v/>
      </c>
      <c r="K31" s="45">
        <f>IFERROR(__xludf.DUMMYFUNCTION("""COMPUTED_VALUE"""),"LM7BI2S-041179")</f>
        <v/>
      </c>
      <c r="L31" s="45">
        <f>IFERROR(__xludf.DUMMYFUNCTION("""COMPUTED_VALUE"""),9)</f>
        <v/>
      </c>
      <c r="M31" s="45">
        <f>IFERROR(__xludf.DUMMYFUNCTION("""COMPUTED_VALUE"""),399)</f>
        <v/>
      </c>
      <c r="N31" s="45">
        <f>IFERROR(__xludf.DUMMYFUNCTION("""COMPUTED_VALUE"""),94.691)</f>
        <v/>
      </c>
      <c r="O31" s="45">
        <f>IFERROR(__xludf.DUMMYFUNCTION("""COMPUTED_VALUE"""),0.671)</f>
        <v/>
      </c>
      <c r="P31" s="45">
        <f>IFERROR(__xludf.DUMMYFUNCTION("""COMPUTED_VALUE"""),"Colombo, LK")</f>
        <v/>
      </c>
      <c r="Q31" s="45">
        <f>IFERROR(__xludf.DUMMYFUNCTION("""COMPUTED_VALUE"""),"New York, NY, US")</f>
        <v/>
      </c>
      <c r="R31" s="44">
        <f>IFERROR(__xludf.DUMMYFUNCTION("""COMPUTED_VALUE"""),45817)</f>
        <v/>
      </c>
      <c r="S31" s="44">
        <f>IFERROR(__xludf.DUMMYFUNCTION("""COMPUTED_VALUE"""),45876)</f>
        <v/>
      </c>
      <c r="T31" s="45">
        <f>IFERROR(__xludf.DUMMYFUNCTION("""COMPUTED_VALUE"""),"Mississauga, ON, CA")</f>
        <v/>
      </c>
      <c r="U31" s="45" t="n"/>
      <c r="V31" s="45" t="n"/>
      <c r="W31" s="45" t="n"/>
      <c r="X31" s="45" t="n"/>
      <c r="Y31" s="46">
        <f>IFERROR(__xludf.DUMMYFUNCTION("""COMPUTED_VALUE"""),45825)</f>
        <v/>
      </c>
      <c r="Z31" s="46">
        <f>IFERROR(__xludf.DUMMYFUNCTION("""COMPUTED_VALUE"""),45854)</f>
        <v/>
      </c>
      <c r="AA31" s="46">
        <f>IFERROR(__xludf.DUMMYFUNCTION("""COMPUTED_VALUE"""),45867)</f>
        <v/>
      </c>
      <c r="AB31" s="45">
        <f>IFERROR(__xludf.DUMMYFUNCTION("""COMPUTED_VALUE"""),"3500 Argentia Road")</f>
        <v/>
      </c>
      <c r="AC31" s="45" t="n"/>
      <c r="AD31" s="45">
        <f>IFERROR(__xludf.DUMMYFUNCTION("""COMPUTED_VALUE"""),"OCEAN")</f>
        <v/>
      </c>
      <c r="AE31" s="45">
        <f>IFERROR(__xludf.DUMMYFUNCTION("""COMPUTED_VALUE"""),"N")</f>
        <v/>
      </c>
      <c r="AF31" s="45" t="n"/>
      <c r="AG31" s="49">
        <f>IFERROR(__xludf.DUMMYFUNCTION("IFNA(vlookup(H31,IMPORTRANGE(""1vUGwO1n0QQGx9kKbO0_M5gmuhXZ6-LaxQxgrmJnzgP0"",""'TP# look up'!A:C""),3,0),"""")"),"")</f>
        <v/>
      </c>
      <c r="AH31" s="49">
        <f>LEFT(J31,2)</f>
        <v/>
      </c>
    </row>
    <row r="32" hidden="1" ht="12.75" customHeight="1">
      <c r="A32" s="45">
        <f>IFERROR(__xludf.DUMMYFUNCTION("""COMPUTED_VALUE"""),"Colombo")</f>
        <v/>
      </c>
      <c r="B32" s="45" t="n"/>
      <c r="C32" s="45">
        <f>IFERROR(__xludf.DUMMYFUNCTION("""COMPUTED_VALUE"""),3231352)</f>
        <v/>
      </c>
      <c r="D32" s="45" t="n"/>
      <c r="E32" s="45">
        <f>IFERROR(__xludf.DUMMYFUNCTION("""COMPUTED_VALUE"""),"CFS")</f>
        <v/>
      </c>
      <c r="F32" s="45">
        <f>IFERROR(__xludf.DUMMYFUNCTION("""COMPUTED_VALUE"""),"MAS AMITY PTE LTD")</f>
        <v/>
      </c>
      <c r="G32" s="45">
        <f>IFERROR(__xludf.DUMMYFUNCTION("""COMPUTED_VALUE"""),"MAS Active(Pvt) Ltd – CONTOURLINE")</f>
        <v/>
      </c>
      <c r="H32" s="43">
        <f>IFERROR(__xludf.DUMMYFUNCTION("""COMPUTED_VALUE"""),450925481954)</f>
        <v/>
      </c>
      <c r="I32" s="45">
        <f>IFERROR(__xludf.DUMMYFUNCTION("""COMPUTED_VALUE"""),19920742)</f>
        <v/>
      </c>
      <c r="J32" s="45">
        <f>IFERROR(__xludf.DUMMYFUNCTION("""COMPUTED_VALUE"""),"LW5EPSS")</f>
        <v/>
      </c>
      <c r="K32" s="45">
        <f>IFERROR(__xludf.DUMMYFUNCTION("""COMPUTED_VALUE"""),"LW5EPSS-071195")</f>
        <v/>
      </c>
      <c r="L32" s="45">
        <f>IFERROR(__xludf.DUMMYFUNCTION("""COMPUTED_VALUE"""),2)</f>
        <v/>
      </c>
      <c r="M32" s="45">
        <f>IFERROR(__xludf.DUMMYFUNCTION("""COMPUTED_VALUE"""),85)</f>
        <v/>
      </c>
      <c r="N32" s="45">
        <f>IFERROR(__xludf.DUMMYFUNCTION("""COMPUTED_VALUE"""),19.608)</f>
        <v/>
      </c>
      <c r="O32" s="45">
        <f>IFERROR(__xludf.DUMMYFUNCTION("""COMPUTED_VALUE"""),0.118)</f>
        <v/>
      </c>
      <c r="P32" s="45">
        <f>IFERROR(__xludf.DUMMYFUNCTION("""COMPUTED_VALUE"""),"Colombo, LK")</f>
        <v/>
      </c>
      <c r="Q32" s="45">
        <f>IFERROR(__xludf.DUMMYFUNCTION("""COMPUTED_VALUE"""),"New York, NY, US")</f>
        <v/>
      </c>
      <c r="R32" s="44">
        <f>IFERROR(__xludf.DUMMYFUNCTION("""COMPUTED_VALUE"""),45817)</f>
        <v/>
      </c>
      <c r="S32" s="44">
        <f>IFERROR(__xludf.DUMMYFUNCTION("""COMPUTED_VALUE"""),45876)</f>
        <v/>
      </c>
      <c r="T32" s="45">
        <f>IFERROR(__xludf.DUMMYFUNCTION("""COMPUTED_VALUE"""),"Mississauga, ON, CA")</f>
        <v/>
      </c>
      <c r="U32" s="45" t="n"/>
      <c r="V32" s="45" t="n"/>
      <c r="W32" s="45" t="n"/>
      <c r="X32" s="45" t="n"/>
      <c r="Y32" s="46">
        <f>IFERROR(__xludf.DUMMYFUNCTION("""COMPUTED_VALUE"""),45825)</f>
        <v/>
      </c>
      <c r="Z32" s="46">
        <f>IFERROR(__xludf.DUMMYFUNCTION("""COMPUTED_VALUE"""),45854)</f>
        <v/>
      </c>
      <c r="AA32" s="46">
        <f>IFERROR(__xludf.DUMMYFUNCTION("""COMPUTED_VALUE"""),45867)</f>
        <v/>
      </c>
      <c r="AB32" s="45">
        <f>IFERROR(__xludf.DUMMYFUNCTION("""COMPUTED_VALUE"""),"3500 Argentia Road")</f>
        <v/>
      </c>
      <c r="AC32" s="45" t="n"/>
      <c r="AD32" s="45">
        <f>IFERROR(__xludf.DUMMYFUNCTION("""COMPUTED_VALUE"""),"OCEAN")</f>
        <v/>
      </c>
      <c r="AE32" s="45">
        <f>IFERROR(__xludf.DUMMYFUNCTION("""COMPUTED_VALUE"""),"N")</f>
        <v/>
      </c>
      <c r="AF32" s="45" t="n"/>
      <c r="AG32" s="49">
        <f>IFERROR(__xludf.DUMMYFUNCTION("IFNA(vlookup(H32,IMPORTRANGE(""1vUGwO1n0QQGx9kKbO0_M5gmuhXZ6-LaxQxgrmJnzgP0"",""'TP# look up'!A:C""),3,0),"""")"),"")</f>
        <v/>
      </c>
      <c r="AH32" s="49">
        <f>LEFT(J32,2)</f>
        <v/>
      </c>
    </row>
    <row r="33" hidden="1" ht="12.75" customHeight="1">
      <c r="A33" s="45">
        <f>IFERROR(__xludf.DUMMYFUNCTION("""COMPUTED_VALUE"""),"Colombo")</f>
        <v/>
      </c>
      <c r="B33" s="45" t="n"/>
      <c r="C33" s="45">
        <f>IFERROR(__xludf.DUMMYFUNCTION("""COMPUTED_VALUE"""),3231352)</f>
        <v/>
      </c>
      <c r="D33" s="45" t="n"/>
      <c r="E33" s="45">
        <f>IFERROR(__xludf.DUMMYFUNCTION("""COMPUTED_VALUE"""),"CFS")</f>
        <v/>
      </c>
      <c r="F33" s="45">
        <f>IFERROR(__xludf.DUMMYFUNCTION("""COMPUTED_VALUE"""),"MAS AMITY PTE LTD")</f>
        <v/>
      </c>
      <c r="G33" s="45">
        <f>IFERROR(__xludf.DUMMYFUNCTION("""COMPUTED_VALUE"""),"MAS Active(Pvt) Ltd – CONTOURLINE")</f>
        <v/>
      </c>
      <c r="H33" s="43">
        <f>IFERROR(__xludf.DUMMYFUNCTION("""COMPUTED_VALUE"""),450925482154)</f>
        <v/>
      </c>
      <c r="I33" s="45">
        <f>IFERROR(__xludf.DUMMYFUNCTION("""COMPUTED_VALUE"""),19939531)</f>
        <v/>
      </c>
      <c r="J33" s="45">
        <f>IFERROR(__xludf.DUMMYFUNCTION("""COMPUTED_VALUE"""),"LW5EPSS")</f>
        <v/>
      </c>
      <c r="K33" s="45">
        <f>IFERROR(__xludf.DUMMYFUNCTION("""COMPUTED_VALUE"""),"LW5EPSS-071195")</f>
        <v/>
      </c>
      <c r="L33" s="45">
        <f>IFERROR(__xludf.DUMMYFUNCTION("""COMPUTED_VALUE"""),5)</f>
        <v/>
      </c>
      <c r="M33" s="45">
        <f>IFERROR(__xludf.DUMMYFUNCTION("""COMPUTED_VALUE"""),278)</f>
        <v/>
      </c>
      <c r="N33" s="45">
        <f>IFERROR(__xludf.DUMMYFUNCTION("""COMPUTED_VALUE"""),62.257)</f>
        <v/>
      </c>
      <c r="O33" s="45">
        <f>IFERROR(__xludf.DUMMYFUNCTION("""COMPUTED_VALUE"""),0.355)</f>
        <v/>
      </c>
      <c r="P33" s="45">
        <f>IFERROR(__xludf.DUMMYFUNCTION("""COMPUTED_VALUE"""),"Colombo, LK")</f>
        <v/>
      </c>
      <c r="Q33" s="45">
        <f>IFERROR(__xludf.DUMMYFUNCTION("""COMPUTED_VALUE"""),"New York, NY, US")</f>
        <v/>
      </c>
      <c r="R33" s="44">
        <f>IFERROR(__xludf.DUMMYFUNCTION("""COMPUTED_VALUE"""),45817)</f>
        <v/>
      </c>
      <c r="S33" s="44">
        <f>IFERROR(__xludf.DUMMYFUNCTION("""COMPUTED_VALUE"""),45876)</f>
        <v/>
      </c>
      <c r="T33" s="45">
        <f>IFERROR(__xludf.DUMMYFUNCTION("""COMPUTED_VALUE"""),"Mississauga, ON, CA")</f>
        <v/>
      </c>
      <c r="U33" s="45" t="n"/>
      <c r="V33" s="45" t="n"/>
      <c r="W33" s="45" t="n"/>
      <c r="X33" s="45" t="n"/>
      <c r="Y33" s="46">
        <f>IFERROR(__xludf.DUMMYFUNCTION("""COMPUTED_VALUE"""),45825)</f>
        <v/>
      </c>
      <c r="Z33" s="46">
        <f>IFERROR(__xludf.DUMMYFUNCTION("""COMPUTED_VALUE"""),45854)</f>
        <v/>
      </c>
      <c r="AA33" s="46">
        <f>IFERROR(__xludf.DUMMYFUNCTION("""COMPUTED_VALUE"""),45867)</f>
        <v/>
      </c>
      <c r="AB33" s="45">
        <f>IFERROR(__xludf.DUMMYFUNCTION("""COMPUTED_VALUE"""),"3500 Argentia Road")</f>
        <v/>
      </c>
      <c r="AC33" s="45" t="n"/>
      <c r="AD33" s="45">
        <f>IFERROR(__xludf.DUMMYFUNCTION("""COMPUTED_VALUE"""),"OCEAN")</f>
        <v/>
      </c>
      <c r="AE33" s="45">
        <f>IFERROR(__xludf.DUMMYFUNCTION("""COMPUTED_VALUE"""),"N")</f>
        <v/>
      </c>
      <c r="AF33" s="45" t="n"/>
      <c r="AG33" s="49">
        <f>IFERROR(__xludf.DUMMYFUNCTION("IFNA(vlookup(H33,IMPORTRANGE(""1vUGwO1n0QQGx9kKbO0_M5gmuhXZ6-LaxQxgrmJnzgP0"",""'TP# look up'!A:C""),3,0),"""")"),"")</f>
        <v/>
      </c>
      <c r="AH33" s="49">
        <f>LEFT(J33,2)</f>
        <v/>
      </c>
    </row>
    <row r="34" hidden="1" ht="12.75" customHeight="1">
      <c r="A34" s="45">
        <f>IFERROR(__xludf.DUMMYFUNCTION("""COMPUTED_VALUE"""),"Colombo")</f>
        <v/>
      </c>
      <c r="B34" s="45" t="n"/>
      <c r="C34" s="45">
        <f>IFERROR(__xludf.DUMMYFUNCTION("""COMPUTED_VALUE"""),3231352)</f>
        <v/>
      </c>
      <c r="D34" s="45" t="n"/>
      <c r="E34" s="45">
        <f>IFERROR(__xludf.DUMMYFUNCTION("""COMPUTED_VALUE"""),"CFS")</f>
        <v/>
      </c>
      <c r="F34" s="45">
        <f>IFERROR(__xludf.DUMMYFUNCTION("""COMPUTED_VALUE"""),"MAS AMITY PTE LTD")</f>
        <v/>
      </c>
      <c r="G34" s="45">
        <f>IFERROR(__xludf.DUMMYFUNCTION("""COMPUTED_VALUE"""),"MAS Active(Pvt) Ltd – CONTOURLINE")</f>
        <v/>
      </c>
      <c r="H34" s="43">
        <f>IFERROR(__xludf.DUMMYFUNCTION("""COMPUTED_VALUE"""),450926171338)</f>
        <v/>
      </c>
      <c r="I34" s="45">
        <f>IFERROR(__xludf.DUMMYFUNCTION("""COMPUTED_VALUE"""),19913609)</f>
        <v/>
      </c>
      <c r="J34" s="45">
        <f>IFERROR(__xludf.DUMMYFUNCTION("""COMPUTED_VALUE"""),"LW1DRKS")</f>
        <v/>
      </c>
      <c r="K34" s="45">
        <f>IFERROR(__xludf.DUMMYFUNCTION("""COMPUTED_VALUE"""),"LW1DRKS-071150")</f>
        <v/>
      </c>
      <c r="L34" s="45">
        <f>IFERROR(__xludf.DUMMYFUNCTION("""COMPUTED_VALUE"""),7)</f>
        <v/>
      </c>
      <c r="M34" s="45">
        <f>IFERROR(__xludf.DUMMYFUNCTION("""COMPUTED_VALUE"""),582)</f>
        <v/>
      </c>
      <c r="N34" s="45">
        <f>IFERROR(__xludf.DUMMYFUNCTION("""COMPUTED_VALUE"""),73.762)</f>
        <v/>
      </c>
      <c r="O34" s="45">
        <f>IFERROR(__xludf.DUMMYFUNCTION("""COMPUTED_VALUE"""),0.513)</f>
        <v/>
      </c>
      <c r="P34" s="45">
        <f>IFERROR(__xludf.DUMMYFUNCTION("""COMPUTED_VALUE"""),"Colombo, LK")</f>
        <v/>
      </c>
      <c r="Q34" s="45">
        <f>IFERROR(__xludf.DUMMYFUNCTION("""COMPUTED_VALUE"""),"New York, NY, US")</f>
        <v/>
      </c>
      <c r="R34" s="44">
        <f>IFERROR(__xludf.DUMMYFUNCTION("""COMPUTED_VALUE"""),45817)</f>
        <v/>
      </c>
      <c r="S34" s="44">
        <f>IFERROR(__xludf.DUMMYFUNCTION("""COMPUTED_VALUE"""),45876)</f>
        <v/>
      </c>
      <c r="T34" s="45">
        <f>IFERROR(__xludf.DUMMYFUNCTION("""COMPUTED_VALUE"""),"Mississauga, ON, CA")</f>
        <v/>
      </c>
      <c r="U34" s="45" t="n"/>
      <c r="V34" s="45" t="n"/>
      <c r="W34" s="45" t="n"/>
      <c r="X34" s="45" t="n"/>
      <c r="Y34" s="46">
        <f>IFERROR(__xludf.DUMMYFUNCTION("""COMPUTED_VALUE"""),45825)</f>
        <v/>
      </c>
      <c r="Z34" s="46">
        <f>IFERROR(__xludf.DUMMYFUNCTION("""COMPUTED_VALUE"""),45854)</f>
        <v/>
      </c>
      <c r="AA34" s="46">
        <f>IFERROR(__xludf.DUMMYFUNCTION("""COMPUTED_VALUE"""),45867)</f>
        <v/>
      </c>
      <c r="AB34" s="45">
        <f>IFERROR(__xludf.DUMMYFUNCTION("""COMPUTED_VALUE"""),"3500 Argentia Road")</f>
        <v/>
      </c>
      <c r="AC34" s="45" t="n"/>
      <c r="AD34" s="45">
        <f>IFERROR(__xludf.DUMMYFUNCTION("""COMPUTED_VALUE"""),"OCEAN")</f>
        <v/>
      </c>
      <c r="AE34" s="45">
        <f>IFERROR(__xludf.DUMMYFUNCTION("""COMPUTED_VALUE"""),"N")</f>
        <v/>
      </c>
      <c r="AF34" s="45" t="n"/>
      <c r="AG34" s="49">
        <f>IFERROR(__xludf.DUMMYFUNCTION("IFNA(vlookup(H34,IMPORTRANGE(""1vUGwO1n0QQGx9kKbO0_M5gmuhXZ6-LaxQxgrmJnzgP0"",""'TP# look up'!A:C""),3,0),"""")"),"")</f>
        <v/>
      </c>
      <c r="AH34" s="49">
        <f>LEFT(J34,2)</f>
        <v/>
      </c>
    </row>
    <row r="35" hidden="1" ht="12.75" customHeight="1">
      <c r="A35" s="45">
        <f>IFERROR(__xludf.DUMMYFUNCTION("""COMPUTED_VALUE"""),"Colombo")</f>
        <v/>
      </c>
      <c r="B35" s="45" t="n"/>
      <c r="C35" s="45">
        <f>IFERROR(__xludf.DUMMYFUNCTION("""COMPUTED_VALUE"""),3231352)</f>
        <v/>
      </c>
      <c r="D35" s="45" t="n"/>
      <c r="E35" s="45">
        <f>IFERROR(__xludf.DUMMYFUNCTION("""COMPUTED_VALUE"""),"CFS")</f>
        <v/>
      </c>
      <c r="F35" s="45">
        <f>IFERROR(__xludf.DUMMYFUNCTION("""COMPUTED_VALUE"""),"MAS AMITY PTE LTD")</f>
        <v/>
      </c>
      <c r="G35" s="45">
        <f>IFERROR(__xludf.DUMMYFUNCTION("""COMPUTED_VALUE"""),"MAS Active(Pvt) Ltd – CONTOURLINE")</f>
        <v/>
      </c>
      <c r="H35" s="43">
        <f>IFERROR(__xludf.DUMMYFUNCTION("""COMPUTED_VALUE"""),450927429107)</f>
        <v/>
      </c>
      <c r="I35" s="45">
        <f>IFERROR(__xludf.DUMMYFUNCTION("""COMPUTED_VALUE"""),19897891)</f>
        <v/>
      </c>
      <c r="J35" s="45">
        <f>IFERROR(__xludf.DUMMYFUNCTION("""COMPUTED_VALUE"""),"LM3FBSS")</f>
        <v/>
      </c>
      <c r="K35" s="45">
        <f>IFERROR(__xludf.DUMMYFUNCTION("""COMPUTED_VALUE"""),"LM3FBSS-0002")</f>
        <v/>
      </c>
      <c r="L35" s="45">
        <f>IFERROR(__xludf.DUMMYFUNCTION("""COMPUTED_VALUE"""),3)</f>
        <v/>
      </c>
      <c r="M35" s="45">
        <f>IFERROR(__xludf.DUMMYFUNCTION("""COMPUTED_VALUE"""),85)</f>
        <v/>
      </c>
      <c r="N35" s="45">
        <f>IFERROR(__xludf.DUMMYFUNCTION("""COMPUTED_VALUE"""),29.352)</f>
        <v/>
      </c>
      <c r="O35" s="45">
        <f>IFERROR(__xludf.DUMMYFUNCTION("""COMPUTED_VALUE"""),0.237)</f>
        <v/>
      </c>
      <c r="P35" s="45">
        <f>IFERROR(__xludf.DUMMYFUNCTION("""COMPUTED_VALUE"""),"Colombo, LK")</f>
        <v/>
      </c>
      <c r="Q35" s="45">
        <f>IFERROR(__xludf.DUMMYFUNCTION("""COMPUTED_VALUE"""),"New York, NY, US")</f>
        <v/>
      </c>
      <c r="R35" s="44">
        <f>IFERROR(__xludf.DUMMYFUNCTION("""COMPUTED_VALUE"""),45817)</f>
        <v/>
      </c>
      <c r="S35" s="44">
        <f>IFERROR(__xludf.DUMMYFUNCTION("""COMPUTED_VALUE"""),45876)</f>
        <v/>
      </c>
      <c r="T35" s="45">
        <f>IFERROR(__xludf.DUMMYFUNCTION("""COMPUTED_VALUE"""),"Milton, ON, CA")</f>
        <v/>
      </c>
      <c r="U35" s="45" t="n"/>
      <c r="V35" s="45" t="n"/>
      <c r="W35" s="45" t="n"/>
      <c r="X35" s="45" t="n"/>
      <c r="Y35" s="46">
        <f>IFERROR(__xludf.DUMMYFUNCTION("""COMPUTED_VALUE"""),45825)</f>
        <v/>
      </c>
      <c r="Z35" s="46">
        <f>IFERROR(__xludf.DUMMYFUNCTION("""COMPUTED_VALUE"""),45854)</f>
        <v/>
      </c>
      <c r="AA35" s="46">
        <f>IFERROR(__xludf.DUMMYFUNCTION("""COMPUTED_VALUE"""),45867)</f>
        <v/>
      </c>
      <c r="AB35" s="45">
        <f>IFERROR(__xludf.DUMMYFUNCTION("""COMPUTED_VALUE"""),"7211 Fifth Line")</f>
        <v/>
      </c>
      <c r="AC35" s="45" t="n"/>
      <c r="AD35" s="45">
        <f>IFERROR(__xludf.DUMMYFUNCTION("""COMPUTED_VALUE"""),"OCEAN")</f>
        <v/>
      </c>
      <c r="AE35" s="45">
        <f>IFERROR(__xludf.DUMMYFUNCTION("""COMPUTED_VALUE"""),"N")</f>
        <v/>
      </c>
      <c r="AF35" s="45" t="n"/>
      <c r="AG35" s="49">
        <f>IFERROR(__xludf.DUMMYFUNCTION("IFNA(vlookup(H35,IMPORTRANGE(""1vUGwO1n0QQGx9kKbO0_M5gmuhXZ6-LaxQxgrmJnzgP0"",""'TP# look up'!A:C""),3,0),"""")"),"")</f>
        <v/>
      </c>
      <c r="AH35" s="49">
        <f>LEFT(J35,2)</f>
        <v/>
      </c>
    </row>
    <row r="36" hidden="1" ht="12.75" customHeight="1">
      <c r="A36" s="45">
        <f>IFERROR(__xludf.DUMMYFUNCTION("""COMPUTED_VALUE"""),"Colombo")</f>
        <v/>
      </c>
      <c r="B36" s="45" t="n"/>
      <c r="C36" s="45">
        <f>IFERROR(__xludf.DUMMYFUNCTION("""COMPUTED_VALUE"""),3231352)</f>
        <v/>
      </c>
      <c r="D36" s="45" t="n"/>
      <c r="E36" s="45">
        <f>IFERROR(__xludf.DUMMYFUNCTION("""COMPUTED_VALUE"""),"CFS")</f>
        <v/>
      </c>
      <c r="F36" s="45">
        <f>IFERROR(__xludf.DUMMYFUNCTION("""COMPUTED_VALUE"""),"MAS AMITY PTE LTD")</f>
        <v/>
      </c>
      <c r="G36" s="45">
        <f>IFERROR(__xludf.DUMMYFUNCTION("""COMPUTED_VALUE"""),"MAS Active(Pvt) Ltd – CONTOURLINE")</f>
        <v/>
      </c>
      <c r="H36" s="43">
        <f>IFERROR(__xludf.DUMMYFUNCTION("""COMPUTED_VALUE"""),450928434302)</f>
        <v/>
      </c>
      <c r="I36" s="45">
        <f>IFERROR(__xludf.DUMMYFUNCTION("""COMPUTED_VALUE"""),19890824)</f>
        <v/>
      </c>
      <c r="J36" s="45">
        <f>IFERROR(__xludf.DUMMYFUNCTION("""COMPUTED_VALUE"""),"LW2EB3S")</f>
        <v/>
      </c>
      <c r="K36" s="45">
        <f>IFERROR(__xludf.DUMMYFUNCTION("""COMPUTED_VALUE"""),"LW2EB3S-071200")</f>
        <v/>
      </c>
      <c r="L36" s="45">
        <f>IFERROR(__xludf.DUMMYFUNCTION("""COMPUTED_VALUE"""),7)</f>
        <v/>
      </c>
      <c r="M36" s="45">
        <f>IFERROR(__xludf.DUMMYFUNCTION("""COMPUTED_VALUE"""),540)</f>
        <v/>
      </c>
      <c r="N36" s="45">
        <f>IFERROR(__xludf.DUMMYFUNCTION("""COMPUTED_VALUE"""),66.433)</f>
        <v/>
      </c>
      <c r="O36" s="45">
        <f>IFERROR(__xludf.DUMMYFUNCTION("""COMPUTED_VALUE"""),0.513)</f>
        <v/>
      </c>
      <c r="P36" s="45">
        <f>IFERROR(__xludf.DUMMYFUNCTION("""COMPUTED_VALUE"""),"Colombo, LK")</f>
        <v/>
      </c>
      <c r="Q36" s="45">
        <f>IFERROR(__xludf.DUMMYFUNCTION("""COMPUTED_VALUE"""),"New York, NY, US")</f>
        <v/>
      </c>
      <c r="R36" s="44">
        <f>IFERROR(__xludf.DUMMYFUNCTION("""COMPUTED_VALUE"""),45817)</f>
        <v/>
      </c>
      <c r="S36" s="44">
        <f>IFERROR(__xludf.DUMMYFUNCTION("""COMPUTED_VALUE"""),45876)</f>
        <v/>
      </c>
      <c r="T36" s="45">
        <f>IFERROR(__xludf.DUMMYFUNCTION("""COMPUTED_VALUE"""),"Milton, ON, CA")</f>
        <v/>
      </c>
      <c r="U36" s="45" t="n"/>
      <c r="V36" s="45" t="n"/>
      <c r="W36" s="45" t="n"/>
      <c r="X36" s="45" t="n"/>
      <c r="Y36" s="46">
        <f>IFERROR(__xludf.DUMMYFUNCTION("""COMPUTED_VALUE"""),45825)</f>
        <v/>
      </c>
      <c r="Z36" s="46">
        <f>IFERROR(__xludf.DUMMYFUNCTION("""COMPUTED_VALUE"""),45854)</f>
        <v/>
      </c>
      <c r="AA36" s="46">
        <f>IFERROR(__xludf.DUMMYFUNCTION("""COMPUTED_VALUE"""),45867)</f>
        <v/>
      </c>
      <c r="AB36" s="45">
        <f>IFERROR(__xludf.DUMMYFUNCTION("""COMPUTED_VALUE"""),"7211 Fifth Line")</f>
        <v/>
      </c>
      <c r="AC36" s="45" t="n"/>
      <c r="AD36" s="45">
        <f>IFERROR(__xludf.DUMMYFUNCTION("""COMPUTED_VALUE"""),"OCEAN")</f>
        <v/>
      </c>
      <c r="AE36" s="45">
        <f>IFERROR(__xludf.DUMMYFUNCTION("""COMPUTED_VALUE"""),"N")</f>
        <v/>
      </c>
      <c r="AF36" s="45" t="n"/>
      <c r="AG36" s="49">
        <f>IFERROR(__xludf.DUMMYFUNCTION("IFNA(vlookup(H36,IMPORTRANGE(""1vUGwO1n0QQGx9kKbO0_M5gmuhXZ6-LaxQxgrmJnzgP0"",""'TP# look up'!A:C""),3,0),"""")"),"")</f>
        <v/>
      </c>
      <c r="AH36" s="49">
        <f>LEFT(J36,2)</f>
        <v/>
      </c>
    </row>
    <row r="37" hidden="1" ht="12.75" customHeight="1">
      <c r="A37" s="45">
        <f>IFERROR(__xludf.DUMMYFUNCTION("""COMPUTED_VALUE"""),"Colombo")</f>
        <v/>
      </c>
      <c r="B37" s="45" t="n"/>
      <c r="C37" s="45">
        <f>IFERROR(__xludf.DUMMYFUNCTION("""COMPUTED_VALUE"""),3231352)</f>
        <v/>
      </c>
      <c r="D37" s="45" t="n"/>
      <c r="E37" s="45">
        <f>IFERROR(__xludf.DUMMYFUNCTION("""COMPUTED_VALUE"""),"CFS")</f>
        <v/>
      </c>
      <c r="F37" s="45">
        <f>IFERROR(__xludf.DUMMYFUNCTION("""COMPUTED_VALUE"""),"MAS AMITY PTE LTD")</f>
        <v/>
      </c>
      <c r="G37" s="45">
        <f>IFERROR(__xludf.DUMMYFUNCTION("""COMPUTED_VALUE"""),"MAS Active(Pvt) Ltd – CONTOURLINE")</f>
        <v/>
      </c>
      <c r="H37" s="43">
        <f>IFERROR(__xludf.DUMMYFUNCTION("""COMPUTED_VALUE"""),450931545691)</f>
        <v/>
      </c>
      <c r="I37" s="45">
        <f>IFERROR(__xludf.DUMMYFUNCTION("""COMPUTED_VALUE"""),19920775)</f>
        <v/>
      </c>
      <c r="J37" s="45">
        <f>IFERROR(__xludf.DUMMYFUNCTION("""COMPUTED_VALUE"""),"LM3FBSS")</f>
        <v/>
      </c>
      <c r="K37" s="45">
        <f>IFERROR(__xludf.DUMMYFUNCTION("""COMPUTED_VALUE"""),"LM3FBSS-0002")</f>
        <v/>
      </c>
      <c r="L37" s="45">
        <f>IFERROR(__xludf.DUMMYFUNCTION("""COMPUTED_VALUE"""),2)</f>
        <v/>
      </c>
      <c r="M37" s="45">
        <f>IFERROR(__xludf.DUMMYFUNCTION("""COMPUTED_VALUE"""),59)</f>
        <v/>
      </c>
      <c r="N37" s="45">
        <f>IFERROR(__xludf.DUMMYFUNCTION("""COMPUTED_VALUE"""),20.379)</f>
        <v/>
      </c>
      <c r="O37" s="45">
        <f>IFERROR(__xludf.DUMMYFUNCTION("""COMPUTED_VALUE"""),0.118)</f>
        <v/>
      </c>
      <c r="P37" s="45">
        <f>IFERROR(__xludf.DUMMYFUNCTION("""COMPUTED_VALUE"""),"Colombo, LK")</f>
        <v/>
      </c>
      <c r="Q37" s="45">
        <f>IFERROR(__xludf.DUMMYFUNCTION("""COMPUTED_VALUE"""),"New York, NY, US")</f>
        <v/>
      </c>
      <c r="R37" s="44">
        <f>IFERROR(__xludf.DUMMYFUNCTION("""COMPUTED_VALUE"""),45817)</f>
        <v/>
      </c>
      <c r="S37" s="44">
        <f>IFERROR(__xludf.DUMMYFUNCTION("""COMPUTED_VALUE"""),45876)</f>
        <v/>
      </c>
      <c r="T37" s="45">
        <f>IFERROR(__xludf.DUMMYFUNCTION("""COMPUTED_VALUE"""),"Mississauga, ON, CA")</f>
        <v/>
      </c>
      <c r="U37" s="45" t="n"/>
      <c r="V37" s="45" t="n"/>
      <c r="W37" s="45" t="n"/>
      <c r="X37" s="45" t="n"/>
      <c r="Y37" s="46">
        <f>IFERROR(__xludf.DUMMYFUNCTION("""COMPUTED_VALUE"""),45825)</f>
        <v/>
      </c>
      <c r="Z37" s="46">
        <f>IFERROR(__xludf.DUMMYFUNCTION("""COMPUTED_VALUE"""),45854)</f>
        <v/>
      </c>
      <c r="AA37" s="46">
        <f>IFERROR(__xludf.DUMMYFUNCTION("""COMPUTED_VALUE"""),45867)</f>
        <v/>
      </c>
      <c r="AB37" s="45">
        <f>IFERROR(__xludf.DUMMYFUNCTION("""COMPUTED_VALUE"""),"3500 Argentia Road")</f>
        <v/>
      </c>
      <c r="AC37" s="45" t="n"/>
      <c r="AD37" s="45">
        <f>IFERROR(__xludf.DUMMYFUNCTION("""COMPUTED_VALUE"""),"OCEAN")</f>
        <v/>
      </c>
      <c r="AE37" s="45">
        <f>IFERROR(__xludf.DUMMYFUNCTION("""COMPUTED_VALUE"""),"N")</f>
        <v/>
      </c>
      <c r="AF37" s="45" t="n"/>
      <c r="AG37" s="49">
        <f>IFERROR(__xludf.DUMMYFUNCTION("IFNA(vlookup(H37,IMPORTRANGE(""1vUGwO1n0QQGx9kKbO0_M5gmuhXZ6-LaxQxgrmJnzgP0"",""'TP# look up'!A:C""),3,0),"""")"),"")</f>
        <v/>
      </c>
      <c r="AH37" s="49">
        <f>LEFT(J37,2)</f>
        <v/>
      </c>
    </row>
    <row r="38" hidden="1" ht="12.75" customHeight="1">
      <c r="A38" s="45">
        <f>IFERROR(__xludf.DUMMYFUNCTION("""COMPUTED_VALUE"""),"Colombo")</f>
        <v/>
      </c>
      <c r="B38" s="45" t="n"/>
      <c r="C38" s="45">
        <f>IFERROR(__xludf.DUMMYFUNCTION("""COMPUTED_VALUE"""),3231352)</f>
        <v/>
      </c>
      <c r="D38" s="45" t="n"/>
      <c r="E38" s="45">
        <f>IFERROR(__xludf.DUMMYFUNCTION("""COMPUTED_VALUE"""),"CFS")</f>
        <v/>
      </c>
      <c r="F38" s="45">
        <f>IFERROR(__xludf.DUMMYFUNCTION("""COMPUTED_VALUE"""),"MAS AMITY PTE LTD")</f>
        <v/>
      </c>
      <c r="G38" s="45">
        <f>IFERROR(__xludf.DUMMYFUNCTION("""COMPUTED_VALUE"""),"MAS Active(Pvt) Ltd – CONTOURLINE")</f>
        <v/>
      </c>
      <c r="H38" s="43">
        <f>IFERROR(__xludf.DUMMYFUNCTION("""COMPUTED_VALUE"""),450932256930)</f>
        <v/>
      </c>
      <c r="I38" s="45">
        <f>IFERROR(__xludf.DUMMYFUNCTION("""COMPUTED_VALUE"""),19922430)</f>
        <v/>
      </c>
      <c r="J38" s="45">
        <f>IFERROR(__xludf.DUMMYFUNCTION("""COMPUTED_VALUE"""),"LM3FBSS")</f>
        <v/>
      </c>
      <c r="K38" s="45">
        <f>IFERROR(__xludf.DUMMYFUNCTION("""COMPUTED_VALUE"""),"LM3FBSS-0002")</f>
        <v/>
      </c>
      <c r="L38" s="45">
        <f>IFERROR(__xludf.DUMMYFUNCTION("""COMPUTED_VALUE"""),7)</f>
        <v/>
      </c>
      <c r="M38" s="45">
        <f>IFERROR(__xludf.DUMMYFUNCTION("""COMPUTED_VALUE"""),256)</f>
        <v/>
      </c>
      <c r="N38" s="45">
        <f>IFERROR(__xludf.DUMMYFUNCTION("""COMPUTED_VALUE"""),88.398)</f>
        <v/>
      </c>
      <c r="O38" s="45">
        <f>IFERROR(__xludf.DUMMYFUNCTION("""COMPUTED_VALUE"""),0.513)</f>
        <v/>
      </c>
      <c r="P38" s="45">
        <f>IFERROR(__xludf.DUMMYFUNCTION("""COMPUTED_VALUE"""),"Colombo, LK")</f>
        <v/>
      </c>
      <c r="Q38" s="45">
        <f>IFERROR(__xludf.DUMMYFUNCTION("""COMPUTED_VALUE"""),"New York, NY, US")</f>
        <v/>
      </c>
      <c r="R38" s="44">
        <f>IFERROR(__xludf.DUMMYFUNCTION("""COMPUTED_VALUE"""),45817)</f>
        <v/>
      </c>
      <c r="S38" s="44">
        <f>IFERROR(__xludf.DUMMYFUNCTION("""COMPUTED_VALUE"""),45876)</f>
        <v/>
      </c>
      <c r="T38" s="45">
        <f>IFERROR(__xludf.DUMMYFUNCTION("""COMPUTED_VALUE"""),"Mississauga, ON, CA")</f>
        <v/>
      </c>
      <c r="U38" s="45" t="n"/>
      <c r="V38" s="45" t="n"/>
      <c r="W38" s="45" t="n"/>
      <c r="X38" s="45" t="n"/>
      <c r="Y38" s="46">
        <f>IFERROR(__xludf.DUMMYFUNCTION("""COMPUTED_VALUE"""),45825)</f>
        <v/>
      </c>
      <c r="Z38" s="46">
        <f>IFERROR(__xludf.DUMMYFUNCTION("""COMPUTED_VALUE"""),45854)</f>
        <v/>
      </c>
      <c r="AA38" s="46">
        <f>IFERROR(__xludf.DUMMYFUNCTION("""COMPUTED_VALUE"""),45867)</f>
        <v/>
      </c>
      <c r="AB38" s="45">
        <f>IFERROR(__xludf.DUMMYFUNCTION("""COMPUTED_VALUE"""),"3500 Argentia Road")</f>
        <v/>
      </c>
      <c r="AC38" s="45" t="n"/>
      <c r="AD38" s="45">
        <f>IFERROR(__xludf.DUMMYFUNCTION("""COMPUTED_VALUE"""),"OCEAN")</f>
        <v/>
      </c>
      <c r="AE38" s="45">
        <f>IFERROR(__xludf.DUMMYFUNCTION("""COMPUTED_VALUE"""),"N")</f>
        <v/>
      </c>
      <c r="AF38" s="45" t="n"/>
      <c r="AG38" s="49">
        <f>IFERROR(__xludf.DUMMYFUNCTION("IFNA(vlookup(H38,IMPORTRANGE(""1vUGwO1n0QQGx9kKbO0_M5gmuhXZ6-LaxQxgrmJnzgP0"",""'TP# look up'!A:C""),3,0),"""")"),"")</f>
        <v/>
      </c>
      <c r="AH38" s="49">
        <f>LEFT(J38,2)</f>
        <v/>
      </c>
    </row>
    <row r="39" hidden="1" ht="12.75" customHeight="1">
      <c r="A39" s="45">
        <f>IFERROR(__xludf.DUMMYFUNCTION("""COMPUTED_VALUE"""),"Colombo")</f>
        <v/>
      </c>
      <c r="B39" s="45" t="n"/>
      <c r="C39" s="45">
        <f>IFERROR(__xludf.DUMMYFUNCTION("""COMPUTED_VALUE"""),3231352)</f>
        <v/>
      </c>
      <c r="D39" s="45" t="n"/>
      <c r="E39" s="45">
        <f>IFERROR(__xludf.DUMMYFUNCTION("""COMPUTED_VALUE"""),"CFS")</f>
        <v/>
      </c>
      <c r="F39" s="45">
        <f>IFERROR(__xludf.DUMMYFUNCTION("""COMPUTED_VALUE"""),"MAS AMITY PTE LTD")</f>
        <v/>
      </c>
      <c r="G39" s="45">
        <f>IFERROR(__xludf.DUMMYFUNCTION("""COMPUTED_VALUE"""),"MAS Active(Pvt) Ltd – CONTOURLINE")</f>
        <v/>
      </c>
      <c r="H39" s="43">
        <f>IFERROR(__xludf.DUMMYFUNCTION("""COMPUTED_VALUE"""),450934477699)</f>
        <v/>
      </c>
      <c r="I39" s="45">
        <f>IFERROR(__xludf.DUMMYFUNCTION("""COMPUTED_VALUE"""),19925144)</f>
        <v/>
      </c>
      <c r="J39" s="45">
        <f>IFERROR(__xludf.DUMMYFUNCTION("""COMPUTED_VALUE"""),"LW5EPSS")</f>
        <v/>
      </c>
      <c r="K39" s="45">
        <f>IFERROR(__xludf.DUMMYFUNCTION("""COMPUTED_VALUE"""),"LW5EPSS-035487")</f>
        <v/>
      </c>
      <c r="L39" s="45">
        <f>IFERROR(__xludf.DUMMYFUNCTION("""COMPUTED_VALUE"""),4)</f>
        <v/>
      </c>
      <c r="M39" s="45">
        <f>IFERROR(__xludf.DUMMYFUNCTION("""COMPUTED_VALUE"""),143)</f>
        <v/>
      </c>
      <c r="N39" s="45">
        <f>IFERROR(__xludf.DUMMYFUNCTION("""COMPUTED_VALUE"""),33.468)</f>
        <v/>
      </c>
      <c r="O39" s="45">
        <f>IFERROR(__xludf.DUMMYFUNCTION("""COMPUTED_VALUE"""),0.237)</f>
        <v/>
      </c>
      <c r="P39" s="45">
        <f>IFERROR(__xludf.DUMMYFUNCTION("""COMPUTED_VALUE"""),"Colombo, LK")</f>
        <v/>
      </c>
      <c r="Q39" s="45">
        <f>IFERROR(__xludf.DUMMYFUNCTION("""COMPUTED_VALUE"""),"New York, NY, US")</f>
        <v/>
      </c>
      <c r="R39" s="44">
        <f>IFERROR(__xludf.DUMMYFUNCTION("""COMPUTED_VALUE"""),45817)</f>
        <v/>
      </c>
      <c r="S39" s="44">
        <f>IFERROR(__xludf.DUMMYFUNCTION("""COMPUTED_VALUE"""),45876)</f>
        <v/>
      </c>
      <c r="T39" s="45">
        <f>IFERROR(__xludf.DUMMYFUNCTION("""COMPUTED_VALUE"""),"Mississauga, ON, CA")</f>
        <v/>
      </c>
      <c r="U39" s="45" t="n"/>
      <c r="V39" s="45" t="n"/>
      <c r="W39" s="45" t="n"/>
      <c r="X39" s="45" t="n"/>
      <c r="Y39" s="46">
        <f>IFERROR(__xludf.DUMMYFUNCTION("""COMPUTED_VALUE"""),45825)</f>
        <v/>
      </c>
      <c r="Z39" s="46">
        <f>IFERROR(__xludf.DUMMYFUNCTION("""COMPUTED_VALUE"""),45854)</f>
        <v/>
      </c>
      <c r="AA39" s="46">
        <f>IFERROR(__xludf.DUMMYFUNCTION("""COMPUTED_VALUE"""),45867)</f>
        <v/>
      </c>
      <c r="AB39" s="45">
        <f>IFERROR(__xludf.DUMMYFUNCTION("""COMPUTED_VALUE"""),"3500 Argentia Road")</f>
        <v/>
      </c>
      <c r="AC39" s="45" t="n"/>
      <c r="AD39" s="45">
        <f>IFERROR(__xludf.DUMMYFUNCTION("""COMPUTED_VALUE"""),"OCEAN")</f>
        <v/>
      </c>
      <c r="AE39" s="45">
        <f>IFERROR(__xludf.DUMMYFUNCTION("""COMPUTED_VALUE"""),"N")</f>
        <v/>
      </c>
      <c r="AF39" s="45" t="n"/>
      <c r="AG39" s="49">
        <f>IFERROR(__xludf.DUMMYFUNCTION("IFNA(vlookup(H39,IMPORTRANGE(""1vUGwO1n0QQGx9kKbO0_M5gmuhXZ6-LaxQxgrmJnzgP0"",""'TP# look up'!A:C""),3,0),"""")"),"")</f>
        <v/>
      </c>
      <c r="AH39" s="49">
        <f>LEFT(J39,2)</f>
        <v/>
      </c>
    </row>
    <row r="40" hidden="1" ht="12.75" customHeight="1">
      <c r="A40" s="45">
        <f>IFERROR(__xludf.DUMMYFUNCTION("""COMPUTED_VALUE"""),"Colombo")</f>
        <v/>
      </c>
      <c r="B40" s="45" t="n"/>
      <c r="C40" s="45">
        <f>IFERROR(__xludf.DUMMYFUNCTION("""COMPUTED_VALUE"""),3231352)</f>
        <v/>
      </c>
      <c r="D40" s="45" t="n"/>
      <c r="E40" s="45">
        <f>IFERROR(__xludf.DUMMYFUNCTION("""COMPUTED_VALUE"""),"CFS")</f>
        <v/>
      </c>
      <c r="F40" s="45">
        <f>IFERROR(__xludf.DUMMYFUNCTION("""COMPUTED_VALUE"""),"MAS AMITY PTE LTD")</f>
        <v/>
      </c>
      <c r="G40" s="45">
        <f>IFERROR(__xludf.DUMMYFUNCTION("""COMPUTED_VALUE"""),"MAS Active(Pvt) Ltd – CONTOURLINE")</f>
        <v/>
      </c>
      <c r="H40" s="43">
        <f>IFERROR(__xludf.DUMMYFUNCTION("""COMPUTED_VALUE"""),450934998656)</f>
        <v/>
      </c>
      <c r="I40" s="45">
        <f>IFERROR(__xludf.DUMMYFUNCTION("""COMPUTED_VALUE"""),19890828)</f>
        <v/>
      </c>
      <c r="J40" s="45">
        <f>IFERROR(__xludf.DUMMYFUNCTION("""COMPUTED_VALUE"""),"LW2EB3S")</f>
        <v/>
      </c>
      <c r="K40" s="45">
        <f>IFERROR(__xludf.DUMMYFUNCTION("""COMPUTED_VALUE"""),"LW2EB3S-071200")</f>
        <v/>
      </c>
      <c r="L40" s="45">
        <f>IFERROR(__xludf.DUMMYFUNCTION("""COMPUTED_VALUE"""),3)</f>
        <v/>
      </c>
      <c r="M40" s="45">
        <f>IFERROR(__xludf.DUMMYFUNCTION("""COMPUTED_VALUE"""),126)</f>
        <v/>
      </c>
      <c r="N40" s="45">
        <f>IFERROR(__xludf.DUMMYFUNCTION("""COMPUTED_VALUE"""),17.083)</f>
        <v/>
      </c>
      <c r="O40" s="45">
        <f>IFERROR(__xludf.DUMMYFUNCTION("""COMPUTED_VALUE"""),0.158)</f>
        <v/>
      </c>
      <c r="P40" s="45">
        <f>IFERROR(__xludf.DUMMYFUNCTION("""COMPUTED_VALUE"""),"Colombo, LK")</f>
        <v/>
      </c>
      <c r="Q40" s="45">
        <f>IFERROR(__xludf.DUMMYFUNCTION("""COMPUTED_VALUE"""),"New York, NY, US")</f>
        <v/>
      </c>
      <c r="R40" s="44">
        <f>IFERROR(__xludf.DUMMYFUNCTION("""COMPUTED_VALUE"""),45817)</f>
        <v/>
      </c>
      <c r="S40" s="44">
        <f>IFERROR(__xludf.DUMMYFUNCTION("""COMPUTED_VALUE"""),45876)</f>
        <v/>
      </c>
      <c r="T40" s="45">
        <f>IFERROR(__xludf.DUMMYFUNCTION("""COMPUTED_VALUE"""),"Mississauga, ON, CA")</f>
        <v/>
      </c>
      <c r="U40" s="45" t="n"/>
      <c r="V40" s="45" t="n"/>
      <c r="W40" s="45" t="n"/>
      <c r="X40" s="45" t="n"/>
      <c r="Y40" s="46">
        <f>IFERROR(__xludf.DUMMYFUNCTION("""COMPUTED_VALUE"""),45825)</f>
        <v/>
      </c>
      <c r="Z40" s="46">
        <f>IFERROR(__xludf.DUMMYFUNCTION("""COMPUTED_VALUE"""),45854)</f>
        <v/>
      </c>
      <c r="AA40" s="46">
        <f>IFERROR(__xludf.DUMMYFUNCTION("""COMPUTED_VALUE"""),45867)</f>
        <v/>
      </c>
      <c r="AB40" s="45">
        <f>IFERROR(__xludf.DUMMYFUNCTION("""COMPUTED_VALUE"""),"3500 Argentia Road")</f>
        <v/>
      </c>
      <c r="AC40" s="45" t="n"/>
      <c r="AD40" s="45">
        <f>IFERROR(__xludf.DUMMYFUNCTION("""COMPUTED_VALUE"""),"OCEAN")</f>
        <v/>
      </c>
      <c r="AE40" s="45">
        <f>IFERROR(__xludf.DUMMYFUNCTION("""COMPUTED_VALUE"""),"N")</f>
        <v/>
      </c>
      <c r="AF40" s="45" t="n"/>
      <c r="AG40" s="49">
        <f>IFERROR(__xludf.DUMMYFUNCTION("IFNA(vlookup(H40,IMPORTRANGE(""1vUGwO1n0QQGx9kKbO0_M5gmuhXZ6-LaxQxgrmJnzgP0"",""'TP# look up'!A:C""),3,0),"""")"),"")</f>
        <v/>
      </c>
      <c r="AH40" s="49">
        <f>LEFT(J40,2)</f>
        <v/>
      </c>
    </row>
    <row r="41" hidden="1" ht="12.75" customHeight="1">
      <c r="A41" s="45">
        <f>IFERROR(__xludf.DUMMYFUNCTION("""COMPUTED_VALUE"""),"Colombo")</f>
        <v/>
      </c>
      <c r="B41" s="45" t="n"/>
      <c r="C41" s="45">
        <f>IFERROR(__xludf.DUMMYFUNCTION("""COMPUTED_VALUE"""),3231352)</f>
        <v/>
      </c>
      <c r="D41" s="45" t="n"/>
      <c r="E41" s="45">
        <f>IFERROR(__xludf.DUMMYFUNCTION("""COMPUTED_VALUE"""),"CFS")</f>
        <v/>
      </c>
      <c r="F41" s="45">
        <f>IFERROR(__xludf.DUMMYFUNCTION("""COMPUTED_VALUE"""),"MAS AMITY PTE LTD")</f>
        <v/>
      </c>
      <c r="G41" s="45">
        <f>IFERROR(__xludf.DUMMYFUNCTION("""COMPUTED_VALUE"""),"MAS Active(Pvt) Ltd – CONTOURLINE")</f>
        <v/>
      </c>
      <c r="H41" s="43">
        <f>IFERROR(__xludf.DUMMYFUNCTION("""COMPUTED_VALUE"""),450936929517)</f>
        <v/>
      </c>
      <c r="I41" s="45">
        <f>IFERROR(__xludf.DUMMYFUNCTION("""COMPUTED_VALUE"""),19939515)</f>
        <v/>
      </c>
      <c r="J41" s="45">
        <f>IFERROR(__xludf.DUMMYFUNCTION("""COMPUTED_VALUE"""),"LW5EPSS")</f>
        <v/>
      </c>
      <c r="K41" s="45">
        <f>IFERROR(__xludf.DUMMYFUNCTION("""COMPUTED_VALUE"""),"LW5EPSS-035487")</f>
        <v/>
      </c>
      <c r="L41" s="45">
        <f>IFERROR(__xludf.DUMMYFUNCTION("""COMPUTED_VALUE"""),8)</f>
        <v/>
      </c>
      <c r="M41" s="45">
        <f>IFERROR(__xludf.DUMMYFUNCTION("""COMPUTED_VALUE"""),416)</f>
        <v/>
      </c>
      <c r="N41" s="45">
        <f>IFERROR(__xludf.DUMMYFUNCTION("""COMPUTED_VALUE"""),93.721)</f>
        <v/>
      </c>
      <c r="O41" s="45">
        <f>IFERROR(__xludf.DUMMYFUNCTION("""COMPUTED_VALUE"""),0.553)</f>
        <v/>
      </c>
      <c r="P41" s="45">
        <f>IFERROR(__xludf.DUMMYFUNCTION("""COMPUTED_VALUE"""),"Colombo, LK")</f>
        <v/>
      </c>
      <c r="Q41" s="45">
        <f>IFERROR(__xludf.DUMMYFUNCTION("""COMPUTED_VALUE"""),"New York, NY, US")</f>
        <v/>
      </c>
      <c r="R41" s="44">
        <f>IFERROR(__xludf.DUMMYFUNCTION("""COMPUTED_VALUE"""),45817)</f>
        <v/>
      </c>
      <c r="S41" s="44">
        <f>IFERROR(__xludf.DUMMYFUNCTION("""COMPUTED_VALUE"""),45876)</f>
        <v/>
      </c>
      <c r="T41" s="45">
        <f>IFERROR(__xludf.DUMMYFUNCTION("""COMPUTED_VALUE"""),"Mississauga, ON, CA")</f>
        <v/>
      </c>
      <c r="U41" s="45" t="n"/>
      <c r="V41" s="45" t="n"/>
      <c r="W41" s="45" t="n"/>
      <c r="X41" s="45" t="n"/>
      <c r="Y41" s="46">
        <f>IFERROR(__xludf.DUMMYFUNCTION("""COMPUTED_VALUE"""),45825)</f>
        <v/>
      </c>
      <c r="Z41" s="46">
        <f>IFERROR(__xludf.DUMMYFUNCTION("""COMPUTED_VALUE"""),45854)</f>
        <v/>
      </c>
      <c r="AA41" s="46">
        <f>IFERROR(__xludf.DUMMYFUNCTION("""COMPUTED_VALUE"""),45867)</f>
        <v/>
      </c>
      <c r="AB41" s="45">
        <f>IFERROR(__xludf.DUMMYFUNCTION("""COMPUTED_VALUE"""),"3500 Argentia Road")</f>
        <v/>
      </c>
      <c r="AC41" s="45" t="n"/>
      <c r="AD41" s="45">
        <f>IFERROR(__xludf.DUMMYFUNCTION("""COMPUTED_VALUE"""),"OCEAN")</f>
        <v/>
      </c>
      <c r="AE41" s="45">
        <f>IFERROR(__xludf.DUMMYFUNCTION("""COMPUTED_VALUE"""),"N")</f>
        <v/>
      </c>
      <c r="AF41" s="45" t="n"/>
      <c r="AG41" s="49">
        <f>IFERROR(__xludf.DUMMYFUNCTION("IFNA(vlookup(H41,IMPORTRANGE(""1vUGwO1n0QQGx9kKbO0_M5gmuhXZ6-LaxQxgrmJnzgP0"",""'TP# look up'!A:C""),3,0),"""")"),"")</f>
        <v/>
      </c>
      <c r="AH41" s="49">
        <f>LEFT(J41,2)</f>
        <v/>
      </c>
    </row>
    <row r="42" hidden="1" ht="12.75" customHeight="1">
      <c r="A42" s="45">
        <f>IFERROR(__xludf.DUMMYFUNCTION("""COMPUTED_VALUE"""),"Colombo")</f>
        <v/>
      </c>
      <c r="B42" s="45" t="n"/>
      <c r="C42" s="45">
        <f>IFERROR(__xludf.DUMMYFUNCTION("""COMPUTED_VALUE"""),3231352)</f>
        <v/>
      </c>
      <c r="D42" s="45" t="n"/>
      <c r="E42" s="45">
        <f>IFERROR(__xludf.DUMMYFUNCTION("""COMPUTED_VALUE"""),"CFS")</f>
        <v/>
      </c>
      <c r="F42" s="45">
        <f>IFERROR(__xludf.DUMMYFUNCTION("""COMPUTED_VALUE"""),"MAS AMITY PTE LTD")</f>
        <v/>
      </c>
      <c r="G42" s="45">
        <f>IFERROR(__xludf.DUMMYFUNCTION("""COMPUTED_VALUE"""),"MAS Active(Pvt) Ltd – CONTOURLINE")</f>
        <v/>
      </c>
      <c r="H42" s="43">
        <f>IFERROR(__xludf.DUMMYFUNCTION("""COMPUTED_VALUE"""),450939644084)</f>
        <v/>
      </c>
      <c r="I42" s="45">
        <f>IFERROR(__xludf.DUMMYFUNCTION("""COMPUTED_VALUE"""),19905274)</f>
        <v/>
      </c>
      <c r="J42" s="45">
        <f>IFERROR(__xludf.DUMMYFUNCTION("""COMPUTED_VALUE"""),"LW5EPSS")</f>
        <v/>
      </c>
      <c r="K42" s="45">
        <f>IFERROR(__xludf.DUMMYFUNCTION("""COMPUTED_VALUE"""),"LW5EPSS-068585")</f>
        <v/>
      </c>
      <c r="L42" s="45">
        <f>IFERROR(__xludf.DUMMYFUNCTION("""COMPUTED_VALUE"""),8)</f>
        <v/>
      </c>
      <c r="M42" s="45">
        <f>IFERROR(__xludf.DUMMYFUNCTION("""COMPUTED_VALUE"""),424)</f>
        <v/>
      </c>
      <c r="N42" s="45">
        <f>IFERROR(__xludf.DUMMYFUNCTION("""COMPUTED_VALUE"""),95.337)</f>
        <v/>
      </c>
      <c r="O42" s="45">
        <f>IFERROR(__xludf.DUMMYFUNCTION("""COMPUTED_VALUE"""),0.553)</f>
        <v/>
      </c>
      <c r="P42" s="45">
        <f>IFERROR(__xludf.DUMMYFUNCTION("""COMPUTED_VALUE"""),"Colombo, LK")</f>
        <v/>
      </c>
      <c r="Q42" s="45">
        <f>IFERROR(__xludf.DUMMYFUNCTION("""COMPUTED_VALUE"""),"New York, NY, US")</f>
        <v/>
      </c>
      <c r="R42" s="44">
        <f>IFERROR(__xludf.DUMMYFUNCTION("""COMPUTED_VALUE"""),45817)</f>
        <v/>
      </c>
      <c r="S42" s="44">
        <f>IFERROR(__xludf.DUMMYFUNCTION("""COMPUTED_VALUE"""),45876)</f>
        <v/>
      </c>
      <c r="T42" s="45">
        <f>IFERROR(__xludf.DUMMYFUNCTION("""COMPUTED_VALUE"""),"Mississauga, ON, CA")</f>
        <v/>
      </c>
      <c r="U42" s="45" t="n"/>
      <c r="V42" s="45" t="n"/>
      <c r="W42" s="45" t="n"/>
      <c r="X42" s="45" t="n"/>
      <c r="Y42" s="46">
        <f>IFERROR(__xludf.DUMMYFUNCTION("""COMPUTED_VALUE"""),45825)</f>
        <v/>
      </c>
      <c r="Z42" s="46">
        <f>IFERROR(__xludf.DUMMYFUNCTION("""COMPUTED_VALUE"""),45854)</f>
        <v/>
      </c>
      <c r="AA42" s="46">
        <f>IFERROR(__xludf.DUMMYFUNCTION("""COMPUTED_VALUE"""),45867)</f>
        <v/>
      </c>
      <c r="AB42" s="45">
        <f>IFERROR(__xludf.DUMMYFUNCTION("""COMPUTED_VALUE"""),"3500 Argentia Road")</f>
        <v/>
      </c>
      <c r="AC42" s="45" t="n"/>
      <c r="AD42" s="45">
        <f>IFERROR(__xludf.DUMMYFUNCTION("""COMPUTED_VALUE"""),"OCEAN")</f>
        <v/>
      </c>
      <c r="AE42" s="45">
        <f>IFERROR(__xludf.DUMMYFUNCTION("""COMPUTED_VALUE"""),"N")</f>
        <v/>
      </c>
      <c r="AF42" s="45" t="n"/>
      <c r="AG42" s="49">
        <f>IFERROR(__xludf.DUMMYFUNCTION("IFNA(vlookup(H42,IMPORTRANGE(""1vUGwO1n0QQGx9kKbO0_M5gmuhXZ6-LaxQxgrmJnzgP0"",""'TP# look up'!A:C""),3,0),"""")"),"")</f>
        <v/>
      </c>
      <c r="AH42" s="49">
        <f>LEFT(J42,2)</f>
        <v/>
      </c>
    </row>
    <row r="43" hidden="1" ht="12.75" customHeight="1">
      <c r="A43" s="45">
        <f>IFERROR(__xludf.DUMMYFUNCTION("""COMPUTED_VALUE"""),"Colombo")</f>
        <v/>
      </c>
      <c r="B43" s="45" t="n"/>
      <c r="C43" s="45">
        <f>IFERROR(__xludf.DUMMYFUNCTION("""COMPUTED_VALUE"""),3231352)</f>
        <v/>
      </c>
      <c r="D43" s="45" t="n"/>
      <c r="E43" s="45">
        <f>IFERROR(__xludf.DUMMYFUNCTION("""COMPUTED_VALUE"""),"CFS")</f>
        <v/>
      </c>
      <c r="F43" s="45">
        <f>IFERROR(__xludf.DUMMYFUNCTION("""COMPUTED_VALUE"""),"MAS AMITY PTE LTD")</f>
        <v/>
      </c>
      <c r="G43" s="45">
        <f>IFERROR(__xludf.DUMMYFUNCTION("""COMPUTED_VALUE"""),"MAS Active(Pvt) Ltd – CONTOURLINE")</f>
        <v/>
      </c>
      <c r="H43" s="43">
        <f>IFERROR(__xludf.DUMMYFUNCTION("""COMPUTED_VALUE"""),450941935646)</f>
        <v/>
      </c>
      <c r="I43" s="45">
        <f>IFERROR(__xludf.DUMMYFUNCTION("""COMPUTED_VALUE"""),19925116)</f>
        <v/>
      </c>
      <c r="J43" s="45">
        <f>IFERROR(__xludf.DUMMYFUNCTION("""COMPUTED_VALUE"""),"LW5ENMS")</f>
        <v/>
      </c>
      <c r="K43" s="45">
        <f>IFERROR(__xludf.DUMMYFUNCTION("""COMPUTED_VALUE"""),"LW5ENMS-070108")</f>
        <v/>
      </c>
      <c r="L43" s="45">
        <f>IFERROR(__xludf.DUMMYFUNCTION("""COMPUTED_VALUE"""),8)</f>
        <v/>
      </c>
      <c r="M43" s="45">
        <f>IFERROR(__xludf.DUMMYFUNCTION("""COMPUTED_VALUE"""),325)</f>
        <v/>
      </c>
      <c r="N43" s="45">
        <f>IFERROR(__xludf.DUMMYFUNCTION("""COMPUTED_VALUE"""),93.265)</f>
        <v/>
      </c>
      <c r="O43" s="45">
        <f>IFERROR(__xludf.DUMMYFUNCTION("""COMPUTED_VALUE"""),0.513)</f>
        <v/>
      </c>
      <c r="P43" s="45">
        <f>IFERROR(__xludf.DUMMYFUNCTION("""COMPUTED_VALUE"""),"Colombo, LK")</f>
        <v/>
      </c>
      <c r="Q43" s="45">
        <f>IFERROR(__xludf.DUMMYFUNCTION("""COMPUTED_VALUE"""),"New York, NY, US")</f>
        <v/>
      </c>
      <c r="R43" s="44">
        <f>IFERROR(__xludf.DUMMYFUNCTION("""COMPUTED_VALUE"""),45817)</f>
        <v/>
      </c>
      <c r="S43" s="44">
        <f>IFERROR(__xludf.DUMMYFUNCTION("""COMPUTED_VALUE"""),45876)</f>
        <v/>
      </c>
      <c r="T43" s="45">
        <f>IFERROR(__xludf.DUMMYFUNCTION("""COMPUTED_VALUE"""),"Mississauga, ON, CA")</f>
        <v/>
      </c>
      <c r="U43" s="45" t="n"/>
      <c r="V43" s="45" t="n"/>
      <c r="W43" s="45" t="n"/>
      <c r="X43" s="45" t="n"/>
      <c r="Y43" s="46">
        <f>IFERROR(__xludf.DUMMYFUNCTION("""COMPUTED_VALUE"""),45825)</f>
        <v/>
      </c>
      <c r="Z43" s="46">
        <f>IFERROR(__xludf.DUMMYFUNCTION("""COMPUTED_VALUE"""),45854)</f>
        <v/>
      </c>
      <c r="AA43" s="46">
        <f>IFERROR(__xludf.DUMMYFUNCTION("""COMPUTED_VALUE"""),45867)</f>
        <v/>
      </c>
      <c r="AB43" s="45">
        <f>IFERROR(__xludf.DUMMYFUNCTION("""COMPUTED_VALUE"""),"3500 Argentia Road")</f>
        <v/>
      </c>
      <c r="AC43" s="45" t="n"/>
      <c r="AD43" s="45">
        <f>IFERROR(__xludf.DUMMYFUNCTION("""COMPUTED_VALUE"""),"OCEAN")</f>
        <v/>
      </c>
      <c r="AE43" s="45">
        <f>IFERROR(__xludf.DUMMYFUNCTION("""COMPUTED_VALUE"""),"N")</f>
        <v/>
      </c>
      <c r="AF43" s="45" t="n"/>
      <c r="AG43" s="49">
        <f>IFERROR(__xludf.DUMMYFUNCTION("IFNA(vlookup(H43,IMPORTRANGE(""1vUGwO1n0QQGx9kKbO0_M5gmuhXZ6-LaxQxgrmJnzgP0"",""'TP# look up'!A:C""),3,0),"""")"),"")</f>
        <v/>
      </c>
      <c r="AH43" s="49">
        <f>LEFT(J43,2)</f>
        <v/>
      </c>
    </row>
    <row r="44" hidden="1" ht="12.75" customHeight="1">
      <c r="A44" s="45">
        <f>IFERROR(__xludf.DUMMYFUNCTION("""COMPUTED_VALUE"""),"Colombo")</f>
        <v/>
      </c>
      <c r="B44" s="45" t="n"/>
      <c r="C44" s="45">
        <f>IFERROR(__xludf.DUMMYFUNCTION("""COMPUTED_VALUE"""),3231352)</f>
        <v/>
      </c>
      <c r="D44" s="45" t="n"/>
      <c r="E44" s="45">
        <f>IFERROR(__xludf.DUMMYFUNCTION("""COMPUTED_VALUE"""),"CFS")</f>
        <v/>
      </c>
      <c r="F44" s="45">
        <f>IFERROR(__xludf.DUMMYFUNCTION("""COMPUTED_VALUE"""),"MAS AMITY PTE LTD")</f>
        <v/>
      </c>
      <c r="G44" s="45">
        <f>IFERROR(__xludf.DUMMYFUNCTION("""COMPUTED_VALUE"""),"MAS Active(Pvt) Ltd – CONTOURLINE")</f>
        <v/>
      </c>
      <c r="H44" s="43">
        <f>IFERROR(__xludf.DUMMYFUNCTION("""COMPUTED_VALUE"""),450941936244)</f>
        <v/>
      </c>
      <c r="I44" s="45">
        <f>IFERROR(__xludf.DUMMYFUNCTION("""COMPUTED_VALUE"""),19920916)</f>
        <v/>
      </c>
      <c r="J44" s="45">
        <f>IFERROR(__xludf.DUMMYFUNCTION("""COMPUTED_VALUE"""),"LM3FBSS")</f>
        <v/>
      </c>
      <c r="K44" s="45">
        <f>IFERROR(__xludf.DUMMYFUNCTION("""COMPUTED_VALUE"""),"LM3FBSS-070108")</f>
        <v/>
      </c>
      <c r="L44" s="45">
        <f>IFERROR(__xludf.DUMMYFUNCTION("""COMPUTED_VALUE"""),6)</f>
        <v/>
      </c>
      <c r="M44" s="45">
        <f>IFERROR(__xludf.DUMMYFUNCTION("""COMPUTED_VALUE"""),216)</f>
        <v/>
      </c>
      <c r="N44" s="45">
        <f>IFERROR(__xludf.DUMMYFUNCTION("""COMPUTED_VALUE"""),74.973)</f>
        <v/>
      </c>
      <c r="O44" s="45">
        <f>IFERROR(__xludf.DUMMYFUNCTION("""COMPUTED_VALUE"""),0.474)</f>
        <v/>
      </c>
      <c r="P44" s="45">
        <f>IFERROR(__xludf.DUMMYFUNCTION("""COMPUTED_VALUE"""),"Colombo, LK")</f>
        <v/>
      </c>
      <c r="Q44" s="45">
        <f>IFERROR(__xludf.DUMMYFUNCTION("""COMPUTED_VALUE"""),"New York, NY, US")</f>
        <v/>
      </c>
      <c r="R44" s="44">
        <f>IFERROR(__xludf.DUMMYFUNCTION("""COMPUTED_VALUE"""),45817)</f>
        <v/>
      </c>
      <c r="S44" s="44">
        <f>IFERROR(__xludf.DUMMYFUNCTION("""COMPUTED_VALUE"""),45876)</f>
        <v/>
      </c>
      <c r="T44" s="45">
        <f>IFERROR(__xludf.DUMMYFUNCTION("""COMPUTED_VALUE"""),"Mississauga, ON, CA")</f>
        <v/>
      </c>
      <c r="U44" s="45" t="n"/>
      <c r="V44" s="45" t="n"/>
      <c r="W44" s="45" t="n"/>
      <c r="X44" s="45" t="n"/>
      <c r="Y44" s="46">
        <f>IFERROR(__xludf.DUMMYFUNCTION("""COMPUTED_VALUE"""),45825)</f>
        <v/>
      </c>
      <c r="Z44" s="46">
        <f>IFERROR(__xludf.DUMMYFUNCTION("""COMPUTED_VALUE"""),45854)</f>
        <v/>
      </c>
      <c r="AA44" s="46">
        <f>IFERROR(__xludf.DUMMYFUNCTION("""COMPUTED_VALUE"""),45867)</f>
        <v/>
      </c>
      <c r="AB44" s="45">
        <f>IFERROR(__xludf.DUMMYFUNCTION("""COMPUTED_VALUE"""),"3500 Argentia Road")</f>
        <v/>
      </c>
      <c r="AC44" s="45" t="n"/>
      <c r="AD44" s="45">
        <f>IFERROR(__xludf.DUMMYFUNCTION("""COMPUTED_VALUE"""),"OCEAN")</f>
        <v/>
      </c>
      <c r="AE44" s="45">
        <f>IFERROR(__xludf.DUMMYFUNCTION("""COMPUTED_VALUE"""),"N")</f>
        <v/>
      </c>
      <c r="AF44" s="45" t="n"/>
      <c r="AG44" s="49">
        <f>IFERROR(__xludf.DUMMYFUNCTION("IFNA(vlookup(H44,IMPORTRANGE(""1vUGwO1n0QQGx9kKbO0_M5gmuhXZ6-LaxQxgrmJnzgP0"",""'TP# look up'!A:C""),3,0),"""")"),"")</f>
        <v/>
      </c>
      <c r="AH44" s="49">
        <f>LEFT(J44,2)</f>
        <v/>
      </c>
    </row>
    <row r="45" hidden="1" ht="12.75" customHeight="1">
      <c r="A45" s="45">
        <f>IFERROR(__xludf.DUMMYFUNCTION("""COMPUTED_VALUE"""),"Colombo")</f>
        <v/>
      </c>
      <c r="B45" s="45" t="n"/>
      <c r="C45" s="45">
        <f>IFERROR(__xludf.DUMMYFUNCTION("""COMPUTED_VALUE"""),3231352)</f>
        <v/>
      </c>
      <c r="D45" s="45" t="n"/>
      <c r="E45" s="45">
        <f>IFERROR(__xludf.DUMMYFUNCTION("""COMPUTED_VALUE"""),"CFS")</f>
        <v/>
      </c>
      <c r="F45" s="45">
        <f>IFERROR(__xludf.DUMMYFUNCTION("""COMPUTED_VALUE"""),"MAS AMITY PTE LTD")</f>
        <v/>
      </c>
      <c r="G45" s="45">
        <f>IFERROR(__xludf.DUMMYFUNCTION("""COMPUTED_VALUE"""),"MAS Active(Pvt) Ltd – CONTOURLINE")</f>
        <v/>
      </c>
      <c r="H45" s="43">
        <f>IFERROR(__xludf.DUMMYFUNCTION("""COMPUTED_VALUE"""),450943948873)</f>
        <v/>
      </c>
      <c r="I45" s="45">
        <f>IFERROR(__xludf.DUMMYFUNCTION("""COMPUTED_VALUE"""),19925327)</f>
        <v/>
      </c>
      <c r="J45" s="45">
        <f>IFERROR(__xludf.DUMMYFUNCTION("""COMPUTED_VALUE"""),"LW5ENMS")</f>
        <v/>
      </c>
      <c r="K45" s="45">
        <f>IFERROR(__xludf.DUMMYFUNCTION("""COMPUTED_VALUE"""),"LW5ENMS-049106")</f>
        <v/>
      </c>
      <c r="L45" s="45">
        <f>IFERROR(__xludf.DUMMYFUNCTION("""COMPUTED_VALUE"""),10)</f>
        <v/>
      </c>
      <c r="M45" s="45">
        <f>IFERROR(__xludf.DUMMYFUNCTION("""COMPUTED_VALUE"""),474)</f>
        <v/>
      </c>
      <c r="N45" s="45">
        <f>IFERROR(__xludf.DUMMYFUNCTION("""COMPUTED_VALUE"""),135.18)</f>
        <v/>
      </c>
      <c r="O45" s="45">
        <f>IFERROR(__xludf.DUMMYFUNCTION("""COMPUTED_VALUE"""),0.75)</f>
        <v/>
      </c>
      <c r="P45" s="45">
        <f>IFERROR(__xludf.DUMMYFUNCTION("""COMPUTED_VALUE"""),"Colombo, LK")</f>
        <v/>
      </c>
      <c r="Q45" s="45">
        <f>IFERROR(__xludf.DUMMYFUNCTION("""COMPUTED_VALUE"""),"New York, NY, US")</f>
        <v/>
      </c>
      <c r="R45" s="44">
        <f>IFERROR(__xludf.DUMMYFUNCTION("""COMPUTED_VALUE"""),45817)</f>
        <v/>
      </c>
      <c r="S45" s="44">
        <f>IFERROR(__xludf.DUMMYFUNCTION("""COMPUTED_VALUE"""),45876)</f>
        <v/>
      </c>
      <c r="T45" s="45">
        <f>IFERROR(__xludf.DUMMYFUNCTION("""COMPUTED_VALUE"""),"Mississauga, ON, CA")</f>
        <v/>
      </c>
      <c r="U45" s="45" t="n"/>
      <c r="V45" s="45" t="n"/>
      <c r="W45" s="45" t="n"/>
      <c r="X45" s="45" t="n"/>
      <c r="Y45" s="46">
        <f>IFERROR(__xludf.DUMMYFUNCTION("""COMPUTED_VALUE"""),45825)</f>
        <v/>
      </c>
      <c r="Z45" s="46">
        <f>IFERROR(__xludf.DUMMYFUNCTION("""COMPUTED_VALUE"""),45854)</f>
        <v/>
      </c>
      <c r="AA45" s="46">
        <f>IFERROR(__xludf.DUMMYFUNCTION("""COMPUTED_VALUE"""),45867)</f>
        <v/>
      </c>
      <c r="AB45" s="45">
        <f>IFERROR(__xludf.DUMMYFUNCTION("""COMPUTED_VALUE"""),"3500 Argentia Road")</f>
        <v/>
      </c>
      <c r="AC45" s="45" t="n"/>
      <c r="AD45" s="45">
        <f>IFERROR(__xludf.DUMMYFUNCTION("""COMPUTED_VALUE"""),"OCEAN")</f>
        <v/>
      </c>
      <c r="AE45" s="45">
        <f>IFERROR(__xludf.DUMMYFUNCTION("""COMPUTED_VALUE"""),"N")</f>
        <v/>
      </c>
      <c r="AF45" s="45" t="n"/>
      <c r="AG45" s="49">
        <f>IFERROR(__xludf.DUMMYFUNCTION("IFNA(vlookup(H45,IMPORTRANGE(""1vUGwO1n0QQGx9kKbO0_M5gmuhXZ6-LaxQxgrmJnzgP0"",""'TP# look up'!A:C""),3,0),"""")"),"")</f>
        <v/>
      </c>
      <c r="AH45" s="49">
        <f>LEFT(J45,2)</f>
        <v/>
      </c>
    </row>
    <row r="46" hidden="1" ht="12.75" customHeight="1">
      <c r="A46" s="45">
        <f>IFERROR(__xludf.DUMMYFUNCTION("""COMPUTED_VALUE"""),"Colombo")</f>
        <v/>
      </c>
      <c r="B46" s="45" t="n"/>
      <c r="C46" s="45">
        <f>IFERROR(__xludf.DUMMYFUNCTION("""COMPUTED_VALUE"""),3231352)</f>
        <v/>
      </c>
      <c r="D46" s="45" t="n"/>
      <c r="E46" s="45">
        <f>IFERROR(__xludf.DUMMYFUNCTION("""COMPUTED_VALUE"""),"CFS")</f>
        <v/>
      </c>
      <c r="F46" s="45">
        <f>IFERROR(__xludf.DUMMYFUNCTION("""COMPUTED_VALUE"""),"MAS AMITY PTE LTD")</f>
        <v/>
      </c>
      <c r="G46" s="45">
        <f>IFERROR(__xludf.DUMMYFUNCTION("""COMPUTED_VALUE"""),"MAS Active(Pvt) Ltd – CONTOURLINE")</f>
        <v/>
      </c>
      <c r="H46" s="43">
        <f>IFERROR(__xludf.DUMMYFUNCTION("""COMPUTED_VALUE"""),450943948957)</f>
        <v/>
      </c>
      <c r="I46" s="45">
        <f>IFERROR(__xludf.DUMMYFUNCTION("""COMPUTED_VALUE"""),19925328)</f>
        <v/>
      </c>
      <c r="J46" s="45">
        <f>IFERROR(__xludf.DUMMYFUNCTION("""COMPUTED_VALUE"""),"LW5ENMS")</f>
        <v/>
      </c>
      <c r="K46" s="45">
        <f>IFERROR(__xludf.DUMMYFUNCTION("""COMPUTED_VALUE"""),"LW5ENMS-049106")</f>
        <v/>
      </c>
      <c r="L46" s="45">
        <f>IFERROR(__xludf.DUMMYFUNCTION("""COMPUTED_VALUE"""),13)</f>
        <v/>
      </c>
      <c r="M46" s="45">
        <f>IFERROR(__xludf.DUMMYFUNCTION("""COMPUTED_VALUE"""),568)</f>
        <v/>
      </c>
      <c r="N46" s="45">
        <f>IFERROR(__xludf.DUMMYFUNCTION("""COMPUTED_VALUE"""),162.288)</f>
        <v/>
      </c>
      <c r="O46" s="45">
        <f>IFERROR(__xludf.DUMMYFUNCTION("""COMPUTED_VALUE"""),0.869)</f>
        <v/>
      </c>
      <c r="P46" s="45">
        <f>IFERROR(__xludf.DUMMYFUNCTION("""COMPUTED_VALUE"""),"Colombo, LK")</f>
        <v/>
      </c>
      <c r="Q46" s="45">
        <f>IFERROR(__xludf.DUMMYFUNCTION("""COMPUTED_VALUE"""),"New York, NY, US")</f>
        <v/>
      </c>
      <c r="R46" s="44">
        <f>IFERROR(__xludf.DUMMYFUNCTION("""COMPUTED_VALUE"""),45817)</f>
        <v/>
      </c>
      <c r="S46" s="44">
        <f>IFERROR(__xludf.DUMMYFUNCTION("""COMPUTED_VALUE"""),45876)</f>
        <v/>
      </c>
      <c r="T46" s="45">
        <f>IFERROR(__xludf.DUMMYFUNCTION("""COMPUTED_VALUE"""),"Mississauga, ON, CA")</f>
        <v/>
      </c>
      <c r="U46" s="45" t="n"/>
      <c r="V46" s="45" t="n"/>
      <c r="W46" s="45" t="n"/>
      <c r="X46" s="45" t="n"/>
      <c r="Y46" s="46">
        <f>IFERROR(__xludf.DUMMYFUNCTION("""COMPUTED_VALUE"""),45825)</f>
        <v/>
      </c>
      <c r="Z46" s="46">
        <f>IFERROR(__xludf.DUMMYFUNCTION("""COMPUTED_VALUE"""),45854)</f>
        <v/>
      </c>
      <c r="AA46" s="46">
        <f>IFERROR(__xludf.DUMMYFUNCTION("""COMPUTED_VALUE"""),45867)</f>
        <v/>
      </c>
      <c r="AB46" s="45">
        <f>IFERROR(__xludf.DUMMYFUNCTION("""COMPUTED_VALUE"""),"3500 Argentia Road")</f>
        <v/>
      </c>
      <c r="AC46" s="45" t="n"/>
      <c r="AD46" s="45">
        <f>IFERROR(__xludf.DUMMYFUNCTION("""COMPUTED_VALUE"""),"OCEAN")</f>
        <v/>
      </c>
      <c r="AE46" s="45">
        <f>IFERROR(__xludf.DUMMYFUNCTION("""COMPUTED_VALUE"""),"N")</f>
        <v/>
      </c>
      <c r="AF46" s="45" t="n"/>
      <c r="AG46" s="49">
        <f>IFERROR(__xludf.DUMMYFUNCTION("IFNA(vlookup(H46,IMPORTRANGE(""1vUGwO1n0QQGx9kKbO0_M5gmuhXZ6-LaxQxgrmJnzgP0"",""'TP# look up'!A:C""),3,0),"""")"),"")</f>
        <v/>
      </c>
      <c r="AH46" s="49">
        <f>LEFT(J46,2)</f>
        <v/>
      </c>
    </row>
    <row r="47" hidden="1" ht="12.75" customHeight="1">
      <c r="A47" s="45">
        <f>IFERROR(__xludf.DUMMYFUNCTION("""COMPUTED_VALUE"""),"Colombo")</f>
        <v/>
      </c>
      <c r="B47" s="45" t="n"/>
      <c r="C47" s="45">
        <f>IFERROR(__xludf.DUMMYFUNCTION("""COMPUTED_VALUE"""),3231352)</f>
        <v/>
      </c>
      <c r="D47" s="45" t="n"/>
      <c r="E47" s="45">
        <f>IFERROR(__xludf.DUMMYFUNCTION("""COMPUTED_VALUE"""),"CFS")</f>
        <v/>
      </c>
      <c r="F47" s="45">
        <f>IFERROR(__xludf.DUMMYFUNCTION("""COMPUTED_VALUE"""),"MAS AMITY PTE LTD")</f>
        <v/>
      </c>
      <c r="G47" s="45">
        <f>IFERROR(__xludf.DUMMYFUNCTION("""COMPUTED_VALUE"""),"MAS Active(Pvt) Ltd – CONTOURLINE")</f>
        <v/>
      </c>
      <c r="H47" s="43">
        <f>IFERROR(__xludf.DUMMYFUNCTION("""COMPUTED_VALUE"""),450944938609)</f>
        <v/>
      </c>
      <c r="I47" s="45">
        <f>IFERROR(__xludf.DUMMYFUNCTION("""COMPUTED_VALUE"""),19920813)</f>
        <v/>
      </c>
      <c r="J47" s="45">
        <f>IFERROR(__xludf.DUMMYFUNCTION("""COMPUTED_VALUE"""),"LW5EPSS")</f>
        <v/>
      </c>
      <c r="K47" s="45">
        <f>IFERROR(__xludf.DUMMYFUNCTION("""COMPUTED_VALUE"""),"LW5EPSS-071168")</f>
        <v/>
      </c>
      <c r="L47" s="45">
        <f>IFERROR(__xludf.DUMMYFUNCTION("""COMPUTED_VALUE"""),7)</f>
        <v/>
      </c>
      <c r="M47" s="45">
        <f>IFERROR(__xludf.DUMMYFUNCTION("""COMPUTED_VALUE"""),325)</f>
        <v/>
      </c>
      <c r="N47" s="45">
        <f>IFERROR(__xludf.DUMMYFUNCTION("""COMPUTED_VALUE"""),73.424)</f>
        <v/>
      </c>
      <c r="O47" s="45">
        <f>IFERROR(__xludf.DUMMYFUNCTION("""COMPUTED_VALUE"""),0.395)</f>
        <v/>
      </c>
      <c r="P47" s="45">
        <f>IFERROR(__xludf.DUMMYFUNCTION("""COMPUTED_VALUE"""),"Colombo, LK")</f>
        <v/>
      </c>
      <c r="Q47" s="45">
        <f>IFERROR(__xludf.DUMMYFUNCTION("""COMPUTED_VALUE"""),"New York, NY, US")</f>
        <v/>
      </c>
      <c r="R47" s="44">
        <f>IFERROR(__xludf.DUMMYFUNCTION("""COMPUTED_VALUE"""),45817)</f>
        <v/>
      </c>
      <c r="S47" s="44">
        <f>IFERROR(__xludf.DUMMYFUNCTION("""COMPUTED_VALUE"""),45876)</f>
        <v/>
      </c>
      <c r="T47" s="45">
        <f>IFERROR(__xludf.DUMMYFUNCTION("""COMPUTED_VALUE"""),"Mississauga, ON, CA")</f>
        <v/>
      </c>
      <c r="U47" s="45" t="n"/>
      <c r="V47" s="45" t="n"/>
      <c r="W47" s="45" t="n"/>
      <c r="X47" s="45" t="n"/>
      <c r="Y47" s="46">
        <f>IFERROR(__xludf.DUMMYFUNCTION("""COMPUTED_VALUE"""),45825)</f>
        <v/>
      </c>
      <c r="Z47" s="46">
        <f>IFERROR(__xludf.DUMMYFUNCTION("""COMPUTED_VALUE"""),45854)</f>
        <v/>
      </c>
      <c r="AA47" s="46">
        <f>IFERROR(__xludf.DUMMYFUNCTION("""COMPUTED_VALUE"""),45867)</f>
        <v/>
      </c>
      <c r="AB47" s="45">
        <f>IFERROR(__xludf.DUMMYFUNCTION("""COMPUTED_VALUE"""),"3500 Argentia Road")</f>
        <v/>
      </c>
      <c r="AC47" s="45" t="n"/>
      <c r="AD47" s="45">
        <f>IFERROR(__xludf.DUMMYFUNCTION("""COMPUTED_VALUE"""),"OCEAN")</f>
        <v/>
      </c>
      <c r="AE47" s="45">
        <f>IFERROR(__xludf.DUMMYFUNCTION("""COMPUTED_VALUE"""),"N")</f>
        <v/>
      </c>
      <c r="AF47" s="45">
        <f>IFERROR(__xludf.DUMMYFUNCTION("""COMPUTED_VALUE"""),"Qty changed from 361 to 325.0, Volume changed from 0.474 to 0.395, Gross Volume changed from 0.474 to 0.395, Weight changed from 81.369 to 73.424, Gross Weight changed from 81.369 to 73.424")</f>
        <v/>
      </c>
      <c r="AG47" s="49">
        <f>IFERROR(__xludf.DUMMYFUNCTION("IFNA(vlookup(H47,IMPORTRANGE(""1vUGwO1n0QQGx9kKbO0_M5gmuhXZ6-LaxQxgrmJnzgP0"",""'TP# look up'!A:C""),3,0),"""")"),"")</f>
        <v/>
      </c>
      <c r="AH47" s="49">
        <f>LEFT(J47,2)</f>
        <v/>
      </c>
    </row>
    <row r="48" hidden="1" ht="12.75" customHeight="1">
      <c r="A48" s="45">
        <f>IFERROR(__xludf.DUMMYFUNCTION("""COMPUTED_VALUE"""),"Colombo")</f>
        <v/>
      </c>
      <c r="B48" s="45" t="n"/>
      <c r="C48" s="45">
        <f>IFERROR(__xludf.DUMMYFUNCTION("""COMPUTED_VALUE"""),3231352)</f>
        <v/>
      </c>
      <c r="D48" s="45" t="n"/>
      <c r="E48" s="45">
        <f>IFERROR(__xludf.DUMMYFUNCTION("""COMPUTED_VALUE"""),"CFS")</f>
        <v/>
      </c>
      <c r="F48" s="45">
        <f>IFERROR(__xludf.DUMMYFUNCTION("""COMPUTED_VALUE"""),"MAS AMITY PTE LTD")</f>
        <v/>
      </c>
      <c r="G48" s="45">
        <f>IFERROR(__xludf.DUMMYFUNCTION("""COMPUTED_VALUE"""),"MAS Active(Pvt) Ltd – CONTOURLINE")</f>
        <v/>
      </c>
      <c r="H48" s="43">
        <f>IFERROR(__xludf.DUMMYFUNCTION("""COMPUTED_VALUE"""),450947455199)</f>
        <v/>
      </c>
      <c r="I48" s="45">
        <f>IFERROR(__xludf.DUMMYFUNCTION("""COMPUTED_VALUE"""),19920779)</f>
        <v/>
      </c>
      <c r="J48" s="45">
        <f>IFERROR(__xludf.DUMMYFUNCTION("""COMPUTED_VALUE"""),"LM3FBSS")</f>
        <v/>
      </c>
      <c r="K48" s="45">
        <f>IFERROR(__xludf.DUMMYFUNCTION("""COMPUTED_VALUE"""),"LM3FBSS-070108")</f>
        <v/>
      </c>
      <c r="L48" s="45">
        <f>IFERROR(__xludf.DUMMYFUNCTION("""COMPUTED_VALUE"""),2)</f>
        <v/>
      </c>
      <c r="M48" s="45">
        <f>IFERROR(__xludf.DUMMYFUNCTION("""COMPUTED_VALUE"""),56)</f>
        <v/>
      </c>
      <c r="N48" s="45">
        <f>IFERROR(__xludf.DUMMYFUNCTION("""COMPUTED_VALUE"""),19.489)</f>
        <v/>
      </c>
      <c r="O48" s="45">
        <f>IFERROR(__xludf.DUMMYFUNCTION("""COMPUTED_VALUE"""),0.118)</f>
        <v/>
      </c>
      <c r="P48" s="45">
        <f>IFERROR(__xludf.DUMMYFUNCTION("""COMPUTED_VALUE"""),"Colombo, LK")</f>
        <v/>
      </c>
      <c r="Q48" s="45">
        <f>IFERROR(__xludf.DUMMYFUNCTION("""COMPUTED_VALUE"""),"New York, NY, US")</f>
        <v/>
      </c>
      <c r="R48" s="44">
        <f>IFERROR(__xludf.DUMMYFUNCTION("""COMPUTED_VALUE"""),45817)</f>
        <v/>
      </c>
      <c r="S48" s="44">
        <f>IFERROR(__xludf.DUMMYFUNCTION("""COMPUTED_VALUE"""),45876)</f>
        <v/>
      </c>
      <c r="T48" s="45">
        <f>IFERROR(__xludf.DUMMYFUNCTION("""COMPUTED_VALUE"""),"Mississauga, ON, CA")</f>
        <v/>
      </c>
      <c r="U48" s="45" t="n"/>
      <c r="V48" s="45" t="n"/>
      <c r="W48" s="45" t="n"/>
      <c r="X48" s="45" t="n"/>
      <c r="Y48" s="46">
        <f>IFERROR(__xludf.DUMMYFUNCTION("""COMPUTED_VALUE"""),45825)</f>
        <v/>
      </c>
      <c r="Z48" s="46">
        <f>IFERROR(__xludf.DUMMYFUNCTION("""COMPUTED_VALUE"""),45854)</f>
        <v/>
      </c>
      <c r="AA48" s="46">
        <f>IFERROR(__xludf.DUMMYFUNCTION("""COMPUTED_VALUE"""),45867)</f>
        <v/>
      </c>
      <c r="AB48" s="45">
        <f>IFERROR(__xludf.DUMMYFUNCTION("""COMPUTED_VALUE"""),"3500 Argentia Road")</f>
        <v/>
      </c>
      <c r="AC48" s="45" t="n"/>
      <c r="AD48" s="45">
        <f>IFERROR(__xludf.DUMMYFUNCTION("""COMPUTED_VALUE"""),"OCEAN")</f>
        <v/>
      </c>
      <c r="AE48" s="45">
        <f>IFERROR(__xludf.DUMMYFUNCTION("""COMPUTED_VALUE"""),"N")</f>
        <v/>
      </c>
      <c r="AF48" s="45" t="n"/>
      <c r="AG48" s="49">
        <f>IFERROR(__xludf.DUMMYFUNCTION("IFNA(vlookup(H48,IMPORTRANGE(""1vUGwO1n0QQGx9kKbO0_M5gmuhXZ6-LaxQxgrmJnzgP0"",""'TP# look up'!A:C""),3,0),"""")"),"")</f>
        <v/>
      </c>
      <c r="AH48" s="49">
        <f>LEFT(J48,2)</f>
        <v/>
      </c>
    </row>
    <row r="49" hidden="1" ht="12.75" customHeight="1">
      <c r="A49" s="45">
        <f>IFERROR(__xludf.DUMMYFUNCTION("""COMPUTED_VALUE"""),"Colombo")</f>
        <v/>
      </c>
      <c r="B49" s="45" t="n"/>
      <c r="C49" s="45">
        <f>IFERROR(__xludf.DUMMYFUNCTION("""COMPUTED_VALUE"""),3231352)</f>
        <v/>
      </c>
      <c r="D49" s="45" t="n"/>
      <c r="E49" s="45">
        <f>IFERROR(__xludf.DUMMYFUNCTION("""COMPUTED_VALUE"""),"CFS")</f>
        <v/>
      </c>
      <c r="F49" s="45">
        <f>IFERROR(__xludf.DUMMYFUNCTION("""COMPUTED_VALUE"""),"MAS AMITY PTE LTD")</f>
        <v/>
      </c>
      <c r="G49" s="45">
        <f>IFERROR(__xludf.DUMMYFUNCTION("""COMPUTED_VALUE"""),"MAS Active(Pvt) Ltd – CONTOURLINE")</f>
        <v/>
      </c>
      <c r="H49" s="43">
        <f>IFERROR(__xludf.DUMMYFUNCTION("""COMPUTED_VALUE"""),450948675462)</f>
        <v/>
      </c>
      <c r="I49" s="45">
        <f>IFERROR(__xludf.DUMMYFUNCTION("""COMPUTED_VALUE"""),19890820)</f>
        <v/>
      </c>
      <c r="J49" s="45">
        <f>IFERROR(__xludf.DUMMYFUNCTION("""COMPUTED_VALUE"""),"LW2EB3S")</f>
        <v/>
      </c>
      <c r="K49" s="45">
        <f>IFERROR(__xludf.DUMMYFUNCTION("""COMPUTED_VALUE"""),"LW2EB3S-035486")</f>
        <v/>
      </c>
      <c r="L49" s="45">
        <f>IFERROR(__xludf.DUMMYFUNCTION("""COMPUTED_VALUE"""),5)</f>
        <v/>
      </c>
      <c r="M49" s="45">
        <f>IFERROR(__xludf.DUMMYFUNCTION("""COMPUTED_VALUE"""),339)</f>
        <v/>
      </c>
      <c r="N49" s="45">
        <f>IFERROR(__xludf.DUMMYFUNCTION("""COMPUTED_VALUE"""),43.698)</f>
        <v/>
      </c>
      <c r="O49" s="45">
        <f>IFERROR(__xludf.DUMMYFUNCTION("""COMPUTED_VALUE"""),0.395)</f>
        <v/>
      </c>
      <c r="P49" s="45">
        <f>IFERROR(__xludf.DUMMYFUNCTION("""COMPUTED_VALUE"""),"Colombo, LK")</f>
        <v/>
      </c>
      <c r="Q49" s="45">
        <f>IFERROR(__xludf.DUMMYFUNCTION("""COMPUTED_VALUE"""),"New York, NY, US")</f>
        <v/>
      </c>
      <c r="R49" s="44">
        <f>IFERROR(__xludf.DUMMYFUNCTION("""COMPUTED_VALUE"""),45817)</f>
        <v/>
      </c>
      <c r="S49" s="44">
        <f>IFERROR(__xludf.DUMMYFUNCTION("""COMPUTED_VALUE"""),45876)</f>
        <v/>
      </c>
      <c r="T49" s="45">
        <f>IFERROR(__xludf.DUMMYFUNCTION("""COMPUTED_VALUE"""),"Mississauga, ON, CA")</f>
        <v/>
      </c>
      <c r="U49" s="45" t="n"/>
      <c r="V49" s="45" t="n"/>
      <c r="W49" s="45" t="n"/>
      <c r="X49" s="45" t="n"/>
      <c r="Y49" s="46">
        <f>IFERROR(__xludf.DUMMYFUNCTION("""COMPUTED_VALUE"""),45825)</f>
        <v/>
      </c>
      <c r="Z49" s="46">
        <f>IFERROR(__xludf.DUMMYFUNCTION("""COMPUTED_VALUE"""),45854)</f>
        <v/>
      </c>
      <c r="AA49" s="46">
        <f>IFERROR(__xludf.DUMMYFUNCTION("""COMPUTED_VALUE"""),45867)</f>
        <v/>
      </c>
      <c r="AB49" s="45">
        <f>IFERROR(__xludf.DUMMYFUNCTION("""COMPUTED_VALUE"""),"3500 Argentia Road")</f>
        <v/>
      </c>
      <c r="AC49" s="45" t="n"/>
      <c r="AD49" s="45">
        <f>IFERROR(__xludf.DUMMYFUNCTION("""COMPUTED_VALUE"""),"OCEAN")</f>
        <v/>
      </c>
      <c r="AE49" s="45">
        <f>IFERROR(__xludf.DUMMYFUNCTION("""COMPUTED_VALUE"""),"N")</f>
        <v/>
      </c>
      <c r="AF49" s="45" t="n"/>
      <c r="AG49" s="49">
        <f>IFERROR(__xludf.DUMMYFUNCTION("IFNA(vlookup(H49,IMPORTRANGE(""1vUGwO1n0QQGx9kKbO0_M5gmuhXZ6-LaxQxgrmJnzgP0"",""'TP# look up'!A:C""),3,0),"""")"),"")</f>
        <v/>
      </c>
      <c r="AH49" s="49">
        <f>LEFT(J49,2)</f>
        <v/>
      </c>
    </row>
    <row r="50" hidden="1" ht="12.75" customHeight="1">
      <c r="A50" s="45">
        <f>IFERROR(__xludf.DUMMYFUNCTION("""COMPUTED_VALUE"""),"Colombo")</f>
        <v/>
      </c>
      <c r="B50" s="45" t="n"/>
      <c r="C50" s="45">
        <f>IFERROR(__xludf.DUMMYFUNCTION("""COMPUTED_VALUE"""),3231352)</f>
        <v/>
      </c>
      <c r="D50" s="45" t="n"/>
      <c r="E50" s="45">
        <f>IFERROR(__xludf.DUMMYFUNCTION("""COMPUTED_VALUE"""),"CFS")</f>
        <v/>
      </c>
      <c r="F50" s="45">
        <f>IFERROR(__xludf.DUMMYFUNCTION("""COMPUTED_VALUE"""),"MAS AMITY PTE LTD")</f>
        <v/>
      </c>
      <c r="G50" s="45">
        <f>IFERROR(__xludf.DUMMYFUNCTION("""COMPUTED_VALUE"""),"MAS Active(Pvt) Ltd – CONTOURLINE")</f>
        <v/>
      </c>
      <c r="H50" s="43">
        <f>IFERROR(__xludf.DUMMYFUNCTION("""COMPUTED_VALUE"""),450950437015)</f>
        <v/>
      </c>
      <c r="I50" s="45">
        <f>IFERROR(__xludf.DUMMYFUNCTION("""COMPUTED_VALUE"""),19890775)</f>
        <v/>
      </c>
      <c r="J50" s="45">
        <f>IFERROR(__xludf.DUMMYFUNCTION("""COMPUTED_VALUE"""),"LW7CPPS")</f>
        <v/>
      </c>
      <c r="K50" s="45">
        <f>IFERROR(__xludf.DUMMYFUNCTION("""COMPUTED_VALUE"""),"LW7CPPS-049106")</f>
        <v/>
      </c>
      <c r="L50" s="45">
        <f>IFERROR(__xludf.DUMMYFUNCTION("""COMPUTED_VALUE"""),5)</f>
        <v/>
      </c>
      <c r="M50" s="45">
        <f>IFERROR(__xludf.DUMMYFUNCTION("""COMPUTED_VALUE"""),334)</f>
        <v/>
      </c>
      <c r="N50" s="45">
        <f>IFERROR(__xludf.DUMMYFUNCTION("""COMPUTED_VALUE"""),51.947)</f>
        <v/>
      </c>
      <c r="O50" s="45">
        <f>IFERROR(__xludf.DUMMYFUNCTION("""COMPUTED_VALUE"""),0.355)</f>
        <v/>
      </c>
      <c r="P50" s="45">
        <f>IFERROR(__xludf.DUMMYFUNCTION("""COMPUTED_VALUE"""),"Colombo, LK")</f>
        <v/>
      </c>
      <c r="Q50" s="45">
        <f>IFERROR(__xludf.DUMMYFUNCTION("""COMPUTED_VALUE"""),"New York, NY, US")</f>
        <v/>
      </c>
      <c r="R50" s="44">
        <f>IFERROR(__xludf.DUMMYFUNCTION("""COMPUTED_VALUE"""),45817)</f>
        <v/>
      </c>
      <c r="S50" s="44">
        <f>IFERROR(__xludf.DUMMYFUNCTION("""COMPUTED_VALUE"""),45876)</f>
        <v/>
      </c>
      <c r="T50" s="45">
        <f>IFERROR(__xludf.DUMMYFUNCTION("""COMPUTED_VALUE"""),"Mississauga, ON, CA")</f>
        <v/>
      </c>
      <c r="U50" s="45" t="n"/>
      <c r="V50" s="45" t="n"/>
      <c r="W50" s="45" t="n"/>
      <c r="X50" s="45" t="n"/>
      <c r="Y50" s="46">
        <f>IFERROR(__xludf.DUMMYFUNCTION("""COMPUTED_VALUE"""),45825)</f>
        <v/>
      </c>
      <c r="Z50" s="46">
        <f>IFERROR(__xludf.DUMMYFUNCTION("""COMPUTED_VALUE"""),45854)</f>
        <v/>
      </c>
      <c r="AA50" s="46">
        <f>IFERROR(__xludf.DUMMYFUNCTION("""COMPUTED_VALUE"""),45867)</f>
        <v/>
      </c>
      <c r="AB50" s="45">
        <f>IFERROR(__xludf.DUMMYFUNCTION("""COMPUTED_VALUE"""),"3500 Argentia Road")</f>
        <v/>
      </c>
      <c r="AC50" s="45" t="n"/>
      <c r="AD50" s="45">
        <f>IFERROR(__xludf.DUMMYFUNCTION("""COMPUTED_VALUE"""),"OCEAN")</f>
        <v/>
      </c>
      <c r="AE50" s="45">
        <f>IFERROR(__xludf.DUMMYFUNCTION("""COMPUTED_VALUE"""),"N")</f>
        <v/>
      </c>
      <c r="AF50" s="45" t="n"/>
      <c r="AG50" s="49">
        <f>IFERROR(__xludf.DUMMYFUNCTION("IFNA(vlookup(H50,IMPORTRANGE(""1vUGwO1n0QQGx9kKbO0_M5gmuhXZ6-LaxQxgrmJnzgP0"",""'TP# look up'!A:C""),3,0),"""")"),"")</f>
        <v/>
      </c>
      <c r="AH50" s="49">
        <f>LEFT(J50,2)</f>
        <v/>
      </c>
    </row>
    <row r="51" hidden="1" ht="12.75" customHeight="1">
      <c r="A51" s="45">
        <f>IFERROR(__xludf.DUMMYFUNCTION("""COMPUTED_VALUE"""),"Colombo")</f>
        <v/>
      </c>
      <c r="B51" s="45" t="n"/>
      <c r="C51" s="45">
        <f>IFERROR(__xludf.DUMMYFUNCTION("""COMPUTED_VALUE"""),3231352)</f>
        <v/>
      </c>
      <c r="D51" s="45" t="n"/>
      <c r="E51" s="45">
        <f>IFERROR(__xludf.DUMMYFUNCTION("""COMPUTED_VALUE"""),"CFS")</f>
        <v/>
      </c>
      <c r="F51" s="45">
        <f>IFERROR(__xludf.DUMMYFUNCTION("""COMPUTED_VALUE"""),"MAS AMITY PTE LTD")</f>
        <v/>
      </c>
      <c r="G51" s="45">
        <f>IFERROR(__xludf.DUMMYFUNCTION("""COMPUTED_VALUE"""),"MAS Active(Pvt) Ltd – CONTOURLINE")</f>
        <v/>
      </c>
      <c r="H51" s="43">
        <f>IFERROR(__xludf.DUMMYFUNCTION("""COMPUTED_VALUE"""),450950935396)</f>
        <v/>
      </c>
      <c r="I51" s="45">
        <f>IFERROR(__xludf.DUMMYFUNCTION("""COMPUTED_VALUE"""),19920737)</f>
        <v/>
      </c>
      <c r="J51" s="45">
        <f>IFERROR(__xludf.DUMMYFUNCTION("""COMPUTED_VALUE"""),"LW5ENMS")</f>
        <v/>
      </c>
      <c r="K51" s="45">
        <f>IFERROR(__xludf.DUMMYFUNCTION("""COMPUTED_VALUE"""),"LW5ENMS-049106")</f>
        <v/>
      </c>
      <c r="L51" s="45">
        <f>IFERROR(__xludf.DUMMYFUNCTION("""COMPUTED_VALUE"""),8)</f>
        <v/>
      </c>
      <c r="M51" s="45">
        <f>IFERROR(__xludf.DUMMYFUNCTION("""COMPUTED_VALUE"""),324)</f>
        <v/>
      </c>
      <c r="N51" s="45">
        <f>IFERROR(__xludf.DUMMYFUNCTION("""COMPUTED_VALUE"""),93.009)</f>
        <v/>
      </c>
      <c r="O51" s="45">
        <f>IFERROR(__xludf.DUMMYFUNCTION("""COMPUTED_VALUE"""),0.513)</f>
        <v/>
      </c>
      <c r="P51" s="45">
        <f>IFERROR(__xludf.DUMMYFUNCTION("""COMPUTED_VALUE"""),"Colombo, LK")</f>
        <v/>
      </c>
      <c r="Q51" s="45">
        <f>IFERROR(__xludf.DUMMYFUNCTION("""COMPUTED_VALUE"""),"New York, NY, US")</f>
        <v/>
      </c>
      <c r="R51" s="44">
        <f>IFERROR(__xludf.DUMMYFUNCTION("""COMPUTED_VALUE"""),45817)</f>
        <v/>
      </c>
      <c r="S51" s="44">
        <f>IFERROR(__xludf.DUMMYFUNCTION("""COMPUTED_VALUE"""),45876)</f>
        <v/>
      </c>
      <c r="T51" s="45">
        <f>IFERROR(__xludf.DUMMYFUNCTION("""COMPUTED_VALUE"""),"Mississauga, ON, CA")</f>
        <v/>
      </c>
      <c r="U51" s="45" t="n"/>
      <c r="V51" s="45" t="n"/>
      <c r="W51" s="45" t="n"/>
      <c r="X51" s="45" t="n"/>
      <c r="Y51" s="46">
        <f>IFERROR(__xludf.DUMMYFUNCTION("""COMPUTED_VALUE"""),45825)</f>
        <v/>
      </c>
      <c r="Z51" s="46">
        <f>IFERROR(__xludf.DUMMYFUNCTION("""COMPUTED_VALUE"""),45854)</f>
        <v/>
      </c>
      <c r="AA51" s="46">
        <f>IFERROR(__xludf.DUMMYFUNCTION("""COMPUTED_VALUE"""),45867)</f>
        <v/>
      </c>
      <c r="AB51" s="45">
        <f>IFERROR(__xludf.DUMMYFUNCTION("""COMPUTED_VALUE"""),"3500 Argentia Road")</f>
        <v/>
      </c>
      <c r="AC51" s="45" t="n"/>
      <c r="AD51" s="45">
        <f>IFERROR(__xludf.DUMMYFUNCTION("""COMPUTED_VALUE"""),"OCEAN")</f>
        <v/>
      </c>
      <c r="AE51" s="45">
        <f>IFERROR(__xludf.DUMMYFUNCTION("""COMPUTED_VALUE"""),"N")</f>
        <v/>
      </c>
      <c r="AF51" s="45" t="n"/>
      <c r="AG51" s="49">
        <f>IFERROR(__xludf.DUMMYFUNCTION("IFNA(vlookup(H51,IMPORTRANGE(""1vUGwO1n0QQGx9kKbO0_M5gmuhXZ6-LaxQxgrmJnzgP0"",""'TP# look up'!A:C""),3,0),"""")"),"")</f>
        <v/>
      </c>
      <c r="AH51" s="49">
        <f>LEFT(J51,2)</f>
        <v/>
      </c>
    </row>
    <row r="52" hidden="1" ht="12.75" customHeight="1">
      <c r="A52" s="45">
        <f>IFERROR(__xludf.DUMMYFUNCTION("""COMPUTED_VALUE"""),"Colombo")</f>
        <v/>
      </c>
      <c r="B52" s="45" t="n"/>
      <c r="C52" s="45">
        <f>IFERROR(__xludf.DUMMYFUNCTION("""COMPUTED_VALUE"""),3231352)</f>
        <v/>
      </c>
      <c r="D52" s="45" t="n"/>
      <c r="E52" s="45">
        <f>IFERROR(__xludf.DUMMYFUNCTION("""COMPUTED_VALUE"""),"CFS")</f>
        <v/>
      </c>
      <c r="F52" s="45">
        <f>IFERROR(__xludf.DUMMYFUNCTION("""COMPUTED_VALUE"""),"MAS AMITY PTE LTD")</f>
        <v/>
      </c>
      <c r="G52" s="45">
        <f>IFERROR(__xludf.DUMMYFUNCTION("""COMPUTED_VALUE"""),"MAS Active(Pvt) Ltd – CONTOURLINE")</f>
        <v/>
      </c>
      <c r="H52" s="43">
        <f>IFERROR(__xludf.DUMMYFUNCTION("""COMPUTED_VALUE"""),450951721044)</f>
        <v/>
      </c>
      <c r="I52" s="45">
        <f>IFERROR(__xludf.DUMMYFUNCTION("""COMPUTED_VALUE"""),19890814)</f>
        <v/>
      </c>
      <c r="J52" s="45">
        <f>IFERROR(__xludf.DUMMYFUNCTION("""COMPUTED_VALUE"""),"LW2EB3S")</f>
        <v/>
      </c>
      <c r="K52" s="45">
        <f>IFERROR(__xludf.DUMMYFUNCTION("""COMPUTED_VALUE"""),"LW2EB3S-035486")</f>
        <v/>
      </c>
      <c r="L52" s="45">
        <f>IFERROR(__xludf.DUMMYFUNCTION("""COMPUTED_VALUE"""),6)</f>
        <v/>
      </c>
      <c r="M52" s="45">
        <f>IFERROR(__xludf.DUMMYFUNCTION("""COMPUTED_VALUE"""),513)</f>
        <v/>
      </c>
      <c r="N52" s="45">
        <f>IFERROR(__xludf.DUMMYFUNCTION("""COMPUTED_VALUE"""),62.605)</f>
        <v/>
      </c>
      <c r="O52" s="45">
        <f>IFERROR(__xludf.DUMMYFUNCTION("""COMPUTED_VALUE"""),0.474)</f>
        <v/>
      </c>
      <c r="P52" s="45">
        <f>IFERROR(__xludf.DUMMYFUNCTION("""COMPUTED_VALUE"""),"Colombo, LK")</f>
        <v/>
      </c>
      <c r="Q52" s="45">
        <f>IFERROR(__xludf.DUMMYFUNCTION("""COMPUTED_VALUE"""),"New York, NY, US")</f>
        <v/>
      </c>
      <c r="R52" s="44">
        <f>IFERROR(__xludf.DUMMYFUNCTION("""COMPUTED_VALUE"""),45817)</f>
        <v/>
      </c>
      <c r="S52" s="44">
        <f>IFERROR(__xludf.DUMMYFUNCTION("""COMPUTED_VALUE"""),45876)</f>
        <v/>
      </c>
      <c r="T52" s="45">
        <f>IFERROR(__xludf.DUMMYFUNCTION("""COMPUTED_VALUE"""),"Milton, ON, CA")</f>
        <v/>
      </c>
      <c r="U52" s="45" t="n"/>
      <c r="V52" s="45" t="n"/>
      <c r="W52" s="45" t="n"/>
      <c r="X52" s="45" t="n"/>
      <c r="Y52" s="46">
        <f>IFERROR(__xludf.DUMMYFUNCTION("""COMPUTED_VALUE"""),45825)</f>
        <v/>
      </c>
      <c r="Z52" s="46">
        <f>IFERROR(__xludf.DUMMYFUNCTION("""COMPUTED_VALUE"""),45854)</f>
        <v/>
      </c>
      <c r="AA52" s="46">
        <f>IFERROR(__xludf.DUMMYFUNCTION("""COMPUTED_VALUE"""),45867)</f>
        <v/>
      </c>
      <c r="AB52" s="45">
        <f>IFERROR(__xludf.DUMMYFUNCTION("""COMPUTED_VALUE"""),"7211 Fifth Line")</f>
        <v/>
      </c>
      <c r="AC52" s="45" t="n"/>
      <c r="AD52" s="45">
        <f>IFERROR(__xludf.DUMMYFUNCTION("""COMPUTED_VALUE"""),"OCEAN")</f>
        <v/>
      </c>
      <c r="AE52" s="45">
        <f>IFERROR(__xludf.DUMMYFUNCTION("""COMPUTED_VALUE"""),"N")</f>
        <v/>
      </c>
      <c r="AF52" s="45" t="n"/>
      <c r="AG52" s="49">
        <f>IFERROR(__xludf.DUMMYFUNCTION("IFNA(vlookup(H52,IMPORTRANGE(""1vUGwO1n0QQGx9kKbO0_M5gmuhXZ6-LaxQxgrmJnzgP0"",""'TP# look up'!A:C""),3,0),"""")"),"")</f>
        <v/>
      </c>
      <c r="AH52" s="49">
        <f>LEFT(J52,2)</f>
        <v/>
      </c>
    </row>
    <row r="53" hidden="1" ht="12.75" customHeight="1">
      <c r="A53" s="45">
        <f>IFERROR(__xludf.DUMMYFUNCTION("""COMPUTED_VALUE"""),"Colombo")</f>
        <v/>
      </c>
      <c r="B53" s="45" t="n"/>
      <c r="C53" s="45">
        <f>IFERROR(__xludf.DUMMYFUNCTION("""COMPUTED_VALUE"""),3231352)</f>
        <v/>
      </c>
      <c r="D53" s="45" t="n"/>
      <c r="E53" s="45">
        <f>IFERROR(__xludf.DUMMYFUNCTION("""COMPUTED_VALUE"""),"CFS")</f>
        <v/>
      </c>
      <c r="F53" s="45">
        <f>IFERROR(__xludf.DUMMYFUNCTION("""COMPUTED_VALUE"""),"MAS AMITY PTE LTD")</f>
        <v/>
      </c>
      <c r="G53" s="45">
        <f>IFERROR(__xludf.DUMMYFUNCTION("""COMPUTED_VALUE"""),"MAS Active(Pvt) Ltd – CONTOURLINE")</f>
        <v/>
      </c>
      <c r="H53" s="43">
        <f>IFERROR(__xludf.DUMMYFUNCTION("""COMPUTED_VALUE"""),450951721727)</f>
        <v/>
      </c>
      <c r="I53" s="45">
        <f>IFERROR(__xludf.DUMMYFUNCTION("""COMPUTED_VALUE"""),19890818)</f>
        <v/>
      </c>
      <c r="J53" s="45">
        <f>IFERROR(__xludf.DUMMYFUNCTION("""COMPUTED_VALUE"""),"LW2EB3S")</f>
        <v/>
      </c>
      <c r="K53" s="45">
        <f>IFERROR(__xludf.DUMMYFUNCTION("""COMPUTED_VALUE"""),"LW2EB3S-035486")</f>
        <v/>
      </c>
      <c r="L53" s="45">
        <f>IFERROR(__xludf.DUMMYFUNCTION("""COMPUTED_VALUE"""),3)</f>
        <v/>
      </c>
      <c r="M53" s="45">
        <f>IFERROR(__xludf.DUMMYFUNCTION("""COMPUTED_VALUE"""),186)</f>
        <v/>
      </c>
      <c r="N53" s="45">
        <f>IFERROR(__xludf.DUMMYFUNCTION("""COMPUTED_VALUE"""),24.534)</f>
        <v/>
      </c>
      <c r="O53" s="45">
        <f>IFERROR(__xludf.DUMMYFUNCTION("""COMPUTED_VALUE"""),0.237)</f>
        <v/>
      </c>
      <c r="P53" s="45">
        <f>IFERROR(__xludf.DUMMYFUNCTION("""COMPUTED_VALUE"""),"Colombo, LK")</f>
        <v/>
      </c>
      <c r="Q53" s="45">
        <f>IFERROR(__xludf.DUMMYFUNCTION("""COMPUTED_VALUE"""),"New York, NY, US")</f>
        <v/>
      </c>
      <c r="R53" s="44">
        <f>IFERROR(__xludf.DUMMYFUNCTION("""COMPUTED_VALUE"""),45817)</f>
        <v/>
      </c>
      <c r="S53" s="44">
        <f>IFERROR(__xludf.DUMMYFUNCTION("""COMPUTED_VALUE"""),45876)</f>
        <v/>
      </c>
      <c r="T53" s="45">
        <f>IFERROR(__xludf.DUMMYFUNCTION("""COMPUTED_VALUE"""),"Mississauga, ON, CA")</f>
        <v/>
      </c>
      <c r="U53" s="45" t="n"/>
      <c r="V53" s="45" t="n"/>
      <c r="W53" s="45" t="n"/>
      <c r="X53" s="45" t="n"/>
      <c r="Y53" s="46">
        <f>IFERROR(__xludf.DUMMYFUNCTION("""COMPUTED_VALUE"""),45825)</f>
        <v/>
      </c>
      <c r="Z53" s="46">
        <f>IFERROR(__xludf.DUMMYFUNCTION("""COMPUTED_VALUE"""),45854)</f>
        <v/>
      </c>
      <c r="AA53" s="46">
        <f>IFERROR(__xludf.DUMMYFUNCTION("""COMPUTED_VALUE"""),45867)</f>
        <v/>
      </c>
      <c r="AB53" s="45">
        <f>IFERROR(__xludf.DUMMYFUNCTION("""COMPUTED_VALUE"""),"3500 Argentia Road")</f>
        <v/>
      </c>
      <c r="AC53" s="45" t="n"/>
      <c r="AD53" s="45">
        <f>IFERROR(__xludf.DUMMYFUNCTION("""COMPUTED_VALUE"""),"OCEAN")</f>
        <v/>
      </c>
      <c r="AE53" s="45">
        <f>IFERROR(__xludf.DUMMYFUNCTION("""COMPUTED_VALUE"""),"N")</f>
        <v/>
      </c>
      <c r="AF53" s="45" t="n"/>
      <c r="AG53" s="49">
        <f>IFERROR(__xludf.DUMMYFUNCTION("IFNA(vlookup(H53,IMPORTRANGE(""1vUGwO1n0QQGx9kKbO0_M5gmuhXZ6-LaxQxgrmJnzgP0"",""'TP# look up'!A:C""),3,0),"""")"),"")</f>
        <v/>
      </c>
      <c r="AH53" s="49">
        <f>LEFT(J53,2)</f>
        <v/>
      </c>
    </row>
    <row r="54" hidden="1" ht="12.75" customHeight="1">
      <c r="A54" s="45">
        <f>IFERROR(__xludf.DUMMYFUNCTION("""COMPUTED_VALUE"""),"Colombo")</f>
        <v/>
      </c>
      <c r="B54" s="45" t="n"/>
      <c r="C54" s="45">
        <f>IFERROR(__xludf.DUMMYFUNCTION("""COMPUTED_VALUE"""),3231352)</f>
        <v/>
      </c>
      <c r="D54" s="45" t="n"/>
      <c r="E54" s="45">
        <f>IFERROR(__xludf.DUMMYFUNCTION("""COMPUTED_VALUE"""),"CFS")</f>
        <v/>
      </c>
      <c r="F54" s="45">
        <f>IFERROR(__xludf.DUMMYFUNCTION("""COMPUTED_VALUE"""),"MAS AMITY PTE LTD")</f>
        <v/>
      </c>
      <c r="G54" s="45">
        <f>IFERROR(__xludf.DUMMYFUNCTION("""COMPUTED_VALUE"""),"MAS Active(Pvt) Ltd – CONTOURLINE")</f>
        <v/>
      </c>
      <c r="H54" s="43">
        <f>IFERROR(__xludf.DUMMYFUNCTION("""COMPUTED_VALUE"""),450953096271)</f>
        <v/>
      </c>
      <c r="I54" s="45">
        <f>IFERROR(__xludf.DUMMYFUNCTION("""COMPUTED_VALUE"""),19897844)</f>
        <v/>
      </c>
      <c r="J54" s="45">
        <f>IFERROR(__xludf.DUMMYFUNCTION("""COMPUTED_VALUE"""),"LW5ENMS")</f>
        <v/>
      </c>
      <c r="K54" s="45">
        <f>IFERROR(__xludf.DUMMYFUNCTION("""COMPUTED_VALUE"""),"LW5ENMS-049106")</f>
        <v/>
      </c>
      <c r="L54" s="45">
        <f>IFERROR(__xludf.DUMMYFUNCTION("""COMPUTED_VALUE"""),10)</f>
        <v/>
      </c>
      <c r="M54" s="45">
        <f>IFERROR(__xludf.DUMMYFUNCTION("""COMPUTED_VALUE"""),428)</f>
        <v/>
      </c>
      <c r="N54" s="45">
        <f>IFERROR(__xludf.DUMMYFUNCTION("""COMPUTED_VALUE"""),122.447)</f>
        <v/>
      </c>
      <c r="O54" s="45">
        <f>IFERROR(__xludf.DUMMYFUNCTION("""COMPUTED_VALUE"""),0.711)</f>
        <v/>
      </c>
      <c r="P54" s="45">
        <f>IFERROR(__xludf.DUMMYFUNCTION("""COMPUTED_VALUE"""),"Colombo, LK")</f>
        <v/>
      </c>
      <c r="Q54" s="45">
        <f>IFERROR(__xludf.DUMMYFUNCTION("""COMPUTED_VALUE"""),"New York, NY, US")</f>
        <v/>
      </c>
      <c r="R54" s="44">
        <f>IFERROR(__xludf.DUMMYFUNCTION("""COMPUTED_VALUE"""),45817)</f>
        <v/>
      </c>
      <c r="S54" s="44">
        <f>IFERROR(__xludf.DUMMYFUNCTION("""COMPUTED_VALUE"""),45876)</f>
        <v/>
      </c>
      <c r="T54" s="45">
        <f>IFERROR(__xludf.DUMMYFUNCTION("""COMPUTED_VALUE"""),"Milton, ON, CA")</f>
        <v/>
      </c>
      <c r="U54" s="45" t="n"/>
      <c r="V54" s="45" t="n"/>
      <c r="W54" s="45" t="n"/>
      <c r="X54" s="45" t="n"/>
      <c r="Y54" s="46">
        <f>IFERROR(__xludf.DUMMYFUNCTION("""COMPUTED_VALUE"""),45825)</f>
        <v/>
      </c>
      <c r="Z54" s="46">
        <f>IFERROR(__xludf.DUMMYFUNCTION("""COMPUTED_VALUE"""),45854)</f>
        <v/>
      </c>
      <c r="AA54" s="46">
        <f>IFERROR(__xludf.DUMMYFUNCTION("""COMPUTED_VALUE"""),45867)</f>
        <v/>
      </c>
      <c r="AB54" s="45">
        <f>IFERROR(__xludf.DUMMYFUNCTION("""COMPUTED_VALUE"""),"7211 Fifth Line")</f>
        <v/>
      </c>
      <c r="AC54" s="45" t="n"/>
      <c r="AD54" s="45">
        <f>IFERROR(__xludf.DUMMYFUNCTION("""COMPUTED_VALUE"""),"OCEAN")</f>
        <v/>
      </c>
      <c r="AE54" s="45">
        <f>IFERROR(__xludf.DUMMYFUNCTION("""COMPUTED_VALUE"""),"N")</f>
        <v/>
      </c>
      <c r="AF54" s="45" t="n"/>
      <c r="AG54" s="49">
        <f>IFERROR(__xludf.DUMMYFUNCTION("IFNA(vlookup(H54,IMPORTRANGE(""1vUGwO1n0QQGx9kKbO0_M5gmuhXZ6-LaxQxgrmJnzgP0"",""'TP# look up'!A:C""),3,0),"""")"),"")</f>
        <v/>
      </c>
      <c r="AH54" s="49">
        <f>LEFT(J54,2)</f>
        <v/>
      </c>
    </row>
    <row r="55" hidden="1" ht="12.75" customHeight="1">
      <c r="A55" s="45">
        <f>IFERROR(__xludf.DUMMYFUNCTION("""COMPUTED_VALUE"""),"Colombo")</f>
        <v/>
      </c>
      <c r="B55" s="45" t="n"/>
      <c r="C55" s="45">
        <f>IFERROR(__xludf.DUMMYFUNCTION("""COMPUTED_VALUE"""),3231352)</f>
        <v/>
      </c>
      <c r="D55" s="45" t="n"/>
      <c r="E55" s="45">
        <f>IFERROR(__xludf.DUMMYFUNCTION("""COMPUTED_VALUE"""),"CFS")</f>
        <v/>
      </c>
      <c r="F55" s="45">
        <f>IFERROR(__xludf.DUMMYFUNCTION("""COMPUTED_VALUE"""),"MAS AMITY PTE LTD")</f>
        <v/>
      </c>
      <c r="G55" s="45">
        <f>IFERROR(__xludf.DUMMYFUNCTION("""COMPUTED_VALUE"""),"MAS Active(Pvt) Ltd – CONTOURLINE")</f>
        <v/>
      </c>
      <c r="H55" s="43">
        <f>IFERROR(__xludf.DUMMYFUNCTION("""COMPUTED_VALUE"""),450954951469)</f>
        <v/>
      </c>
      <c r="I55" s="45">
        <f>IFERROR(__xludf.DUMMYFUNCTION("""COMPUTED_VALUE"""),19920801)</f>
        <v/>
      </c>
      <c r="J55" s="45">
        <f>IFERROR(__xludf.DUMMYFUNCTION("""COMPUTED_VALUE"""),"LM7BI2S")</f>
        <v/>
      </c>
      <c r="K55" s="45">
        <f>IFERROR(__xludf.DUMMYFUNCTION("""COMPUTED_VALUE"""),"LM7BI2S-068578")</f>
        <v/>
      </c>
      <c r="L55" s="45">
        <f>IFERROR(__xludf.DUMMYFUNCTION("""COMPUTED_VALUE"""),1)</f>
        <v/>
      </c>
      <c r="M55" s="45">
        <f>IFERROR(__xludf.DUMMYFUNCTION("""COMPUTED_VALUE"""),42)</f>
        <v/>
      </c>
      <c r="N55" s="45">
        <f>IFERROR(__xludf.DUMMYFUNCTION("""COMPUTED_VALUE"""),10.059)</f>
        <v/>
      </c>
      <c r="O55" s="45">
        <f>IFERROR(__xludf.DUMMYFUNCTION("""COMPUTED_VALUE"""),0.079)</f>
        <v/>
      </c>
      <c r="P55" s="45">
        <f>IFERROR(__xludf.DUMMYFUNCTION("""COMPUTED_VALUE"""),"Colombo, LK")</f>
        <v/>
      </c>
      <c r="Q55" s="45">
        <f>IFERROR(__xludf.DUMMYFUNCTION("""COMPUTED_VALUE"""),"New York, NY, US")</f>
        <v/>
      </c>
      <c r="R55" s="44">
        <f>IFERROR(__xludf.DUMMYFUNCTION("""COMPUTED_VALUE"""),45817)</f>
        <v/>
      </c>
      <c r="S55" s="44">
        <f>IFERROR(__xludf.DUMMYFUNCTION("""COMPUTED_VALUE"""),45876)</f>
        <v/>
      </c>
      <c r="T55" s="45">
        <f>IFERROR(__xludf.DUMMYFUNCTION("""COMPUTED_VALUE"""),"Mississauga, ON, CA")</f>
        <v/>
      </c>
      <c r="U55" s="45" t="n"/>
      <c r="V55" s="45" t="n"/>
      <c r="W55" s="45" t="n"/>
      <c r="X55" s="45" t="n"/>
      <c r="Y55" s="46">
        <f>IFERROR(__xludf.DUMMYFUNCTION("""COMPUTED_VALUE"""),45825)</f>
        <v/>
      </c>
      <c r="Z55" s="46">
        <f>IFERROR(__xludf.DUMMYFUNCTION("""COMPUTED_VALUE"""),45854)</f>
        <v/>
      </c>
      <c r="AA55" s="46">
        <f>IFERROR(__xludf.DUMMYFUNCTION("""COMPUTED_VALUE"""),45867)</f>
        <v/>
      </c>
      <c r="AB55" s="45">
        <f>IFERROR(__xludf.DUMMYFUNCTION("""COMPUTED_VALUE"""),"3500 Argentia Road")</f>
        <v/>
      </c>
      <c r="AC55" s="45" t="n"/>
      <c r="AD55" s="45">
        <f>IFERROR(__xludf.DUMMYFUNCTION("""COMPUTED_VALUE"""),"OCEAN")</f>
        <v/>
      </c>
      <c r="AE55" s="45">
        <f>IFERROR(__xludf.DUMMYFUNCTION("""COMPUTED_VALUE"""),"N")</f>
        <v/>
      </c>
      <c r="AF55" s="45" t="n"/>
      <c r="AG55" s="49">
        <f>IFERROR(__xludf.DUMMYFUNCTION("IFNA(vlookup(H55,IMPORTRANGE(""1vUGwO1n0QQGx9kKbO0_M5gmuhXZ6-LaxQxgrmJnzgP0"",""'TP# look up'!A:C""),3,0),"""")"),"")</f>
        <v/>
      </c>
      <c r="AH55" s="49">
        <f>LEFT(J55,2)</f>
        <v/>
      </c>
    </row>
    <row r="56" hidden="1" ht="12.75" customHeight="1">
      <c r="A56" s="45">
        <f>IFERROR(__xludf.DUMMYFUNCTION("""COMPUTED_VALUE"""),"Colombo")</f>
        <v/>
      </c>
      <c r="B56" s="45" t="n"/>
      <c r="C56" s="45">
        <f>IFERROR(__xludf.DUMMYFUNCTION("""COMPUTED_VALUE"""),3231352)</f>
        <v/>
      </c>
      <c r="D56" s="45" t="n"/>
      <c r="E56" s="45">
        <f>IFERROR(__xludf.DUMMYFUNCTION("""COMPUTED_VALUE"""),"CFS")</f>
        <v/>
      </c>
      <c r="F56" s="45">
        <f>IFERROR(__xludf.DUMMYFUNCTION("""COMPUTED_VALUE"""),"MAS AMITY PTE LTD")</f>
        <v/>
      </c>
      <c r="G56" s="45">
        <f>IFERROR(__xludf.DUMMYFUNCTION("""COMPUTED_VALUE"""),"MAS Active(Pvt) Ltd – CONTOURLINE")</f>
        <v/>
      </c>
      <c r="H56" s="43">
        <f>IFERROR(__xludf.DUMMYFUNCTION("""COMPUTED_VALUE"""),450954995172)</f>
        <v/>
      </c>
      <c r="I56" s="45">
        <f>IFERROR(__xludf.DUMMYFUNCTION("""COMPUTED_VALUE"""),19920802)</f>
        <v/>
      </c>
      <c r="J56" s="45">
        <f>IFERROR(__xludf.DUMMYFUNCTION("""COMPUTED_VALUE"""),"LM7BI2S")</f>
        <v/>
      </c>
      <c r="K56" s="45">
        <f>IFERROR(__xludf.DUMMYFUNCTION("""COMPUTED_VALUE"""),"LM7BI2S-068578")</f>
        <v/>
      </c>
      <c r="L56" s="45">
        <f>IFERROR(__xludf.DUMMYFUNCTION("""COMPUTED_VALUE"""),2)</f>
        <v/>
      </c>
      <c r="M56" s="45">
        <f>IFERROR(__xludf.DUMMYFUNCTION("""COMPUTED_VALUE"""),70)</f>
        <v/>
      </c>
      <c r="N56" s="45">
        <f>IFERROR(__xludf.DUMMYFUNCTION("""COMPUTED_VALUE"""),16.822)</f>
        <v/>
      </c>
      <c r="O56" s="45">
        <f>IFERROR(__xludf.DUMMYFUNCTION("""COMPUTED_VALUE"""),0.118)</f>
        <v/>
      </c>
      <c r="P56" s="45">
        <f>IFERROR(__xludf.DUMMYFUNCTION("""COMPUTED_VALUE"""),"Colombo, LK")</f>
        <v/>
      </c>
      <c r="Q56" s="45">
        <f>IFERROR(__xludf.DUMMYFUNCTION("""COMPUTED_VALUE"""),"New York, NY, US")</f>
        <v/>
      </c>
      <c r="R56" s="44">
        <f>IFERROR(__xludf.DUMMYFUNCTION("""COMPUTED_VALUE"""),45817)</f>
        <v/>
      </c>
      <c r="S56" s="44">
        <f>IFERROR(__xludf.DUMMYFUNCTION("""COMPUTED_VALUE"""),45876)</f>
        <v/>
      </c>
      <c r="T56" s="45">
        <f>IFERROR(__xludf.DUMMYFUNCTION("""COMPUTED_VALUE"""),"Mississauga, ON, CA")</f>
        <v/>
      </c>
      <c r="U56" s="45" t="n"/>
      <c r="V56" s="45" t="n"/>
      <c r="W56" s="45" t="n"/>
      <c r="X56" s="45" t="n"/>
      <c r="Y56" s="46">
        <f>IFERROR(__xludf.DUMMYFUNCTION("""COMPUTED_VALUE"""),45825)</f>
        <v/>
      </c>
      <c r="Z56" s="46">
        <f>IFERROR(__xludf.DUMMYFUNCTION("""COMPUTED_VALUE"""),45854)</f>
        <v/>
      </c>
      <c r="AA56" s="46">
        <f>IFERROR(__xludf.DUMMYFUNCTION("""COMPUTED_VALUE"""),45867)</f>
        <v/>
      </c>
      <c r="AB56" s="45">
        <f>IFERROR(__xludf.DUMMYFUNCTION("""COMPUTED_VALUE"""),"3500 Argentia Road")</f>
        <v/>
      </c>
      <c r="AC56" s="45" t="n"/>
      <c r="AD56" s="45">
        <f>IFERROR(__xludf.DUMMYFUNCTION("""COMPUTED_VALUE"""),"OCEAN")</f>
        <v/>
      </c>
      <c r="AE56" s="45">
        <f>IFERROR(__xludf.DUMMYFUNCTION("""COMPUTED_VALUE"""),"N")</f>
        <v/>
      </c>
      <c r="AF56" s="45" t="n"/>
      <c r="AG56" s="49">
        <f>IFERROR(__xludf.DUMMYFUNCTION("IFNA(vlookup(H56,IMPORTRANGE(""1vUGwO1n0QQGx9kKbO0_M5gmuhXZ6-LaxQxgrmJnzgP0"",""'TP# look up'!A:C""),3,0),"""")"),"")</f>
        <v/>
      </c>
      <c r="AH56" s="49">
        <f>LEFT(J56,2)</f>
        <v/>
      </c>
    </row>
    <row r="57" hidden="1" ht="12.75" customHeight="1">
      <c r="A57" s="45">
        <f>IFERROR(__xludf.DUMMYFUNCTION("""COMPUTED_VALUE"""),"Colombo")</f>
        <v/>
      </c>
      <c r="B57" s="45" t="n"/>
      <c r="C57" s="45">
        <f>IFERROR(__xludf.DUMMYFUNCTION("""COMPUTED_VALUE"""),3231352)</f>
        <v/>
      </c>
      <c r="D57" s="45" t="n"/>
      <c r="E57" s="45">
        <f>IFERROR(__xludf.DUMMYFUNCTION("""COMPUTED_VALUE"""),"CFS")</f>
        <v/>
      </c>
      <c r="F57" s="45">
        <f>IFERROR(__xludf.DUMMYFUNCTION("""COMPUTED_VALUE"""),"MAS AMITY PTE LTD")</f>
        <v/>
      </c>
      <c r="G57" s="45">
        <f>IFERROR(__xludf.DUMMYFUNCTION("""COMPUTED_VALUE"""),"MAS Active(Pvt) Ltd – CONTOURLINE")</f>
        <v/>
      </c>
      <c r="H57" s="43">
        <f>IFERROR(__xludf.DUMMYFUNCTION("""COMPUTED_VALUE"""),450955084822)</f>
        <v/>
      </c>
      <c r="I57" s="45">
        <f>IFERROR(__xludf.DUMMYFUNCTION("""COMPUTED_VALUE"""),19920800)</f>
        <v/>
      </c>
      <c r="J57" s="45">
        <f>IFERROR(__xludf.DUMMYFUNCTION("""COMPUTED_VALUE"""),"LM7BI2S")</f>
        <v/>
      </c>
      <c r="K57" s="45">
        <f>IFERROR(__xludf.DUMMYFUNCTION("""COMPUTED_VALUE"""),"LM7BI2S-068578")</f>
        <v/>
      </c>
      <c r="L57" s="45">
        <f>IFERROR(__xludf.DUMMYFUNCTION("""COMPUTED_VALUE"""),2)</f>
        <v/>
      </c>
      <c r="M57" s="45">
        <f>IFERROR(__xludf.DUMMYFUNCTION("""COMPUTED_VALUE"""),59)</f>
        <v/>
      </c>
      <c r="N57" s="45">
        <f>IFERROR(__xludf.DUMMYFUNCTION("""COMPUTED_VALUE"""),14.471)</f>
        <v/>
      </c>
      <c r="O57" s="45">
        <f>IFERROR(__xludf.DUMMYFUNCTION("""COMPUTED_VALUE"""),0.118)</f>
        <v/>
      </c>
      <c r="P57" s="45">
        <f>IFERROR(__xludf.DUMMYFUNCTION("""COMPUTED_VALUE"""),"Colombo, LK")</f>
        <v/>
      </c>
      <c r="Q57" s="45">
        <f>IFERROR(__xludf.DUMMYFUNCTION("""COMPUTED_VALUE"""),"New York, NY, US")</f>
        <v/>
      </c>
      <c r="R57" s="44">
        <f>IFERROR(__xludf.DUMMYFUNCTION("""COMPUTED_VALUE"""),45817)</f>
        <v/>
      </c>
      <c r="S57" s="44">
        <f>IFERROR(__xludf.DUMMYFUNCTION("""COMPUTED_VALUE"""),45876)</f>
        <v/>
      </c>
      <c r="T57" s="45">
        <f>IFERROR(__xludf.DUMMYFUNCTION("""COMPUTED_VALUE"""),"Mississauga, ON, CA")</f>
        <v/>
      </c>
      <c r="U57" s="45" t="n"/>
      <c r="V57" s="45" t="n"/>
      <c r="W57" s="45" t="n"/>
      <c r="X57" s="45" t="n"/>
      <c r="Y57" s="46">
        <f>IFERROR(__xludf.DUMMYFUNCTION("""COMPUTED_VALUE"""),45825)</f>
        <v/>
      </c>
      <c r="Z57" s="46">
        <f>IFERROR(__xludf.DUMMYFUNCTION("""COMPUTED_VALUE"""),45854)</f>
        <v/>
      </c>
      <c r="AA57" s="46">
        <f>IFERROR(__xludf.DUMMYFUNCTION("""COMPUTED_VALUE"""),45867)</f>
        <v/>
      </c>
      <c r="AB57" s="45">
        <f>IFERROR(__xludf.DUMMYFUNCTION("""COMPUTED_VALUE"""),"3500 Argentia Road")</f>
        <v/>
      </c>
      <c r="AC57" s="45" t="n"/>
      <c r="AD57" s="45">
        <f>IFERROR(__xludf.DUMMYFUNCTION("""COMPUTED_VALUE"""),"OCEAN")</f>
        <v/>
      </c>
      <c r="AE57" s="45">
        <f>IFERROR(__xludf.DUMMYFUNCTION("""COMPUTED_VALUE"""),"N")</f>
        <v/>
      </c>
      <c r="AF57" s="45" t="n"/>
      <c r="AG57" s="49">
        <f>IFERROR(__xludf.DUMMYFUNCTION("IFNA(vlookup(H57,IMPORTRANGE(""1vUGwO1n0QQGx9kKbO0_M5gmuhXZ6-LaxQxgrmJnzgP0"",""'TP# look up'!A:C""),3,0),"""")"),"")</f>
        <v/>
      </c>
      <c r="AH57" s="49">
        <f>LEFT(J57,2)</f>
        <v/>
      </c>
    </row>
    <row r="58" hidden="1" ht="12.75" customHeight="1">
      <c r="A58" s="45">
        <f>IFERROR(__xludf.DUMMYFUNCTION("""COMPUTED_VALUE"""),"Colombo")</f>
        <v/>
      </c>
      <c r="B58" s="45" t="n"/>
      <c r="C58" s="45">
        <f>IFERROR(__xludf.DUMMYFUNCTION("""COMPUTED_VALUE"""),3231352)</f>
        <v/>
      </c>
      <c r="D58" s="45" t="n"/>
      <c r="E58" s="45">
        <f>IFERROR(__xludf.DUMMYFUNCTION("""COMPUTED_VALUE"""),"CFS")</f>
        <v/>
      </c>
      <c r="F58" s="45">
        <f>IFERROR(__xludf.DUMMYFUNCTION("""COMPUTED_VALUE"""),"MAS AMITY PTE LTD")</f>
        <v/>
      </c>
      <c r="G58" s="45">
        <f>IFERROR(__xludf.DUMMYFUNCTION("""COMPUTED_VALUE"""),"MAS Active(Pvt) Ltd – CONTOURLINE")</f>
        <v/>
      </c>
      <c r="H58" s="43">
        <f>IFERROR(__xludf.DUMMYFUNCTION("""COMPUTED_VALUE"""),450955905214)</f>
        <v/>
      </c>
      <c r="I58" s="45">
        <f>IFERROR(__xludf.DUMMYFUNCTION("""COMPUTED_VALUE"""),19939842)</f>
        <v/>
      </c>
      <c r="J58" s="45">
        <f>IFERROR(__xludf.DUMMYFUNCTION("""COMPUTED_VALUE"""),"LM7BI2S")</f>
        <v/>
      </c>
      <c r="K58" s="45">
        <f>IFERROR(__xludf.DUMMYFUNCTION("""COMPUTED_VALUE"""),"LM7BI2S-068578")</f>
        <v/>
      </c>
      <c r="L58" s="45">
        <f>IFERROR(__xludf.DUMMYFUNCTION("""COMPUTED_VALUE"""),6)</f>
        <v/>
      </c>
      <c r="M58" s="45">
        <f>IFERROR(__xludf.DUMMYFUNCTION("""COMPUTED_VALUE"""),244)</f>
        <v/>
      </c>
      <c r="N58" s="45">
        <f>IFERROR(__xludf.DUMMYFUNCTION("""COMPUTED_VALUE"""),58.608)</f>
        <v/>
      </c>
      <c r="O58" s="45">
        <f>IFERROR(__xludf.DUMMYFUNCTION("""COMPUTED_VALUE"""),0.474)</f>
        <v/>
      </c>
      <c r="P58" s="45">
        <f>IFERROR(__xludf.DUMMYFUNCTION("""COMPUTED_VALUE"""),"Colombo, LK")</f>
        <v/>
      </c>
      <c r="Q58" s="45">
        <f>IFERROR(__xludf.DUMMYFUNCTION("""COMPUTED_VALUE"""),"New York, NY, US")</f>
        <v/>
      </c>
      <c r="R58" s="44">
        <f>IFERROR(__xludf.DUMMYFUNCTION("""COMPUTED_VALUE"""),45817)</f>
        <v/>
      </c>
      <c r="S58" s="44">
        <f>IFERROR(__xludf.DUMMYFUNCTION("""COMPUTED_VALUE"""),45876)</f>
        <v/>
      </c>
      <c r="T58" s="45">
        <f>IFERROR(__xludf.DUMMYFUNCTION("""COMPUTED_VALUE"""),"Mississauga, ON, CA")</f>
        <v/>
      </c>
      <c r="U58" s="45" t="n"/>
      <c r="V58" s="45" t="n"/>
      <c r="W58" s="45" t="n"/>
      <c r="X58" s="45" t="n"/>
      <c r="Y58" s="46">
        <f>IFERROR(__xludf.DUMMYFUNCTION("""COMPUTED_VALUE"""),45825)</f>
        <v/>
      </c>
      <c r="Z58" s="46">
        <f>IFERROR(__xludf.DUMMYFUNCTION("""COMPUTED_VALUE"""),45854)</f>
        <v/>
      </c>
      <c r="AA58" s="46">
        <f>IFERROR(__xludf.DUMMYFUNCTION("""COMPUTED_VALUE"""),45867)</f>
        <v/>
      </c>
      <c r="AB58" s="45">
        <f>IFERROR(__xludf.DUMMYFUNCTION("""COMPUTED_VALUE"""),"3500 Argentia Road")</f>
        <v/>
      </c>
      <c r="AC58" s="45" t="n"/>
      <c r="AD58" s="45">
        <f>IFERROR(__xludf.DUMMYFUNCTION("""COMPUTED_VALUE"""),"OCEAN")</f>
        <v/>
      </c>
      <c r="AE58" s="45">
        <f>IFERROR(__xludf.DUMMYFUNCTION("""COMPUTED_VALUE"""),"N")</f>
        <v/>
      </c>
      <c r="AF58" s="45" t="n"/>
      <c r="AG58" s="49">
        <f>IFERROR(__xludf.DUMMYFUNCTION("IFNA(vlookup(H58,IMPORTRANGE(""1vUGwO1n0QQGx9kKbO0_M5gmuhXZ6-LaxQxgrmJnzgP0"",""'TP# look up'!A:C""),3,0),"""")"),"")</f>
        <v/>
      </c>
      <c r="AH58" s="49">
        <f>LEFT(J58,2)</f>
        <v/>
      </c>
    </row>
    <row r="59" hidden="1" ht="12.75" customHeight="1">
      <c r="A59" s="45">
        <f>IFERROR(__xludf.DUMMYFUNCTION("""COMPUTED_VALUE"""),"Colombo")</f>
        <v/>
      </c>
      <c r="B59" s="45" t="n"/>
      <c r="C59" s="45">
        <f>IFERROR(__xludf.DUMMYFUNCTION("""COMPUTED_VALUE"""),3231352)</f>
        <v/>
      </c>
      <c r="D59" s="45" t="n"/>
      <c r="E59" s="45">
        <f>IFERROR(__xludf.DUMMYFUNCTION("""COMPUTED_VALUE"""),"CFS")</f>
        <v/>
      </c>
      <c r="F59" s="45">
        <f>IFERROR(__xludf.DUMMYFUNCTION("""COMPUTED_VALUE"""),"MAS AMITY PTE LTD")</f>
        <v/>
      </c>
      <c r="G59" s="45">
        <f>IFERROR(__xludf.DUMMYFUNCTION("""COMPUTED_VALUE"""),"MAS Active(Pvt) Ltd – CONTOURLINE")</f>
        <v/>
      </c>
      <c r="H59" s="43">
        <f>IFERROR(__xludf.DUMMYFUNCTION("""COMPUTED_VALUE"""),450956056776)</f>
        <v/>
      </c>
      <c r="I59" s="45">
        <f>IFERROR(__xludf.DUMMYFUNCTION("""COMPUTED_VALUE"""),19939838)</f>
        <v/>
      </c>
      <c r="J59" s="45">
        <f>IFERROR(__xludf.DUMMYFUNCTION("""COMPUTED_VALUE"""),"LM7BI2S")</f>
        <v/>
      </c>
      <c r="K59" s="45">
        <f>IFERROR(__xludf.DUMMYFUNCTION("""COMPUTED_VALUE"""),"LM7BI2S-068578")</f>
        <v/>
      </c>
      <c r="L59" s="45">
        <f>IFERROR(__xludf.DUMMYFUNCTION("""COMPUTED_VALUE"""),8)</f>
        <v/>
      </c>
      <c r="M59" s="45">
        <f>IFERROR(__xludf.DUMMYFUNCTION("""COMPUTED_VALUE"""),355)</f>
        <v/>
      </c>
      <c r="N59" s="45">
        <f>IFERROR(__xludf.DUMMYFUNCTION("""COMPUTED_VALUE"""),84.247)</f>
        <v/>
      </c>
      <c r="O59" s="45">
        <f>IFERROR(__xludf.DUMMYFUNCTION("""COMPUTED_VALUE"""),0.592)</f>
        <v/>
      </c>
      <c r="P59" s="45">
        <f>IFERROR(__xludf.DUMMYFUNCTION("""COMPUTED_VALUE"""),"Colombo, LK")</f>
        <v/>
      </c>
      <c r="Q59" s="45">
        <f>IFERROR(__xludf.DUMMYFUNCTION("""COMPUTED_VALUE"""),"New York, NY, US")</f>
        <v/>
      </c>
      <c r="R59" s="44">
        <f>IFERROR(__xludf.DUMMYFUNCTION("""COMPUTED_VALUE"""),45817)</f>
        <v/>
      </c>
      <c r="S59" s="44">
        <f>IFERROR(__xludf.DUMMYFUNCTION("""COMPUTED_VALUE"""),45876)</f>
        <v/>
      </c>
      <c r="T59" s="45">
        <f>IFERROR(__xludf.DUMMYFUNCTION("""COMPUTED_VALUE"""),"Mississauga, ON, CA")</f>
        <v/>
      </c>
      <c r="U59" s="45" t="n"/>
      <c r="V59" s="45" t="n"/>
      <c r="W59" s="45" t="n"/>
      <c r="X59" s="45" t="n"/>
      <c r="Y59" s="46">
        <f>IFERROR(__xludf.DUMMYFUNCTION("""COMPUTED_VALUE"""),45825)</f>
        <v/>
      </c>
      <c r="Z59" s="46">
        <f>IFERROR(__xludf.DUMMYFUNCTION("""COMPUTED_VALUE"""),45854)</f>
        <v/>
      </c>
      <c r="AA59" s="46">
        <f>IFERROR(__xludf.DUMMYFUNCTION("""COMPUTED_VALUE"""),45867)</f>
        <v/>
      </c>
      <c r="AB59" s="45">
        <f>IFERROR(__xludf.DUMMYFUNCTION("""COMPUTED_VALUE"""),"3500 Argentia Road")</f>
        <v/>
      </c>
      <c r="AC59" s="45" t="n"/>
      <c r="AD59" s="45">
        <f>IFERROR(__xludf.DUMMYFUNCTION("""COMPUTED_VALUE"""),"OCEAN")</f>
        <v/>
      </c>
      <c r="AE59" s="45">
        <f>IFERROR(__xludf.DUMMYFUNCTION("""COMPUTED_VALUE"""),"N")</f>
        <v/>
      </c>
      <c r="AF59" s="45" t="n"/>
      <c r="AG59" s="49">
        <f>IFERROR(__xludf.DUMMYFUNCTION("IFNA(vlookup(H59,IMPORTRANGE(""1vUGwO1n0QQGx9kKbO0_M5gmuhXZ6-LaxQxgrmJnzgP0"",""'TP# look up'!A:C""),3,0),"""")"),"")</f>
        <v/>
      </c>
      <c r="AH59" s="49">
        <f>LEFT(J59,2)</f>
        <v/>
      </c>
    </row>
    <row r="60" hidden="1" ht="12.75" customHeight="1">
      <c r="A60" s="45">
        <f>IFERROR(__xludf.DUMMYFUNCTION("""COMPUTED_VALUE"""),"Colombo")</f>
        <v/>
      </c>
      <c r="B60" s="45" t="n"/>
      <c r="C60" s="45">
        <f>IFERROR(__xludf.DUMMYFUNCTION("""COMPUTED_VALUE"""),3231352)</f>
        <v/>
      </c>
      <c r="D60" s="45" t="n"/>
      <c r="E60" s="45">
        <f>IFERROR(__xludf.DUMMYFUNCTION("""COMPUTED_VALUE"""),"CFS")</f>
        <v/>
      </c>
      <c r="F60" s="45">
        <f>IFERROR(__xludf.DUMMYFUNCTION("""COMPUTED_VALUE"""),"MAS AMITY PTE LTD")</f>
        <v/>
      </c>
      <c r="G60" s="45">
        <f>IFERROR(__xludf.DUMMYFUNCTION("""COMPUTED_VALUE"""),"MAS Active(Pvt) Ltd – CONTOURLINE")</f>
        <v/>
      </c>
      <c r="H60" s="43">
        <f>IFERROR(__xludf.DUMMYFUNCTION("""COMPUTED_VALUE"""),450958349540)</f>
        <v/>
      </c>
      <c r="I60" s="45">
        <f>IFERROR(__xludf.DUMMYFUNCTION("""COMPUTED_VALUE"""),19925512)</f>
        <v/>
      </c>
      <c r="J60" s="45">
        <f>IFERROR(__xludf.DUMMYFUNCTION("""COMPUTED_VALUE"""),"LW5FARS")</f>
        <v/>
      </c>
      <c r="K60" s="45">
        <f>IFERROR(__xludf.DUMMYFUNCTION("""COMPUTED_VALUE"""),"LW5FARS-035487")</f>
        <v/>
      </c>
      <c r="L60" s="45">
        <f>IFERROR(__xludf.DUMMYFUNCTION("""COMPUTED_VALUE"""),12)</f>
        <v/>
      </c>
      <c r="M60" s="45">
        <f>IFERROR(__xludf.DUMMYFUNCTION("""COMPUTED_VALUE"""),734)</f>
        <v/>
      </c>
      <c r="N60" s="45">
        <f>IFERROR(__xludf.DUMMYFUNCTION("""COMPUTED_VALUE"""),156.812)</f>
        <v/>
      </c>
      <c r="O60" s="45">
        <f>IFERROR(__xludf.DUMMYFUNCTION("""COMPUTED_VALUE"""),0.908)</f>
        <v/>
      </c>
      <c r="P60" s="45">
        <f>IFERROR(__xludf.DUMMYFUNCTION("""COMPUTED_VALUE"""),"Colombo, LK")</f>
        <v/>
      </c>
      <c r="Q60" s="45">
        <f>IFERROR(__xludf.DUMMYFUNCTION("""COMPUTED_VALUE"""),"New York, NY, US")</f>
        <v/>
      </c>
      <c r="R60" s="44">
        <f>IFERROR(__xludf.DUMMYFUNCTION("""COMPUTED_VALUE"""),45817)</f>
        <v/>
      </c>
      <c r="S60" s="44">
        <f>IFERROR(__xludf.DUMMYFUNCTION("""COMPUTED_VALUE"""),45876)</f>
        <v/>
      </c>
      <c r="T60" s="45">
        <f>IFERROR(__xludf.DUMMYFUNCTION("""COMPUTED_VALUE"""),"Mississauga, ON, CA")</f>
        <v/>
      </c>
      <c r="U60" s="45" t="n"/>
      <c r="V60" s="45" t="n"/>
      <c r="W60" s="45" t="n"/>
      <c r="X60" s="45" t="n"/>
      <c r="Y60" s="46">
        <f>IFERROR(__xludf.DUMMYFUNCTION("""COMPUTED_VALUE"""),45825)</f>
        <v/>
      </c>
      <c r="Z60" s="46">
        <f>IFERROR(__xludf.DUMMYFUNCTION("""COMPUTED_VALUE"""),45854)</f>
        <v/>
      </c>
      <c r="AA60" s="46">
        <f>IFERROR(__xludf.DUMMYFUNCTION("""COMPUTED_VALUE"""),45867)</f>
        <v/>
      </c>
      <c r="AB60" s="45">
        <f>IFERROR(__xludf.DUMMYFUNCTION("""COMPUTED_VALUE"""),"3500 Argentia Road")</f>
        <v/>
      </c>
      <c r="AC60" s="45" t="n"/>
      <c r="AD60" s="45">
        <f>IFERROR(__xludf.DUMMYFUNCTION("""COMPUTED_VALUE"""),"OCEAN")</f>
        <v/>
      </c>
      <c r="AE60" s="45">
        <f>IFERROR(__xludf.DUMMYFUNCTION("""COMPUTED_VALUE"""),"N")</f>
        <v/>
      </c>
      <c r="AF60" s="45" t="n"/>
      <c r="AG60" s="49">
        <f>IFERROR(__xludf.DUMMYFUNCTION("IFNA(vlookup(H60,IMPORTRANGE(""1vUGwO1n0QQGx9kKbO0_M5gmuhXZ6-LaxQxgrmJnzgP0"",""'TP# look up'!A:C""),3,0),"""")"),"")</f>
        <v/>
      </c>
      <c r="AH60" s="49">
        <f>LEFT(J60,2)</f>
        <v/>
      </c>
    </row>
    <row r="61" hidden="1" ht="12.75" customHeight="1">
      <c r="A61" s="45">
        <f>IFERROR(__xludf.DUMMYFUNCTION("""COMPUTED_VALUE"""),"Colombo")</f>
        <v/>
      </c>
      <c r="B61" s="45" t="n"/>
      <c r="C61" s="45">
        <f>IFERROR(__xludf.DUMMYFUNCTION("""COMPUTED_VALUE"""),3231352)</f>
        <v/>
      </c>
      <c r="D61" s="45" t="n"/>
      <c r="E61" s="45">
        <f>IFERROR(__xludf.DUMMYFUNCTION("""COMPUTED_VALUE"""),"CFS")</f>
        <v/>
      </c>
      <c r="F61" s="45">
        <f>IFERROR(__xludf.DUMMYFUNCTION("""COMPUTED_VALUE"""),"MAS AMITY PTE LTD")</f>
        <v/>
      </c>
      <c r="G61" s="45">
        <f>IFERROR(__xludf.DUMMYFUNCTION("""COMPUTED_VALUE"""),"MAS Active(Pvt) Ltd – CONTOURLINE")</f>
        <v/>
      </c>
      <c r="H61" s="43">
        <f>IFERROR(__xludf.DUMMYFUNCTION("""COMPUTED_VALUE"""),450958615115)</f>
        <v/>
      </c>
      <c r="I61" s="45">
        <f>IFERROR(__xludf.DUMMYFUNCTION("""COMPUTED_VALUE"""),19939771)</f>
        <v/>
      </c>
      <c r="J61" s="45">
        <f>IFERROR(__xludf.DUMMYFUNCTION("""COMPUTED_VALUE"""),"LM3FGKS")</f>
        <v/>
      </c>
      <c r="K61" s="45">
        <f>IFERROR(__xludf.DUMMYFUNCTION("""COMPUTED_VALUE"""),"LM3FGKS-033454")</f>
        <v/>
      </c>
      <c r="L61" s="45">
        <f>IFERROR(__xludf.DUMMYFUNCTION("""COMPUTED_VALUE"""),7)</f>
        <v/>
      </c>
      <c r="M61" s="45">
        <f>IFERROR(__xludf.DUMMYFUNCTION("""COMPUTED_VALUE"""),318)</f>
        <v/>
      </c>
      <c r="N61" s="45">
        <f>IFERROR(__xludf.DUMMYFUNCTION("""COMPUTED_VALUE"""),76.121)</f>
        <v/>
      </c>
      <c r="O61" s="45">
        <f>IFERROR(__xludf.DUMMYFUNCTION("""COMPUTED_VALUE"""),0.474)</f>
        <v/>
      </c>
      <c r="P61" s="45">
        <f>IFERROR(__xludf.DUMMYFUNCTION("""COMPUTED_VALUE"""),"Colombo, LK")</f>
        <v/>
      </c>
      <c r="Q61" s="45">
        <f>IFERROR(__xludf.DUMMYFUNCTION("""COMPUTED_VALUE"""),"New York, NY, US")</f>
        <v/>
      </c>
      <c r="R61" s="44">
        <f>IFERROR(__xludf.DUMMYFUNCTION("""COMPUTED_VALUE"""),45817)</f>
        <v/>
      </c>
      <c r="S61" s="44">
        <f>IFERROR(__xludf.DUMMYFUNCTION("""COMPUTED_VALUE"""),45876)</f>
        <v/>
      </c>
      <c r="T61" s="45">
        <f>IFERROR(__xludf.DUMMYFUNCTION("""COMPUTED_VALUE"""),"Mississauga, ON, CA")</f>
        <v/>
      </c>
      <c r="U61" s="45" t="n"/>
      <c r="V61" s="45" t="n"/>
      <c r="W61" s="45" t="n"/>
      <c r="X61" s="45" t="n"/>
      <c r="Y61" s="46">
        <f>IFERROR(__xludf.DUMMYFUNCTION("""COMPUTED_VALUE"""),45825)</f>
        <v/>
      </c>
      <c r="Z61" s="46">
        <f>IFERROR(__xludf.DUMMYFUNCTION("""COMPUTED_VALUE"""),45854)</f>
        <v/>
      </c>
      <c r="AA61" s="46">
        <f>IFERROR(__xludf.DUMMYFUNCTION("""COMPUTED_VALUE"""),45867)</f>
        <v/>
      </c>
      <c r="AB61" s="45">
        <f>IFERROR(__xludf.DUMMYFUNCTION("""COMPUTED_VALUE"""),"3500 Argentia Road")</f>
        <v/>
      </c>
      <c r="AC61" s="45" t="n"/>
      <c r="AD61" s="45">
        <f>IFERROR(__xludf.DUMMYFUNCTION("""COMPUTED_VALUE"""),"OCEAN")</f>
        <v/>
      </c>
      <c r="AE61" s="45">
        <f>IFERROR(__xludf.DUMMYFUNCTION("""COMPUTED_VALUE"""),"N")</f>
        <v/>
      </c>
      <c r="AF61" s="45" t="n"/>
      <c r="AG61" s="49">
        <f>IFERROR(__xludf.DUMMYFUNCTION("IFNA(vlookup(H61,IMPORTRANGE(""1vUGwO1n0QQGx9kKbO0_M5gmuhXZ6-LaxQxgrmJnzgP0"",""'TP# look up'!A:C""),3,0),"""")"),"")</f>
        <v/>
      </c>
      <c r="AH61" s="49">
        <f>LEFT(J61,2)</f>
        <v/>
      </c>
    </row>
    <row r="62" hidden="1" ht="12.75" customHeight="1">
      <c r="A62" s="45">
        <f>IFERROR(__xludf.DUMMYFUNCTION("""COMPUTED_VALUE"""),"Colombo")</f>
        <v/>
      </c>
      <c r="B62" s="45" t="n"/>
      <c r="C62" s="45">
        <f>IFERROR(__xludf.DUMMYFUNCTION("""COMPUTED_VALUE"""),3231352)</f>
        <v/>
      </c>
      <c r="D62" s="45" t="n"/>
      <c r="E62" s="45">
        <f>IFERROR(__xludf.DUMMYFUNCTION("""COMPUTED_VALUE"""),"CFS")</f>
        <v/>
      </c>
      <c r="F62" s="45">
        <f>IFERROR(__xludf.DUMMYFUNCTION("""COMPUTED_VALUE"""),"Bodyline Trading (Private) Limited")</f>
        <v/>
      </c>
      <c r="G62" s="45">
        <f>IFERROR(__xludf.DUMMYFUNCTION("""COMPUTED_VALUE"""),"Bodyline (Private) Limited")</f>
        <v/>
      </c>
      <c r="H62" s="43">
        <f>IFERROR(__xludf.DUMMYFUNCTION("""COMPUTED_VALUE"""),451148993331)</f>
        <v/>
      </c>
      <c r="I62" s="45">
        <f>IFERROR(__xludf.DUMMYFUNCTION("""COMPUTED_VALUE"""),19878375)</f>
        <v/>
      </c>
      <c r="J62" s="45">
        <f>IFERROR(__xludf.DUMMYFUNCTION("""COMPUTED_VALUE"""),"LW2731S")</f>
        <v/>
      </c>
      <c r="K62" s="45">
        <f>IFERROR(__xludf.DUMMYFUNCTION("""COMPUTED_VALUE"""),"LW2731S-071152")</f>
        <v/>
      </c>
      <c r="L62" s="45">
        <f>IFERROR(__xludf.DUMMYFUNCTION("""COMPUTED_VALUE"""),9)</f>
        <v/>
      </c>
      <c r="M62" s="45">
        <f>IFERROR(__xludf.DUMMYFUNCTION("""COMPUTED_VALUE"""),532)</f>
        <v/>
      </c>
      <c r="N62" s="45">
        <f>IFERROR(__xludf.DUMMYFUNCTION("""COMPUTED_VALUE"""),55.588)</f>
        <v/>
      </c>
      <c r="O62" s="45">
        <f>IFERROR(__xludf.DUMMYFUNCTION("""COMPUTED_VALUE"""),0.725)</f>
        <v/>
      </c>
      <c r="P62" s="45">
        <f>IFERROR(__xludf.DUMMYFUNCTION("""COMPUTED_VALUE"""),"Colombo, LK")</f>
        <v/>
      </c>
      <c r="Q62" s="45">
        <f>IFERROR(__xludf.DUMMYFUNCTION("""COMPUTED_VALUE"""),"New York, NY, US")</f>
        <v/>
      </c>
      <c r="R62" s="44">
        <f>IFERROR(__xludf.DUMMYFUNCTION("""COMPUTED_VALUE"""),45817)</f>
        <v/>
      </c>
      <c r="S62" s="44">
        <f>IFERROR(__xludf.DUMMYFUNCTION("""COMPUTED_VALUE"""),45876)</f>
        <v/>
      </c>
      <c r="T62" s="45">
        <f>IFERROR(__xludf.DUMMYFUNCTION("""COMPUTED_VALUE"""),"Mississauga, ON, CA")</f>
        <v/>
      </c>
      <c r="U62" s="45" t="n"/>
      <c r="V62" s="45" t="n"/>
      <c r="W62" s="45" t="n"/>
      <c r="X62" s="45" t="n"/>
      <c r="Y62" s="46">
        <f>IFERROR(__xludf.DUMMYFUNCTION("""COMPUTED_VALUE"""),45825)</f>
        <v/>
      </c>
      <c r="Z62" s="46">
        <f>IFERROR(__xludf.DUMMYFUNCTION("""COMPUTED_VALUE"""),45854)</f>
        <v/>
      </c>
      <c r="AA62" s="46">
        <f>IFERROR(__xludf.DUMMYFUNCTION("""COMPUTED_VALUE"""),45867)</f>
        <v/>
      </c>
      <c r="AB62" s="45">
        <f>IFERROR(__xludf.DUMMYFUNCTION("""COMPUTED_VALUE"""),"3500 Argentia Road")</f>
        <v/>
      </c>
      <c r="AC62" s="45" t="n"/>
      <c r="AD62" s="45">
        <f>IFERROR(__xludf.DUMMYFUNCTION("""COMPUTED_VALUE"""),"OCEAN")</f>
        <v/>
      </c>
      <c r="AE62" s="45">
        <f>IFERROR(__xludf.DUMMYFUNCTION("""COMPUTED_VALUE"""),"N")</f>
        <v/>
      </c>
      <c r="AF62" s="45" t="n"/>
      <c r="AG62" s="49">
        <f>IFERROR(__xludf.DUMMYFUNCTION("IFNA(vlookup(H62,IMPORTRANGE(""1vUGwO1n0QQGx9kKbO0_M5gmuhXZ6-LaxQxgrmJnzgP0"",""'TP# look up'!A:C""),3,0),"""")"),"")</f>
        <v/>
      </c>
      <c r="AH62" s="49">
        <f>LEFT(J62,2)</f>
        <v/>
      </c>
    </row>
    <row r="63" hidden="1" ht="12.75" customHeight="1">
      <c r="A63" s="45">
        <f>IFERROR(__xludf.DUMMYFUNCTION("""COMPUTED_VALUE"""),"Colombo")</f>
        <v/>
      </c>
      <c r="B63" s="45" t="n"/>
      <c r="C63" s="45">
        <f>IFERROR(__xludf.DUMMYFUNCTION("""COMPUTED_VALUE"""),3231352)</f>
        <v/>
      </c>
      <c r="D63" s="45" t="n"/>
      <c r="E63" s="45">
        <f>IFERROR(__xludf.DUMMYFUNCTION("""COMPUTED_VALUE"""),"CFS")</f>
        <v/>
      </c>
      <c r="F63" s="45">
        <f>IFERROR(__xludf.DUMMYFUNCTION("""COMPUTED_VALUE"""),"Bodyline Trading (Private) Limited")</f>
        <v/>
      </c>
      <c r="G63" s="45">
        <f>IFERROR(__xludf.DUMMYFUNCTION("""COMPUTED_VALUE"""),"Bodyline (Private) Limited")</f>
        <v/>
      </c>
      <c r="H63" s="43">
        <f>IFERROR(__xludf.DUMMYFUNCTION("""COMPUTED_VALUE"""),451150784375)</f>
        <v/>
      </c>
      <c r="I63" s="45">
        <f>IFERROR(__xludf.DUMMYFUNCTION("""COMPUTED_VALUE"""),19843787)</f>
        <v/>
      </c>
      <c r="J63" s="45">
        <f>IFERROR(__xludf.DUMMYFUNCTION("""COMPUTED_VALUE"""),"LW2DQ0S")</f>
        <v/>
      </c>
      <c r="K63" s="45">
        <f>IFERROR(__xludf.DUMMYFUNCTION("""COMPUTED_VALUE"""),"LW2DQ0S-062214")</f>
        <v/>
      </c>
      <c r="L63" s="45">
        <f>IFERROR(__xludf.DUMMYFUNCTION("""COMPUTED_VALUE"""),1)</f>
        <v/>
      </c>
      <c r="M63" s="45">
        <f>IFERROR(__xludf.DUMMYFUNCTION("""COMPUTED_VALUE"""),12)</f>
        <v/>
      </c>
      <c r="N63" s="45">
        <f>IFERROR(__xludf.DUMMYFUNCTION("""COMPUTED_VALUE"""),2.057)</f>
        <v/>
      </c>
      <c r="O63" s="45">
        <f>IFERROR(__xludf.DUMMYFUNCTION("""COMPUTED_VALUE"""),0.044)</f>
        <v/>
      </c>
      <c r="P63" s="45">
        <f>IFERROR(__xludf.DUMMYFUNCTION("""COMPUTED_VALUE"""),"Colombo, LK")</f>
        <v/>
      </c>
      <c r="Q63" s="45">
        <f>IFERROR(__xludf.DUMMYFUNCTION("""COMPUTED_VALUE"""),"New York, NY, US")</f>
        <v/>
      </c>
      <c r="R63" s="44">
        <f>IFERROR(__xludf.DUMMYFUNCTION("""COMPUTED_VALUE"""),45817)</f>
        <v/>
      </c>
      <c r="S63" s="44">
        <f>IFERROR(__xludf.DUMMYFUNCTION("""COMPUTED_VALUE"""),45876)</f>
        <v/>
      </c>
      <c r="T63" s="45">
        <f>IFERROR(__xludf.DUMMYFUNCTION("""COMPUTED_VALUE"""),"Milton, ON, CA")</f>
        <v/>
      </c>
      <c r="U63" s="45" t="n"/>
      <c r="V63" s="45" t="n"/>
      <c r="W63" s="45" t="n"/>
      <c r="X63" s="45" t="n"/>
      <c r="Y63" s="46">
        <f>IFERROR(__xludf.DUMMYFUNCTION("""COMPUTED_VALUE"""),45825)</f>
        <v/>
      </c>
      <c r="Z63" s="46">
        <f>IFERROR(__xludf.DUMMYFUNCTION("""COMPUTED_VALUE"""),45854)</f>
        <v/>
      </c>
      <c r="AA63" s="46">
        <f>IFERROR(__xludf.DUMMYFUNCTION("""COMPUTED_VALUE"""),45867)</f>
        <v/>
      </c>
      <c r="AB63" s="45">
        <f>IFERROR(__xludf.DUMMYFUNCTION("""COMPUTED_VALUE"""),"7211 Fifth Line")</f>
        <v/>
      </c>
      <c r="AC63" s="45" t="n"/>
      <c r="AD63" s="45">
        <f>IFERROR(__xludf.DUMMYFUNCTION("""COMPUTED_VALUE"""),"OCEAN")</f>
        <v/>
      </c>
      <c r="AE63" s="45">
        <f>IFERROR(__xludf.DUMMYFUNCTION("""COMPUTED_VALUE"""),"N")</f>
        <v/>
      </c>
      <c r="AF63" s="45" t="n"/>
      <c r="AG63" s="49">
        <f>IFERROR(__xludf.DUMMYFUNCTION("IFNA(vlookup(H63,IMPORTRANGE(""1vUGwO1n0QQGx9kKbO0_M5gmuhXZ6-LaxQxgrmJnzgP0"",""'TP# look up'!A:C""),3,0),"""")"),"")</f>
        <v/>
      </c>
      <c r="AH63" s="49">
        <f>LEFT(J63,2)</f>
        <v/>
      </c>
    </row>
    <row r="64" hidden="1" ht="12.75" customHeight="1">
      <c r="A64" s="45">
        <f>IFERROR(__xludf.DUMMYFUNCTION("""COMPUTED_VALUE"""),"Colombo")</f>
        <v/>
      </c>
      <c r="B64" s="45" t="n"/>
      <c r="C64" s="45">
        <f>IFERROR(__xludf.DUMMYFUNCTION("""COMPUTED_VALUE"""),3231352)</f>
        <v/>
      </c>
      <c r="D64" s="45" t="n"/>
      <c r="E64" s="45">
        <f>IFERROR(__xludf.DUMMYFUNCTION("""COMPUTED_VALUE"""),"CFS")</f>
        <v/>
      </c>
      <c r="F64" s="45">
        <f>IFERROR(__xludf.DUMMYFUNCTION("""COMPUTED_VALUE"""),"Bodyline Trading (Private) Limited")</f>
        <v/>
      </c>
      <c r="G64" s="45">
        <f>IFERROR(__xludf.DUMMYFUNCTION("""COMPUTED_VALUE"""),"Bodyline (Private) Limited")</f>
        <v/>
      </c>
      <c r="H64" s="43">
        <f>IFERROR(__xludf.DUMMYFUNCTION("""COMPUTED_VALUE"""),451150820308)</f>
        <v/>
      </c>
      <c r="I64" s="45">
        <f>IFERROR(__xludf.DUMMYFUNCTION("""COMPUTED_VALUE"""),19878595)</f>
        <v/>
      </c>
      <c r="J64" s="45">
        <f>IFERROR(__xludf.DUMMYFUNCTION("""COMPUTED_VALUE"""),"LW2731S")</f>
        <v/>
      </c>
      <c r="K64" s="45">
        <f>IFERROR(__xludf.DUMMYFUNCTION("""COMPUTED_VALUE"""),"LW2731S-071152")</f>
        <v/>
      </c>
      <c r="L64" s="45">
        <f>IFERROR(__xludf.DUMMYFUNCTION("""COMPUTED_VALUE"""),21)</f>
        <v/>
      </c>
      <c r="M64" s="45">
        <f>IFERROR(__xludf.DUMMYFUNCTION("""COMPUTED_VALUE"""),1271)</f>
        <v/>
      </c>
      <c r="N64" s="45">
        <f>IFERROR(__xludf.DUMMYFUNCTION("""COMPUTED_VALUE"""),130.084)</f>
        <v/>
      </c>
      <c r="O64" s="45">
        <f>IFERROR(__xludf.DUMMYFUNCTION("""COMPUTED_VALUE"""),1.654)</f>
        <v/>
      </c>
      <c r="P64" s="45">
        <f>IFERROR(__xludf.DUMMYFUNCTION("""COMPUTED_VALUE"""),"Colombo, LK")</f>
        <v/>
      </c>
      <c r="Q64" s="45">
        <f>IFERROR(__xludf.DUMMYFUNCTION("""COMPUTED_VALUE"""),"New York, NY, US")</f>
        <v/>
      </c>
      <c r="R64" s="44">
        <f>IFERROR(__xludf.DUMMYFUNCTION("""COMPUTED_VALUE"""),45817)</f>
        <v/>
      </c>
      <c r="S64" s="44">
        <f>IFERROR(__xludf.DUMMYFUNCTION("""COMPUTED_VALUE"""),45876)</f>
        <v/>
      </c>
      <c r="T64" s="45">
        <f>IFERROR(__xludf.DUMMYFUNCTION("""COMPUTED_VALUE"""),"Mississauga, ON, CA")</f>
        <v/>
      </c>
      <c r="U64" s="45" t="n"/>
      <c r="V64" s="45" t="n"/>
      <c r="W64" s="45" t="n"/>
      <c r="X64" s="45" t="n"/>
      <c r="Y64" s="46">
        <f>IFERROR(__xludf.DUMMYFUNCTION("""COMPUTED_VALUE"""),45825)</f>
        <v/>
      </c>
      <c r="Z64" s="46">
        <f>IFERROR(__xludf.DUMMYFUNCTION("""COMPUTED_VALUE"""),45854)</f>
        <v/>
      </c>
      <c r="AA64" s="46">
        <f>IFERROR(__xludf.DUMMYFUNCTION("""COMPUTED_VALUE"""),45867)</f>
        <v/>
      </c>
      <c r="AB64" s="45">
        <f>IFERROR(__xludf.DUMMYFUNCTION("""COMPUTED_VALUE"""),"3500 Argentia Road")</f>
        <v/>
      </c>
      <c r="AC64" s="45" t="n"/>
      <c r="AD64" s="45">
        <f>IFERROR(__xludf.DUMMYFUNCTION("""COMPUTED_VALUE"""),"OCEAN")</f>
        <v/>
      </c>
      <c r="AE64" s="45">
        <f>IFERROR(__xludf.DUMMYFUNCTION("""COMPUTED_VALUE"""),"N")</f>
        <v/>
      </c>
      <c r="AF64" s="45" t="n"/>
      <c r="AG64" s="49">
        <f>IFERROR(__xludf.DUMMYFUNCTION("IFNA(vlookup(H64,IMPORTRANGE(""1vUGwO1n0QQGx9kKbO0_M5gmuhXZ6-LaxQxgrmJnzgP0"",""'TP# look up'!A:C""),3,0),"""")"),"")</f>
        <v/>
      </c>
      <c r="AH64" s="49">
        <f>LEFT(J64,2)</f>
        <v/>
      </c>
    </row>
    <row r="65" hidden="1" ht="12.75" customHeight="1">
      <c r="A65" s="45">
        <f>IFERROR(__xludf.DUMMYFUNCTION("""COMPUTED_VALUE"""),"Colombo")</f>
        <v/>
      </c>
      <c r="B65" s="45" t="n"/>
      <c r="C65" s="45">
        <f>IFERROR(__xludf.DUMMYFUNCTION("""COMPUTED_VALUE"""),3231352)</f>
        <v/>
      </c>
      <c r="D65" s="45" t="n"/>
      <c r="E65" s="45">
        <f>IFERROR(__xludf.DUMMYFUNCTION("""COMPUTED_VALUE"""),"CFS")</f>
        <v/>
      </c>
      <c r="F65" s="45">
        <f>IFERROR(__xludf.DUMMYFUNCTION("""COMPUTED_VALUE"""),"Bodyline Trading (Private) Limited")</f>
        <v/>
      </c>
      <c r="G65" s="45">
        <f>IFERROR(__xludf.DUMMYFUNCTION("""COMPUTED_VALUE"""),"Bodyline (Private) Limited")</f>
        <v/>
      </c>
      <c r="H65" s="43">
        <f>IFERROR(__xludf.DUMMYFUNCTION("""COMPUTED_VALUE"""),451152070269)</f>
        <v/>
      </c>
      <c r="I65" s="45">
        <f>IFERROR(__xludf.DUMMYFUNCTION("""COMPUTED_VALUE"""),19878569)</f>
        <v/>
      </c>
      <c r="J65" s="45">
        <f>IFERROR(__xludf.DUMMYFUNCTION("""COMPUTED_VALUE"""),"LW2DQ0S")</f>
        <v/>
      </c>
      <c r="K65" s="45">
        <f>IFERROR(__xludf.DUMMYFUNCTION("""COMPUTED_VALUE"""),"LW2DQ0S-068585")</f>
        <v/>
      </c>
      <c r="L65" s="45">
        <f>IFERROR(__xludf.DUMMYFUNCTION("""COMPUTED_VALUE"""),5)</f>
        <v/>
      </c>
      <c r="M65" s="45">
        <f>IFERROR(__xludf.DUMMYFUNCTION("""COMPUTED_VALUE"""),234)</f>
        <v/>
      </c>
      <c r="N65" s="45">
        <f>IFERROR(__xludf.DUMMYFUNCTION("""COMPUTED_VALUE"""),28.517)</f>
        <v/>
      </c>
      <c r="O65" s="45">
        <f>IFERROR(__xludf.DUMMYFUNCTION("""COMPUTED_VALUE"""),0.366)</f>
        <v/>
      </c>
      <c r="P65" s="45">
        <f>IFERROR(__xludf.DUMMYFUNCTION("""COMPUTED_VALUE"""),"Colombo, LK")</f>
        <v/>
      </c>
      <c r="Q65" s="45">
        <f>IFERROR(__xludf.DUMMYFUNCTION("""COMPUTED_VALUE"""),"New York, NY, US")</f>
        <v/>
      </c>
      <c r="R65" s="44">
        <f>IFERROR(__xludf.DUMMYFUNCTION("""COMPUTED_VALUE"""),45817)</f>
        <v/>
      </c>
      <c r="S65" s="44">
        <f>IFERROR(__xludf.DUMMYFUNCTION("""COMPUTED_VALUE"""),45876)</f>
        <v/>
      </c>
      <c r="T65" s="45">
        <f>IFERROR(__xludf.DUMMYFUNCTION("""COMPUTED_VALUE"""),"Mississauga, ON, CA")</f>
        <v/>
      </c>
      <c r="U65" s="45" t="n"/>
      <c r="V65" s="45" t="n"/>
      <c r="W65" s="45" t="n"/>
      <c r="X65" s="45" t="n"/>
      <c r="Y65" s="46">
        <f>IFERROR(__xludf.DUMMYFUNCTION("""COMPUTED_VALUE"""),45825)</f>
        <v/>
      </c>
      <c r="Z65" s="46">
        <f>IFERROR(__xludf.DUMMYFUNCTION("""COMPUTED_VALUE"""),45854)</f>
        <v/>
      </c>
      <c r="AA65" s="46">
        <f>IFERROR(__xludf.DUMMYFUNCTION("""COMPUTED_VALUE"""),45867)</f>
        <v/>
      </c>
      <c r="AB65" s="45">
        <f>IFERROR(__xludf.DUMMYFUNCTION("""COMPUTED_VALUE"""),"3500 Argentia Road")</f>
        <v/>
      </c>
      <c r="AC65" s="45" t="n"/>
      <c r="AD65" s="45">
        <f>IFERROR(__xludf.DUMMYFUNCTION("""COMPUTED_VALUE"""),"OCEAN")</f>
        <v/>
      </c>
      <c r="AE65" s="45">
        <f>IFERROR(__xludf.DUMMYFUNCTION("""COMPUTED_VALUE"""),"N")</f>
        <v/>
      </c>
      <c r="AF65" s="45" t="n"/>
      <c r="AG65" s="49">
        <f>IFERROR(__xludf.DUMMYFUNCTION("IFNA(vlookup(H65,IMPORTRANGE(""1vUGwO1n0QQGx9kKbO0_M5gmuhXZ6-LaxQxgrmJnzgP0"",""'TP# look up'!A:C""),3,0),"""")"),"")</f>
        <v/>
      </c>
      <c r="AH65" s="49">
        <f>LEFT(J65,2)</f>
        <v/>
      </c>
    </row>
    <row r="66" hidden="1" ht="12.75" customHeight="1">
      <c r="A66" s="45">
        <f>IFERROR(__xludf.DUMMYFUNCTION("""COMPUTED_VALUE"""),"Colombo")</f>
        <v/>
      </c>
      <c r="B66" s="45" t="n"/>
      <c r="C66" s="45">
        <f>IFERROR(__xludf.DUMMYFUNCTION("""COMPUTED_VALUE"""),3231352)</f>
        <v/>
      </c>
      <c r="D66" s="45" t="n"/>
      <c r="E66" s="45">
        <f>IFERROR(__xludf.DUMMYFUNCTION("""COMPUTED_VALUE"""),"CFS")</f>
        <v/>
      </c>
      <c r="F66" s="45">
        <f>IFERROR(__xludf.DUMMYFUNCTION("""COMPUTED_VALUE"""),"Bodyline Trading (Private) Limited")</f>
        <v/>
      </c>
      <c r="G66" s="45">
        <f>IFERROR(__xludf.DUMMYFUNCTION("""COMPUTED_VALUE"""),"Bodyline (Private) Limited")</f>
        <v/>
      </c>
      <c r="H66" s="43">
        <f>IFERROR(__xludf.DUMMYFUNCTION("""COMPUTED_VALUE"""),451153036977)</f>
        <v/>
      </c>
      <c r="I66" s="45">
        <f>IFERROR(__xludf.DUMMYFUNCTION("""COMPUTED_VALUE"""),19878803)</f>
        <v/>
      </c>
      <c r="J66" s="45">
        <f>IFERROR(__xludf.DUMMYFUNCTION("""COMPUTED_VALUE"""),"LW2DQ0S")</f>
        <v/>
      </c>
      <c r="K66" s="45">
        <f>IFERROR(__xludf.DUMMYFUNCTION("""COMPUTED_VALUE"""),"LW2DQ0S-068585")</f>
        <v/>
      </c>
      <c r="L66" s="45">
        <f>IFERROR(__xludf.DUMMYFUNCTION("""COMPUTED_VALUE"""),10)</f>
        <v/>
      </c>
      <c r="M66" s="45">
        <f>IFERROR(__xludf.DUMMYFUNCTION("""COMPUTED_VALUE"""),556)</f>
        <v/>
      </c>
      <c r="N66" s="45">
        <f>IFERROR(__xludf.DUMMYFUNCTION("""COMPUTED_VALUE"""),65.687)</f>
        <v/>
      </c>
      <c r="O66" s="45">
        <f>IFERROR(__xludf.DUMMYFUNCTION("""COMPUTED_VALUE"""),0.805)</f>
        <v/>
      </c>
      <c r="P66" s="45">
        <f>IFERROR(__xludf.DUMMYFUNCTION("""COMPUTED_VALUE"""),"Colombo, LK")</f>
        <v/>
      </c>
      <c r="Q66" s="45">
        <f>IFERROR(__xludf.DUMMYFUNCTION("""COMPUTED_VALUE"""),"New York, NY, US")</f>
        <v/>
      </c>
      <c r="R66" s="44">
        <f>IFERROR(__xludf.DUMMYFUNCTION("""COMPUTED_VALUE"""),45817)</f>
        <v/>
      </c>
      <c r="S66" s="44">
        <f>IFERROR(__xludf.DUMMYFUNCTION("""COMPUTED_VALUE"""),45876)</f>
        <v/>
      </c>
      <c r="T66" s="45">
        <f>IFERROR(__xludf.DUMMYFUNCTION("""COMPUTED_VALUE"""),"Mississauga, ON, CA")</f>
        <v/>
      </c>
      <c r="U66" s="45" t="n"/>
      <c r="V66" s="45" t="n"/>
      <c r="W66" s="45" t="n"/>
      <c r="X66" s="45" t="n"/>
      <c r="Y66" s="46">
        <f>IFERROR(__xludf.DUMMYFUNCTION("""COMPUTED_VALUE"""),45825)</f>
        <v/>
      </c>
      <c r="Z66" s="46">
        <f>IFERROR(__xludf.DUMMYFUNCTION("""COMPUTED_VALUE"""),45854)</f>
        <v/>
      </c>
      <c r="AA66" s="46">
        <f>IFERROR(__xludf.DUMMYFUNCTION("""COMPUTED_VALUE"""),45867)</f>
        <v/>
      </c>
      <c r="AB66" s="45">
        <f>IFERROR(__xludf.DUMMYFUNCTION("""COMPUTED_VALUE"""),"3500 Argentia Road")</f>
        <v/>
      </c>
      <c r="AC66" s="45" t="n"/>
      <c r="AD66" s="45">
        <f>IFERROR(__xludf.DUMMYFUNCTION("""COMPUTED_VALUE"""),"OCEAN")</f>
        <v/>
      </c>
      <c r="AE66" s="45">
        <f>IFERROR(__xludf.DUMMYFUNCTION("""COMPUTED_VALUE"""),"N")</f>
        <v/>
      </c>
      <c r="AF66" s="45" t="n"/>
      <c r="AG66" s="49">
        <f>IFERROR(__xludf.DUMMYFUNCTION("IFNA(vlookup(H66,IMPORTRANGE(""1vUGwO1n0QQGx9kKbO0_M5gmuhXZ6-LaxQxgrmJnzgP0"",""'TP# look up'!A:C""),3,0),"""")"),"")</f>
        <v/>
      </c>
      <c r="AH66" s="49">
        <f>LEFT(J66,2)</f>
        <v/>
      </c>
    </row>
    <row r="67" hidden="1" ht="12.75" customHeight="1">
      <c r="A67" s="45">
        <f>IFERROR(__xludf.DUMMYFUNCTION("""COMPUTED_VALUE"""),"Colombo")</f>
        <v/>
      </c>
      <c r="B67" s="45" t="n"/>
      <c r="C67" s="45">
        <f>IFERROR(__xludf.DUMMYFUNCTION("""COMPUTED_VALUE"""),3231352)</f>
        <v/>
      </c>
      <c r="D67" s="45" t="n"/>
      <c r="E67" s="45">
        <f>IFERROR(__xludf.DUMMYFUNCTION("""COMPUTED_VALUE"""),"CFS")</f>
        <v/>
      </c>
      <c r="F67" s="45">
        <f>IFERROR(__xludf.DUMMYFUNCTION("""COMPUTED_VALUE"""),"Bodyline Trading (Private) Limited")</f>
        <v/>
      </c>
      <c r="G67" s="45">
        <f>IFERROR(__xludf.DUMMYFUNCTION("""COMPUTED_VALUE"""),"Bodyline (Private) Limited")</f>
        <v/>
      </c>
      <c r="H67" s="43">
        <f>IFERROR(__xludf.DUMMYFUNCTION("""COMPUTED_VALUE"""),451155374105)</f>
        <v/>
      </c>
      <c r="I67" s="45">
        <f>IFERROR(__xludf.DUMMYFUNCTION("""COMPUTED_VALUE"""),19878339)</f>
        <v/>
      </c>
      <c r="J67" s="45">
        <f>IFERROR(__xludf.DUMMYFUNCTION("""COMPUTED_VALUE"""),"LW2670S")</f>
        <v/>
      </c>
      <c r="K67" s="45">
        <f>IFERROR(__xludf.DUMMYFUNCTION("""COMPUTED_VALUE"""),"LW2670S-0001")</f>
        <v/>
      </c>
      <c r="L67" s="45">
        <f>IFERROR(__xludf.DUMMYFUNCTION("""COMPUTED_VALUE"""),7)</f>
        <v/>
      </c>
      <c r="M67" s="45">
        <f>IFERROR(__xludf.DUMMYFUNCTION("""COMPUTED_VALUE"""),320)</f>
        <v/>
      </c>
      <c r="N67" s="45">
        <f>IFERROR(__xludf.DUMMYFUNCTION("""COMPUTED_VALUE"""),33.851)</f>
        <v/>
      </c>
      <c r="O67" s="45">
        <f>IFERROR(__xludf.DUMMYFUNCTION("""COMPUTED_VALUE"""),0.49)</f>
        <v/>
      </c>
      <c r="P67" s="45">
        <f>IFERROR(__xludf.DUMMYFUNCTION("""COMPUTED_VALUE"""),"Colombo, LK")</f>
        <v/>
      </c>
      <c r="Q67" s="45">
        <f>IFERROR(__xludf.DUMMYFUNCTION("""COMPUTED_VALUE"""),"New York, NY, US")</f>
        <v/>
      </c>
      <c r="R67" s="44">
        <f>IFERROR(__xludf.DUMMYFUNCTION("""COMPUTED_VALUE"""),45817)</f>
        <v/>
      </c>
      <c r="S67" s="44">
        <f>IFERROR(__xludf.DUMMYFUNCTION("""COMPUTED_VALUE"""),45876)</f>
        <v/>
      </c>
      <c r="T67" s="45">
        <f>IFERROR(__xludf.DUMMYFUNCTION("""COMPUTED_VALUE"""),"Mississauga, ON, CA")</f>
        <v/>
      </c>
      <c r="U67" s="45" t="n"/>
      <c r="V67" s="45" t="n"/>
      <c r="W67" s="45" t="n"/>
      <c r="X67" s="45" t="n"/>
      <c r="Y67" s="46">
        <f>IFERROR(__xludf.DUMMYFUNCTION("""COMPUTED_VALUE"""),45825)</f>
        <v/>
      </c>
      <c r="Z67" s="46">
        <f>IFERROR(__xludf.DUMMYFUNCTION("""COMPUTED_VALUE"""),45854)</f>
        <v/>
      </c>
      <c r="AA67" s="46">
        <f>IFERROR(__xludf.DUMMYFUNCTION("""COMPUTED_VALUE"""),45867)</f>
        <v/>
      </c>
      <c r="AB67" s="45">
        <f>IFERROR(__xludf.DUMMYFUNCTION("""COMPUTED_VALUE"""),"3500 Argentia Road")</f>
        <v/>
      </c>
      <c r="AC67" s="45" t="n"/>
      <c r="AD67" s="45">
        <f>IFERROR(__xludf.DUMMYFUNCTION("""COMPUTED_VALUE"""),"OCEAN")</f>
        <v/>
      </c>
      <c r="AE67" s="45">
        <f>IFERROR(__xludf.DUMMYFUNCTION("""COMPUTED_VALUE"""),"N")</f>
        <v/>
      </c>
      <c r="AF67" s="45" t="n"/>
      <c r="AG67" s="49">
        <f>IFERROR(__xludf.DUMMYFUNCTION("IFNA(vlookup(H67,IMPORTRANGE(""1vUGwO1n0QQGx9kKbO0_M5gmuhXZ6-LaxQxgrmJnzgP0"",""'TP# look up'!A:C""),3,0),"""")"),"")</f>
        <v/>
      </c>
      <c r="AH67" s="49">
        <f>LEFT(J67,2)</f>
        <v/>
      </c>
    </row>
    <row r="68" hidden="1" ht="12.75" customHeight="1">
      <c r="A68" s="45">
        <f>IFERROR(__xludf.DUMMYFUNCTION("""COMPUTED_VALUE"""),"Colombo")</f>
        <v/>
      </c>
      <c r="B68" s="45" t="n"/>
      <c r="C68" s="45">
        <f>IFERROR(__xludf.DUMMYFUNCTION("""COMPUTED_VALUE"""),3231352)</f>
        <v/>
      </c>
      <c r="D68" s="45" t="n"/>
      <c r="E68" s="45">
        <f>IFERROR(__xludf.DUMMYFUNCTION("""COMPUTED_VALUE"""),"CFS")</f>
        <v/>
      </c>
      <c r="F68" s="45">
        <f>IFERROR(__xludf.DUMMYFUNCTION("""COMPUTED_VALUE"""),"Bodyline Trading (Private) Limited")</f>
        <v/>
      </c>
      <c r="G68" s="45">
        <f>IFERROR(__xludf.DUMMYFUNCTION("""COMPUTED_VALUE"""),"Bodyline (Private) Limited")</f>
        <v/>
      </c>
      <c r="H68" s="43">
        <f>IFERROR(__xludf.DUMMYFUNCTION("""COMPUTED_VALUE"""),451155960393)</f>
        <v/>
      </c>
      <c r="I68" s="45">
        <f>IFERROR(__xludf.DUMMYFUNCTION("""COMPUTED_VALUE"""),19843781)</f>
        <v/>
      </c>
      <c r="J68" s="45">
        <f>IFERROR(__xludf.DUMMYFUNCTION("""COMPUTED_VALUE"""),"LW2670S")</f>
        <v/>
      </c>
      <c r="K68" s="45">
        <f>IFERROR(__xludf.DUMMYFUNCTION("""COMPUTED_VALUE"""),"LW2670S-0001")</f>
        <v/>
      </c>
      <c r="L68" s="45">
        <f>IFERROR(__xludf.DUMMYFUNCTION("""COMPUTED_VALUE"""),9)</f>
        <v/>
      </c>
      <c r="M68" s="45">
        <f>IFERROR(__xludf.DUMMYFUNCTION("""COMPUTED_VALUE"""),505)</f>
        <v/>
      </c>
      <c r="N68" s="45">
        <f>IFERROR(__xludf.DUMMYFUNCTION("""COMPUTED_VALUE"""),53.858)</f>
        <v/>
      </c>
      <c r="O68" s="45">
        <f>IFERROR(__xludf.DUMMYFUNCTION("""COMPUTED_VALUE"""),0.725)</f>
        <v/>
      </c>
      <c r="P68" s="45">
        <f>IFERROR(__xludf.DUMMYFUNCTION("""COMPUTED_VALUE"""),"Colombo, LK")</f>
        <v/>
      </c>
      <c r="Q68" s="45">
        <f>IFERROR(__xludf.DUMMYFUNCTION("""COMPUTED_VALUE"""),"New York, NY, US")</f>
        <v/>
      </c>
      <c r="R68" s="44">
        <f>IFERROR(__xludf.DUMMYFUNCTION("""COMPUTED_VALUE"""),45817)</f>
        <v/>
      </c>
      <c r="S68" s="44">
        <f>IFERROR(__xludf.DUMMYFUNCTION("""COMPUTED_VALUE"""),45876)</f>
        <v/>
      </c>
      <c r="T68" s="45">
        <f>IFERROR(__xludf.DUMMYFUNCTION("""COMPUTED_VALUE"""),"Milton, ON, CA")</f>
        <v/>
      </c>
      <c r="U68" s="45" t="n"/>
      <c r="V68" s="45" t="n"/>
      <c r="W68" s="45" t="n"/>
      <c r="X68" s="45" t="n"/>
      <c r="Y68" s="46">
        <f>IFERROR(__xludf.DUMMYFUNCTION("""COMPUTED_VALUE"""),45825)</f>
        <v/>
      </c>
      <c r="Z68" s="46">
        <f>IFERROR(__xludf.DUMMYFUNCTION("""COMPUTED_VALUE"""),45854)</f>
        <v/>
      </c>
      <c r="AA68" s="46">
        <f>IFERROR(__xludf.DUMMYFUNCTION("""COMPUTED_VALUE"""),45867)</f>
        <v/>
      </c>
      <c r="AB68" s="45">
        <f>IFERROR(__xludf.DUMMYFUNCTION("""COMPUTED_VALUE"""),"7211 Fifth Line")</f>
        <v/>
      </c>
      <c r="AC68" s="45" t="n"/>
      <c r="AD68" s="45">
        <f>IFERROR(__xludf.DUMMYFUNCTION("""COMPUTED_VALUE"""),"OCEAN")</f>
        <v/>
      </c>
      <c r="AE68" s="45">
        <f>IFERROR(__xludf.DUMMYFUNCTION("""COMPUTED_VALUE"""),"N")</f>
        <v/>
      </c>
      <c r="AF68" s="45" t="n"/>
      <c r="AG68" s="49">
        <f>IFERROR(__xludf.DUMMYFUNCTION("IFNA(vlookup(H68,IMPORTRANGE(""1vUGwO1n0QQGx9kKbO0_M5gmuhXZ6-LaxQxgrmJnzgP0"",""'TP# look up'!A:C""),3,0),"""")"),"")</f>
        <v/>
      </c>
      <c r="AH68" s="49">
        <f>LEFT(J68,2)</f>
        <v/>
      </c>
    </row>
    <row r="69" hidden="1" ht="12.75" customHeight="1">
      <c r="A69" s="45">
        <f>IFERROR(__xludf.DUMMYFUNCTION("""COMPUTED_VALUE"""),"Colombo")</f>
        <v/>
      </c>
      <c r="B69" s="45" t="n"/>
      <c r="C69" s="45">
        <f>IFERROR(__xludf.DUMMYFUNCTION("""COMPUTED_VALUE"""),3231352)</f>
        <v/>
      </c>
      <c r="D69" s="45" t="n"/>
      <c r="E69" s="45">
        <f>IFERROR(__xludf.DUMMYFUNCTION("""COMPUTED_VALUE"""),"CFS")</f>
        <v/>
      </c>
      <c r="F69" s="45">
        <f>IFERROR(__xludf.DUMMYFUNCTION("""COMPUTED_VALUE"""),"Bodyline Trading (Private) Limited")</f>
        <v/>
      </c>
      <c r="G69" s="45">
        <f>IFERROR(__xludf.DUMMYFUNCTION("""COMPUTED_VALUE"""),"Bodyline (Private) Limited")</f>
        <v/>
      </c>
      <c r="H69" s="43">
        <f>IFERROR(__xludf.DUMMYFUNCTION("""COMPUTED_VALUE"""),451161212716)</f>
        <v/>
      </c>
      <c r="I69" s="45">
        <f>IFERROR(__xludf.DUMMYFUNCTION("""COMPUTED_VALUE"""),19878559)</f>
        <v/>
      </c>
      <c r="J69" s="45">
        <f>IFERROR(__xludf.DUMMYFUNCTION("""COMPUTED_VALUE"""),"LW2DQ0S")</f>
        <v/>
      </c>
      <c r="K69" s="45">
        <f>IFERROR(__xludf.DUMMYFUNCTION("""COMPUTED_VALUE"""),"LW2DQ0S-0001")</f>
        <v/>
      </c>
      <c r="L69" s="45">
        <f>IFERROR(__xludf.DUMMYFUNCTION("""COMPUTED_VALUE"""),5)</f>
        <v/>
      </c>
      <c r="M69" s="45">
        <f>IFERROR(__xludf.DUMMYFUNCTION("""COMPUTED_VALUE"""),252)</f>
        <v/>
      </c>
      <c r="N69" s="45">
        <f>IFERROR(__xludf.DUMMYFUNCTION("""COMPUTED_VALUE"""),31.192)</f>
        <v/>
      </c>
      <c r="O69" s="45">
        <f>IFERROR(__xludf.DUMMYFUNCTION("""COMPUTED_VALUE"""),0.366)</f>
        <v/>
      </c>
      <c r="P69" s="45">
        <f>IFERROR(__xludf.DUMMYFUNCTION("""COMPUTED_VALUE"""),"Colombo, LK")</f>
        <v/>
      </c>
      <c r="Q69" s="45">
        <f>IFERROR(__xludf.DUMMYFUNCTION("""COMPUTED_VALUE"""),"New York, NY, US")</f>
        <v/>
      </c>
      <c r="R69" s="44">
        <f>IFERROR(__xludf.DUMMYFUNCTION("""COMPUTED_VALUE"""),45817)</f>
        <v/>
      </c>
      <c r="S69" s="44">
        <f>IFERROR(__xludf.DUMMYFUNCTION("""COMPUTED_VALUE"""),45876)</f>
        <v/>
      </c>
      <c r="T69" s="45">
        <f>IFERROR(__xludf.DUMMYFUNCTION("""COMPUTED_VALUE"""),"Mississauga, ON, CA")</f>
        <v/>
      </c>
      <c r="U69" s="45" t="n"/>
      <c r="V69" s="45" t="n"/>
      <c r="W69" s="45" t="n"/>
      <c r="X69" s="45" t="n"/>
      <c r="Y69" s="46">
        <f>IFERROR(__xludf.DUMMYFUNCTION("""COMPUTED_VALUE"""),45825)</f>
        <v/>
      </c>
      <c r="Z69" s="46">
        <f>IFERROR(__xludf.DUMMYFUNCTION("""COMPUTED_VALUE"""),45854)</f>
        <v/>
      </c>
      <c r="AA69" s="46">
        <f>IFERROR(__xludf.DUMMYFUNCTION("""COMPUTED_VALUE"""),45867)</f>
        <v/>
      </c>
      <c r="AB69" s="45">
        <f>IFERROR(__xludf.DUMMYFUNCTION("""COMPUTED_VALUE"""),"3500 Argentia Road")</f>
        <v/>
      </c>
      <c r="AC69" s="45" t="n"/>
      <c r="AD69" s="45">
        <f>IFERROR(__xludf.DUMMYFUNCTION("""COMPUTED_VALUE"""),"OCEAN")</f>
        <v/>
      </c>
      <c r="AE69" s="45">
        <f>IFERROR(__xludf.DUMMYFUNCTION("""COMPUTED_VALUE"""),"N")</f>
        <v/>
      </c>
      <c r="AF69" s="45" t="n"/>
      <c r="AG69" s="49">
        <f>IFERROR(__xludf.DUMMYFUNCTION("IFNA(vlookup(H69,IMPORTRANGE(""1vUGwO1n0QQGx9kKbO0_M5gmuhXZ6-LaxQxgrmJnzgP0"",""'TP# look up'!A:C""),3,0),"""")"),"")</f>
        <v/>
      </c>
      <c r="AH69" s="49">
        <f>LEFT(J69,2)</f>
        <v/>
      </c>
    </row>
    <row r="70" hidden="1" ht="12.75" customHeight="1">
      <c r="A70" s="45">
        <f>IFERROR(__xludf.DUMMYFUNCTION("""COMPUTED_VALUE"""),"Colombo")</f>
        <v/>
      </c>
      <c r="B70" s="45" t="n"/>
      <c r="C70" s="45">
        <f>IFERROR(__xludf.DUMMYFUNCTION("""COMPUTED_VALUE"""),3231352)</f>
        <v/>
      </c>
      <c r="D70" s="45" t="n"/>
      <c r="E70" s="45">
        <f>IFERROR(__xludf.DUMMYFUNCTION("""COMPUTED_VALUE"""),"CFS")</f>
        <v/>
      </c>
      <c r="F70" s="45">
        <f>IFERROR(__xludf.DUMMYFUNCTION("""COMPUTED_VALUE"""),"Bodyline Trading (Private) Limited")</f>
        <v/>
      </c>
      <c r="G70" s="45">
        <f>IFERROR(__xludf.DUMMYFUNCTION("""COMPUTED_VALUE"""),"Bodyline (Private) Limited")</f>
        <v/>
      </c>
      <c r="H70" s="43">
        <f>IFERROR(__xludf.DUMMYFUNCTION("""COMPUTED_VALUE"""),451161766919)</f>
        <v/>
      </c>
      <c r="I70" s="45">
        <f>IFERROR(__xludf.DUMMYFUNCTION("""COMPUTED_VALUE"""),19878553)</f>
        <v/>
      </c>
      <c r="J70" s="45">
        <f>IFERROR(__xludf.DUMMYFUNCTION("""COMPUTED_VALUE"""),"LW2DQ0S")</f>
        <v/>
      </c>
      <c r="K70" s="45">
        <f>IFERROR(__xludf.DUMMYFUNCTION("""COMPUTED_VALUE"""),"LW2DQ0S-0001")</f>
        <v/>
      </c>
      <c r="L70" s="45">
        <f>IFERROR(__xludf.DUMMYFUNCTION("""COMPUTED_VALUE"""),11)</f>
        <v/>
      </c>
      <c r="M70" s="45">
        <f>IFERROR(__xludf.DUMMYFUNCTION("""COMPUTED_VALUE"""),563)</f>
        <v/>
      </c>
      <c r="N70" s="45">
        <f>IFERROR(__xludf.DUMMYFUNCTION("""COMPUTED_VALUE"""),69.554)</f>
        <v/>
      </c>
      <c r="O70" s="45">
        <f>IFERROR(__xludf.DUMMYFUNCTION("""COMPUTED_VALUE"""),0.813)</f>
        <v/>
      </c>
      <c r="P70" s="45">
        <f>IFERROR(__xludf.DUMMYFUNCTION("""COMPUTED_VALUE"""),"Colombo, LK")</f>
        <v/>
      </c>
      <c r="Q70" s="45">
        <f>IFERROR(__xludf.DUMMYFUNCTION("""COMPUTED_VALUE"""),"New York, NY, US")</f>
        <v/>
      </c>
      <c r="R70" s="44">
        <f>IFERROR(__xludf.DUMMYFUNCTION("""COMPUTED_VALUE"""),45817)</f>
        <v/>
      </c>
      <c r="S70" s="44">
        <f>IFERROR(__xludf.DUMMYFUNCTION("""COMPUTED_VALUE"""),45876)</f>
        <v/>
      </c>
      <c r="T70" s="45">
        <f>IFERROR(__xludf.DUMMYFUNCTION("""COMPUTED_VALUE"""),"Milton, ON, CA")</f>
        <v/>
      </c>
      <c r="U70" s="45" t="n"/>
      <c r="V70" s="45" t="n"/>
      <c r="W70" s="45" t="n"/>
      <c r="X70" s="45" t="n"/>
      <c r="Y70" s="46">
        <f>IFERROR(__xludf.DUMMYFUNCTION("""COMPUTED_VALUE"""),45825)</f>
        <v/>
      </c>
      <c r="Z70" s="46">
        <f>IFERROR(__xludf.DUMMYFUNCTION("""COMPUTED_VALUE"""),45854)</f>
        <v/>
      </c>
      <c r="AA70" s="46">
        <f>IFERROR(__xludf.DUMMYFUNCTION("""COMPUTED_VALUE"""),45867)</f>
        <v/>
      </c>
      <c r="AB70" s="45">
        <f>IFERROR(__xludf.DUMMYFUNCTION("""COMPUTED_VALUE"""),"7211 Fifth Line")</f>
        <v/>
      </c>
      <c r="AC70" s="45" t="n"/>
      <c r="AD70" s="45">
        <f>IFERROR(__xludf.DUMMYFUNCTION("""COMPUTED_VALUE"""),"OCEAN")</f>
        <v/>
      </c>
      <c r="AE70" s="45">
        <f>IFERROR(__xludf.DUMMYFUNCTION("""COMPUTED_VALUE"""),"N")</f>
        <v/>
      </c>
      <c r="AF70" s="45" t="n"/>
      <c r="AG70" s="49">
        <f>IFERROR(__xludf.DUMMYFUNCTION("IFNA(vlookup(H70,IMPORTRANGE(""1vUGwO1n0QQGx9kKbO0_M5gmuhXZ6-LaxQxgrmJnzgP0"",""'TP# look up'!A:C""),3,0),"""")"),"")</f>
        <v/>
      </c>
      <c r="AH70" s="49">
        <f>LEFT(J70,2)</f>
        <v/>
      </c>
    </row>
    <row r="71" hidden="1" ht="12.75" customHeight="1">
      <c r="A71" s="45">
        <f>IFERROR(__xludf.DUMMYFUNCTION("""COMPUTED_VALUE"""),"Colombo")</f>
        <v/>
      </c>
      <c r="B71" s="45" t="n"/>
      <c r="C71" s="45">
        <f>IFERROR(__xludf.DUMMYFUNCTION("""COMPUTED_VALUE"""),3231352)</f>
        <v/>
      </c>
      <c r="D71" s="45" t="n"/>
      <c r="E71" s="45">
        <f>IFERROR(__xludf.DUMMYFUNCTION("""COMPUTED_VALUE"""),"CFS")</f>
        <v/>
      </c>
      <c r="F71" s="45">
        <f>IFERROR(__xludf.DUMMYFUNCTION("""COMPUTED_VALUE"""),"Bodyline Trading (Private) Limited")</f>
        <v/>
      </c>
      <c r="G71" s="45">
        <f>IFERROR(__xludf.DUMMYFUNCTION("""COMPUTED_VALUE"""),"Bodyline (Private) Limited")</f>
        <v/>
      </c>
      <c r="H71" s="43">
        <f>IFERROR(__xludf.DUMMYFUNCTION("""COMPUTED_VALUE"""),451168810647)</f>
        <v/>
      </c>
      <c r="I71" s="45">
        <f>IFERROR(__xludf.DUMMYFUNCTION("""COMPUTED_VALUE"""),19878579)</f>
        <v/>
      </c>
      <c r="J71" s="45">
        <f>IFERROR(__xludf.DUMMYFUNCTION("""COMPUTED_VALUE"""),"LW2DQ0S")</f>
        <v/>
      </c>
      <c r="K71" s="45">
        <f>IFERROR(__xludf.DUMMYFUNCTION("""COMPUTED_VALUE"""),"LW2DQ0S-049106")</f>
        <v/>
      </c>
      <c r="L71" s="45">
        <f>IFERROR(__xludf.DUMMYFUNCTION("""COMPUTED_VALUE"""),4)</f>
        <v/>
      </c>
      <c r="M71" s="45">
        <f>IFERROR(__xludf.DUMMYFUNCTION("""COMPUTED_VALUE"""),192)</f>
        <v/>
      </c>
      <c r="N71" s="45">
        <f>IFERROR(__xludf.DUMMYFUNCTION("""COMPUTED_VALUE"""),23.432)</f>
        <v/>
      </c>
      <c r="O71" s="45">
        <f>IFERROR(__xludf.DUMMYFUNCTION("""COMPUTED_VALUE"""),0.322)</f>
        <v/>
      </c>
      <c r="P71" s="45">
        <f>IFERROR(__xludf.DUMMYFUNCTION("""COMPUTED_VALUE"""),"Colombo, LK")</f>
        <v/>
      </c>
      <c r="Q71" s="45">
        <f>IFERROR(__xludf.DUMMYFUNCTION("""COMPUTED_VALUE"""),"New York, NY, US")</f>
        <v/>
      </c>
      <c r="R71" s="44">
        <f>IFERROR(__xludf.DUMMYFUNCTION("""COMPUTED_VALUE"""),45817)</f>
        <v/>
      </c>
      <c r="S71" s="44">
        <f>IFERROR(__xludf.DUMMYFUNCTION("""COMPUTED_VALUE"""),45876)</f>
        <v/>
      </c>
      <c r="T71" s="45">
        <f>IFERROR(__xludf.DUMMYFUNCTION("""COMPUTED_VALUE"""),"Mississauga, ON, CA")</f>
        <v/>
      </c>
      <c r="U71" s="45" t="n"/>
      <c r="V71" s="45" t="n"/>
      <c r="W71" s="45" t="n"/>
      <c r="X71" s="45" t="n"/>
      <c r="Y71" s="46">
        <f>IFERROR(__xludf.DUMMYFUNCTION("""COMPUTED_VALUE"""),45825)</f>
        <v/>
      </c>
      <c r="Z71" s="46">
        <f>IFERROR(__xludf.DUMMYFUNCTION("""COMPUTED_VALUE"""),45854)</f>
        <v/>
      </c>
      <c r="AA71" s="46">
        <f>IFERROR(__xludf.DUMMYFUNCTION("""COMPUTED_VALUE"""),45867)</f>
        <v/>
      </c>
      <c r="AB71" s="45">
        <f>IFERROR(__xludf.DUMMYFUNCTION("""COMPUTED_VALUE"""),"3500 Argentia Road")</f>
        <v/>
      </c>
      <c r="AC71" s="45" t="n"/>
      <c r="AD71" s="45">
        <f>IFERROR(__xludf.DUMMYFUNCTION("""COMPUTED_VALUE"""),"OCEAN")</f>
        <v/>
      </c>
      <c r="AE71" s="45">
        <f>IFERROR(__xludf.DUMMYFUNCTION("""COMPUTED_VALUE"""),"N")</f>
        <v/>
      </c>
      <c r="AF71" s="45" t="n"/>
      <c r="AG71" s="49">
        <f>IFERROR(__xludf.DUMMYFUNCTION("IFNA(vlookup(H71,IMPORTRANGE(""1vUGwO1n0QQGx9kKbO0_M5gmuhXZ6-LaxQxgrmJnzgP0"",""'TP# look up'!A:C""),3,0),"""")"),"")</f>
        <v/>
      </c>
      <c r="AH71" s="49">
        <f>LEFT(J71,2)</f>
        <v/>
      </c>
    </row>
    <row r="72" hidden="1" ht="12.75" customHeight="1">
      <c r="A72" s="45">
        <f>IFERROR(__xludf.DUMMYFUNCTION("""COMPUTED_VALUE"""),"Colombo")</f>
        <v/>
      </c>
      <c r="B72" s="45" t="n"/>
      <c r="C72" s="45">
        <f>IFERROR(__xludf.DUMMYFUNCTION("""COMPUTED_VALUE"""),3231352)</f>
        <v/>
      </c>
      <c r="D72" s="45" t="n"/>
      <c r="E72" s="45">
        <f>IFERROR(__xludf.DUMMYFUNCTION("""COMPUTED_VALUE"""),"CFS")</f>
        <v/>
      </c>
      <c r="F72" s="45">
        <f>IFERROR(__xludf.DUMMYFUNCTION("""COMPUTED_VALUE"""),"Bodyline Trading (Private) Limited")</f>
        <v/>
      </c>
      <c r="G72" s="45">
        <f>IFERROR(__xludf.DUMMYFUNCTION("""COMPUTED_VALUE"""),"Bodyline (Private) Limited")</f>
        <v/>
      </c>
      <c r="H72" s="43">
        <f>IFERROR(__xludf.DUMMYFUNCTION("""COMPUTED_VALUE"""),451169536738)</f>
        <v/>
      </c>
      <c r="I72" s="45">
        <f>IFERROR(__xludf.DUMMYFUNCTION("""COMPUTED_VALUE"""),19878575)</f>
        <v/>
      </c>
      <c r="J72" s="45">
        <f>IFERROR(__xludf.DUMMYFUNCTION("""COMPUTED_VALUE"""),"LW2DQ0S")</f>
        <v/>
      </c>
      <c r="K72" s="45">
        <f>IFERROR(__xludf.DUMMYFUNCTION("""COMPUTED_VALUE"""),"LW2DQ0S-049106")</f>
        <v/>
      </c>
      <c r="L72" s="45">
        <f>IFERROR(__xludf.DUMMYFUNCTION("""COMPUTED_VALUE"""),10)</f>
        <v/>
      </c>
      <c r="M72" s="45">
        <f>IFERROR(__xludf.DUMMYFUNCTION("""COMPUTED_VALUE"""),577)</f>
        <v/>
      </c>
      <c r="N72" s="45">
        <f>IFERROR(__xludf.DUMMYFUNCTION("""COMPUTED_VALUE"""),67.981)</f>
        <v/>
      </c>
      <c r="O72" s="45">
        <f>IFERROR(__xludf.DUMMYFUNCTION("""COMPUTED_VALUE"""),0.769)</f>
        <v/>
      </c>
      <c r="P72" s="45">
        <f>IFERROR(__xludf.DUMMYFUNCTION("""COMPUTED_VALUE"""),"Colombo, LK")</f>
        <v/>
      </c>
      <c r="Q72" s="45">
        <f>IFERROR(__xludf.DUMMYFUNCTION("""COMPUTED_VALUE"""),"New York, NY, US")</f>
        <v/>
      </c>
      <c r="R72" s="44">
        <f>IFERROR(__xludf.DUMMYFUNCTION("""COMPUTED_VALUE"""),45817)</f>
        <v/>
      </c>
      <c r="S72" s="44">
        <f>IFERROR(__xludf.DUMMYFUNCTION("""COMPUTED_VALUE"""),45876)</f>
        <v/>
      </c>
      <c r="T72" s="45">
        <f>IFERROR(__xludf.DUMMYFUNCTION("""COMPUTED_VALUE"""),"Milton, ON, CA")</f>
        <v/>
      </c>
      <c r="U72" s="45" t="n"/>
      <c r="V72" s="45" t="n"/>
      <c r="W72" s="45" t="n"/>
      <c r="X72" s="45" t="n"/>
      <c r="Y72" s="46">
        <f>IFERROR(__xludf.DUMMYFUNCTION("""COMPUTED_VALUE"""),45825)</f>
        <v/>
      </c>
      <c r="Z72" s="46">
        <f>IFERROR(__xludf.DUMMYFUNCTION("""COMPUTED_VALUE"""),45854)</f>
        <v/>
      </c>
      <c r="AA72" s="46">
        <f>IFERROR(__xludf.DUMMYFUNCTION("""COMPUTED_VALUE"""),45867)</f>
        <v/>
      </c>
      <c r="AB72" s="45">
        <f>IFERROR(__xludf.DUMMYFUNCTION("""COMPUTED_VALUE"""),"7211 Fifth Line")</f>
        <v/>
      </c>
      <c r="AC72" s="45" t="n"/>
      <c r="AD72" s="45">
        <f>IFERROR(__xludf.DUMMYFUNCTION("""COMPUTED_VALUE"""),"OCEAN")</f>
        <v/>
      </c>
      <c r="AE72" s="45">
        <f>IFERROR(__xludf.DUMMYFUNCTION("""COMPUTED_VALUE"""),"N")</f>
        <v/>
      </c>
      <c r="AF72" s="45" t="n"/>
      <c r="AG72" s="49">
        <f>IFERROR(__xludf.DUMMYFUNCTION("IFNA(vlookup(H72,IMPORTRANGE(""1vUGwO1n0QQGx9kKbO0_M5gmuhXZ6-LaxQxgrmJnzgP0"",""'TP# look up'!A:C""),3,0),"""")"),"")</f>
        <v/>
      </c>
      <c r="AH72" s="49">
        <f>LEFT(J72,2)</f>
        <v/>
      </c>
    </row>
    <row r="73" hidden="1" ht="12.75" customHeight="1">
      <c r="A73" s="45">
        <f>IFERROR(__xludf.DUMMYFUNCTION("""COMPUTED_VALUE"""),"Colombo")</f>
        <v/>
      </c>
      <c r="B73" s="45" t="n"/>
      <c r="C73" s="45">
        <f>IFERROR(__xludf.DUMMYFUNCTION("""COMPUTED_VALUE"""),3231352)</f>
        <v/>
      </c>
      <c r="D73" s="45" t="n"/>
      <c r="E73" s="45">
        <f>IFERROR(__xludf.DUMMYFUNCTION("""COMPUTED_VALUE"""),"CFS")</f>
        <v/>
      </c>
      <c r="F73" s="45">
        <f>IFERROR(__xludf.DUMMYFUNCTION("""COMPUTED_VALUE"""),"Bodyline Trading (Private) Limited")</f>
        <v/>
      </c>
      <c r="G73" s="45">
        <f>IFERROR(__xludf.DUMMYFUNCTION("""COMPUTED_VALUE"""),"Bodyline (Private) Limited")</f>
        <v/>
      </c>
      <c r="H73" s="43">
        <f>IFERROR(__xludf.DUMMYFUNCTION("""COMPUTED_VALUE"""),451169600827)</f>
        <v/>
      </c>
      <c r="I73" s="45">
        <f>IFERROR(__xludf.DUMMYFUNCTION("""COMPUTED_VALUE"""),19843788)</f>
        <v/>
      </c>
      <c r="J73" s="45">
        <f>IFERROR(__xludf.DUMMYFUNCTION("""COMPUTED_VALUE"""),"LW2DQ0S")</f>
        <v/>
      </c>
      <c r="K73" s="45">
        <f>IFERROR(__xludf.DUMMYFUNCTION("""COMPUTED_VALUE"""),"LW2DQ0S-049106")</f>
        <v/>
      </c>
      <c r="L73" s="45">
        <f>IFERROR(__xludf.DUMMYFUNCTION("""COMPUTED_VALUE"""),1)</f>
        <v/>
      </c>
      <c r="M73" s="45">
        <f>IFERROR(__xludf.DUMMYFUNCTION("""COMPUTED_VALUE"""),24)</f>
        <v/>
      </c>
      <c r="N73" s="45">
        <f>IFERROR(__xludf.DUMMYFUNCTION("""COMPUTED_VALUE"""),3.134)</f>
        <v/>
      </c>
      <c r="O73" s="45">
        <f>IFERROR(__xludf.DUMMYFUNCTION("""COMPUTED_VALUE"""),0.044)</f>
        <v/>
      </c>
      <c r="P73" s="45">
        <f>IFERROR(__xludf.DUMMYFUNCTION("""COMPUTED_VALUE"""),"Colombo, LK")</f>
        <v/>
      </c>
      <c r="Q73" s="45">
        <f>IFERROR(__xludf.DUMMYFUNCTION("""COMPUTED_VALUE"""),"New York, NY, US")</f>
        <v/>
      </c>
      <c r="R73" s="44">
        <f>IFERROR(__xludf.DUMMYFUNCTION("""COMPUTED_VALUE"""),45817)</f>
        <v/>
      </c>
      <c r="S73" s="44">
        <f>IFERROR(__xludf.DUMMYFUNCTION("""COMPUTED_VALUE"""),45876)</f>
        <v/>
      </c>
      <c r="T73" s="45">
        <f>IFERROR(__xludf.DUMMYFUNCTION("""COMPUTED_VALUE"""),"Milton, ON, CA")</f>
        <v/>
      </c>
      <c r="U73" s="45" t="n"/>
      <c r="V73" s="45" t="n"/>
      <c r="W73" s="45" t="n"/>
      <c r="X73" s="45" t="n"/>
      <c r="Y73" s="46">
        <f>IFERROR(__xludf.DUMMYFUNCTION("""COMPUTED_VALUE"""),45825)</f>
        <v/>
      </c>
      <c r="Z73" s="46">
        <f>IFERROR(__xludf.DUMMYFUNCTION("""COMPUTED_VALUE"""),45854)</f>
        <v/>
      </c>
      <c r="AA73" s="46">
        <f>IFERROR(__xludf.DUMMYFUNCTION("""COMPUTED_VALUE"""),45867)</f>
        <v/>
      </c>
      <c r="AB73" s="45">
        <f>IFERROR(__xludf.DUMMYFUNCTION("""COMPUTED_VALUE"""),"7211 Fifth Line")</f>
        <v/>
      </c>
      <c r="AC73" s="45" t="n"/>
      <c r="AD73" s="45">
        <f>IFERROR(__xludf.DUMMYFUNCTION("""COMPUTED_VALUE"""),"OCEAN")</f>
        <v/>
      </c>
      <c r="AE73" s="45">
        <f>IFERROR(__xludf.DUMMYFUNCTION("""COMPUTED_VALUE"""),"N")</f>
        <v/>
      </c>
      <c r="AF73" s="45" t="n"/>
      <c r="AG73" s="49">
        <f>IFERROR(__xludf.DUMMYFUNCTION("IFNA(vlookup(H73,IMPORTRANGE(""1vUGwO1n0QQGx9kKbO0_M5gmuhXZ6-LaxQxgrmJnzgP0"",""'TP# look up'!A:C""),3,0),"""")"),"")</f>
        <v/>
      </c>
      <c r="AH73" s="49">
        <f>LEFT(J73,2)</f>
        <v/>
      </c>
    </row>
    <row r="74" hidden="1" ht="12.75" customHeight="1">
      <c r="A74" s="45">
        <f>IFERROR(__xludf.DUMMYFUNCTION("""COMPUTED_VALUE"""),"Colombo")</f>
        <v/>
      </c>
      <c r="B74" s="45" t="n"/>
      <c r="C74" s="45">
        <f>IFERROR(__xludf.DUMMYFUNCTION("""COMPUTED_VALUE"""),3231352)</f>
        <v/>
      </c>
      <c r="D74" s="45" t="n"/>
      <c r="E74" s="45">
        <f>IFERROR(__xludf.DUMMYFUNCTION("""COMPUTED_VALUE"""),"CFS")</f>
        <v/>
      </c>
      <c r="F74" s="45">
        <f>IFERROR(__xludf.DUMMYFUNCTION("""COMPUTED_VALUE"""),"Bodyline Trading (Private) Limited")</f>
        <v/>
      </c>
      <c r="G74" s="45">
        <f>IFERROR(__xludf.DUMMYFUNCTION("""COMPUTED_VALUE"""),"Bodyline (Private) Limited")</f>
        <v/>
      </c>
      <c r="H74" s="43">
        <f>IFERROR(__xludf.DUMMYFUNCTION("""COMPUTED_VALUE"""),451171021995)</f>
        <v/>
      </c>
      <c r="I74" s="45">
        <f>IFERROR(__xludf.DUMMYFUNCTION("""COMPUTED_VALUE"""),19878807)</f>
        <v/>
      </c>
      <c r="J74" s="45">
        <f>IFERROR(__xludf.DUMMYFUNCTION("""COMPUTED_VALUE"""),"LW2DQ0S")</f>
        <v/>
      </c>
      <c r="K74" s="45">
        <f>IFERROR(__xludf.DUMMYFUNCTION("""COMPUTED_VALUE"""),"LW2DQ0S-049106")</f>
        <v/>
      </c>
      <c r="L74" s="45">
        <f>IFERROR(__xludf.DUMMYFUNCTION("""COMPUTED_VALUE"""),10)</f>
        <v/>
      </c>
      <c r="M74" s="45">
        <f>IFERROR(__xludf.DUMMYFUNCTION("""COMPUTED_VALUE"""),508)</f>
        <v/>
      </c>
      <c r="N74" s="45">
        <f>IFERROR(__xludf.DUMMYFUNCTION("""COMPUTED_VALUE"""),60.539)</f>
        <v/>
      </c>
      <c r="O74" s="45">
        <f>IFERROR(__xludf.DUMMYFUNCTION("""COMPUTED_VALUE"""),0.732)</f>
        <v/>
      </c>
      <c r="P74" s="45">
        <f>IFERROR(__xludf.DUMMYFUNCTION("""COMPUTED_VALUE"""),"Colombo, LK")</f>
        <v/>
      </c>
      <c r="Q74" s="45">
        <f>IFERROR(__xludf.DUMMYFUNCTION("""COMPUTED_VALUE"""),"New York, NY, US")</f>
        <v/>
      </c>
      <c r="R74" s="44">
        <f>IFERROR(__xludf.DUMMYFUNCTION("""COMPUTED_VALUE"""),45817)</f>
        <v/>
      </c>
      <c r="S74" s="44">
        <f>IFERROR(__xludf.DUMMYFUNCTION("""COMPUTED_VALUE"""),45876)</f>
        <v/>
      </c>
      <c r="T74" s="45">
        <f>IFERROR(__xludf.DUMMYFUNCTION("""COMPUTED_VALUE"""),"Mississauga, ON, CA")</f>
        <v/>
      </c>
      <c r="U74" s="45" t="n"/>
      <c r="V74" s="45" t="n"/>
      <c r="W74" s="45" t="n"/>
      <c r="X74" s="45" t="n"/>
      <c r="Y74" s="46">
        <f>IFERROR(__xludf.DUMMYFUNCTION("""COMPUTED_VALUE"""),45825)</f>
        <v/>
      </c>
      <c r="Z74" s="46">
        <f>IFERROR(__xludf.DUMMYFUNCTION("""COMPUTED_VALUE"""),45854)</f>
        <v/>
      </c>
      <c r="AA74" s="46">
        <f>IFERROR(__xludf.DUMMYFUNCTION("""COMPUTED_VALUE"""),45867)</f>
        <v/>
      </c>
      <c r="AB74" s="45">
        <f>IFERROR(__xludf.DUMMYFUNCTION("""COMPUTED_VALUE"""),"3500 Argentia Road")</f>
        <v/>
      </c>
      <c r="AC74" s="45" t="n"/>
      <c r="AD74" s="45">
        <f>IFERROR(__xludf.DUMMYFUNCTION("""COMPUTED_VALUE"""),"OCEAN")</f>
        <v/>
      </c>
      <c r="AE74" s="45">
        <f>IFERROR(__xludf.DUMMYFUNCTION("""COMPUTED_VALUE"""),"N")</f>
        <v/>
      </c>
      <c r="AF74" s="45" t="n"/>
      <c r="AG74" s="49">
        <f>IFERROR(__xludf.DUMMYFUNCTION("IFNA(vlookup(H74,IMPORTRANGE(""1vUGwO1n0QQGx9kKbO0_M5gmuhXZ6-LaxQxgrmJnzgP0"",""'TP# look up'!A:C""),3,0),"""")"),"")</f>
        <v/>
      </c>
      <c r="AH74" s="49">
        <f>LEFT(J74,2)</f>
        <v/>
      </c>
    </row>
    <row r="75" hidden="1" ht="12.75" customHeight="1">
      <c r="A75" s="45">
        <f>IFERROR(__xludf.DUMMYFUNCTION("""COMPUTED_VALUE"""),"Colombo")</f>
        <v/>
      </c>
      <c r="B75" s="45" t="n"/>
      <c r="C75" s="45">
        <f>IFERROR(__xludf.DUMMYFUNCTION("""COMPUTED_VALUE"""),3231352)</f>
        <v/>
      </c>
      <c r="D75" s="45" t="n"/>
      <c r="E75" s="45">
        <f>IFERROR(__xludf.DUMMYFUNCTION("""COMPUTED_VALUE"""),"CFS")</f>
        <v/>
      </c>
      <c r="F75" s="45">
        <f>IFERROR(__xludf.DUMMYFUNCTION("""COMPUTED_VALUE"""),"Bodyline Trading (Private) Limited")</f>
        <v/>
      </c>
      <c r="G75" s="45">
        <f>IFERROR(__xludf.DUMMYFUNCTION("""COMPUTED_VALUE"""),"Bodyline (Private) Limited")</f>
        <v/>
      </c>
      <c r="H75" s="43">
        <f>IFERROR(__xludf.DUMMYFUNCTION("""COMPUTED_VALUE"""),451172827468)</f>
        <v/>
      </c>
      <c r="I75" s="45">
        <f>IFERROR(__xludf.DUMMYFUNCTION("""COMPUTED_VALUE"""),19878587)</f>
        <v/>
      </c>
      <c r="J75" s="45">
        <f>IFERROR(__xludf.DUMMYFUNCTION("""COMPUTED_VALUE"""),"LW2DQ0S")</f>
        <v/>
      </c>
      <c r="K75" s="45">
        <f>IFERROR(__xludf.DUMMYFUNCTION("""COMPUTED_VALUE"""),"LW2DQ0S-031382")</f>
        <v/>
      </c>
      <c r="L75" s="45">
        <f>IFERROR(__xludf.DUMMYFUNCTION("""COMPUTED_VALUE"""),4)</f>
        <v/>
      </c>
      <c r="M75" s="45">
        <f>IFERROR(__xludf.DUMMYFUNCTION("""COMPUTED_VALUE"""),179)</f>
        <v/>
      </c>
      <c r="N75" s="45">
        <f>IFERROR(__xludf.DUMMYFUNCTION("""COMPUTED_VALUE"""),22.164)</f>
        <v/>
      </c>
      <c r="O75" s="45">
        <f>IFERROR(__xludf.DUMMYFUNCTION("""COMPUTED_VALUE"""),0.322)</f>
        <v/>
      </c>
      <c r="P75" s="45">
        <f>IFERROR(__xludf.DUMMYFUNCTION("""COMPUTED_VALUE"""),"Colombo, LK")</f>
        <v/>
      </c>
      <c r="Q75" s="45">
        <f>IFERROR(__xludf.DUMMYFUNCTION("""COMPUTED_VALUE"""),"New York, NY, US")</f>
        <v/>
      </c>
      <c r="R75" s="44">
        <f>IFERROR(__xludf.DUMMYFUNCTION("""COMPUTED_VALUE"""),45817)</f>
        <v/>
      </c>
      <c r="S75" s="44">
        <f>IFERROR(__xludf.DUMMYFUNCTION("""COMPUTED_VALUE"""),45876)</f>
        <v/>
      </c>
      <c r="T75" s="45">
        <f>IFERROR(__xludf.DUMMYFUNCTION("""COMPUTED_VALUE"""),"Mississauga, ON, CA")</f>
        <v/>
      </c>
      <c r="U75" s="45" t="n"/>
      <c r="V75" s="45" t="n"/>
      <c r="W75" s="45" t="n"/>
      <c r="X75" s="45" t="n"/>
      <c r="Y75" s="46">
        <f>IFERROR(__xludf.DUMMYFUNCTION("""COMPUTED_VALUE"""),45825)</f>
        <v/>
      </c>
      <c r="Z75" s="46">
        <f>IFERROR(__xludf.DUMMYFUNCTION("""COMPUTED_VALUE"""),45854)</f>
        <v/>
      </c>
      <c r="AA75" s="46">
        <f>IFERROR(__xludf.DUMMYFUNCTION("""COMPUTED_VALUE"""),45867)</f>
        <v/>
      </c>
      <c r="AB75" s="45">
        <f>IFERROR(__xludf.DUMMYFUNCTION("""COMPUTED_VALUE"""),"3500 Argentia Road")</f>
        <v/>
      </c>
      <c r="AC75" s="45" t="n"/>
      <c r="AD75" s="45">
        <f>IFERROR(__xludf.DUMMYFUNCTION("""COMPUTED_VALUE"""),"OCEAN")</f>
        <v/>
      </c>
      <c r="AE75" s="45">
        <f>IFERROR(__xludf.DUMMYFUNCTION("""COMPUTED_VALUE"""),"N")</f>
        <v/>
      </c>
      <c r="AF75" s="45" t="n"/>
      <c r="AG75" s="49">
        <f>IFERROR(__xludf.DUMMYFUNCTION("IFNA(vlookup(H75,IMPORTRANGE(""1vUGwO1n0QQGx9kKbO0_M5gmuhXZ6-LaxQxgrmJnzgP0"",""'TP# look up'!A:C""),3,0),"""")"),"")</f>
        <v/>
      </c>
      <c r="AH75" s="49">
        <f>LEFT(J75,2)</f>
        <v/>
      </c>
    </row>
    <row r="76" hidden="1" ht="12.75" customHeight="1">
      <c r="A76" s="45">
        <f>IFERROR(__xludf.DUMMYFUNCTION("""COMPUTED_VALUE"""),"Colombo")</f>
        <v/>
      </c>
      <c r="B76" s="45" t="n"/>
      <c r="C76" s="45">
        <f>IFERROR(__xludf.DUMMYFUNCTION("""COMPUTED_VALUE"""),3231352)</f>
        <v/>
      </c>
      <c r="D76" s="45" t="n"/>
      <c r="E76" s="45">
        <f>IFERROR(__xludf.DUMMYFUNCTION("""COMPUTED_VALUE"""),"CFS")</f>
        <v/>
      </c>
      <c r="F76" s="45">
        <f>IFERROR(__xludf.DUMMYFUNCTION("""COMPUTED_VALUE"""),"Bodyline Trading (Private) Limited")</f>
        <v/>
      </c>
      <c r="G76" s="45">
        <f>IFERROR(__xludf.DUMMYFUNCTION("""COMPUTED_VALUE"""),"Bodyline (Private) Limited")</f>
        <v/>
      </c>
      <c r="H76" s="43">
        <f>IFERROR(__xludf.DUMMYFUNCTION("""COMPUTED_VALUE"""),451173938820)</f>
        <v/>
      </c>
      <c r="I76" s="45">
        <f>IFERROR(__xludf.DUMMYFUNCTION("""COMPUTED_VALUE"""),19878815)</f>
        <v/>
      </c>
      <c r="J76" s="45">
        <f>IFERROR(__xludf.DUMMYFUNCTION("""COMPUTED_VALUE"""),"LW2DQ0S")</f>
        <v/>
      </c>
      <c r="K76" s="45">
        <f>IFERROR(__xludf.DUMMYFUNCTION("""COMPUTED_VALUE"""),"LW2DQ0S-031382")</f>
        <v/>
      </c>
      <c r="L76" s="45">
        <f>IFERROR(__xludf.DUMMYFUNCTION("""COMPUTED_VALUE"""),10)</f>
        <v/>
      </c>
      <c r="M76" s="45">
        <f>IFERROR(__xludf.DUMMYFUNCTION("""COMPUTED_VALUE"""),598)</f>
        <v/>
      </c>
      <c r="N76" s="45">
        <f>IFERROR(__xludf.DUMMYFUNCTION("""COMPUTED_VALUE"""),69.603)</f>
        <v/>
      </c>
      <c r="O76" s="45">
        <f>IFERROR(__xludf.DUMMYFUNCTION("""COMPUTED_VALUE"""),0.769)</f>
        <v/>
      </c>
      <c r="P76" s="45">
        <f>IFERROR(__xludf.DUMMYFUNCTION("""COMPUTED_VALUE"""),"Colombo, LK")</f>
        <v/>
      </c>
      <c r="Q76" s="45">
        <f>IFERROR(__xludf.DUMMYFUNCTION("""COMPUTED_VALUE"""),"New York, NY, US")</f>
        <v/>
      </c>
      <c r="R76" s="44">
        <f>IFERROR(__xludf.DUMMYFUNCTION("""COMPUTED_VALUE"""),45817)</f>
        <v/>
      </c>
      <c r="S76" s="44">
        <f>IFERROR(__xludf.DUMMYFUNCTION("""COMPUTED_VALUE"""),45876)</f>
        <v/>
      </c>
      <c r="T76" s="45">
        <f>IFERROR(__xludf.DUMMYFUNCTION("""COMPUTED_VALUE"""),"Mississauga, ON, CA")</f>
        <v/>
      </c>
      <c r="U76" s="45" t="n"/>
      <c r="V76" s="45" t="n"/>
      <c r="W76" s="45" t="n"/>
      <c r="X76" s="45" t="n"/>
      <c r="Y76" s="46">
        <f>IFERROR(__xludf.DUMMYFUNCTION("""COMPUTED_VALUE"""),45825)</f>
        <v/>
      </c>
      <c r="Z76" s="46">
        <f>IFERROR(__xludf.DUMMYFUNCTION("""COMPUTED_VALUE"""),45854)</f>
        <v/>
      </c>
      <c r="AA76" s="46">
        <f>IFERROR(__xludf.DUMMYFUNCTION("""COMPUTED_VALUE"""),45867)</f>
        <v/>
      </c>
      <c r="AB76" s="45">
        <f>IFERROR(__xludf.DUMMYFUNCTION("""COMPUTED_VALUE"""),"3500 Argentia Road")</f>
        <v/>
      </c>
      <c r="AC76" s="45" t="n"/>
      <c r="AD76" s="45">
        <f>IFERROR(__xludf.DUMMYFUNCTION("""COMPUTED_VALUE"""),"OCEAN")</f>
        <v/>
      </c>
      <c r="AE76" s="45">
        <f>IFERROR(__xludf.DUMMYFUNCTION("""COMPUTED_VALUE"""),"N")</f>
        <v/>
      </c>
      <c r="AF76" s="45" t="n"/>
      <c r="AG76" s="49">
        <f>IFERROR(__xludf.DUMMYFUNCTION("IFNA(vlookup(H76,IMPORTRANGE(""1vUGwO1n0QQGx9kKbO0_M5gmuhXZ6-LaxQxgrmJnzgP0"",""'TP# look up'!A:C""),3,0),"""")"),"")</f>
        <v/>
      </c>
      <c r="AH76" s="49">
        <f>LEFT(J76,2)</f>
        <v/>
      </c>
    </row>
    <row r="77" hidden="1" ht="12.75" customHeight="1">
      <c r="A77" s="45">
        <f>IFERROR(__xludf.DUMMYFUNCTION("""COMPUTED_VALUE"""),"Colombo")</f>
        <v/>
      </c>
      <c r="B77" s="45" t="n"/>
      <c r="C77" s="45">
        <f>IFERROR(__xludf.DUMMYFUNCTION("""COMPUTED_VALUE"""),3231352)</f>
        <v/>
      </c>
      <c r="D77" s="45" t="n"/>
      <c r="E77" s="45">
        <f>IFERROR(__xludf.DUMMYFUNCTION("""COMPUTED_VALUE"""),"CFS")</f>
        <v/>
      </c>
      <c r="F77" s="45">
        <f>IFERROR(__xludf.DUMMYFUNCTION("""COMPUTED_VALUE"""),"Bodyline Trading (Private) Limited")</f>
        <v/>
      </c>
      <c r="G77" s="45">
        <f>IFERROR(__xludf.DUMMYFUNCTION("""COMPUTED_VALUE"""),"Bodyline (Private) Limited")</f>
        <v/>
      </c>
      <c r="H77" s="43">
        <f>IFERROR(__xludf.DUMMYFUNCTION("""COMPUTED_VALUE"""),451175525212)</f>
        <v/>
      </c>
      <c r="I77" s="45">
        <f>IFERROR(__xludf.DUMMYFUNCTION("""COMPUTED_VALUE"""),19878359)</f>
        <v/>
      </c>
      <c r="J77" s="45">
        <f>IFERROR(__xludf.DUMMYFUNCTION("""COMPUTED_VALUE"""),"LW2731S")</f>
        <v/>
      </c>
      <c r="K77" s="45">
        <f>IFERROR(__xludf.DUMMYFUNCTION("""COMPUTED_VALUE"""),"LW2731S-0002")</f>
        <v/>
      </c>
      <c r="L77" s="45">
        <f>IFERROR(__xludf.DUMMYFUNCTION("""COMPUTED_VALUE"""),7)</f>
        <v/>
      </c>
      <c r="M77" s="45">
        <f>IFERROR(__xludf.DUMMYFUNCTION("""COMPUTED_VALUE"""),383)</f>
        <v/>
      </c>
      <c r="N77" s="45">
        <f>IFERROR(__xludf.DUMMYFUNCTION("""COMPUTED_VALUE"""),39.777)</f>
        <v/>
      </c>
      <c r="O77" s="45">
        <f>IFERROR(__xludf.DUMMYFUNCTION("""COMPUTED_VALUE"""),0.564)</f>
        <v/>
      </c>
      <c r="P77" s="45">
        <f>IFERROR(__xludf.DUMMYFUNCTION("""COMPUTED_VALUE"""),"Colombo, LK")</f>
        <v/>
      </c>
      <c r="Q77" s="45">
        <f>IFERROR(__xludf.DUMMYFUNCTION("""COMPUTED_VALUE"""),"New York, NY, US")</f>
        <v/>
      </c>
      <c r="R77" s="44">
        <f>IFERROR(__xludf.DUMMYFUNCTION("""COMPUTED_VALUE"""),45817)</f>
        <v/>
      </c>
      <c r="S77" s="44">
        <f>IFERROR(__xludf.DUMMYFUNCTION("""COMPUTED_VALUE"""),45876)</f>
        <v/>
      </c>
      <c r="T77" s="45">
        <f>IFERROR(__xludf.DUMMYFUNCTION("""COMPUTED_VALUE"""),"Mississauga, ON, CA")</f>
        <v/>
      </c>
      <c r="U77" s="45" t="n"/>
      <c r="V77" s="45" t="n"/>
      <c r="W77" s="45" t="n"/>
      <c r="X77" s="45" t="n"/>
      <c r="Y77" s="46">
        <f>IFERROR(__xludf.DUMMYFUNCTION("""COMPUTED_VALUE"""),45825)</f>
        <v/>
      </c>
      <c r="Z77" s="46">
        <f>IFERROR(__xludf.DUMMYFUNCTION("""COMPUTED_VALUE"""),45854)</f>
        <v/>
      </c>
      <c r="AA77" s="46">
        <f>IFERROR(__xludf.DUMMYFUNCTION("""COMPUTED_VALUE"""),45867)</f>
        <v/>
      </c>
      <c r="AB77" s="45">
        <f>IFERROR(__xludf.DUMMYFUNCTION("""COMPUTED_VALUE"""),"3500 Argentia Road")</f>
        <v/>
      </c>
      <c r="AC77" s="45" t="n"/>
      <c r="AD77" s="45">
        <f>IFERROR(__xludf.DUMMYFUNCTION("""COMPUTED_VALUE"""),"OCEAN")</f>
        <v/>
      </c>
      <c r="AE77" s="45">
        <f>IFERROR(__xludf.DUMMYFUNCTION("""COMPUTED_VALUE"""),"N")</f>
        <v/>
      </c>
      <c r="AF77" s="45" t="n"/>
      <c r="AG77" s="49">
        <f>IFERROR(__xludf.DUMMYFUNCTION("IFNA(vlookup(H77,IMPORTRANGE(""1vUGwO1n0QQGx9kKbO0_M5gmuhXZ6-LaxQxgrmJnzgP0"",""'TP# look up'!A:C""),3,0),"""")"),"")</f>
        <v/>
      </c>
      <c r="AH77" s="49">
        <f>LEFT(J77,2)</f>
        <v/>
      </c>
    </row>
    <row r="78" hidden="1" ht="12.75" customHeight="1">
      <c r="A78" s="45">
        <f>IFERROR(__xludf.DUMMYFUNCTION("""COMPUTED_VALUE"""),"Colombo")</f>
        <v/>
      </c>
      <c r="B78" s="45" t="n"/>
      <c r="C78" s="45">
        <f>IFERROR(__xludf.DUMMYFUNCTION("""COMPUTED_VALUE"""),3231352)</f>
        <v/>
      </c>
      <c r="D78" s="45" t="n"/>
      <c r="E78" s="45">
        <f>IFERROR(__xludf.DUMMYFUNCTION("""COMPUTED_VALUE"""),"CFS")</f>
        <v/>
      </c>
      <c r="F78" s="45">
        <f>IFERROR(__xludf.DUMMYFUNCTION("""COMPUTED_VALUE"""),"MAS AMITY PTE LTD")</f>
        <v/>
      </c>
      <c r="G78" s="45">
        <f>IFERROR(__xludf.DUMMYFUNCTION("""COMPUTED_VALUE"""),"MAS Active (Pvt) Ltd - Linea Intimo")</f>
        <v/>
      </c>
      <c r="H78" s="43">
        <f>IFERROR(__xludf.DUMMYFUNCTION("""COMPUTED_VALUE"""),452591479944)</f>
        <v/>
      </c>
      <c r="I78" s="45">
        <f>IFERROR(__xludf.DUMMYFUNCTION("""COMPUTED_VALUE"""),19900407)</f>
        <v/>
      </c>
      <c r="J78" s="45">
        <f>IFERROR(__xludf.DUMMYFUNCTION("""COMPUTED_VALUE"""),"LW3DFMS")</f>
        <v/>
      </c>
      <c r="K78" s="45">
        <f>IFERROR(__xludf.DUMMYFUNCTION("""COMPUTED_VALUE"""),"LW3DFMS-071306")</f>
        <v/>
      </c>
      <c r="L78" s="45">
        <f>IFERROR(__xludf.DUMMYFUNCTION("""COMPUTED_VALUE"""),8)</f>
        <v/>
      </c>
      <c r="M78" s="45">
        <f>IFERROR(__xludf.DUMMYFUNCTION("""COMPUTED_VALUE"""),517)</f>
        <v/>
      </c>
      <c r="N78" s="45">
        <f>IFERROR(__xludf.DUMMYFUNCTION("""COMPUTED_VALUE"""),65.681)</f>
        <v/>
      </c>
      <c r="O78" s="45">
        <f>IFERROR(__xludf.DUMMYFUNCTION("""COMPUTED_VALUE"""),0.513)</f>
        <v/>
      </c>
      <c r="P78" s="45">
        <f>IFERROR(__xludf.DUMMYFUNCTION("""COMPUTED_VALUE"""),"Colombo, LK")</f>
        <v/>
      </c>
      <c r="Q78" s="45">
        <f>IFERROR(__xludf.DUMMYFUNCTION("""COMPUTED_VALUE"""),"New York, NY, US")</f>
        <v/>
      </c>
      <c r="R78" s="44">
        <f>IFERROR(__xludf.DUMMYFUNCTION("""COMPUTED_VALUE"""),45817)</f>
        <v/>
      </c>
      <c r="S78" s="44">
        <f>IFERROR(__xludf.DUMMYFUNCTION("""COMPUTED_VALUE"""),45876)</f>
        <v/>
      </c>
      <c r="T78" s="45">
        <f>IFERROR(__xludf.DUMMYFUNCTION("""COMPUTED_VALUE"""),"Milton, ON, CA")</f>
        <v/>
      </c>
      <c r="U78" s="45" t="n"/>
      <c r="V78" s="45" t="n"/>
      <c r="W78" s="45" t="n"/>
      <c r="X78" s="45" t="n"/>
      <c r="Y78" s="46">
        <f>IFERROR(__xludf.DUMMYFUNCTION("""COMPUTED_VALUE"""),45825)</f>
        <v/>
      </c>
      <c r="Z78" s="46">
        <f>IFERROR(__xludf.DUMMYFUNCTION("""COMPUTED_VALUE"""),45854)</f>
        <v/>
      </c>
      <c r="AA78" s="46">
        <f>IFERROR(__xludf.DUMMYFUNCTION("""COMPUTED_VALUE"""),45867)</f>
        <v/>
      </c>
      <c r="AB78" s="45">
        <f>IFERROR(__xludf.DUMMYFUNCTION("""COMPUTED_VALUE"""),"7211 Fifth Line")</f>
        <v/>
      </c>
      <c r="AC78" s="45" t="n"/>
      <c r="AD78" s="45">
        <f>IFERROR(__xludf.DUMMYFUNCTION("""COMPUTED_VALUE"""),"OCEAN")</f>
        <v/>
      </c>
      <c r="AE78" s="45">
        <f>IFERROR(__xludf.DUMMYFUNCTION("""COMPUTED_VALUE"""),"N")</f>
        <v/>
      </c>
      <c r="AF78" s="45" t="n"/>
      <c r="AG78" s="49">
        <f>IFERROR(__xludf.DUMMYFUNCTION("IFNA(vlookup(H78,IMPORTRANGE(""1vUGwO1n0QQGx9kKbO0_M5gmuhXZ6-LaxQxgrmJnzgP0"",""'TP# look up'!A:C""),3,0),"""")"),"")</f>
        <v/>
      </c>
      <c r="AH78" s="49">
        <f>LEFT(J78,2)</f>
        <v/>
      </c>
    </row>
    <row r="79" hidden="1" ht="12.75" customHeight="1">
      <c r="A79" s="45">
        <f>IFERROR(__xludf.DUMMYFUNCTION("""COMPUTED_VALUE"""),"Colombo")</f>
        <v/>
      </c>
      <c r="B79" s="45" t="n"/>
      <c r="C79" s="45">
        <f>IFERROR(__xludf.DUMMYFUNCTION("""COMPUTED_VALUE"""),3231352)</f>
        <v/>
      </c>
      <c r="D79" s="45" t="n"/>
      <c r="E79" s="45">
        <f>IFERROR(__xludf.DUMMYFUNCTION("""COMPUTED_VALUE"""),"CFS")</f>
        <v/>
      </c>
      <c r="F79" s="45">
        <f>IFERROR(__xludf.DUMMYFUNCTION("""COMPUTED_VALUE"""),"MAS AMITY PTE LTD")</f>
        <v/>
      </c>
      <c r="G79" s="45">
        <f>IFERROR(__xludf.DUMMYFUNCTION("""COMPUTED_VALUE"""),"MAS Active (Pvt) Ltd - Linea Intimo")</f>
        <v/>
      </c>
      <c r="H79" s="43">
        <f>IFERROR(__xludf.DUMMYFUNCTION("""COMPUTED_VALUE"""),451421072368)</f>
        <v/>
      </c>
      <c r="I79" s="45">
        <f>IFERROR(__xludf.DUMMYFUNCTION("""COMPUTED_VALUE"""),91018432)</f>
        <v/>
      </c>
      <c r="J79" s="45">
        <f>IFERROR(__xludf.DUMMYFUNCTION("""COMPUTED_VALUE"""),"LW1CHRS")</f>
        <v/>
      </c>
      <c r="K79" s="45">
        <f>IFERROR(__xludf.DUMMYFUNCTION("""COMPUTED_VALUE"""),"LW1CHRS-071306")</f>
        <v/>
      </c>
      <c r="L79" s="45">
        <f>IFERROR(__xludf.DUMMYFUNCTION("""COMPUTED_VALUE"""),5)</f>
        <v/>
      </c>
      <c r="M79" s="45">
        <f>IFERROR(__xludf.DUMMYFUNCTION("""COMPUTED_VALUE"""),245)</f>
        <v/>
      </c>
      <c r="N79" s="45">
        <f>IFERROR(__xludf.DUMMYFUNCTION("""COMPUTED_VALUE"""),27.3)</f>
        <v/>
      </c>
      <c r="O79" s="45">
        <f>IFERROR(__xludf.DUMMYFUNCTION("""COMPUTED_VALUE"""),0.238)</f>
        <v/>
      </c>
      <c r="P79" s="45">
        <f>IFERROR(__xludf.DUMMYFUNCTION("""COMPUTED_VALUE"""),"Colombo, LK")</f>
        <v/>
      </c>
      <c r="Q79" s="45">
        <f>IFERROR(__xludf.DUMMYFUNCTION("""COMPUTED_VALUE"""),"New York, NY, US")</f>
        <v/>
      </c>
      <c r="R79" s="44">
        <f>IFERROR(__xludf.DUMMYFUNCTION("""COMPUTED_VALUE"""),45817)</f>
        <v/>
      </c>
      <c r="S79" s="44">
        <f>IFERROR(__xludf.DUMMYFUNCTION("""COMPUTED_VALUE"""),45881)</f>
        <v/>
      </c>
      <c r="T79" s="45">
        <f>IFERROR(__xludf.DUMMYFUNCTION("""COMPUTED_VALUE"""),"Mississauga, ON, CA")</f>
        <v/>
      </c>
      <c r="U79" s="45" t="n"/>
      <c r="V79" s="45" t="n"/>
      <c r="W79" s="45" t="n"/>
      <c r="X79" s="45" t="n"/>
      <c r="Y79" s="46">
        <f>IFERROR(__xludf.DUMMYFUNCTION("""COMPUTED_VALUE"""),45825)</f>
        <v/>
      </c>
      <c r="Z79" s="46">
        <f>IFERROR(__xludf.DUMMYFUNCTION("""COMPUTED_VALUE"""),45854)</f>
        <v/>
      </c>
      <c r="AA79" s="46">
        <f>IFERROR(__xludf.DUMMYFUNCTION("""COMPUTED_VALUE"""),45867)</f>
        <v/>
      </c>
      <c r="AB79" s="45">
        <f>IFERROR(__xludf.DUMMYFUNCTION("""COMPUTED_VALUE"""),"3500 Argentia Road")</f>
        <v/>
      </c>
      <c r="AC79" s="45" t="n"/>
      <c r="AD79" s="45">
        <f>IFERROR(__xludf.DUMMYFUNCTION("""COMPUTED_VALUE"""),"OCEAN")</f>
        <v/>
      </c>
      <c r="AE79" s="45">
        <f>IFERROR(__xludf.DUMMYFUNCTION("""COMPUTED_VALUE"""),"N")</f>
        <v/>
      </c>
      <c r="AF79" s="45" t="n"/>
      <c r="AG79" s="49">
        <f>IFERROR(__xludf.DUMMYFUNCTION("IFNA(vlookup(H79,IMPORTRANGE(""1vUGwO1n0QQGx9kKbO0_M5gmuhXZ6-LaxQxgrmJnzgP0"",""'TP# look up'!A:C""),3,0),"""")"),"")</f>
        <v/>
      </c>
      <c r="AH79" s="49">
        <f>LEFT(J79,2)</f>
        <v/>
      </c>
    </row>
    <row r="80" hidden="1" ht="12.75" customHeight="1">
      <c r="A80" s="45">
        <f>IFERROR(__xludf.DUMMYFUNCTION("""COMPUTED_VALUE"""),"Colombo")</f>
        <v/>
      </c>
      <c r="B80" s="45" t="n"/>
      <c r="C80" s="45">
        <f>IFERROR(__xludf.DUMMYFUNCTION("""COMPUTED_VALUE"""),3231352)</f>
        <v/>
      </c>
      <c r="D80" s="45" t="n"/>
      <c r="E80" s="45">
        <f>IFERROR(__xludf.DUMMYFUNCTION("""COMPUTED_VALUE"""),"CFS")</f>
        <v/>
      </c>
      <c r="F80" s="45">
        <f>IFERROR(__xludf.DUMMYFUNCTION("""COMPUTED_VALUE"""),"MAS AMITY PTE LTD")</f>
        <v/>
      </c>
      <c r="G80" s="45">
        <f>IFERROR(__xludf.DUMMYFUNCTION("""COMPUTED_VALUE"""),"MAS Active (Pvt) Ltd – Shadowline")</f>
        <v/>
      </c>
      <c r="H80" s="43">
        <f>IFERROR(__xludf.DUMMYFUNCTION("""COMPUTED_VALUE"""),451416148463)</f>
        <v/>
      </c>
      <c r="I80" s="45">
        <f>IFERROR(__xludf.DUMMYFUNCTION("""COMPUTED_VALUE"""),19899888)</f>
        <v/>
      </c>
      <c r="J80" s="45">
        <f>IFERROR(__xludf.DUMMYFUNCTION("""COMPUTED_VALUE"""),"LW1DUDS")</f>
        <v/>
      </c>
      <c r="K80" s="45">
        <f>IFERROR(__xludf.DUMMYFUNCTION("""COMPUTED_VALUE"""),"LW1DUDS-0002")</f>
        <v/>
      </c>
      <c r="L80" s="45">
        <f>IFERROR(__xludf.DUMMYFUNCTION("""COMPUTED_VALUE"""),8)</f>
        <v/>
      </c>
      <c r="M80" s="45">
        <f>IFERROR(__xludf.DUMMYFUNCTION("""COMPUTED_VALUE"""),400)</f>
        <v/>
      </c>
      <c r="N80" s="45">
        <f>IFERROR(__xludf.DUMMYFUNCTION("""COMPUTED_VALUE"""),64.338)</f>
        <v/>
      </c>
      <c r="O80" s="45">
        <f>IFERROR(__xludf.DUMMYFUNCTION("""COMPUTED_VALUE"""),0.553)</f>
        <v/>
      </c>
      <c r="P80" s="45">
        <f>IFERROR(__xludf.DUMMYFUNCTION("""COMPUTED_VALUE"""),"Colombo, LK")</f>
        <v/>
      </c>
      <c r="Q80" s="45">
        <f>IFERROR(__xludf.DUMMYFUNCTION("""COMPUTED_VALUE"""),"New York, NY, US")</f>
        <v/>
      </c>
      <c r="R80" s="44">
        <f>IFERROR(__xludf.DUMMYFUNCTION("""COMPUTED_VALUE"""),45817)</f>
        <v/>
      </c>
      <c r="S80" s="44">
        <f>IFERROR(__xludf.DUMMYFUNCTION("""COMPUTED_VALUE"""),45876)</f>
        <v/>
      </c>
      <c r="T80" s="45">
        <f>IFERROR(__xludf.DUMMYFUNCTION("""COMPUTED_VALUE"""),"Milton, ON, CA")</f>
        <v/>
      </c>
      <c r="U80" s="45" t="n"/>
      <c r="V80" s="45" t="n"/>
      <c r="W80" s="45" t="n"/>
      <c r="X80" s="45" t="n"/>
      <c r="Y80" s="46">
        <f>IFERROR(__xludf.DUMMYFUNCTION("""COMPUTED_VALUE"""),45825)</f>
        <v/>
      </c>
      <c r="Z80" s="46">
        <f>IFERROR(__xludf.DUMMYFUNCTION("""COMPUTED_VALUE"""),45854)</f>
        <v/>
      </c>
      <c r="AA80" s="46">
        <f>IFERROR(__xludf.DUMMYFUNCTION("""COMPUTED_VALUE"""),45867)</f>
        <v/>
      </c>
      <c r="AB80" s="45">
        <f>IFERROR(__xludf.DUMMYFUNCTION("""COMPUTED_VALUE"""),"7211 Fifth Line")</f>
        <v/>
      </c>
      <c r="AC80" s="45" t="n"/>
      <c r="AD80" s="45">
        <f>IFERROR(__xludf.DUMMYFUNCTION("""COMPUTED_VALUE"""),"OCEAN")</f>
        <v/>
      </c>
      <c r="AE80" s="45">
        <f>IFERROR(__xludf.DUMMYFUNCTION("""COMPUTED_VALUE"""),"N")</f>
        <v/>
      </c>
      <c r="AF80" s="45" t="n"/>
      <c r="AG80" s="49">
        <f>IFERROR(__xludf.DUMMYFUNCTION("IFNA(vlookup(H80,IMPORTRANGE(""1vUGwO1n0QQGx9kKbO0_M5gmuhXZ6-LaxQxgrmJnzgP0"",""'TP# look up'!A:C""),3,0),"""")"),"")</f>
        <v/>
      </c>
      <c r="AH80" s="49">
        <f>LEFT(J80,2)</f>
        <v/>
      </c>
    </row>
    <row r="81" hidden="1" ht="12.75" customHeight="1">
      <c r="A81" s="45">
        <f>IFERROR(__xludf.DUMMYFUNCTION("""COMPUTED_VALUE"""),"Colombo")</f>
        <v/>
      </c>
      <c r="B81" s="45" t="n"/>
      <c r="C81" s="45">
        <f>IFERROR(__xludf.DUMMYFUNCTION("""COMPUTED_VALUE"""),3231352)</f>
        <v/>
      </c>
      <c r="D81" s="45" t="n"/>
      <c r="E81" s="45">
        <f>IFERROR(__xludf.DUMMYFUNCTION("""COMPUTED_VALUE"""),"CFS")</f>
        <v/>
      </c>
      <c r="F81" s="45">
        <f>IFERROR(__xludf.DUMMYFUNCTION("""COMPUTED_VALUE"""),"MAS AMITY PTE LTD")</f>
        <v/>
      </c>
      <c r="G81" s="45">
        <f>IFERROR(__xludf.DUMMYFUNCTION("""COMPUTED_VALUE"""),"MAS Active (Pvt) Ltd – Shadowline")</f>
        <v/>
      </c>
      <c r="H81" s="43">
        <f>IFERROR(__xludf.DUMMYFUNCTION("""COMPUTED_VALUE"""),451424660897)</f>
        <v/>
      </c>
      <c r="I81" s="45">
        <f>IFERROR(__xludf.DUMMYFUNCTION("""COMPUTED_VALUE"""),19342204)</f>
        <v/>
      </c>
      <c r="J81" s="45">
        <f>IFERROR(__xludf.DUMMYFUNCTION("""COMPUTED_VALUE"""),"LW7DDOS")</f>
        <v/>
      </c>
      <c r="K81" s="45">
        <f>IFERROR(__xludf.DUMMYFUNCTION("""COMPUTED_VALUE"""),"LW7DDOS-069005")</f>
        <v/>
      </c>
      <c r="L81" s="45">
        <f>IFERROR(__xludf.DUMMYFUNCTION("""COMPUTED_VALUE"""),15)</f>
        <v/>
      </c>
      <c r="M81" s="45">
        <f>IFERROR(__xludf.DUMMYFUNCTION("""COMPUTED_VALUE"""),1405)</f>
        <v/>
      </c>
      <c r="N81" s="45">
        <f>IFERROR(__xludf.DUMMYFUNCTION("""COMPUTED_VALUE"""),220.582)</f>
        <v/>
      </c>
      <c r="O81" s="45">
        <f>IFERROR(__xludf.DUMMYFUNCTION("""COMPUTED_VALUE"""),1.106)</f>
        <v/>
      </c>
      <c r="P81" s="45">
        <f>IFERROR(__xludf.DUMMYFUNCTION("""COMPUTED_VALUE"""),"Colombo, LK")</f>
        <v/>
      </c>
      <c r="Q81" s="45">
        <f>IFERROR(__xludf.DUMMYFUNCTION("""COMPUTED_VALUE"""),"New York, NY, US")</f>
        <v/>
      </c>
      <c r="R81" s="44">
        <f>IFERROR(__xludf.DUMMYFUNCTION("""COMPUTED_VALUE"""),45817)</f>
        <v/>
      </c>
      <c r="S81" s="44">
        <f>IFERROR(__xludf.DUMMYFUNCTION("""COMPUTED_VALUE"""),45876)</f>
        <v/>
      </c>
      <c r="T81" s="45">
        <f>IFERROR(__xludf.DUMMYFUNCTION("""COMPUTED_VALUE"""),"Mississauga, ON, CA")</f>
        <v/>
      </c>
      <c r="U81" s="45" t="n"/>
      <c r="V81" s="45" t="n"/>
      <c r="W81" s="45" t="n"/>
      <c r="X81" s="45" t="n"/>
      <c r="Y81" s="46">
        <f>IFERROR(__xludf.DUMMYFUNCTION("""COMPUTED_VALUE"""),45825)</f>
        <v/>
      </c>
      <c r="Z81" s="46">
        <f>IFERROR(__xludf.DUMMYFUNCTION("""COMPUTED_VALUE"""),45854)</f>
        <v/>
      </c>
      <c r="AA81" s="46">
        <f>IFERROR(__xludf.DUMMYFUNCTION("""COMPUTED_VALUE"""),45867)</f>
        <v/>
      </c>
      <c r="AB81" s="45">
        <f>IFERROR(__xludf.DUMMYFUNCTION("""COMPUTED_VALUE"""),"3500 Argentia Road")</f>
        <v/>
      </c>
      <c r="AC81" s="45" t="n"/>
      <c r="AD81" s="45">
        <f>IFERROR(__xludf.DUMMYFUNCTION("""COMPUTED_VALUE"""),"OCEAN")</f>
        <v/>
      </c>
      <c r="AE81" s="45">
        <f>IFERROR(__xludf.DUMMYFUNCTION("""COMPUTED_VALUE"""),"N")</f>
        <v/>
      </c>
      <c r="AF81" s="45" t="n"/>
      <c r="AG81" s="49">
        <f>IFERROR(__xludf.DUMMYFUNCTION("IFNA(vlookup(H81,IMPORTRANGE(""1vUGwO1n0QQGx9kKbO0_M5gmuhXZ6-LaxQxgrmJnzgP0"",""'TP# look up'!A:C""),3,0),"""")"),"")</f>
        <v/>
      </c>
      <c r="AH81" s="49">
        <f>LEFT(J81,2)</f>
        <v/>
      </c>
    </row>
    <row r="82" hidden="1" ht="12.75" customHeight="1">
      <c r="A82" s="45">
        <f>IFERROR(__xludf.DUMMYFUNCTION("""COMPUTED_VALUE"""),"Colombo")</f>
        <v/>
      </c>
      <c r="B82" s="45" t="n"/>
      <c r="C82" s="45">
        <f>IFERROR(__xludf.DUMMYFUNCTION("""COMPUTED_VALUE"""),3231352)</f>
        <v/>
      </c>
      <c r="D82" s="45" t="n"/>
      <c r="E82" s="45">
        <f>IFERROR(__xludf.DUMMYFUNCTION("""COMPUTED_VALUE"""),"CFS")</f>
        <v/>
      </c>
      <c r="F82" s="45">
        <f>IFERROR(__xludf.DUMMYFUNCTION("""COMPUTED_VALUE"""),"MAS AMITY PTE LTD")</f>
        <v/>
      </c>
      <c r="G82" s="45">
        <f>IFERROR(__xludf.DUMMYFUNCTION("""COMPUTED_VALUE"""),"MAS Fabrics (Pvt) Ltd Intimo")</f>
        <v/>
      </c>
      <c r="H82" s="43">
        <f>IFERROR(__xludf.DUMMYFUNCTION("""COMPUTED_VALUE"""),451405687375)</f>
        <v/>
      </c>
      <c r="I82" s="45">
        <f>IFERROR(__xludf.DUMMYFUNCTION("""COMPUTED_VALUE"""),19900278)</f>
        <v/>
      </c>
      <c r="J82" s="45">
        <f>IFERROR(__xludf.DUMMYFUNCTION("""COMPUTED_VALUE"""),"LM3FG2S")</f>
        <v/>
      </c>
      <c r="K82" s="45">
        <f>IFERROR(__xludf.DUMMYFUNCTION("""COMPUTED_VALUE"""),"LM3FG2S-049910")</f>
        <v/>
      </c>
      <c r="L82" s="45">
        <f>IFERROR(__xludf.DUMMYFUNCTION("""COMPUTED_VALUE"""),14)</f>
        <v/>
      </c>
      <c r="M82" s="45">
        <f>IFERROR(__xludf.DUMMYFUNCTION("""COMPUTED_VALUE"""),977)</f>
        <v/>
      </c>
      <c r="N82" s="45">
        <f>IFERROR(__xludf.DUMMYFUNCTION("""COMPUTED_VALUE"""),165.221)</f>
        <v/>
      </c>
      <c r="O82" s="45">
        <f>IFERROR(__xludf.DUMMYFUNCTION("""COMPUTED_VALUE"""),1.106)</f>
        <v/>
      </c>
      <c r="P82" s="45">
        <f>IFERROR(__xludf.DUMMYFUNCTION("""COMPUTED_VALUE"""),"Colombo, LK")</f>
        <v/>
      </c>
      <c r="Q82" s="45">
        <f>IFERROR(__xludf.DUMMYFUNCTION("""COMPUTED_VALUE"""),"New York, NY, US")</f>
        <v/>
      </c>
      <c r="R82" s="44">
        <f>IFERROR(__xludf.DUMMYFUNCTION("""COMPUTED_VALUE"""),45817)</f>
        <v/>
      </c>
      <c r="S82" s="44">
        <f>IFERROR(__xludf.DUMMYFUNCTION("""COMPUTED_VALUE"""),45876)</f>
        <v/>
      </c>
      <c r="T82" s="45">
        <f>IFERROR(__xludf.DUMMYFUNCTION("""COMPUTED_VALUE"""),"Milton, ON, CA")</f>
        <v/>
      </c>
      <c r="U82" s="45" t="n"/>
      <c r="V82" s="45" t="n"/>
      <c r="W82" s="45" t="n"/>
      <c r="X82" s="45" t="n"/>
      <c r="Y82" s="46">
        <f>IFERROR(__xludf.DUMMYFUNCTION("""COMPUTED_VALUE"""),45825)</f>
        <v/>
      </c>
      <c r="Z82" s="46">
        <f>IFERROR(__xludf.DUMMYFUNCTION("""COMPUTED_VALUE"""),45854)</f>
        <v/>
      </c>
      <c r="AA82" s="46">
        <f>IFERROR(__xludf.DUMMYFUNCTION("""COMPUTED_VALUE"""),45867)</f>
        <v/>
      </c>
      <c r="AB82" s="45">
        <f>IFERROR(__xludf.DUMMYFUNCTION("""COMPUTED_VALUE"""),"7211 Fifth Line")</f>
        <v/>
      </c>
      <c r="AC82" s="45" t="n"/>
      <c r="AD82" s="45">
        <f>IFERROR(__xludf.DUMMYFUNCTION("""COMPUTED_VALUE"""),"OCEAN")</f>
        <v/>
      </c>
      <c r="AE82" s="45">
        <f>IFERROR(__xludf.DUMMYFUNCTION("""COMPUTED_VALUE"""),"N")</f>
        <v/>
      </c>
      <c r="AF82" s="45" t="n"/>
      <c r="AG82" s="49">
        <f>IFERROR(__xludf.DUMMYFUNCTION("IFNA(vlookup(H82,IMPORTRANGE(""1vUGwO1n0QQGx9kKbO0_M5gmuhXZ6-LaxQxgrmJnzgP0"",""'TP# look up'!A:C""),3,0),"""")"),"")</f>
        <v/>
      </c>
      <c r="AH82" s="49">
        <f>LEFT(J82,2)</f>
        <v/>
      </c>
    </row>
    <row r="83" hidden="1" ht="12.75" customHeight="1">
      <c r="A83" s="45">
        <f>IFERROR(__xludf.DUMMYFUNCTION("""COMPUTED_VALUE"""),"Colombo")</f>
        <v/>
      </c>
      <c r="B83" s="45" t="n"/>
      <c r="C83" s="45">
        <f>IFERROR(__xludf.DUMMYFUNCTION("""COMPUTED_VALUE"""),3231352)</f>
        <v/>
      </c>
      <c r="D83" s="45" t="n"/>
      <c r="E83" s="45">
        <f>IFERROR(__xludf.DUMMYFUNCTION("""COMPUTED_VALUE"""),"CFS")</f>
        <v/>
      </c>
      <c r="F83" s="45">
        <f>IFERROR(__xludf.DUMMYFUNCTION("""COMPUTED_VALUE"""),"MAS AMITY PTE LTD")</f>
        <v/>
      </c>
      <c r="G83" s="45">
        <f>IFERROR(__xludf.DUMMYFUNCTION("""COMPUTED_VALUE"""),"MAS Fabrics (Pvt) Ltd Intimo")</f>
        <v/>
      </c>
      <c r="H83" s="43">
        <f>IFERROR(__xludf.DUMMYFUNCTION("""COMPUTED_VALUE"""),451416661296)</f>
        <v/>
      </c>
      <c r="I83" s="45">
        <f>IFERROR(__xludf.DUMMYFUNCTION("""COMPUTED_VALUE"""),19920165)</f>
        <v/>
      </c>
      <c r="J83" s="45">
        <f>IFERROR(__xludf.DUMMYFUNCTION("""COMPUTED_VALUE"""),"LM3FG2S")</f>
        <v/>
      </c>
      <c r="K83" s="45">
        <f>IFERROR(__xludf.DUMMYFUNCTION("""COMPUTED_VALUE"""),"LM3FG2S-049910")</f>
        <v/>
      </c>
      <c r="L83" s="45">
        <f>IFERROR(__xludf.DUMMYFUNCTION("""COMPUTED_VALUE"""),9)</f>
        <v/>
      </c>
      <c r="M83" s="45">
        <f>IFERROR(__xludf.DUMMYFUNCTION("""COMPUTED_VALUE"""),621)</f>
        <v/>
      </c>
      <c r="N83" s="45">
        <f>IFERROR(__xludf.DUMMYFUNCTION("""COMPUTED_VALUE"""),105.775)</f>
        <v/>
      </c>
      <c r="O83" s="45">
        <f>IFERROR(__xludf.DUMMYFUNCTION("""COMPUTED_VALUE"""),0.711)</f>
        <v/>
      </c>
      <c r="P83" s="45">
        <f>IFERROR(__xludf.DUMMYFUNCTION("""COMPUTED_VALUE"""),"Colombo, LK")</f>
        <v/>
      </c>
      <c r="Q83" s="45">
        <f>IFERROR(__xludf.DUMMYFUNCTION("""COMPUTED_VALUE"""),"New York, NY, US")</f>
        <v/>
      </c>
      <c r="R83" s="44">
        <f>IFERROR(__xludf.DUMMYFUNCTION("""COMPUTED_VALUE"""),45817)</f>
        <v/>
      </c>
      <c r="S83" s="44">
        <f>IFERROR(__xludf.DUMMYFUNCTION("""COMPUTED_VALUE"""),45876)</f>
        <v/>
      </c>
      <c r="T83" s="45">
        <f>IFERROR(__xludf.DUMMYFUNCTION("""COMPUTED_VALUE"""),"Mississauga, ON, CA")</f>
        <v/>
      </c>
      <c r="U83" s="45" t="n"/>
      <c r="V83" s="45" t="n"/>
      <c r="W83" s="45" t="n"/>
      <c r="X83" s="45" t="n"/>
      <c r="Y83" s="46">
        <f>IFERROR(__xludf.DUMMYFUNCTION("""COMPUTED_VALUE"""),45825)</f>
        <v/>
      </c>
      <c r="Z83" s="46">
        <f>IFERROR(__xludf.DUMMYFUNCTION("""COMPUTED_VALUE"""),45854)</f>
        <v/>
      </c>
      <c r="AA83" s="46">
        <f>IFERROR(__xludf.DUMMYFUNCTION("""COMPUTED_VALUE"""),45867)</f>
        <v/>
      </c>
      <c r="AB83" s="45">
        <f>IFERROR(__xludf.DUMMYFUNCTION("""COMPUTED_VALUE"""),"3500 Argentia Road")</f>
        <v/>
      </c>
      <c r="AC83" s="45" t="n"/>
      <c r="AD83" s="45">
        <f>IFERROR(__xludf.DUMMYFUNCTION("""COMPUTED_VALUE"""),"OCEAN")</f>
        <v/>
      </c>
      <c r="AE83" s="45">
        <f>IFERROR(__xludf.DUMMYFUNCTION("""COMPUTED_VALUE"""),"N")</f>
        <v/>
      </c>
      <c r="AF83" s="45" t="n"/>
      <c r="AG83" s="49">
        <f>IFERROR(__xludf.DUMMYFUNCTION("IFNA(vlookup(H83,IMPORTRANGE(""1vUGwO1n0QQGx9kKbO0_M5gmuhXZ6-LaxQxgrmJnzgP0"",""'TP# look up'!A:C""),3,0),"""")"),"")</f>
        <v/>
      </c>
      <c r="AH83" s="49">
        <f>LEFT(J83,2)</f>
        <v/>
      </c>
    </row>
    <row r="84" hidden="1" ht="12.75" customHeight="1">
      <c r="A84" s="45">
        <f>IFERROR(__xludf.DUMMYFUNCTION("""COMPUTED_VALUE"""),"Colombo")</f>
        <v/>
      </c>
      <c r="B84" s="45" t="n"/>
      <c r="C84" s="45">
        <f>IFERROR(__xludf.DUMMYFUNCTION("""COMPUTED_VALUE"""),3231352)</f>
        <v/>
      </c>
      <c r="D84" s="45" t="n"/>
      <c r="E84" s="45">
        <f>IFERROR(__xludf.DUMMYFUNCTION("""COMPUTED_VALUE"""),"CFS")</f>
        <v/>
      </c>
      <c r="F84" s="45">
        <f>IFERROR(__xludf.DUMMYFUNCTION("""COMPUTED_VALUE"""),"Inqube Global (PVT) Ltd")</f>
        <v/>
      </c>
      <c r="G84" s="45">
        <f>IFERROR(__xludf.DUMMYFUNCTION("""COMPUTED_VALUE"""),"Quantum Clothing Lanka (Pvt) Ltd")</f>
        <v/>
      </c>
      <c r="H84" s="43">
        <f>IFERROR(__xludf.DUMMYFUNCTION("""COMPUTED_VALUE"""),451355082421)</f>
        <v/>
      </c>
      <c r="I84" s="45">
        <f>IFERROR(__xludf.DUMMYFUNCTION("""COMPUTED_VALUE"""),19727222)</f>
        <v/>
      </c>
      <c r="J84" s="45">
        <f>IFERROR(__xludf.DUMMYFUNCTION("""COMPUTED_VALUE"""),"LW2E01S")</f>
        <v/>
      </c>
      <c r="K84" s="45">
        <f>IFERROR(__xludf.DUMMYFUNCTION("""COMPUTED_VALUE"""),"LW2E01S-031382")</f>
        <v/>
      </c>
      <c r="L84" s="45">
        <f>IFERROR(__xludf.DUMMYFUNCTION("""COMPUTED_VALUE"""),17)</f>
        <v/>
      </c>
      <c r="M84" s="45">
        <f>IFERROR(__xludf.DUMMYFUNCTION("""COMPUTED_VALUE"""),156)</f>
        <v/>
      </c>
      <c r="N84" s="45">
        <f>IFERROR(__xludf.DUMMYFUNCTION("""COMPUTED_VALUE"""),58.654)</f>
        <v/>
      </c>
      <c r="O84" s="45">
        <f>IFERROR(__xludf.DUMMYFUNCTION("""COMPUTED_VALUE"""),1.428)</f>
        <v/>
      </c>
      <c r="P84" s="45">
        <f>IFERROR(__xludf.DUMMYFUNCTION("""COMPUTED_VALUE"""),"Colombo, LK")</f>
        <v/>
      </c>
      <c r="Q84" s="45">
        <f>IFERROR(__xludf.DUMMYFUNCTION("""COMPUTED_VALUE"""),"New York, NY, US")</f>
        <v/>
      </c>
      <c r="R84" s="44">
        <f>IFERROR(__xludf.DUMMYFUNCTION("""COMPUTED_VALUE"""),45817)</f>
        <v/>
      </c>
      <c r="S84" s="44">
        <f>IFERROR(__xludf.DUMMYFUNCTION("""COMPUTED_VALUE"""),45876)</f>
        <v/>
      </c>
      <c r="T84" s="45">
        <f>IFERROR(__xludf.DUMMYFUNCTION("""COMPUTED_VALUE"""),"Mississauga, ON, CA")</f>
        <v/>
      </c>
      <c r="U84" s="45" t="n"/>
      <c r="V84" s="45" t="n"/>
      <c r="W84" s="45" t="n"/>
      <c r="X84" s="45" t="n"/>
      <c r="Y84" s="46">
        <f>IFERROR(__xludf.DUMMYFUNCTION("""COMPUTED_VALUE"""),45820)</f>
        <v/>
      </c>
      <c r="Z84" s="46">
        <f>IFERROR(__xludf.DUMMYFUNCTION("""COMPUTED_VALUE"""),45854)</f>
        <v/>
      </c>
      <c r="AA84" s="46">
        <f>IFERROR(__xludf.DUMMYFUNCTION("""COMPUTED_VALUE"""),45867)</f>
        <v/>
      </c>
      <c r="AB84" s="45">
        <f>IFERROR(__xludf.DUMMYFUNCTION("""COMPUTED_VALUE"""),"3500 Argentia Road")</f>
        <v/>
      </c>
      <c r="AC84" s="45" t="n"/>
      <c r="AD84" s="45">
        <f>IFERROR(__xludf.DUMMYFUNCTION("""COMPUTED_VALUE"""),"OCEAN")</f>
        <v/>
      </c>
      <c r="AE84" s="45">
        <f>IFERROR(__xludf.DUMMYFUNCTION("""COMPUTED_VALUE"""),"N")</f>
        <v/>
      </c>
      <c r="AF84" s="45">
        <f>IFERROR(__xludf.DUMMYFUNCTION("""COMPUTED_VALUE"""),"Qty changed from 159 to 156.0, Weight changed from 59.145 to 58.654, Gross Weight changed from 59.145 to 58.654")</f>
        <v/>
      </c>
      <c r="AG84" s="49">
        <f>IFERROR(__xludf.DUMMYFUNCTION("IFNA(vlookup(H84,IMPORTRANGE(""1vUGwO1n0QQGx9kKbO0_M5gmuhXZ6-LaxQxgrmJnzgP0"",""'TP# look up'!A:C""),3,0),"""")"),"")</f>
        <v/>
      </c>
      <c r="AH84" s="49">
        <f>LEFT(J84,2)</f>
        <v/>
      </c>
    </row>
    <row r="85" hidden="1" ht="12.75" customHeight="1">
      <c r="A85" s="45">
        <f>IFERROR(__xludf.DUMMYFUNCTION("""COMPUTED_VALUE"""),"Colombo")</f>
        <v/>
      </c>
      <c r="B85" s="45" t="n"/>
      <c r="C85" s="45">
        <f>IFERROR(__xludf.DUMMYFUNCTION("""COMPUTED_VALUE"""),3231352)</f>
        <v/>
      </c>
      <c r="D85" s="45" t="n"/>
      <c r="E85" s="45">
        <f>IFERROR(__xludf.DUMMYFUNCTION("""COMPUTED_VALUE"""),"CFS")</f>
        <v/>
      </c>
      <c r="F85" s="45">
        <f>IFERROR(__xludf.DUMMYFUNCTION("""COMPUTED_VALUE"""),"Inqube Global (PVT) Ltd")</f>
        <v/>
      </c>
      <c r="G85" s="45">
        <f>IFERROR(__xludf.DUMMYFUNCTION("""COMPUTED_VALUE"""),"Quantum Clothing Lanka (Pvt) Ltd")</f>
        <v/>
      </c>
      <c r="H85" s="43">
        <f>IFERROR(__xludf.DUMMYFUNCTION("""COMPUTED_VALUE"""),451357658362)</f>
        <v/>
      </c>
      <c r="I85" s="45">
        <f>IFERROR(__xludf.DUMMYFUNCTION("""COMPUTED_VALUE"""),19727223)</f>
        <v/>
      </c>
      <c r="J85" s="45">
        <f>IFERROR(__xludf.DUMMYFUNCTION("""COMPUTED_VALUE"""),"LW2E01S")</f>
        <v/>
      </c>
      <c r="K85" s="45">
        <f>IFERROR(__xludf.DUMMYFUNCTION("""COMPUTED_VALUE"""),"LW2E01S-031382")</f>
        <v/>
      </c>
      <c r="L85" s="45">
        <f>IFERROR(__xludf.DUMMYFUNCTION("""COMPUTED_VALUE"""),12)</f>
        <v/>
      </c>
      <c r="M85" s="45">
        <f>IFERROR(__xludf.DUMMYFUNCTION("""COMPUTED_VALUE"""),111)</f>
        <v/>
      </c>
      <c r="N85" s="45">
        <f>IFERROR(__xludf.DUMMYFUNCTION("""COMPUTED_VALUE"""),40.325)</f>
        <v/>
      </c>
      <c r="O85" s="45">
        <f>IFERROR(__xludf.DUMMYFUNCTION("""COMPUTED_VALUE"""),0.966)</f>
        <v/>
      </c>
      <c r="P85" s="45">
        <f>IFERROR(__xludf.DUMMYFUNCTION("""COMPUTED_VALUE"""),"Colombo, LK")</f>
        <v/>
      </c>
      <c r="Q85" s="45">
        <f>IFERROR(__xludf.DUMMYFUNCTION("""COMPUTED_VALUE"""),"New York, NY, US")</f>
        <v/>
      </c>
      <c r="R85" s="44">
        <f>IFERROR(__xludf.DUMMYFUNCTION("""COMPUTED_VALUE"""),45817)</f>
        <v/>
      </c>
      <c r="S85" s="44">
        <f>IFERROR(__xludf.DUMMYFUNCTION("""COMPUTED_VALUE"""),45876)</f>
        <v/>
      </c>
      <c r="T85" s="45">
        <f>IFERROR(__xludf.DUMMYFUNCTION("""COMPUTED_VALUE"""),"Mississauga, ON, CA")</f>
        <v/>
      </c>
      <c r="U85" s="45" t="n"/>
      <c r="V85" s="45" t="n"/>
      <c r="W85" s="45" t="n"/>
      <c r="X85" s="45" t="n"/>
      <c r="Y85" s="46">
        <f>IFERROR(__xludf.DUMMYFUNCTION("""COMPUTED_VALUE"""),45825)</f>
        <v/>
      </c>
      <c r="Z85" s="46">
        <f>IFERROR(__xludf.DUMMYFUNCTION("""COMPUTED_VALUE"""),45854)</f>
        <v/>
      </c>
      <c r="AA85" s="46">
        <f>IFERROR(__xludf.DUMMYFUNCTION("""COMPUTED_VALUE"""),45867)</f>
        <v/>
      </c>
      <c r="AB85" s="45">
        <f>IFERROR(__xludf.DUMMYFUNCTION("""COMPUTED_VALUE"""),"3500 Argentia Road")</f>
        <v/>
      </c>
      <c r="AC85" s="45" t="n"/>
      <c r="AD85" s="45">
        <f>IFERROR(__xludf.DUMMYFUNCTION("""COMPUTED_VALUE"""),"OCEAN")</f>
        <v/>
      </c>
      <c r="AE85" s="45">
        <f>IFERROR(__xludf.DUMMYFUNCTION("""COMPUTED_VALUE"""),"N")</f>
        <v/>
      </c>
      <c r="AF85" s="45" t="n"/>
      <c r="AG85" s="49">
        <f>IFERROR(__xludf.DUMMYFUNCTION("IFNA(vlookup(H85,IMPORTRANGE(""1vUGwO1n0QQGx9kKbO0_M5gmuhXZ6-LaxQxgrmJnzgP0"",""'TP# look up'!A:C""),3,0),"""")"),"")</f>
        <v/>
      </c>
      <c r="AH85" s="49">
        <f>LEFT(J85,2)</f>
        <v/>
      </c>
    </row>
    <row r="86" hidden="1" ht="12.75" customHeight="1">
      <c r="A86" s="45">
        <f>IFERROR(__xludf.DUMMYFUNCTION("""COMPUTED_VALUE"""),"Colombo")</f>
        <v/>
      </c>
      <c r="B86" s="45" t="n"/>
      <c r="C86" s="45">
        <f>IFERROR(__xludf.DUMMYFUNCTION("""COMPUTED_VALUE"""),3231352)</f>
        <v/>
      </c>
      <c r="D86" s="45" t="n"/>
      <c r="E86" s="45">
        <f>IFERROR(__xludf.DUMMYFUNCTION("""COMPUTED_VALUE"""),"CFS")</f>
        <v/>
      </c>
      <c r="F86" s="45">
        <f>IFERROR(__xludf.DUMMYFUNCTION("""COMPUTED_VALUE"""),"Inqube Global (PVT) Ltd")</f>
        <v/>
      </c>
      <c r="G86" s="45">
        <f>IFERROR(__xludf.DUMMYFUNCTION("""COMPUTED_VALUE"""),"Quantum Clothing Lanka (Pvt) Ltd")</f>
        <v/>
      </c>
      <c r="H86" s="43">
        <f>IFERROR(__xludf.DUMMYFUNCTION("""COMPUTED_VALUE"""),451368400268)</f>
        <v/>
      </c>
      <c r="I86" s="45">
        <f>IFERROR(__xludf.DUMMYFUNCTION("""COMPUTED_VALUE"""),19757212)</f>
        <v/>
      </c>
      <c r="J86" s="45">
        <f>IFERROR(__xludf.DUMMYFUNCTION("""COMPUTED_VALUE"""),"LW2E01S")</f>
        <v/>
      </c>
      <c r="K86" s="45">
        <f>IFERROR(__xludf.DUMMYFUNCTION("""COMPUTED_VALUE"""),"LW2E01S-031382")</f>
        <v/>
      </c>
      <c r="L86" s="45">
        <f>IFERROR(__xludf.DUMMYFUNCTION("""COMPUTED_VALUE"""),6)</f>
        <v/>
      </c>
      <c r="M86" s="45">
        <f>IFERROR(__xludf.DUMMYFUNCTION("""COMPUTED_VALUE"""),51)</f>
        <v/>
      </c>
      <c r="N86" s="45">
        <f>IFERROR(__xludf.DUMMYFUNCTION("""COMPUTED_VALUE"""),18.671)</f>
        <v/>
      </c>
      <c r="O86" s="45">
        <f>IFERROR(__xludf.DUMMYFUNCTION("""COMPUTED_VALUE"""),0.462)</f>
        <v/>
      </c>
      <c r="P86" s="45">
        <f>IFERROR(__xludf.DUMMYFUNCTION("""COMPUTED_VALUE"""),"Colombo, LK")</f>
        <v/>
      </c>
      <c r="Q86" s="45">
        <f>IFERROR(__xludf.DUMMYFUNCTION("""COMPUTED_VALUE"""),"New York, NY, US")</f>
        <v/>
      </c>
      <c r="R86" s="44">
        <f>IFERROR(__xludf.DUMMYFUNCTION("""COMPUTED_VALUE"""),45817)</f>
        <v/>
      </c>
      <c r="S86" s="44">
        <f>IFERROR(__xludf.DUMMYFUNCTION("""COMPUTED_VALUE"""),45876)</f>
        <v/>
      </c>
      <c r="T86" s="45">
        <f>IFERROR(__xludf.DUMMYFUNCTION("""COMPUTED_VALUE"""),"Mississauga, ON, CA")</f>
        <v/>
      </c>
      <c r="U86" s="45" t="n"/>
      <c r="V86" s="45" t="n"/>
      <c r="W86" s="45" t="n"/>
      <c r="X86" s="45" t="n"/>
      <c r="Y86" s="46">
        <f>IFERROR(__xludf.DUMMYFUNCTION("""COMPUTED_VALUE"""),45825)</f>
        <v/>
      </c>
      <c r="Z86" s="46">
        <f>IFERROR(__xludf.DUMMYFUNCTION("""COMPUTED_VALUE"""),45854)</f>
        <v/>
      </c>
      <c r="AA86" s="46">
        <f>IFERROR(__xludf.DUMMYFUNCTION("""COMPUTED_VALUE"""),45867)</f>
        <v/>
      </c>
      <c r="AB86" s="45">
        <f>IFERROR(__xludf.DUMMYFUNCTION("""COMPUTED_VALUE"""),"3500 Argentia Road")</f>
        <v/>
      </c>
      <c r="AC86" s="45" t="n"/>
      <c r="AD86" s="45">
        <f>IFERROR(__xludf.DUMMYFUNCTION("""COMPUTED_VALUE"""),"OCEAN")</f>
        <v/>
      </c>
      <c r="AE86" s="45">
        <f>IFERROR(__xludf.DUMMYFUNCTION("""COMPUTED_VALUE"""),"N")</f>
        <v/>
      </c>
      <c r="AF86" s="45" t="n"/>
      <c r="AG86" s="49">
        <f>IFERROR(__xludf.DUMMYFUNCTION("IFNA(vlookup(H86,IMPORTRANGE(""1vUGwO1n0QQGx9kKbO0_M5gmuhXZ6-LaxQxgrmJnzgP0"",""'TP# look up'!A:C""),3,0),"""")"),"")</f>
        <v/>
      </c>
      <c r="AH86" s="49">
        <f>LEFT(J86,2)</f>
        <v/>
      </c>
    </row>
    <row r="87" hidden="1" ht="12.75" customHeight="1">
      <c r="A87" s="45">
        <f>IFERROR(__xludf.DUMMYFUNCTION("""COMPUTED_VALUE"""),"Colombo")</f>
        <v/>
      </c>
      <c r="B87" s="45" t="n"/>
      <c r="C87" s="45">
        <f>IFERROR(__xludf.DUMMYFUNCTION("""COMPUTED_VALUE"""),3231352)</f>
        <v/>
      </c>
      <c r="D87" s="45" t="n"/>
      <c r="E87" s="45">
        <f>IFERROR(__xludf.DUMMYFUNCTION("""COMPUTED_VALUE"""),"CFS")</f>
        <v/>
      </c>
      <c r="F87" s="45">
        <f>IFERROR(__xludf.DUMMYFUNCTION("""COMPUTED_VALUE"""),"Inqube Global (PVT) Ltd")</f>
        <v/>
      </c>
      <c r="G87" s="45">
        <f>IFERROR(__xludf.DUMMYFUNCTION("""COMPUTED_VALUE"""),"Quantum Clothing Lanka (Pvt) Ltd")</f>
        <v/>
      </c>
      <c r="H87" s="43">
        <f>IFERROR(__xludf.DUMMYFUNCTION("""COMPUTED_VALUE"""),451368661595)</f>
        <v/>
      </c>
      <c r="I87" s="45">
        <f>IFERROR(__xludf.DUMMYFUNCTION("""COMPUTED_VALUE"""),19757213)</f>
        <v/>
      </c>
      <c r="J87" s="45">
        <f>IFERROR(__xludf.DUMMYFUNCTION("""COMPUTED_VALUE"""),"LW2E01S")</f>
        <v/>
      </c>
      <c r="K87" s="45">
        <f>IFERROR(__xludf.DUMMYFUNCTION("""COMPUTED_VALUE"""),"LW2E01S-031382")</f>
        <v/>
      </c>
      <c r="L87" s="45">
        <f>IFERROR(__xludf.DUMMYFUNCTION("""COMPUTED_VALUE"""),5)</f>
        <v/>
      </c>
      <c r="M87" s="45">
        <f>IFERROR(__xludf.DUMMYFUNCTION("""COMPUTED_VALUE"""),36)</f>
        <v/>
      </c>
      <c r="N87" s="45">
        <f>IFERROR(__xludf.DUMMYFUNCTION("""COMPUTED_VALUE"""),14.35)</f>
        <v/>
      </c>
      <c r="O87" s="45">
        <f>IFERROR(__xludf.DUMMYFUNCTION("""COMPUTED_VALUE"""),0.378)</f>
        <v/>
      </c>
      <c r="P87" s="45">
        <f>IFERROR(__xludf.DUMMYFUNCTION("""COMPUTED_VALUE"""),"Colombo, LK")</f>
        <v/>
      </c>
      <c r="Q87" s="45">
        <f>IFERROR(__xludf.DUMMYFUNCTION("""COMPUTED_VALUE"""),"New York, NY, US")</f>
        <v/>
      </c>
      <c r="R87" s="44">
        <f>IFERROR(__xludf.DUMMYFUNCTION("""COMPUTED_VALUE"""),45817)</f>
        <v/>
      </c>
      <c r="S87" s="44">
        <f>IFERROR(__xludf.DUMMYFUNCTION("""COMPUTED_VALUE"""),45876)</f>
        <v/>
      </c>
      <c r="T87" s="45">
        <f>IFERROR(__xludf.DUMMYFUNCTION("""COMPUTED_VALUE"""),"Mississauga, ON, CA")</f>
        <v/>
      </c>
      <c r="U87" s="45" t="n"/>
      <c r="V87" s="45" t="n"/>
      <c r="W87" s="45" t="n"/>
      <c r="X87" s="45" t="n"/>
      <c r="Y87" s="46">
        <f>IFERROR(__xludf.DUMMYFUNCTION("""COMPUTED_VALUE"""),45825)</f>
        <v/>
      </c>
      <c r="Z87" s="46">
        <f>IFERROR(__xludf.DUMMYFUNCTION("""COMPUTED_VALUE"""),45854)</f>
        <v/>
      </c>
      <c r="AA87" s="46">
        <f>IFERROR(__xludf.DUMMYFUNCTION("""COMPUTED_VALUE"""),45867)</f>
        <v/>
      </c>
      <c r="AB87" s="45">
        <f>IFERROR(__xludf.DUMMYFUNCTION("""COMPUTED_VALUE"""),"3500 Argentia Road")</f>
        <v/>
      </c>
      <c r="AC87" s="45" t="n"/>
      <c r="AD87" s="45">
        <f>IFERROR(__xludf.DUMMYFUNCTION("""COMPUTED_VALUE"""),"OCEAN")</f>
        <v/>
      </c>
      <c r="AE87" s="45">
        <f>IFERROR(__xludf.DUMMYFUNCTION("""COMPUTED_VALUE"""),"N")</f>
        <v/>
      </c>
      <c r="AF87" s="45" t="n"/>
      <c r="AG87" s="49">
        <f>IFERROR(__xludf.DUMMYFUNCTION("IFNA(vlookup(H87,IMPORTRANGE(""1vUGwO1n0QQGx9kKbO0_M5gmuhXZ6-LaxQxgrmJnzgP0"",""'TP# look up'!A:C""),3,0),"""")"),"")</f>
        <v/>
      </c>
      <c r="AH87" s="49">
        <f>LEFT(J87,2)</f>
        <v/>
      </c>
    </row>
    <row r="88" hidden="1" ht="12.75" customHeight="1">
      <c r="A88" s="45">
        <f>IFERROR(__xludf.DUMMYFUNCTION("""COMPUTED_VALUE"""),"Colombo")</f>
        <v/>
      </c>
      <c r="B88" s="45" t="n"/>
      <c r="C88" s="45">
        <f>IFERROR(__xludf.DUMMYFUNCTION("""COMPUTED_VALUE"""),3231352)</f>
        <v/>
      </c>
      <c r="D88" s="45" t="n"/>
      <c r="E88" s="45">
        <f>IFERROR(__xludf.DUMMYFUNCTION("""COMPUTED_VALUE"""),"CFS")</f>
        <v/>
      </c>
      <c r="F88" s="45">
        <f>IFERROR(__xludf.DUMMYFUNCTION("""COMPUTED_VALUE"""),"Inqube Global (PVT) Ltd")</f>
        <v/>
      </c>
      <c r="G88" s="45">
        <f>IFERROR(__xludf.DUMMYFUNCTION("""COMPUTED_VALUE"""),"Quantum Clothing Lanka (Pvt) Ltd")</f>
        <v/>
      </c>
      <c r="H88" s="43">
        <f>IFERROR(__xludf.DUMMYFUNCTION("""COMPUTED_VALUE"""),451370114997)</f>
        <v/>
      </c>
      <c r="I88" s="45">
        <f>IFERROR(__xludf.DUMMYFUNCTION("""COMPUTED_VALUE"""),19876483)</f>
        <v/>
      </c>
      <c r="J88" s="45">
        <f>IFERROR(__xludf.DUMMYFUNCTION("""COMPUTED_VALUE"""),"LW2EDNS")</f>
        <v/>
      </c>
      <c r="K88" s="45">
        <f>IFERROR(__xludf.DUMMYFUNCTION("""COMPUTED_VALUE"""),"LW2EDNS-0001")</f>
        <v/>
      </c>
      <c r="L88" s="45">
        <f>IFERROR(__xludf.DUMMYFUNCTION("""COMPUTED_VALUE"""),1)</f>
        <v/>
      </c>
      <c r="M88" s="45">
        <f>IFERROR(__xludf.DUMMYFUNCTION("""COMPUTED_VALUE"""),142)</f>
        <v/>
      </c>
      <c r="N88" s="45">
        <f>IFERROR(__xludf.DUMMYFUNCTION("""COMPUTED_VALUE"""),11.006)</f>
        <v/>
      </c>
      <c r="O88" s="45">
        <f>IFERROR(__xludf.DUMMYFUNCTION("""COMPUTED_VALUE"""),0.042)</f>
        <v/>
      </c>
      <c r="P88" s="45">
        <f>IFERROR(__xludf.DUMMYFUNCTION("""COMPUTED_VALUE"""),"Colombo, LK")</f>
        <v/>
      </c>
      <c r="Q88" s="45">
        <f>IFERROR(__xludf.DUMMYFUNCTION("""COMPUTED_VALUE"""),"New York, NY, US")</f>
        <v/>
      </c>
      <c r="R88" s="44">
        <f>IFERROR(__xludf.DUMMYFUNCTION("""COMPUTED_VALUE"""),45817)</f>
        <v/>
      </c>
      <c r="S88" s="44">
        <f>IFERROR(__xludf.DUMMYFUNCTION("""COMPUTED_VALUE"""),45876)</f>
        <v/>
      </c>
      <c r="T88" s="45">
        <f>IFERROR(__xludf.DUMMYFUNCTION("""COMPUTED_VALUE"""),"Mississauga, ON, CA")</f>
        <v/>
      </c>
      <c r="U88" s="45" t="n"/>
      <c r="V88" s="45" t="n"/>
      <c r="W88" s="45" t="n"/>
      <c r="X88" s="45" t="n"/>
      <c r="Y88" s="46">
        <f>IFERROR(__xludf.DUMMYFUNCTION("""COMPUTED_VALUE"""),45825)</f>
        <v/>
      </c>
      <c r="Z88" s="46">
        <f>IFERROR(__xludf.DUMMYFUNCTION("""COMPUTED_VALUE"""),45854)</f>
        <v/>
      </c>
      <c r="AA88" s="46">
        <f>IFERROR(__xludf.DUMMYFUNCTION("""COMPUTED_VALUE"""),45867)</f>
        <v/>
      </c>
      <c r="AB88" s="45">
        <f>IFERROR(__xludf.DUMMYFUNCTION("""COMPUTED_VALUE"""),"3500 Argentia Road")</f>
        <v/>
      </c>
      <c r="AC88" s="45" t="n"/>
      <c r="AD88" s="45">
        <f>IFERROR(__xludf.DUMMYFUNCTION("""COMPUTED_VALUE"""),"OCEAN")</f>
        <v/>
      </c>
      <c r="AE88" s="45">
        <f>IFERROR(__xludf.DUMMYFUNCTION("""COMPUTED_VALUE"""),"N")</f>
        <v/>
      </c>
      <c r="AF88" s="45" t="n"/>
      <c r="AG88" s="49">
        <f>IFERROR(__xludf.DUMMYFUNCTION("IFNA(vlookup(H88,IMPORTRANGE(""1vUGwO1n0QQGx9kKbO0_M5gmuhXZ6-LaxQxgrmJnzgP0"",""'TP# look up'!A:C""),3,0),"""")"),"")</f>
        <v/>
      </c>
      <c r="AH88" s="49">
        <f>LEFT(J88,2)</f>
        <v/>
      </c>
    </row>
    <row r="89" hidden="1" ht="12.75" customHeight="1">
      <c r="A89" s="45">
        <f>IFERROR(__xludf.DUMMYFUNCTION("""COMPUTED_VALUE"""),"Colombo")</f>
        <v/>
      </c>
      <c r="B89" s="45" t="n"/>
      <c r="C89" s="45">
        <f>IFERROR(__xludf.DUMMYFUNCTION("""COMPUTED_VALUE"""),3231352)</f>
        <v/>
      </c>
      <c r="D89" s="45" t="n"/>
      <c r="E89" s="45">
        <f>IFERROR(__xludf.DUMMYFUNCTION("""COMPUTED_VALUE"""),"CFS")</f>
        <v/>
      </c>
      <c r="F89" s="45">
        <f>IFERROR(__xludf.DUMMYFUNCTION("""COMPUTED_VALUE"""),"Inqube Global (PVT) Ltd")</f>
        <v/>
      </c>
      <c r="G89" s="45">
        <f>IFERROR(__xludf.DUMMYFUNCTION("""COMPUTED_VALUE"""),"Quantum Clothing Lanka (Pvt) Ltd")</f>
        <v/>
      </c>
      <c r="H89" s="43">
        <f>IFERROR(__xludf.DUMMYFUNCTION("""COMPUTED_VALUE"""),451371127949)</f>
        <v/>
      </c>
      <c r="I89" s="45">
        <f>IFERROR(__xludf.DUMMYFUNCTION("""COMPUTED_VALUE"""),19876753)</f>
        <v/>
      </c>
      <c r="J89" s="45">
        <f>IFERROR(__xludf.DUMMYFUNCTION("""COMPUTED_VALUE"""),"LW2EDNS")</f>
        <v/>
      </c>
      <c r="K89" s="45">
        <f>IFERROR(__xludf.DUMMYFUNCTION("""COMPUTED_VALUE"""),"LW2EDNS-071150")</f>
        <v/>
      </c>
      <c r="L89" s="45">
        <f>IFERROR(__xludf.DUMMYFUNCTION("""COMPUTED_VALUE"""),1)</f>
        <v/>
      </c>
      <c r="M89" s="45">
        <f>IFERROR(__xludf.DUMMYFUNCTION("""COMPUTED_VALUE"""),97)</f>
        <v/>
      </c>
      <c r="N89" s="45">
        <f>IFERROR(__xludf.DUMMYFUNCTION("""COMPUTED_VALUE"""),7.91)</f>
        <v/>
      </c>
      <c r="O89" s="45">
        <f>IFERROR(__xludf.DUMMYFUNCTION("""COMPUTED_VALUE"""),0.04)</f>
        <v/>
      </c>
      <c r="P89" s="45">
        <f>IFERROR(__xludf.DUMMYFUNCTION("""COMPUTED_VALUE"""),"Colombo, LK")</f>
        <v/>
      </c>
      <c r="Q89" s="45">
        <f>IFERROR(__xludf.DUMMYFUNCTION("""COMPUTED_VALUE"""),"New York, NY, US")</f>
        <v/>
      </c>
      <c r="R89" s="44">
        <f>IFERROR(__xludf.DUMMYFUNCTION("""COMPUTED_VALUE"""),45817)</f>
        <v/>
      </c>
      <c r="S89" s="44">
        <f>IFERROR(__xludf.DUMMYFUNCTION("""COMPUTED_VALUE"""),45876)</f>
        <v/>
      </c>
      <c r="T89" s="45">
        <f>IFERROR(__xludf.DUMMYFUNCTION("""COMPUTED_VALUE"""),"Mississauga, ON, CA")</f>
        <v/>
      </c>
      <c r="U89" s="45" t="n"/>
      <c r="V89" s="45" t="n"/>
      <c r="W89" s="45" t="n"/>
      <c r="X89" s="45" t="n"/>
      <c r="Y89" s="46">
        <f>IFERROR(__xludf.DUMMYFUNCTION("""COMPUTED_VALUE"""),45825)</f>
        <v/>
      </c>
      <c r="Z89" s="46">
        <f>IFERROR(__xludf.DUMMYFUNCTION("""COMPUTED_VALUE"""),45854)</f>
        <v/>
      </c>
      <c r="AA89" s="46">
        <f>IFERROR(__xludf.DUMMYFUNCTION("""COMPUTED_VALUE"""),45867)</f>
        <v/>
      </c>
      <c r="AB89" s="45">
        <f>IFERROR(__xludf.DUMMYFUNCTION("""COMPUTED_VALUE"""),"3500 Argentia Road")</f>
        <v/>
      </c>
      <c r="AC89" s="45" t="n"/>
      <c r="AD89" s="45">
        <f>IFERROR(__xludf.DUMMYFUNCTION("""COMPUTED_VALUE"""),"OCEAN")</f>
        <v/>
      </c>
      <c r="AE89" s="45">
        <f>IFERROR(__xludf.DUMMYFUNCTION("""COMPUTED_VALUE"""),"N")</f>
        <v/>
      </c>
      <c r="AF89" s="45" t="n"/>
      <c r="AG89" s="49">
        <f>IFERROR(__xludf.DUMMYFUNCTION("IFNA(vlookup(H89,IMPORTRANGE(""1vUGwO1n0QQGx9kKbO0_M5gmuhXZ6-LaxQxgrmJnzgP0"",""'TP# look up'!A:C""),3,0),"""")"),"")</f>
        <v/>
      </c>
      <c r="AH89" s="49">
        <f>LEFT(J89,2)</f>
        <v/>
      </c>
    </row>
    <row r="90" hidden="1" ht="12.75" customHeight="1">
      <c r="A90" s="45">
        <f>IFERROR(__xludf.DUMMYFUNCTION("""COMPUTED_VALUE"""),"Colombo")</f>
        <v/>
      </c>
      <c r="B90" s="45" t="n"/>
      <c r="C90" s="45">
        <f>IFERROR(__xludf.DUMMYFUNCTION("""COMPUTED_VALUE"""),3231352)</f>
        <v/>
      </c>
      <c r="D90" s="45" t="n"/>
      <c r="E90" s="45">
        <f>IFERROR(__xludf.DUMMYFUNCTION("""COMPUTED_VALUE"""),"CFS")</f>
        <v/>
      </c>
      <c r="F90" s="45">
        <f>IFERROR(__xludf.DUMMYFUNCTION("""COMPUTED_VALUE"""),"Inqube Global (PVT) Ltd")</f>
        <v/>
      </c>
      <c r="G90" s="45">
        <f>IFERROR(__xludf.DUMMYFUNCTION("""COMPUTED_VALUE"""),"Quantum Clothing Lanka (Pvt) Ltd")</f>
        <v/>
      </c>
      <c r="H90" s="43">
        <f>IFERROR(__xludf.DUMMYFUNCTION("""COMPUTED_VALUE"""),451373106089)</f>
        <v/>
      </c>
      <c r="I90" s="45">
        <f>IFERROR(__xludf.DUMMYFUNCTION("""COMPUTED_VALUE"""),19876731)</f>
        <v/>
      </c>
      <c r="J90" s="45">
        <f>IFERROR(__xludf.DUMMYFUNCTION("""COMPUTED_VALUE"""),"LW2EDNS")</f>
        <v/>
      </c>
      <c r="K90" s="45">
        <f>IFERROR(__xludf.DUMMYFUNCTION("""COMPUTED_VALUE"""),"LW2EDNS-0001")</f>
        <v/>
      </c>
      <c r="L90" s="45">
        <f>IFERROR(__xludf.DUMMYFUNCTION("""COMPUTED_VALUE"""),1)</f>
        <v/>
      </c>
      <c r="M90" s="45">
        <f>IFERROR(__xludf.DUMMYFUNCTION("""COMPUTED_VALUE"""),87)</f>
        <v/>
      </c>
      <c r="N90" s="45">
        <f>IFERROR(__xludf.DUMMYFUNCTION("""COMPUTED_VALUE"""),7.206)</f>
        <v/>
      </c>
      <c r="O90" s="45">
        <f>IFERROR(__xludf.DUMMYFUNCTION("""COMPUTED_VALUE"""),0.04)</f>
        <v/>
      </c>
      <c r="P90" s="45">
        <f>IFERROR(__xludf.DUMMYFUNCTION("""COMPUTED_VALUE"""),"Colombo, LK")</f>
        <v/>
      </c>
      <c r="Q90" s="45">
        <f>IFERROR(__xludf.DUMMYFUNCTION("""COMPUTED_VALUE"""),"New York, NY, US")</f>
        <v/>
      </c>
      <c r="R90" s="44">
        <f>IFERROR(__xludf.DUMMYFUNCTION("""COMPUTED_VALUE"""),45817)</f>
        <v/>
      </c>
      <c r="S90" s="44">
        <f>IFERROR(__xludf.DUMMYFUNCTION("""COMPUTED_VALUE"""),45876)</f>
        <v/>
      </c>
      <c r="T90" s="45">
        <f>IFERROR(__xludf.DUMMYFUNCTION("""COMPUTED_VALUE"""),"Mississauga, ON, CA")</f>
        <v/>
      </c>
      <c r="U90" s="45" t="n"/>
      <c r="V90" s="45" t="n"/>
      <c r="W90" s="45" t="n"/>
      <c r="X90" s="45" t="n"/>
      <c r="Y90" s="46">
        <f>IFERROR(__xludf.DUMMYFUNCTION("""COMPUTED_VALUE"""),45825)</f>
        <v/>
      </c>
      <c r="Z90" s="46">
        <f>IFERROR(__xludf.DUMMYFUNCTION("""COMPUTED_VALUE"""),45854)</f>
        <v/>
      </c>
      <c r="AA90" s="46">
        <f>IFERROR(__xludf.DUMMYFUNCTION("""COMPUTED_VALUE"""),45867)</f>
        <v/>
      </c>
      <c r="AB90" s="45">
        <f>IFERROR(__xludf.DUMMYFUNCTION("""COMPUTED_VALUE"""),"3500 Argentia Road")</f>
        <v/>
      </c>
      <c r="AC90" s="45" t="n"/>
      <c r="AD90" s="45">
        <f>IFERROR(__xludf.DUMMYFUNCTION("""COMPUTED_VALUE"""),"OCEAN")</f>
        <v/>
      </c>
      <c r="AE90" s="45">
        <f>IFERROR(__xludf.DUMMYFUNCTION("""COMPUTED_VALUE"""),"N")</f>
        <v/>
      </c>
      <c r="AF90" s="45" t="n"/>
      <c r="AG90" s="49">
        <f>IFERROR(__xludf.DUMMYFUNCTION("IFNA(vlookup(H90,IMPORTRANGE(""1vUGwO1n0QQGx9kKbO0_M5gmuhXZ6-LaxQxgrmJnzgP0"",""'TP# look up'!A:C""),3,0),"""")"),"")</f>
        <v/>
      </c>
      <c r="AH90" s="49">
        <f>LEFT(J90,2)</f>
        <v/>
      </c>
    </row>
    <row r="91" hidden="1" ht="12.75" customHeight="1">
      <c r="A91" s="45">
        <f>IFERROR(__xludf.DUMMYFUNCTION("""COMPUTED_VALUE"""),"Colombo")</f>
        <v/>
      </c>
      <c r="B91" s="45" t="n"/>
      <c r="C91" s="45">
        <f>IFERROR(__xludf.DUMMYFUNCTION("""COMPUTED_VALUE"""),3231352)</f>
        <v/>
      </c>
      <c r="D91" s="45" t="n"/>
      <c r="E91" s="45">
        <f>IFERROR(__xludf.DUMMYFUNCTION("""COMPUTED_VALUE"""),"CFS")</f>
        <v/>
      </c>
      <c r="F91" s="45">
        <f>IFERROR(__xludf.DUMMYFUNCTION("""COMPUTED_VALUE"""),"Inqube Global (PVT) Ltd")</f>
        <v/>
      </c>
      <c r="G91" s="45">
        <f>IFERROR(__xludf.DUMMYFUNCTION("""COMPUTED_VALUE"""),"Quantum Clothing Lanka (Pvt) Ltd")</f>
        <v/>
      </c>
      <c r="H91" s="43">
        <f>IFERROR(__xludf.DUMMYFUNCTION("""COMPUTED_VALUE"""),451376496626)</f>
        <v/>
      </c>
      <c r="I91" s="45">
        <f>IFERROR(__xludf.DUMMYFUNCTION("""COMPUTED_VALUE"""),19876517)</f>
        <v/>
      </c>
      <c r="J91" s="45">
        <f>IFERROR(__xludf.DUMMYFUNCTION("""COMPUTED_VALUE"""),"LW2EDNS")</f>
        <v/>
      </c>
      <c r="K91" s="45">
        <f>IFERROR(__xludf.DUMMYFUNCTION("""COMPUTED_VALUE"""),"LW2EDNS-071150")</f>
        <v/>
      </c>
      <c r="L91" s="45">
        <f>IFERROR(__xludf.DUMMYFUNCTION("""COMPUTED_VALUE"""),1)</f>
        <v/>
      </c>
      <c r="M91" s="45">
        <f>IFERROR(__xludf.DUMMYFUNCTION("""COMPUTED_VALUE"""),144)</f>
        <v/>
      </c>
      <c r="N91" s="45">
        <f>IFERROR(__xludf.DUMMYFUNCTION("""COMPUTED_VALUE"""),11.302)</f>
        <v/>
      </c>
      <c r="O91" s="45">
        <f>IFERROR(__xludf.DUMMYFUNCTION("""COMPUTED_VALUE"""),0.04)</f>
        <v/>
      </c>
      <c r="P91" s="45">
        <f>IFERROR(__xludf.DUMMYFUNCTION("""COMPUTED_VALUE"""),"Colombo, LK")</f>
        <v/>
      </c>
      <c r="Q91" s="45">
        <f>IFERROR(__xludf.DUMMYFUNCTION("""COMPUTED_VALUE"""),"New York, NY, US")</f>
        <v/>
      </c>
      <c r="R91" s="44">
        <f>IFERROR(__xludf.DUMMYFUNCTION("""COMPUTED_VALUE"""),45817)</f>
        <v/>
      </c>
      <c r="S91" s="44">
        <f>IFERROR(__xludf.DUMMYFUNCTION("""COMPUTED_VALUE"""),45876)</f>
        <v/>
      </c>
      <c r="T91" s="45">
        <f>IFERROR(__xludf.DUMMYFUNCTION("""COMPUTED_VALUE"""),"Mississauga, ON, CA")</f>
        <v/>
      </c>
      <c r="U91" s="45" t="n"/>
      <c r="V91" s="45" t="n"/>
      <c r="W91" s="45" t="n"/>
      <c r="X91" s="45" t="n"/>
      <c r="Y91" s="46">
        <f>IFERROR(__xludf.DUMMYFUNCTION("""COMPUTED_VALUE"""),45825)</f>
        <v/>
      </c>
      <c r="Z91" s="46">
        <f>IFERROR(__xludf.DUMMYFUNCTION("""COMPUTED_VALUE"""),45854)</f>
        <v/>
      </c>
      <c r="AA91" s="46">
        <f>IFERROR(__xludf.DUMMYFUNCTION("""COMPUTED_VALUE"""),45867)</f>
        <v/>
      </c>
      <c r="AB91" s="45">
        <f>IFERROR(__xludf.DUMMYFUNCTION("""COMPUTED_VALUE"""),"3500 Argentia Road")</f>
        <v/>
      </c>
      <c r="AC91" s="45" t="n"/>
      <c r="AD91" s="45">
        <f>IFERROR(__xludf.DUMMYFUNCTION("""COMPUTED_VALUE"""),"OCEAN")</f>
        <v/>
      </c>
      <c r="AE91" s="45">
        <f>IFERROR(__xludf.DUMMYFUNCTION("""COMPUTED_VALUE"""),"N")</f>
        <v/>
      </c>
      <c r="AF91" s="45" t="n"/>
      <c r="AG91" s="49">
        <f>IFERROR(__xludf.DUMMYFUNCTION("IFNA(vlookup(H91,IMPORTRANGE(""1vUGwO1n0QQGx9kKbO0_M5gmuhXZ6-LaxQxgrmJnzgP0"",""'TP# look up'!A:C""),3,0),"""")"),"")</f>
        <v/>
      </c>
      <c r="AH91" s="49">
        <f>LEFT(J91,2)</f>
        <v/>
      </c>
    </row>
    <row r="92" hidden="1" ht="12.75" customHeight="1">
      <c r="A92" s="45">
        <f>IFERROR(__xludf.DUMMYFUNCTION("""COMPUTED_VALUE"""),"Colombo")</f>
        <v/>
      </c>
      <c r="B92" s="45" t="n"/>
      <c r="C92" s="45">
        <f>IFERROR(__xludf.DUMMYFUNCTION("""COMPUTED_VALUE"""),3231352)</f>
        <v/>
      </c>
      <c r="D92" s="45" t="n"/>
      <c r="E92" s="45">
        <f>IFERROR(__xludf.DUMMYFUNCTION("""COMPUTED_VALUE"""),"CFS")</f>
        <v/>
      </c>
      <c r="F92" s="45">
        <f>IFERROR(__xludf.DUMMYFUNCTION("""COMPUTED_VALUE"""),"MAS AMITY PTE LTD")</f>
        <v/>
      </c>
      <c r="G92" s="45">
        <f>IFERROR(__xludf.DUMMYFUNCTION("""COMPUTED_VALUE"""),"MAS Active(Pvt) Ltd – CONTOURLINE")</f>
        <v/>
      </c>
      <c r="H92" s="43">
        <f>IFERROR(__xludf.DUMMYFUNCTION("""COMPUTED_VALUE"""),450958712370)</f>
        <v/>
      </c>
      <c r="I92" s="45">
        <f>IFERROR(__xludf.DUMMYFUNCTION("""COMPUTED_VALUE"""),19939770)</f>
        <v/>
      </c>
      <c r="J92" s="45">
        <f>IFERROR(__xludf.DUMMYFUNCTION("""COMPUTED_VALUE"""),"LM3FGKS")</f>
        <v/>
      </c>
      <c r="K92" s="45">
        <f>IFERROR(__xludf.DUMMYFUNCTION("""COMPUTED_VALUE"""),"LM3FGKS-033454")</f>
        <v/>
      </c>
      <c r="L92" s="45">
        <f>IFERROR(__xludf.DUMMYFUNCTION("""COMPUTED_VALUE"""),9)</f>
        <v/>
      </c>
      <c r="M92" s="45">
        <f>IFERROR(__xludf.DUMMYFUNCTION("""COMPUTED_VALUE"""),395)</f>
        <v/>
      </c>
      <c r="N92" s="45">
        <f>IFERROR(__xludf.DUMMYFUNCTION("""COMPUTED_VALUE"""),95.621)</f>
        <v/>
      </c>
      <c r="O92" s="45">
        <f>IFERROR(__xludf.DUMMYFUNCTION("""COMPUTED_VALUE"""),0.711)</f>
        <v/>
      </c>
      <c r="P92" s="45">
        <f>IFERROR(__xludf.DUMMYFUNCTION("""COMPUTED_VALUE"""),"Colombo, LK")</f>
        <v/>
      </c>
      <c r="Q92" s="45">
        <f>IFERROR(__xludf.DUMMYFUNCTION("""COMPUTED_VALUE"""),"New York, NY, US")</f>
        <v/>
      </c>
      <c r="R92" s="44">
        <f>IFERROR(__xludf.DUMMYFUNCTION("""COMPUTED_VALUE"""),45817)</f>
        <v/>
      </c>
      <c r="S92" s="44">
        <f>IFERROR(__xludf.DUMMYFUNCTION("""COMPUTED_VALUE"""),45876)</f>
        <v/>
      </c>
      <c r="T92" s="45">
        <f>IFERROR(__xludf.DUMMYFUNCTION("""COMPUTED_VALUE"""),"Mississauga, ON, CA")</f>
        <v/>
      </c>
      <c r="U92" s="45" t="n"/>
      <c r="V92" s="45" t="n"/>
      <c r="W92" s="45" t="n"/>
      <c r="X92" s="45" t="n"/>
      <c r="Y92" s="46">
        <f>IFERROR(__xludf.DUMMYFUNCTION("""COMPUTED_VALUE"""),45825)</f>
        <v/>
      </c>
      <c r="Z92" s="46">
        <f>IFERROR(__xludf.DUMMYFUNCTION("""COMPUTED_VALUE"""),45854)</f>
        <v/>
      </c>
      <c r="AA92" s="46">
        <f>IFERROR(__xludf.DUMMYFUNCTION("""COMPUTED_VALUE"""),45867)</f>
        <v/>
      </c>
      <c r="AB92" s="45">
        <f>IFERROR(__xludf.DUMMYFUNCTION("""COMPUTED_VALUE"""),"3500 Argentia Road")</f>
        <v/>
      </c>
      <c r="AC92" s="45" t="n"/>
      <c r="AD92" s="45">
        <f>IFERROR(__xludf.DUMMYFUNCTION("""COMPUTED_VALUE"""),"OCEAN")</f>
        <v/>
      </c>
      <c r="AE92" s="45">
        <f>IFERROR(__xludf.DUMMYFUNCTION("""COMPUTED_VALUE"""),"N")</f>
        <v/>
      </c>
      <c r="AF92" s="45" t="n"/>
      <c r="AG92" s="49">
        <f>IFERROR(__xludf.DUMMYFUNCTION("IFNA(vlookup(H92,IMPORTRANGE(""1vUGwO1n0QQGx9kKbO0_M5gmuhXZ6-LaxQxgrmJnzgP0"",""'TP# look up'!A:C""),3,0),"""")"),"")</f>
        <v/>
      </c>
      <c r="AH92" s="49">
        <f>LEFT(J92,2)</f>
        <v/>
      </c>
    </row>
    <row r="93" hidden="1" ht="12.75" customHeight="1">
      <c r="A93" s="45">
        <f>IFERROR(__xludf.DUMMYFUNCTION("""COMPUTED_VALUE"""),"Colombo")</f>
        <v/>
      </c>
      <c r="B93" s="45" t="n"/>
      <c r="C93" s="45">
        <f>IFERROR(__xludf.DUMMYFUNCTION("""COMPUTED_VALUE"""),3231352)</f>
        <v/>
      </c>
      <c r="D93" s="45" t="n"/>
      <c r="E93" s="45">
        <f>IFERROR(__xludf.DUMMYFUNCTION("""COMPUTED_VALUE"""),"CFS")</f>
        <v/>
      </c>
      <c r="F93" s="45">
        <f>IFERROR(__xludf.DUMMYFUNCTION("""COMPUTED_VALUE"""),"Bodyline Trading (Private) Limited")</f>
        <v/>
      </c>
      <c r="G93" s="45">
        <f>IFERROR(__xludf.DUMMYFUNCTION("""COMPUTED_VALUE"""),"Bodyline (Private) Limited")</f>
        <v/>
      </c>
      <c r="H93" s="43">
        <f>IFERROR(__xludf.DUMMYFUNCTION("""COMPUTED_VALUE"""),451926474199)</f>
        <v/>
      </c>
      <c r="I93" s="45">
        <f>IFERROR(__xludf.DUMMYFUNCTION("""COMPUTED_VALUE"""),19878923)</f>
        <v/>
      </c>
      <c r="J93" s="45">
        <f>IFERROR(__xludf.DUMMYFUNCTION("""COMPUTED_VALUE"""),"LW2EB8S")</f>
        <v/>
      </c>
      <c r="K93" s="45">
        <f>IFERROR(__xludf.DUMMYFUNCTION("""COMPUTED_VALUE"""),"LW2EB8S-031382")</f>
        <v/>
      </c>
      <c r="L93" s="45">
        <f>IFERROR(__xludf.DUMMYFUNCTION("""COMPUTED_VALUE"""),26)</f>
        <v/>
      </c>
      <c r="M93" s="45">
        <f>IFERROR(__xludf.DUMMYFUNCTION("""COMPUTED_VALUE"""),1603)</f>
        <v/>
      </c>
      <c r="N93" s="45">
        <f>IFERROR(__xludf.DUMMYFUNCTION("""COMPUTED_VALUE"""),239.756)</f>
        <v/>
      </c>
      <c r="O93" s="45">
        <f>IFERROR(__xludf.DUMMYFUNCTION("""COMPUTED_VALUE"""),2.094)</f>
        <v/>
      </c>
      <c r="P93" s="45">
        <f>IFERROR(__xludf.DUMMYFUNCTION("""COMPUTED_VALUE"""),"Colombo, LK")</f>
        <v/>
      </c>
      <c r="Q93" s="45">
        <f>IFERROR(__xludf.DUMMYFUNCTION("""COMPUTED_VALUE"""),"New York, NY, US")</f>
        <v/>
      </c>
      <c r="R93" s="44">
        <f>IFERROR(__xludf.DUMMYFUNCTION("""COMPUTED_VALUE"""),45817)</f>
        <v/>
      </c>
      <c r="S93" s="44">
        <f>IFERROR(__xludf.DUMMYFUNCTION("""COMPUTED_VALUE"""),45876)</f>
        <v/>
      </c>
      <c r="T93" s="45">
        <f>IFERROR(__xludf.DUMMYFUNCTION("""COMPUTED_VALUE"""),"Mississauga, ON, CA")</f>
        <v/>
      </c>
      <c r="U93" s="45" t="n"/>
      <c r="V93" s="45" t="n"/>
      <c r="W93" s="45" t="n"/>
      <c r="X93" s="45" t="n"/>
      <c r="Y93" s="46">
        <f>IFERROR(__xludf.DUMMYFUNCTION("""COMPUTED_VALUE"""),45825)</f>
        <v/>
      </c>
      <c r="Z93" s="46">
        <f>IFERROR(__xludf.DUMMYFUNCTION("""COMPUTED_VALUE"""),45854)</f>
        <v/>
      </c>
      <c r="AA93" s="46">
        <f>IFERROR(__xludf.DUMMYFUNCTION("""COMPUTED_VALUE"""),45867)</f>
        <v/>
      </c>
      <c r="AB93" s="45">
        <f>IFERROR(__xludf.DUMMYFUNCTION("""COMPUTED_VALUE"""),"3500 Argentia Road")</f>
        <v/>
      </c>
      <c r="AC93" s="45" t="n"/>
      <c r="AD93" s="45">
        <f>IFERROR(__xludf.DUMMYFUNCTION("""COMPUTED_VALUE"""),"OCEAN")</f>
        <v/>
      </c>
      <c r="AE93" s="45">
        <f>IFERROR(__xludf.DUMMYFUNCTION("""COMPUTED_VALUE"""),"N")</f>
        <v/>
      </c>
      <c r="AF93" s="45" t="n"/>
      <c r="AG93" s="49">
        <f>IFERROR(__xludf.DUMMYFUNCTION("IFNA(vlookup(H93,IMPORTRANGE(""1vUGwO1n0QQGx9kKbO0_M5gmuhXZ6-LaxQxgrmJnzgP0"",""'TP# look up'!A:C""),3,0),"""")"),"")</f>
        <v/>
      </c>
      <c r="AH93" s="49">
        <f>LEFT(J93,2)</f>
        <v/>
      </c>
    </row>
    <row r="94" hidden="1" ht="12.75" customHeight="1">
      <c r="A94" s="45">
        <f>IFERROR(__xludf.DUMMYFUNCTION("""COMPUTED_VALUE"""),"Colombo")</f>
        <v/>
      </c>
      <c r="B94" s="45" t="n"/>
      <c r="C94" s="45">
        <f>IFERROR(__xludf.DUMMYFUNCTION("""COMPUTED_VALUE"""),3231352)</f>
        <v/>
      </c>
      <c r="D94" s="45" t="n"/>
      <c r="E94" s="45">
        <f>IFERROR(__xludf.DUMMYFUNCTION("""COMPUTED_VALUE"""),"CFS")</f>
        <v/>
      </c>
      <c r="F94" s="45">
        <f>IFERROR(__xludf.DUMMYFUNCTION("""COMPUTED_VALUE"""),"Bodyline Trading (Private) Limited")</f>
        <v/>
      </c>
      <c r="G94" s="45">
        <f>IFERROR(__xludf.DUMMYFUNCTION("""COMPUTED_VALUE"""),"Bodyline (Private) Limited")</f>
        <v/>
      </c>
      <c r="H94" s="43">
        <f>IFERROR(__xludf.DUMMYFUNCTION("""COMPUTED_VALUE"""),452636382442)</f>
        <v/>
      </c>
      <c r="I94" s="45">
        <f>IFERROR(__xludf.DUMMYFUNCTION("""COMPUTED_VALUE"""),19878767)</f>
        <v/>
      </c>
      <c r="J94" s="45">
        <f>IFERROR(__xludf.DUMMYFUNCTION("""COMPUTED_VALUE"""),"LW2EB9S")</f>
        <v/>
      </c>
      <c r="K94" s="45">
        <f>IFERROR(__xludf.DUMMYFUNCTION("""COMPUTED_VALUE"""),"LW2EB9S-032507")</f>
        <v/>
      </c>
      <c r="L94" s="45">
        <f>IFERROR(__xludf.DUMMYFUNCTION("""COMPUTED_VALUE"""),4)</f>
        <v/>
      </c>
      <c r="M94" s="45">
        <f>IFERROR(__xludf.DUMMYFUNCTION("""COMPUTED_VALUE"""),202)</f>
        <v/>
      </c>
      <c r="N94" s="45">
        <f>IFERROR(__xludf.DUMMYFUNCTION("""COMPUTED_VALUE"""),30.197)</f>
        <v/>
      </c>
      <c r="O94" s="45">
        <f>IFERROR(__xludf.DUMMYFUNCTION("""COMPUTED_VALUE"""),0.322)</f>
        <v/>
      </c>
      <c r="P94" s="45">
        <f>IFERROR(__xludf.DUMMYFUNCTION("""COMPUTED_VALUE"""),"Colombo, LK")</f>
        <v/>
      </c>
      <c r="Q94" s="45">
        <f>IFERROR(__xludf.DUMMYFUNCTION("""COMPUTED_VALUE"""),"New York, NY, US")</f>
        <v/>
      </c>
      <c r="R94" s="44">
        <f>IFERROR(__xludf.DUMMYFUNCTION("""COMPUTED_VALUE"""),45817)</f>
        <v/>
      </c>
      <c r="S94" s="44">
        <f>IFERROR(__xludf.DUMMYFUNCTION("""COMPUTED_VALUE"""),45876)</f>
        <v/>
      </c>
      <c r="T94" s="45">
        <f>IFERROR(__xludf.DUMMYFUNCTION("""COMPUTED_VALUE"""),"Mississauga, ON, CA")</f>
        <v/>
      </c>
      <c r="U94" s="45" t="n"/>
      <c r="V94" s="45" t="n"/>
      <c r="W94" s="45" t="n"/>
      <c r="X94" s="45" t="n"/>
      <c r="Y94" s="46">
        <f>IFERROR(__xludf.DUMMYFUNCTION("""COMPUTED_VALUE"""),45825)</f>
        <v/>
      </c>
      <c r="Z94" s="46">
        <f>IFERROR(__xludf.DUMMYFUNCTION("""COMPUTED_VALUE"""),45854)</f>
        <v/>
      </c>
      <c r="AA94" s="46">
        <f>IFERROR(__xludf.DUMMYFUNCTION("""COMPUTED_VALUE"""),45867)</f>
        <v/>
      </c>
      <c r="AB94" s="45">
        <f>IFERROR(__xludf.DUMMYFUNCTION("""COMPUTED_VALUE"""),"3500 Argentia Road")</f>
        <v/>
      </c>
      <c r="AC94" s="45" t="n"/>
      <c r="AD94" s="45">
        <f>IFERROR(__xludf.DUMMYFUNCTION("""COMPUTED_VALUE"""),"OCEAN")</f>
        <v/>
      </c>
      <c r="AE94" s="45">
        <f>IFERROR(__xludf.DUMMYFUNCTION("""COMPUTED_VALUE"""),"N")</f>
        <v/>
      </c>
      <c r="AF94" s="45" t="n"/>
      <c r="AG94" s="49">
        <f>IFERROR(__xludf.DUMMYFUNCTION("IFNA(vlookup(H94,IMPORTRANGE(""1vUGwO1n0QQGx9kKbO0_M5gmuhXZ6-LaxQxgrmJnzgP0"",""'TP# look up'!A:C""),3,0),"""")"),"")</f>
        <v/>
      </c>
      <c r="AH94" s="49">
        <f>LEFT(J94,2)</f>
        <v/>
      </c>
    </row>
    <row r="95" hidden="1" ht="12.75" customHeight="1">
      <c r="A95" s="45">
        <f>IFERROR(__xludf.DUMMYFUNCTION("""COMPUTED_VALUE"""),"Colombo")</f>
        <v/>
      </c>
      <c r="B95" s="45" t="n"/>
      <c r="C95" s="45">
        <f>IFERROR(__xludf.DUMMYFUNCTION("""COMPUTED_VALUE"""),3231352)</f>
        <v/>
      </c>
      <c r="D95" s="45" t="n"/>
      <c r="E95" s="45">
        <f>IFERROR(__xludf.DUMMYFUNCTION("""COMPUTED_VALUE"""),"CFS")</f>
        <v/>
      </c>
      <c r="F95" s="45">
        <f>IFERROR(__xludf.DUMMYFUNCTION("""COMPUTED_VALUE"""),"Bodyline Trading (Private) Limited")</f>
        <v/>
      </c>
      <c r="G95" s="45">
        <f>IFERROR(__xludf.DUMMYFUNCTION("""COMPUTED_VALUE"""),"Bodyline (Private) Limited")</f>
        <v/>
      </c>
      <c r="H95" s="43">
        <f>IFERROR(__xludf.DUMMYFUNCTION("""COMPUTED_VALUE"""),452636928704)</f>
        <v/>
      </c>
      <c r="I95" s="45">
        <f>IFERROR(__xludf.DUMMYFUNCTION("""COMPUTED_VALUE"""),19878947)</f>
        <v/>
      </c>
      <c r="J95" s="45">
        <f>IFERROR(__xludf.DUMMYFUNCTION("""COMPUTED_VALUE"""),"LW2EB9S")</f>
        <v/>
      </c>
      <c r="K95" s="45">
        <f>IFERROR(__xludf.DUMMYFUNCTION("""COMPUTED_VALUE"""),"LW2EB9S-032507")</f>
        <v/>
      </c>
      <c r="L95" s="45">
        <f>IFERROR(__xludf.DUMMYFUNCTION("""COMPUTED_VALUE"""),8)</f>
        <v/>
      </c>
      <c r="M95" s="45">
        <f>IFERROR(__xludf.DUMMYFUNCTION("""COMPUTED_VALUE"""),452)</f>
        <v/>
      </c>
      <c r="N95" s="45">
        <f>IFERROR(__xludf.DUMMYFUNCTION("""COMPUTED_VALUE"""),66.199)</f>
        <v/>
      </c>
      <c r="O95" s="45">
        <f>IFERROR(__xludf.DUMMYFUNCTION("""COMPUTED_VALUE"""),0.644)</f>
        <v/>
      </c>
      <c r="P95" s="45">
        <f>IFERROR(__xludf.DUMMYFUNCTION("""COMPUTED_VALUE"""),"Colombo, LK")</f>
        <v/>
      </c>
      <c r="Q95" s="45">
        <f>IFERROR(__xludf.DUMMYFUNCTION("""COMPUTED_VALUE"""),"New York, NY, US")</f>
        <v/>
      </c>
      <c r="R95" s="44">
        <f>IFERROR(__xludf.DUMMYFUNCTION("""COMPUTED_VALUE"""),45817)</f>
        <v/>
      </c>
      <c r="S95" s="44">
        <f>IFERROR(__xludf.DUMMYFUNCTION("""COMPUTED_VALUE"""),45876)</f>
        <v/>
      </c>
      <c r="T95" s="45">
        <f>IFERROR(__xludf.DUMMYFUNCTION("""COMPUTED_VALUE"""),"Mississauga, ON, CA")</f>
        <v/>
      </c>
      <c r="U95" s="45" t="n"/>
      <c r="V95" s="45" t="n"/>
      <c r="W95" s="45" t="n"/>
      <c r="X95" s="45" t="n"/>
      <c r="Y95" s="46">
        <f>IFERROR(__xludf.DUMMYFUNCTION("""COMPUTED_VALUE"""),45825)</f>
        <v/>
      </c>
      <c r="Z95" s="46">
        <f>IFERROR(__xludf.DUMMYFUNCTION("""COMPUTED_VALUE"""),45854)</f>
        <v/>
      </c>
      <c r="AA95" s="46">
        <f>IFERROR(__xludf.DUMMYFUNCTION("""COMPUTED_VALUE"""),45867)</f>
        <v/>
      </c>
      <c r="AB95" s="45">
        <f>IFERROR(__xludf.DUMMYFUNCTION("""COMPUTED_VALUE"""),"3500 Argentia Road")</f>
        <v/>
      </c>
      <c r="AC95" s="45" t="n"/>
      <c r="AD95" s="45">
        <f>IFERROR(__xludf.DUMMYFUNCTION("""COMPUTED_VALUE"""),"OCEAN")</f>
        <v/>
      </c>
      <c r="AE95" s="45">
        <f>IFERROR(__xludf.DUMMYFUNCTION("""COMPUTED_VALUE"""),"N")</f>
        <v/>
      </c>
      <c r="AF95" s="45" t="n"/>
      <c r="AG95" s="49">
        <f>IFERROR(__xludf.DUMMYFUNCTION("IFNA(vlookup(H95,IMPORTRANGE(""1vUGwO1n0QQGx9kKbO0_M5gmuhXZ6-LaxQxgrmJnzgP0"",""'TP# look up'!A:C""),3,0),"""")"),"")</f>
        <v/>
      </c>
      <c r="AH95" s="49">
        <f>LEFT(J95,2)</f>
        <v/>
      </c>
    </row>
    <row r="96" hidden="1" ht="12.75" customHeight="1">
      <c r="A96" s="45">
        <f>IFERROR(__xludf.DUMMYFUNCTION("""COMPUTED_VALUE"""),"Colombo")</f>
        <v/>
      </c>
      <c r="B96" s="45" t="n"/>
      <c r="C96" s="45">
        <f>IFERROR(__xludf.DUMMYFUNCTION("""COMPUTED_VALUE"""),3231352)</f>
        <v/>
      </c>
      <c r="D96" s="45" t="n"/>
      <c r="E96" s="45">
        <f>IFERROR(__xludf.DUMMYFUNCTION("""COMPUTED_VALUE"""),"CFS")</f>
        <v/>
      </c>
      <c r="F96" s="45">
        <f>IFERROR(__xludf.DUMMYFUNCTION("""COMPUTED_VALUE"""),"Bodyline Trading (Private) Limited")</f>
        <v/>
      </c>
      <c r="G96" s="45">
        <f>IFERROR(__xludf.DUMMYFUNCTION("""COMPUTED_VALUE"""),"Bodyline (Private) Limited")</f>
        <v/>
      </c>
      <c r="H96" s="43">
        <f>IFERROR(__xludf.DUMMYFUNCTION("""COMPUTED_VALUE"""),452642752943)</f>
        <v/>
      </c>
      <c r="I96" s="45">
        <f>IFERROR(__xludf.DUMMYFUNCTION("""COMPUTED_VALUE"""),19877541)</f>
        <v/>
      </c>
      <c r="J96" s="45">
        <f>IFERROR(__xludf.DUMMYFUNCTION("""COMPUTED_VALUE"""),"LW9DCIS")</f>
        <v/>
      </c>
      <c r="K96" s="45">
        <f>IFERROR(__xludf.DUMMYFUNCTION("""COMPUTED_VALUE"""),"LW9DCIS-073357")</f>
        <v/>
      </c>
      <c r="L96" s="45">
        <f>IFERROR(__xludf.DUMMYFUNCTION("""COMPUTED_VALUE"""),2)</f>
        <v/>
      </c>
      <c r="M96" s="45">
        <f>IFERROR(__xludf.DUMMYFUNCTION("""COMPUTED_VALUE"""),73)</f>
        <v/>
      </c>
      <c r="N96" s="45">
        <f>IFERROR(__xludf.DUMMYFUNCTION("""COMPUTED_VALUE"""),7.223)</f>
        <v/>
      </c>
      <c r="O96" s="45">
        <f>IFERROR(__xludf.DUMMYFUNCTION("""COMPUTED_VALUE"""),0.088)</f>
        <v/>
      </c>
      <c r="P96" s="45">
        <f>IFERROR(__xludf.DUMMYFUNCTION("""COMPUTED_VALUE"""),"Colombo, LK")</f>
        <v/>
      </c>
      <c r="Q96" s="45">
        <f>IFERROR(__xludf.DUMMYFUNCTION("""COMPUTED_VALUE"""),"New York, NY, US")</f>
        <v/>
      </c>
      <c r="R96" s="44">
        <f>IFERROR(__xludf.DUMMYFUNCTION("""COMPUTED_VALUE"""),45817)</f>
        <v/>
      </c>
      <c r="S96" s="44">
        <f>IFERROR(__xludf.DUMMYFUNCTION("""COMPUTED_VALUE"""),45876)</f>
        <v/>
      </c>
      <c r="T96" s="45">
        <f>IFERROR(__xludf.DUMMYFUNCTION("""COMPUTED_VALUE"""),"Milton, ON, CA")</f>
        <v/>
      </c>
      <c r="U96" s="45" t="n"/>
      <c r="V96" s="45" t="n"/>
      <c r="W96" s="45" t="n"/>
      <c r="X96" s="45" t="n"/>
      <c r="Y96" s="46">
        <f>IFERROR(__xludf.DUMMYFUNCTION("""COMPUTED_VALUE"""),45825)</f>
        <v/>
      </c>
      <c r="Z96" s="46">
        <f>IFERROR(__xludf.DUMMYFUNCTION("""COMPUTED_VALUE"""),45854)</f>
        <v/>
      </c>
      <c r="AA96" s="46">
        <f>IFERROR(__xludf.DUMMYFUNCTION("""COMPUTED_VALUE"""),45867)</f>
        <v/>
      </c>
      <c r="AB96" s="45">
        <f>IFERROR(__xludf.DUMMYFUNCTION("""COMPUTED_VALUE"""),"7211 Fifth Line")</f>
        <v/>
      </c>
      <c r="AC96" s="45" t="n"/>
      <c r="AD96" s="45">
        <f>IFERROR(__xludf.DUMMYFUNCTION("""COMPUTED_VALUE"""),"OCEAN")</f>
        <v/>
      </c>
      <c r="AE96" s="45">
        <f>IFERROR(__xludf.DUMMYFUNCTION("""COMPUTED_VALUE"""),"N")</f>
        <v/>
      </c>
      <c r="AF96" s="45" t="n"/>
      <c r="AG96" s="49">
        <f>IFERROR(__xludf.DUMMYFUNCTION("IFNA(vlookup(H96,IMPORTRANGE(""1vUGwO1n0QQGx9kKbO0_M5gmuhXZ6-LaxQxgrmJnzgP0"",""'TP# look up'!A:C""),3,0),"""")"),"")</f>
        <v/>
      </c>
      <c r="AH96" s="49">
        <f>LEFT(J96,2)</f>
        <v/>
      </c>
    </row>
    <row r="97" hidden="1" ht="12.75" customHeight="1">
      <c r="A97" s="45">
        <f>IFERROR(__xludf.DUMMYFUNCTION("""COMPUTED_VALUE"""),"Colombo")</f>
        <v/>
      </c>
      <c r="B97" s="45" t="n"/>
      <c r="C97" s="45">
        <f>IFERROR(__xludf.DUMMYFUNCTION("""COMPUTED_VALUE"""),3231352)</f>
        <v/>
      </c>
      <c r="D97" s="45" t="n"/>
      <c r="E97" s="45">
        <f>IFERROR(__xludf.DUMMYFUNCTION("""COMPUTED_VALUE"""),"CFS")</f>
        <v/>
      </c>
      <c r="F97" s="45">
        <f>IFERROR(__xludf.DUMMYFUNCTION("""COMPUTED_VALUE"""),"Bodyline Trading (Private) Limited")</f>
        <v/>
      </c>
      <c r="G97" s="45">
        <f>IFERROR(__xludf.DUMMYFUNCTION("""COMPUTED_VALUE"""),"Bodyline (Private) Limited")</f>
        <v/>
      </c>
      <c r="H97" s="43">
        <f>IFERROR(__xludf.DUMMYFUNCTION("""COMPUTED_VALUE"""),452642798398)</f>
        <v/>
      </c>
      <c r="I97" s="45">
        <f>IFERROR(__xludf.DUMMYFUNCTION("""COMPUTED_VALUE"""),19877549)</f>
        <v/>
      </c>
      <c r="J97" s="45">
        <f>IFERROR(__xludf.DUMMYFUNCTION("""COMPUTED_VALUE"""),"LW9DCIS")</f>
        <v/>
      </c>
      <c r="K97" s="45">
        <f>IFERROR(__xludf.DUMMYFUNCTION("""COMPUTED_VALUE"""),"LW9DCIS-073357")</f>
        <v/>
      </c>
      <c r="L97" s="45">
        <f>IFERROR(__xludf.DUMMYFUNCTION("""COMPUTED_VALUE"""),3)</f>
        <v/>
      </c>
      <c r="M97" s="45">
        <f>IFERROR(__xludf.DUMMYFUNCTION("""COMPUTED_VALUE"""),103)</f>
        <v/>
      </c>
      <c r="N97" s="45">
        <f>IFERROR(__xludf.DUMMYFUNCTION("""COMPUTED_VALUE"""),10.436)</f>
        <v/>
      </c>
      <c r="O97" s="45">
        <f>IFERROR(__xludf.DUMMYFUNCTION("""COMPUTED_VALUE"""),0.132)</f>
        <v/>
      </c>
      <c r="P97" s="45">
        <f>IFERROR(__xludf.DUMMYFUNCTION("""COMPUTED_VALUE"""),"Colombo, LK")</f>
        <v/>
      </c>
      <c r="Q97" s="45">
        <f>IFERROR(__xludf.DUMMYFUNCTION("""COMPUTED_VALUE"""),"New York, NY, US")</f>
        <v/>
      </c>
      <c r="R97" s="44">
        <f>IFERROR(__xludf.DUMMYFUNCTION("""COMPUTED_VALUE"""),45817)</f>
        <v/>
      </c>
      <c r="S97" s="44">
        <f>IFERROR(__xludf.DUMMYFUNCTION("""COMPUTED_VALUE"""),45876)</f>
        <v/>
      </c>
      <c r="T97" s="45">
        <f>IFERROR(__xludf.DUMMYFUNCTION("""COMPUTED_VALUE"""),"Mississauga, ON, CA")</f>
        <v/>
      </c>
      <c r="U97" s="45" t="n"/>
      <c r="V97" s="45" t="n"/>
      <c r="W97" s="45" t="n"/>
      <c r="X97" s="45" t="n"/>
      <c r="Y97" s="46">
        <f>IFERROR(__xludf.DUMMYFUNCTION("""COMPUTED_VALUE"""),45825)</f>
        <v/>
      </c>
      <c r="Z97" s="46">
        <f>IFERROR(__xludf.DUMMYFUNCTION("""COMPUTED_VALUE"""),45854)</f>
        <v/>
      </c>
      <c r="AA97" s="46">
        <f>IFERROR(__xludf.DUMMYFUNCTION("""COMPUTED_VALUE"""),45867)</f>
        <v/>
      </c>
      <c r="AB97" s="45">
        <f>IFERROR(__xludf.DUMMYFUNCTION("""COMPUTED_VALUE"""),"3500 Argentia Road")</f>
        <v/>
      </c>
      <c r="AC97" s="45" t="n"/>
      <c r="AD97" s="45">
        <f>IFERROR(__xludf.DUMMYFUNCTION("""COMPUTED_VALUE"""),"OCEAN")</f>
        <v/>
      </c>
      <c r="AE97" s="45">
        <f>IFERROR(__xludf.DUMMYFUNCTION("""COMPUTED_VALUE"""),"N")</f>
        <v/>
      </c>
      <c r="AF97" s="45" t="n"/>
      <c r="AG97" s="49">
        <f>IFERROR(__xludf.DUMMYFUNCTION("IFNA(vlookup(H97,IMPORTRANGE(""1vUGwO1n0QQGx9kKbO0_M5gmuhXZ6-LaxQxgrmJnzgP0"",""'TP# look up'!A:C""),3,0),"""")"),"")</f>
        <v/>
      </c>
      <c r="AH97" s="49">
        <f>LEFT(J97,2)</f>
        <v/>
      </c>
    </row>
    <row r="98" hidden="1" ht="12.75" customHeight="1">
      <c r="A98" s="45">
        <f>IFERROR(__xludf.DUMMYFUNCTION("""COMPUTED_VALUE"""),"Colombo")</f>
        <v/>
      </c>
      <c r="B98" s="45" t="n"/>
      <c r="C98" s="45">
        <f>IFERROR(__xludf.DUMMYFUNCTION("""COMPUTED_VALUE"""),3231352)</f>
        <v/>
      </c>
      <c r="D98" s="45" t="n"/>
      <c r="E98" s="45">
        <f>IFERROR(__xludf.DUMMYFUNCTION("""COMPUTED_VALUE"""),"CFS")</f>
        <v/>
      </c>
      <c r="F98" s="45">
        <f>IFERROR(__xludf.DUMMYFUNCTION("""COMPUTED_VALUE"""),"Bodyline Trading (Private) Limited")</f>
        <v/>
      </c>
      <c r="G98" s="45">
        <f>IFERROR(__xludf.DUMMYFUNCTION("""COMPUTED_VALUE"""),"Bodyline (Private) Limited")</f>
        <v/>
      </c>
      <c r="H98" s="43">
        <f>IFERROR(__xludf.DUMMYFUNCTION("""COMPUTED_VALUE"""),452644964858)</f>
        <v/>
      </c>
      <c r="I98" s="45">
        <f>IFERROR(__xludf.DUMMYFUNCTION("""COMPUTED_VALUE"""),19878103)</f>
        <v/>
      </c>
      <c r="J98" s="45">
        <f>IFERROR(__xludf.DUMMYFUNCTION("""COMPUTED_VALUE"""),"LW9DCIS")</f>
        <v/>
      </c>
      <c r="K98" s="45">
        <f>IFERROR(__xludf.DUMMYFUNCTION("""COMPUTED_VALUE"""),"LW9DCIS-073357")</f>
        <v/>
      </c>
      <c r="L98" s="45">
        <f>IFERROR(__xludf.DUMMYFUNCTION("""COMPUTED_VALUE"""),4)</f>
        <v/>
      </c>
      <c r="M98" s="45">
        <f>IFERROR(__xludf.DUMMYFUNCTION("""COMPUTED_VALUE"""),204)</f>
        <v/>
      </c>
      <c r="N98" s="45">
        <f>IFERROR(__xludf.DUMMYFUNCTION("""COMPUTED_VALUE"""),18.703)</f>
        <v/>
      </c>
      <c r="O98" s="45">
        <f>IFERROR(__xludf.DUMMYFUNCTION("""COMPUTED_VALUE"""),0.176)</f>
        <v/>
      </c>
      <c r="P98" s="45">
        <f>IFERROR(__xludf.DUMMYFUNCTION("""COMPUTED_VALUE"""),"Colombo, LK")</f>
        <v/>
      </c>
      <c r="Q98" s="45">
        <f>IFERROR(__xludf.DUMMYFUNCTION("""COMPUTED_VALUE"""),"New York, NY, US")</f>
        <v/>
      </c>
      <c r="R98" s="44">
        <f>IFERROR(__xludf.DUMMYFUNCTION("""COMPUTED_VALUE"""),45817)</f>
        <v/>
      </c>
      <c r="S98" s="44">
        <f>IFERROR(__xludf.DUMMYFUNCTION("""COMPUTED_VALUE"""),45876)</f>
        <v/>
      </c>
      <c r="T98" s="45">
        <f>IFERROR(__xludf.DUMMYFUNCTION("""COMPUTED_VALUE"""),"Mississauga, ON, CA")</f>
        <v/>
      </c>
      <c r="U98" s="45" t="n"/>
      <c r="V98" s="45" t="n"/>
      <c r="W98" s="45" t="n"/>
      <c r="X98" s="45" t="n"/>
      <c r="Y98" s="46">
        <f>IFERROR(__xludf.DUMMYFUNCTION("""COMPUTED_VALUE"""),45825)</f>
        <v/>
      </c>
      <c r="Z98" s="46">
        <f>IFERROR(__xludf.DUMMYFUNCTION("""COMPUTED_VALUE"""),45854)</f>
        <v/>
      </c>
      <c r="AA98" s="46">
        <f>IFERROR(__xludf.DUMMYFUNCTION("""COMPUTED_VALUE"""),45867)</f>
        <v/>
      </c>
      <c r="AB98" s="45">
        <f>IFERROR(__xludf.DUMMYFUNCTION("""COMPUTED_VALUE"""),"3500 Argentia Road")</f>
        <v/>
      </c>
      <c r="AC98" s="45" t="n"/>
      <c r="AD98" s="45">
        <f>IFERROR(__xludf.DUMMYFUNCTION("""COMPUTED_VALUE"""),"OCEAN")</f>
        <v/>
      </c>
      <c r="AE98" s="45">
        <f>IFERROR(__xludf.DUMMYFUNCTION("""COMPUTED_VALUE"""),"N")</f>
        <v/>
      </c>
      <c r="AF98" s="45" t="n"/>
      <c r="AG98" s="49">
        <f>IFERROR(__xludf.DUMMYFUNCTION("IFNA(vlookup(H98,IMPORTRANGE(""1vUGwO1n0QQGx9kKbO0_M5gmuhXZ6-LaxQxgrmJnzgP0"",""'TP# look up'!A:C""),3,0),"""")"),"")</f>
        <v/>
      </c>
      <c r="AH98" s="49">
        <f>LEFT(J98,2)</f>
        <v/>
      </c>
    </row>
    <row r="99" hidden="1" ht="12.75" customHeight="1">
      <c r="A99" s="45">
        <f>IFERROR(__xludf.DUMMYFUNCTION("""COMPUTED_VALUE"""),"Colombo")</f>
        <v/>
      </c>
      <c r="B99" s="45" t="n"/>
      <c r="C99" s="45">
        <f>IFERROR(__xludf.DUMMYFUNCTION("""COMPUTED_VALUE"""),3231352)</f>
        <v/>
      </c>
      <c r="D99" s="45" t="n"/>
      <c r="E99" s="45">
        <f>IFERROR(__xludf.DUMMYFUNCTION("""COMPUTED_VALUE"""),"CFS")</f>
        <v/>
      </c>
      <c r="F99" s="45">
        <f>IFERROR(__xludf.DUMMYFUNCTION("""COMPUTED_VALUE"""),"Bodyline Trading (Private) Limited")</f>
        <v/>
      </c>
      <c r="G99" s="45">
        <f>IFERROR(__xludf.DUMMYFUNCTION("""COMPUTED_VALUE"""),"Bodyline (Private) Limited")</f>
        <v/>
      </c>
      <c r="H99" s="43">
        <f>IFERROR(__xludf.DUMMYFUNCTION("""COMPUTED_VALUE"""),452648462038)</f>
        <v/>
      </c>
      <c r="I99" s="45">
        <f>IFERROR(__xludf.DUMMYFUNCTION("""COMPUTED_VALUE"""),19877599)</f>
        <v/>
      </c>
      <c r="J99" s="45">
        <f>IFERROR(__xludf.DUMMYFUNCTION("""COMPUTED_VALUE"""),"LW9DCLS")</f>
        <v/>
      </c>
      <c r="K99" s="45">
        <f>IFERROR(__xludf.DUMMYFUNCTION("""COMPUTED_VALUE"""),"LW9DCLS-073357")</f>
        <v/>
      </c>
      <c r="L99" s="45">
        <f>IFERROR(__xludf.DUMMYFUNCTION("""COMPUTED_VALUE"""),2)</f>
        <v/>
      </c>
      <c r="M99" s="45">
        <f>IFERROR(__xludf.DUMMYFUNCTION("""COMPUTED_VALUE"""),83)</f>
        <v/>
      </c>
      <c r="N99" s="45">
        <f>IFERROR(__xludf.DUMMYFUNCTION("""COMPUTED_VALUE"""),9.329)</f>
        <v/>
      </c>
      <c r="O99" s="45">
        <f>IFERROR(__xludf.DUMMYFUNCTION("""COMPUTED_VALUE"""),0.088)</f>
        <v/>
      </c>
      <c r="P99" s="45">
        <f>IFERROR(__xludf.DUMMYFUNCTION("""COMPUTED_VALUE"""),"Colombo, LK")</f>
        <v/>
      </c>
      <c r="Q99" s="45">
        <f>IFERROR(__xludf.DUMMYFUNCTION("""COMPUTED_VALUE"""),"New York, NY, US")</f>
        <v/>
      </c>
      <c r="R99" s="44">
        <f>IFERROR(__xludf.DUMMYFUNCTION("""COMPUTED_VALUE"""),45817)</f>
        <v/>
      </c>
      <c r="S99" s="44">
        <f>IFERROR(__xludf.DUMMYFUNCTION("""COMPUTED_VALUE"""),45876)</f>
        <v/>
      </c>
      <c r="T99" s="45">
        <f>IFERROR(__xludf.DUMMYFUNCTION("""COMPUTED_VALUE"""),"Milton, ON, CA")</f>
        <v/>
      </c>
      <c r="U99" s="45" t="n"/>
      <c r="V99" s="45" t="n"/>
      <c r="W99" s="45" t="n"/>
      <c r="X99" s="45" t="n"/>
      <c r="Y99" s="46">
        <f>IFERROR(__xludf.DUMMYFUNCTION("""COMPUTED_VALUE"""),45825)</f>
        <v/>
      </c>
      <c r="Z99" s="46">
        <f>IFERROR(__xludf.DUMMYFUNCTION("""COMPUTED_VALUE"""),45854)</f>
        <v/>
      </c>
      <c r="AA99" s="46">
        <f>IFERROR(__xludf.DUMMYFUNCTION("""COMPUTED_VALUE"""),45867)</f>
        <v/>
      </c>
      <c r="AB99" s="45">
        <f>IFERROR(__xludf.DUMMYFUNCTION("""COMPUTED_VALUE"""),"7211 Fifth Line")</f>
        <v/>
      </c>
      <c r="AC99" s="45" t="n"/>
      <c r="AD99" s="45">
        <f>IFERROR(__xludf.DUMMYFUNCTION("""COMPUTED_VALUE"""),"OCEAN")</f>
        <v/>
      </c>
      <c r="AE99" s="45">
        <f>IFERROR(__xludf.DUMMYFUNCTION("""COMPUTED_VALUE"""),"N")</f>
        <v/>
      </c>
      <c r="AF99" s="45" t="n"/>
      <c r="AG99" s="49">
        <f>IFERROR(__xludf.DUMMYFUNCTION("IFNA(vlookup(H99,IMPORTRANGE(""1vUGwO1n0QQGx9kKbO0_M5gmuhXZ6-LaxQxgrmJnzgP0"",""'TP# look up'!A:C""),3,0),"""")"),"")</f>
        <v/>
      </c>
      <c r="AH99" s="49">
        <f>LEFT(J99,2)</f>
        <v/>
      </c>
    </row>
    <row r="100" hidden="1" ht="12.75" customHeight="1">
      <c r="A100" s="45">
        <f>IFERROR(__xludf.DUMMYFUNCTION("""COMPUTED_VALUE"""),"Colombo")</f>
        <v/>
      </c>
      <c r="B100" s="45" t="n"/>
      <c r="C100" s="45">
        <f>IFERROR(__xludf.DUMMYFUNCTION("""COMPUTED_VALUE"""),3231352)</f>
        <v/>
      </c>
      <c r="D100" s="45" t="n"/>
      <c r="E100" s="45">
        <f>IFERROR(__xludf.DUMMYFUNCTION("""COMPUTED_VALUE"""),"CFS")</f>
        <v/>
      </c>
      <c r="F100" s="45">
        <f>IFERROR(__xludf.DUMMYFUNCTION("""COMPUTED_VALUE"""),"Bodyline Trading (Private) Limited")</f>
        <v/>
      </c>
      <c r="G100" s="45">
        <f>IFERROR(__xludf.DUMMYFUNCTION("""COMPUTED_VALUE"""),"Bodyline (Private) Limited")</f>
        <v/>
      </c>
      <c r="H100" s="43">
        <f>IFERROR(__xludf.DUMMYFUNCTION("""COMPUTED_VALUE"""),452648556049)</f>
        <v/>
      </c>
      <c r="I100" s="45">
        <f>IFERROR(__xludf.DUMMYFUNCTION("""COMPUTED_VALUE"""),19878327)</f>
        <v/>
      </c>
      <c r="J100" s="45">
        <f>IFERROR(__xludf.DUMMYFUNCTION("""COMPUTED_VALUE"""),"LW9DCLS")</f>
        <v/>
      </c>
      <c r="K100" s="45">
        <f>IFERROR(__xludf.DUMMYFUNCTION("""COMPUTED_VALUE"""),"LW9DCLS-073357")</f>
        <v/>
      </c>
      <c r="L100" s="45">
        <f>IFERROR(__xludf.DUMMYFUNCTION("""COMPUTED_VALUE"""),4)</f>
        <v/>
      </c>
      <c r="M100" s="45">
        <f>IFERROR(__xludf.DUMMYFUNCTION("""COMPUTED_VALUE"""),232)</f>
        <v/>
      </c>
      <c r="N100" s="45">
        <f>IFERROR(__xludf.DUMMYFUNCTION("""COMPUTED_VALUE"""),25.234)</f>
        <v/>
      </c>
      <c r="O100" s="45">
        <f>IFERROR(__xludf.DUMMYFUNCTION("""COMPUTED_VALUE"""),0.176)</f>
        <v/>
      </c>
      <c r="P100" s="45">
        <f>IFERROR(__xludf.DUMMYFUNCTION("""COMPUTED_VALUE"""),"Colombo, LK")</f>
        <v/>
      </c>
      <c r="Q100" s="45">
        <f>IFERROR(__xludf.DUMMYFUNCTION("""COMPUTED_VALUE"""),"New York, NY, US")</f>
        <v/>
      </c>
      <c r="R100" s="44">
        <f>IFERROR(__xludf.DUMMYFUNCTION("""COMPUTED_VALUE"""),45817)</f>
        <v/>
      </c>
      <c r="S100" s="44">
        <f>IFERROR(__xludf.DUMMYFUNCTION("""COMPUTED_VALUE"""),45876)</f>
        <v/>
      </c>
      <c r="T100" s="45">
        <f>IFERROR(__xludf.DUMMYFUNCTION("""COMPUTED_VALUE"""),"Mississauga, ON, CA")</f>
        <v/>
      </c>
      <c r="U100" s="45" t="n"/>
      <c r="V100" s="45" t="n"/>
      <c r="W100" s="45" t="n"/>
      <c r="X100" s="45" t="n"/>
      <c r="Y100" s="46">
        <f>IFERROR(__xludf.DUMMYFUNCTION("""COMPUTED_VALUE"""),45825)</f>
        <v/>
      </c>
      <c r="Z100" s="46">
        <f>IFERROR(__xludf.DUMMYFUNCTION("""COMPUTED_VALUE"""),45854)</f>
        <v/>
      </c>
      <c r="AA100" s="46">
        <f>IFERROR(__xludf.DUMMYFUNCTION("""COMPUTED_VALUE"""),45867)</f>
        <v/>
      </c>
      <c r="AB100" s="45">
        <f>IFERROR(__xludf.DUMMYFUNCTION("""COMPUTED_VALUE"""),"3500 Argentia Road")</f>
        <v/>
      </c>
      <c r="AC100" s="45" t="n"/>
      <c r="AD100" s="45">
        <f>IFERROR(__xludf.DUMMYFUNCTION("""COMPUTED_VALUE"""),"OCEAN")</f>
        <v/>
      </c>
      <c r="AE100" s="45">
        <f>IFERROR(__xludf.DUMMYFUNCTION("""COMPUTED_VALUE"""),"N")</f>
        <v/>
      </c>
      <c r="AF100" s="45" t="n"/>
      <c r="AG100" s="49">
        <f>IFERROR(__xludf.DUMMYFUNCTION("IFNA(vlookup(H100,IMPORTRANGE(""1vUGwO1n0QQGx9kKbO0_M5gmuhXZ6-LaxQxgrmJnzgP0"",""'TP# look up'!A:C""),3,0),"""")"),"")</f>
        <v/>
      </c>
      <c r="AH100" s="49">
        <f>LEFT(J100,2)</f>
        <v/>
      </c>
    </row>
    <row r="101" hidden="1" ht="12.75" customHeight="1">
      <c r="A101" s="45">
        <f>IFERROR(__xludf.DUMMYFUNCTION("""COMPUTED_VALUE"""),"Colombo")</f>
        <v/>
      </c>
      <c r="B101" s="45" t="n"/>
      <c r="C101" s="45">
        <f>IFERROR(__xludf.DUMMYFUNCTION("""COMPUTED_VALUE"""),3231352)</f>
        <v/>
      </c>
      <c r="D101" s="45" t="n"/>
      <c r="E101" s="45">
        <f>IFERROR(__xludf.DUMMYFUNCTION("""COMPUTED_VALUE"""),"CFS")</f>
        <v/>
      </c>
      <c r="F101" s="45">
        <f>IFERROR(__xludf.DUMMYFUNCTION("""COMPUTED_VALUE"""),"Bodyline Trading (Private) Limited")</f>
        <v/>
      </c>
      <c r="G101" s="45">
        <f>IFERROR(__xludf.DUMMYFUNCTION("""COMPUTED_VALUE"""),"Bodyline (Private) Limited")</f>
        <v/>
      </c>
      <c r="H101" s="43">
        <f>IFERROR(__xludf.DUMMYFUNCTION("""COMPUTED_VALUE"""),452648755381)</f>
        <v/>
      </c>
      <c r="I101" s="45">
        <f>IFERROR(__xludf.DUMMYFUNCTION("""COMPUTED_VALUE"""),19877609)</f>
        <v/>
      </c>
      <c r="J101" s="45">
        <f>IFERROR(__xludf.DUMMYFUNCTION("""COMPUTED_VALUE"""),"LW9DCLS")</f>
        <v/>
      </c>
      <c r="K101" s="45">
        <f>IFERROR(__xludf.DUMMYFUNCTION("""COMPUTED_VALUE"""),"LW9DCLS-073357")</f>
        <v/>
      </c>
      <c r="L101" s="45">
        <f>IFERROR(__xludf.DUMMYFUNCTION("""COMPUTED_VALUE"""),4)</f>
        <v/>
      </c>
      <c r="M101" s="45">
        <f>IFERROR(__xludf.DUMMYFUNCTION("""COMPUTED_VALUE"""),120)</f>
        <v/>
      </c>
      <c r="N101" s="45">
        <f>IFERROR(__xludf.DUMMYFUNCTION("""COMPUTED_VALUE"""),15.176)</f>
        <v/>
      </c>
      <c r="O101" s="45">
        <f>IFERROR(__xludf.DUMMYFUNCTION("""COMPUTED_VALUE"""),0.176)</f>
        <v/>
      </c>
      <c r="P101" s="45">
        <f>IFERROR(__xludf.DUMMYFUNCTION("""COMPUTED_VALUE"""),"Colombo, LK")</f>
        <v/>
      </c>
      <c r="Q101" s="45">
        <f>IFERROR(__xludf.DUMMYFUNCTION("""COMPUTED_VALUE"""),"New York, NY, US")</f>
        <v/>
      </c>
      <c r="R101" s="44">
        <f>IFERROR(__xludf.DUMMYFUNCTION("""COMPUTED_VALUE"""),45817)</f>
        <v/>
      </c>
      <c r="S101" s="44">
        <f>IFERROR(__xludf.DUMMYFUNCTION("""COMPUTED_VALUE"""),45876)</f>
        <v/>
      </c>
      <c r="T101" s="45">
        <f>IFERROR(__xludf.DUMMYFUNCTION("""COMPUTED_VALUE"""),"Mississauga, ON, CA")</f>
        <v/>
      </c>
      <c r="U101" s="45" t="n"/>
      <c r="V101" s="45" t="n"/>
      <c r="W101" s="45" t="n"/>
      <c r="X101" s="45" t="n"/>
      <c r="Y101" s="46">
        <f>IFERROR(__xludf.DUMMYFUNCTION("""COMPUTED_VALUE"""),45825)</f>
        <v/>
      </c>
      <c r="Z101" s="46">
        <f>IFERROR(__xludf.DUMMYFUNCTION("""COMPUTED_VALUE"""),45854)</f>
        <v/>
      </c>
      <c r="AA101" s="46">
        <f>IFERROR(__xludf.DUMMYFUNCTION("""COMPUTED_VALUE"""),45867)</f>
        <v/>
      </c>
      <c r="AB101" s="45">
        <f>IFERROR(__xludf.DUMMYFUNCTION("""COMPUTED_VALUE"""),"3500 Argentia Road")</f>
        <v/>
      </c>
      <c r="AC101" s="45" t="n"/>
      <c r="AD101" s="45">
        <f>IFERROR(__xludf.DUMMYFUNCTION("""COMPUTED_VALUE"""),"OCEAN")</f>
        <v/>
      </c>
      <c r="AE101" s="45">
        <f>IFERROR(__xludf.DUMMYFUNCTION("""COMPUTED_VALUE"""),"N")</f>
        <v/>
      </c>
      <c r="AF101" s="45" t="n"/>
      <c r="AG101" s="49">
        <f>IFERROR(__xludf.DUMMYFUNCTION("IFNA(vlookup(H101,IMPORTRANGE(""1vUGwO1n0QQGx9kKbO0_M5gmuhXZ6-LaxQxgrmJnzgP0"",""'TP# look up'!A:C""),3,0),"""")"),"")</f>
        <v/>
      </c>
      <c r="AH101" s="49">
        <f>LEFT(J101,2)</f>
        <v/>
      </c>
    </row>
    <row r="102" hidden="1" ht="12.75" customHeight="1">
      <c r="A102" s="45">
        <f>IFERROR(__xludf.DUMMYFUNCTION("""COMPUTED_VALUE"""),"Colombo")</f>
        <v/>
      </c>
      <c r="B102" s="45" t="n"/>
      <c r="C102" s="45">
        <f>IFERROR(__xludf.DUMMYFUNCTION("""COMPUTED_VALUE"""),3231352)</f>
        <v/>
      </c>
      <c r="D102" s="45" t="n"/>
      <c r="E102" s="45">
        <f>IFERROR(__xludf.DUMMYFUNCTION("""COMPUTED_VALUE"""),"CFS")</f>
        <v/>
      </c>
      <c r="F102" s="45">
        <f>IFERROR(__xludf.DUMMYFUNCTION("""COMPUTED_VALUE"""),"Bodyline Trading (Private) Limited")</f>
        <v/>
      </c>
      <c r="G102" s="45">
        <f>IFERROR(__xludf.DUMMYFUNCTION("""COMPUTED_VALUE"""),"Bodyline (Private) Limited")</f>
        <v/>
      </c>
      <c r="H102" s="43">
        <f>IFERROR(__xludf.DUMMYFUNCTION("""COMPUTED_VALUE"""),452650139553)</f>
        <v/>
      </c>
      <c r="I102" s="45">
        <f>IFERROR(__xludf.DUMMYFUNCTION("""COMPUTED_VALUE"""),19877784)</f>
        <v/>
      </c>
      <c r="J102" s="45">
        <f>IFERROR(__xludf.DUMMYFUNCTION("""COMPUTED_VALUE"""),"LW9DTZS")</f>
        <v/>
      </c>
      <c r="K102" s="45">
        <f>IFERROR(__xludf.DUMMYFUNCTION("""COMPUTED_VALUE"""),"LW9DTZS-073330")</f>
        <v/>
      </c>
      <c r="L102" s="45">
        <f>IFERROR(__xludf.DUMMYFUNCTION("""COMPUTED_VALUE"""),3)</f>
        <v/>
      </c>
      <c r="M102" s="45">
        <f>IFERROR(__xludf.DUMMYFUNCTION("""COMPUTED_VALUE"""),84)</f>
        <v/>
      </c>
      <c r="N102" s="45">
        <f>IFERROR(__xludf.DUMMYFUNCTION("""COMPUTED_VALUE"""),11.019)</f>
        <v/>
      </c>
      <c r="O102" s="45">
        <f>IFERROR(__xludf.DUMMYFUNCTION("""COMPUTED_VALUE"""),0.132)</f>
        <v/>
      </c>
      <c r="P102" s="45">
        <f>IFERROR(__xludf.DUMMYFUNCTION("""COMPUTED_VALUE"""),"Colombo, LK")</f>
        <v/>
      </c>
      <c r="Q102" s="45">
        <f>IFERROR(__xludf.DUMMYFUNCTION("""COMPUTED_VALUE"""),"New York, NY, US")</f>
        <v/>
      </c>
      <c r="R102" s="44">
        <f>IFERROR(__xludf.DUMMYFUNCTION("""COMPUTED_VALUE"""),45817)</f>
        <v/>
      </c>
      <c r="S102" s="44">
        <f>IFERROR(__xludf.DUMMYFUNCTION("""COMPUTED_VALUE"""),45876)</f>
        <v/>
      </c>
      <c r="T102" s="45">
        <f>IFERROR(__xludf.DUMMYFUNCTION("""COMPUTED_VALUE"""),"Mississauga, ON, CA")</f>
        <v/>
      </c>
      <c r="U102" s="45" t="n"/>
      <c r="V102" s="45" t="n"/>
      <c r="W102" s="45" t="n"/>
      <c r="X102" s="45" t="n"/>
      <c r="Y102" s="46">
        <f>IFERROR(__xludf.DUMMYFUNCTION("""COMPUTED_VALUE"""),45825)</f>
        <v/>
      </c>
      <c r="Z102" s="46">
        <f>IFERROR(__xludf.DUMMYFUNCTION("""COMPUTED_VALUE"""),45854)</f>
        <v/>
      </c>
      <c r="AA102" s="46">
        <f>IFERROR(__xludf.DUMMYFUNCTION("""COMPUTED_VALUE"""),45867)</f>
        <v/>
      </c>
      <c r="AB102" s="45">
        <f>IFERROR(__xludf.DUMMYFUNCTION("""COMPUTED_VALUE"""),"3500 Argentia Road")</f>
        <v/>
      </c>
      <c r="AC102" s="45" t="n"/>
      <c r="AD102" s="45">
        <f>IFERROR(__xludf.DUMMYFUNCTION("""COMPUTED_VALUE"""),"OCEAN")</f>
        <v/>
      </c>
      <c r="AE102" s="45">
        <f>IFERROR(__xludf.DUMMYFUNCTION("""COMPUTED_VALUE"""),"N")</f>
        <v/>
      </c>
      <c r="AF102" s="45" t="n"/>
      <c r="AG102" s="49">
        <f>IFERROR(__xludf.DUMMYFUNCTION("IFNA(vlookup(H102,IMPORTRANGE(""1vUGwO1n0QQGx9kKbO0_M5gmuhXZ6-LaxQxgrmJnzgP0"",""'TP# look up'!A:C""),3,0),"""")"),"")</f>
        <v/>
      </c>
      <c r="AH102" s="49">
        <f>LEFT(J102,2)</f>
        <v/>
      </c>
    </row>
    <row r="103" hidden="1" ht="12.75" customHeight="1">
      <c r="A103" s="45">
        <f>IFERROR(__xludf.DUMMYFUNCTION("""COMPUTED_VALUE"""),"Colombo")</f>
        <v/>
      </c>
      <c r="B103" s="45" t="n"/>
      <c r="C103" s="45">
        <f>IFERROR(__xludf.DUMMYFUNCTION("""COMPUTED_VALUE"""),3231352)</f>
        <v/>
      </c>
      <c r="D103" s="45" t="n"/>
      <c r="E103" s="45">
        <f>IFERROR(__xludf.DUMMYFUNCTION("""COMPUTED_VALUE"""),"CFS")</f>
        <v/>
      </c>
      <c r="F103" s="45">
        <f>IFERROR(__xludf.DUMMYFUNCTION("""COMPUTED_VALUE"""),"Bodyline Trading (Private) Limited")</f>
        <v/>
      </c>
      <c r="G103" s="45">
        <f>IFERROR(__xludf.DUMMYFUNCTION("""COMPUTED_VALUE"""),"Bodyline (Private) Limited")</f>
        <v/>
      </c>
      <c r="H103" s="43">
        <f>IFERROR(__xludf.DUMMYFUNCTION("""COMPUTED_VALUE"""),452650588278)</f>
        <v/>
      </c>
      <c r="I103" s="45">
        <f>IFERROR(__xludf.DUMMYFUNCTION("""COMPUTED_VALUE"""),19877780)</f>
        <v/>
      </c>
      <c r="J103" s="45">
        <f>IFERROR(__xludf.DUMMYFUNCTION("""COMPUTED_VALUE"""),"LW9DTZS")</f>
        <v/>
      </c>
      <c r="K103" s="45">
        <f>IFERROR(__xludf.DUMMYFUNCTION("""COMPUTED_VALUE"""),"LW9DTZS-073330")</f>
        <v/>
      </c>
      <c r="L103" s="45">
        <f>IFERROR(__xludf.DUMMYFUNCTION("""COMPUTED_VALUE"""),5)</f>
        <v/>
      </c>
      <c r="M103" s="45">
        <f>IFERROR(__xludf.DUMMYFUNCTION("""COMPUTED_VALUE"""),276)</f>
        <v/>
      </c>
      <c r="N103" s="45">
        <f>IFERROR(__xludf.DUMMYFUNCTION("""COMPUTED_VALUE"""),31.452)</f>
        <v/>
      </c>
      <c r="O103" s="45">
        <f>IFERROR(__xludf.DUMMYFUNCTION("""COMPUTED_VALUE"""),0.22)</f>
        <v/>
      </c>
      <c r="P103" s="45">
        <f>IFERROR(__xludf.DUMMYFUNCTION("""COMPUTED_VALUE"""),"Colombo, LK")</f>
        <v/>
      </c>
      <c r="Q103" s="45">
        <f>IFERROR(__xludf.DUMMYFUNCTION("""COMPUTED_VALUE"""),"New York, NY, US")</f>
        <v/>
      </c>
      <c r="R103" s="44">
        <f>IFERROR(__xludf.DUMMYFUNCTION("""COMPUTED_VALUE"""),45817)</f>
        <v/>
      </c>
      <c r="S103" s="44">
        <f>IFERROR(__xludf.DUMMYFUNCTION("""COMPUTED_VALUE"""),45876)</f>
        <v/>
      </c>
      <c r="T103" s="45">
        <f>IFERROR(__xludf.DUMMYFUNCTION("""COMPUTED_VALUE"""),"Milton, ON, CA")</f>
        <v/>
      </c>
      <c r="U103" s="45" t="n"/>
      <c r="V103" s="45" t="n"/>
      <c r="W103" s="45" t="n"/>
      <c r="X103" s="45" t="n"/>
      <c r="Y103" s="46">
        <f>IFERROR(__xludf.DUMMYFUNCTION("""COMPUTED_VALUE"""),45825)</f>
        <v/>
      </c>
      <c r="Z103" s="46">
        <f>IFERROR(__xludf.DUMMYFUNCTION("""COMPUTED_VALUE"""),45854)</f>
        <v/>
      </c>
      <c r="AA103" s="46">
        <f>IFERROR(__xludf.DUMMYFUNCTION("""COMPUTED_VALUE"""),45867)</f>
        <v/>
      </c>
      <c r="AB103" s="45">
        <f>IFERROR(__xludf.DUMMYFUNCTION("""COMPUTED_VALUE"""),"7211 Fifth Line")</f>
        <v/>
      </c>
      <c r="AC103" s="45" t="n"/>
      <c r="AD103" s="45">
        <f>IFERROR(__xludf.DUMMYFUNCTION("""COMPUTED_VALUE"""),"OCEAN")</f>
        <v/>
      </c>
      <c r="AE103" s="45">
        <f>IFERROR(__xludf.DUMMYFUNCTION("""COMPUTED_VALUE"""),"N")</f>
        <v/>
      </c>
      <c r="AF103" s="45" t="n"/>
      <c r="AG103" s="49">
        <f>IFERROR(__xludf.DUMMYFUNCTION("IFNA(vlookup(H103,IMPORTRANGE(""1vUGwO1n0QQGx9kKbO0_M5gmuhXZ6-LaxQxgrmJnzgP0"",""'TP# look up'!A:C""),3,0),"""")"),"")</f>
        <v/>
      </c>
      <c r="AH103" s="49">
        <f>LEFT(J103,2)</f>
        <v/>
      </c>
    </row>
    <row r="104" hidden="1" ht="12.75" customHeight="1">
      <c r="A104" s="45">
        <f>IFERROR(__xludf.DUMMYFUNCTION("""COMPUTED_VALUE"""),"Colombo")</f>
        <v/>
      </c>
      <c r="B104" s="45" t="n"/>
      <c r="C104" s="45">
        <f>IFERROR(__xludf.DUMMYFUNCTION("""COMPUTED_VALUE"""),3231352)</f>
        <v/>
      </c>
      <c r="D104" s="45" t="n"/>
      <c r="E104" s="45">
        <f>IFERROR(__xludf.DUMMYFUNCTION("""COMPUTED_VALUE"""),"CFS")</f>
        <v/>
      </c>
      <c r="F104" s="45">
        <f>IFERROR(__xludf.DUMMYFUNCTION("""COMPUTED_VALUE"""),"Bodyline Trading (Private) Limited")</f>
        <v/>
      </c>
      <c r="G104" s="45">
        <f>IFERROR(__xludf.DUMMYFUNCTION("""COMPUTED_VALUE"""),"Bodyline (Private) Limited")</f>
        <v/>
      </c>
      <c r="H104" s="43">
        <f>IFERROR(__xludf.DUMMYFUNCTION("""COMPUTED_VALUE"""),452651967427)</f>
        <v/>
      </c>
      <c r="I104" s="45">
        <f>IFERROR(__xludf.DUMMYFUNCTION("""COMPUTED_VALUE"""),19878479)</f>
        <v/>
      </c>
      <c r="J104" s="45">
        <f>IFERROR(__xludf.DUMMYFUNCTION("""COMPUTED_VALUE"""),"LW9DTZS")</f>
        <v/>
      </c>
      <c r="K104" s="45">
        <f>IFERROR(__xludf.DUMMYFUNCTION("""COMPUTED_VALUE"""),"LW9DTZS-073330")</f>
        <v/>
      </c>
      <c r="L104" s="45">
        <f>IFERROR(__xludf.DUMMYFUNCTION("""COMPUTED_VALUE"""),4)</f>
        <v/>
      </c>
      <c r="M104" s="45">
        <f>IFERROR(__xludf.DUMMYFUNCTION("""COMPUTED_VALUE"""),173)</f>
        <v/>
      </c>
      <c r="N104" s="45">
        <f>IFERROR(__xludf.DUMMYFUNCTION("""COMPUTED_VALUE"""),20.725)</f>
        <v/>
      </c>
      <c r="O104" s="45">
        <f>IFERROR(__xludf.DUMMYFUNCTION("""COMPUTED_VALUE"""),0.176)</f>
        <v/>
      </c>
      <c r="P104" s="45">
        <f>IFERROR(__xludf.DUMMYFUNCTION("""COMPUTED_VALUE"""),"Colombo, LK")</f>
        <v/>
      </c>
      <c r="Q104" s="45">
        <f>IFERROR(__xludf.DUMMYFUNCTION("""COMPUTED_VALUE"""),"New York, NY, US")</f>
        <v/>
      </c>
      <c r="R104" s="44">
        <f>IFERROR(__xludf.DUMMYFUNCTION("""COMPUTED_VALUE"""),45817)</f>
        <v/>
      </c>
      <c r="S104" s="44">
        <f>IFERROR(__xludf.DUMMYFUNCTION("""COMPUTED_VALUE"""),45876)</f>
        <v/>
      </c>
      <c r="T104" s="45">
        <f>IFERROR(__xludf.DUMMYFUNCTION("""COMPUTED_VALUE"""),"Mississauga, ON, CA")</f>
        <v/>
      </c>
      <c r="U104" s="45" t="n"/>
      <c r="V104" s="45" t="n"/>
      <c r="W104" s="45" t="n"/>
      <c r="X104" s="45" t="n"/>
      <c r="Y104" s="46">
        <f>IFERROR(__xludf.DUMMYFUNCTION("""COMPUTED_VALUE"""),45825)</f>
        <v/>
      </c>
      <c r="Z104" s="46">
        <f>IFERROR(__xludf.DUMMYFUNCTION("""COMPUTED_VALUE"""),45854)</f>
        <v/>
      </c>
      <c r="AA104" s="46">
        <f>IFERROR(__xludf.DUMMYFUNCTION("""COMPUTED_VALUE"""),45867)</f>
        <v/>
      </c>
      <c r="AB104" s="45">
        <f>IFERROR(__xludf.DUMMYFUNCTION("""COMPUTED_VALUE"""),"3500 Argentia Road")</f>
        <v/>
      </c>
      <c r="AC104" s="45" t="n"/>
      <c r="AD104" s="45">
        <f>IFERROR(__xludf.DUMMYFUNCTION("""COMPUTED_VALUE"""),"OCEAN")</f>
        <v/>
      </c>
      <c r="AE104" s="45">
        <f>IFERROR(__xludf.DUMMYFUNCTION("""COMPUTED_VALUE"""),"N")</f>
        <v/>
      </c>
      <c r="AF104" s="45" t="n"/>
      <c r="AG104" s="49">
        <f>IFERROR(__xludf.DUMMYFUNCTION("IFNA(vlookup(H104,IMPORTRANGE(""1vUGwO1n0QQGx9kKbO0_M5gmuhXZ6-LaxQxgrmJnzgP0"",""'TP# look up'!A:C""),3,0),"""")"),"")</f>
        <v/>
      </c>
      <c r="AH104" s="49">
        <f>LEFT(J104,2)</f>
        <v/>
      </c>
    </row>
    <row r="105" ht="12.75" customHeight="1">
      <c r="A105" s="45">
        <f>IFERROR(__xludf.DUMMYFUNCTION("""COMPUTED_VALUE"""),"Colombo")</f>
        <v/>
      </c>
      <c r="B105" s="45" t="n"/>
      <c r="C105" s="45">
        <f>IFERROR(__xludf.DUMMYFUNCTION("""COMPUTED_VALUE"""),3231352)</f>
        <v/>
      </c>
      <c r="D105" s="45" t="n"/>
      <c r="E105" s="45">
        <f>IFERROR(__xludf.DUMMYFUNCTION("""COMPUTED_VALUE"""),"CFS")</f>
        <v/>
      </c>
      <c r="F105" s="45">
        <f>IFERROR(__xludf.DUMMYFUNCTION("""COMPUTED_VALUE"""),"Bodyline Trading (Private) Limited")</f>
        <v/>
      </c>
      <c r="G105" s="45">
        <f>IFERROR(__xludf.DUMMYFUNCTION("""COMPUTED_VALUE"""),"Bodyline (Private) Limited")</f>
        <v/>
      </c>
      <c r="H105" s="43">
        <f>IFERROR(__xludf.DUMMYFUNCTION("""COMPUTED_VALUE"""),452656067325)</f>
        <v/>
      </c>
      <c r="I105" s="45">
        <f>IFERROR(__xludf.DUMMYFUNCTION("""COMPUTED_VALUE"""),19877740)</f>
        <v/>
      </c>
      <c r="J105" s="45">
        <f>IFERROR(__xludf.DUMMYFUNCTION("""COMPUTED_VALUE"""),"LW9DTYS")</f>
        <v/>
      </c>
      <c r="K105" s="45">
        <f>IFERROR(__xludf.DUMMYFUNCTION("""COMPUTED_VALUE"""),"LW9DTYS-073330")</f>
        <v/>
      </c>
      <c r="L105" s="45">
        <f>IFERROR(__xludf.DUMMYFUNCTION("""COMPUTED_VALUE"""),3)</f>
        <v/>
      </c>
      <c r="M105" s="45">
        <f>IFERROR(__xludf.DUMMYFUNCTION("""COMPUTED_VALUE"""),65)</f>
        <v/>
      </c>
      <c r="N105" s="45">
        <f>IFERROR(__xludf.DUMMYFUNCTION("""COMPUTED_VALUE"""),8.14)</f>
        <v/>
      </c>
      <c r="O105" s="45">
        <f>IFERROR(__xludf.DUMMYFUNCTION("""COMPUTED_VALUE"""),0.132)</f>
        <v/>
      </c>
      <c r="P105" s="45">
        <f>IFERROR(__xludf.DUMMYFUNCTION("""COMPUTED_VALUE"""),"Colombo, LK")</f>
        <v/>
      </c>
      <c r="Q105" s="45">
        <f>IFERROR(__xludf.DUMMYFUNCTION("""COMPUTED_VALUE"""),"New York, NY, US")</f>
        <v/>
      </c>
      <c r="R105" s="44">
        <f>IFERROR(__xludf.DUMMYFUNCTION("""COMPUTED_VALUE"""),45817)</f>
        <v/>
      </c>
      <c r="S105" s="44">
        <f>IFERROR(__xludf.DUMMYFUNCTION("""COMPUTED_VALUE"""),45876)</f>
        <v/>
      </c>
      <c r="T105" s="45">
        <f>IFERROR(__xludf.DUMMYFUNCTION("""COMPUTED_VALUE"""),"Mississauga, ON, CA")</f>
        <v/>
      </c>
      <c r="U105" s="45" t="n"/>
      <c r="V105" s="45" t="n"/>
      <c r="W105" s="45" t="n"/>
      <c r="X105" s="45" t="n"/>
      <c r="Y105" s="46">
        <f>IFERROR(__xludf.DUMMYFUNCTION("""COMPUTED_VALUE"""),45825)</f>
        <v/>
      </c>
      <c r="Z105" s="46">
        <f>IFERROR(__xludf.DUMMYFUNCTION("""COMPUTED_VALUE"""),45854)</f>
        <v/>
      </c>
      <c r="AA105" s="46">
        <f>IFERROR(__xludf.DUMMYFUNCTION("""COMPUTED_VALUE"""),45867)</f>
        <v/>
      </c>
      <c r="AB105" s="45">
        <f>IFERROR(__xludf.DUMMYFUNCTION("""COMPUTED_VALUE"""),"3500 Argentia Road")</f>
        <v/>
      </c>
      <c r="AC105" s="45" t="n"/>
      <c r="AD105" s="45">
        <f>IFERROR(__xludf.DUMMYFUNCTION("""COMPUTED_VALUE"""),"OCEAN")</f>
        <v/>
      </c>
      <c r="AE105" s="45">
        <f>IFERROR(__xludf.DUMMYFUNCTION("""COMPUTED_VALUE"""),"N")</f>
        <v/>
      </c>
      <c r="AF105" s="45" t="n"/>
      <c r="AG105" s="49">
        <f>IFERROR(__xludf.DUMMYFUNCTION("IFNA(vlookup(H105,IMPORTRANGE(""1vUGwO1n0QQGx9kKbO0_M5gmuhXZ6-LaxQxgrmJnzgP0"",""'TP# look up'!A:C""),3,0),"""")"),"")</f>
        <v/>
      </c>
      <c r="AH105" s="49">
        <f>LEFT(J105,2)</f>
        <v/>
      </c>
    </row>
    <row r="106" ht="12.75" customHeight="1">
      <c r="A106" s="45">
        <f>IFERROR(__xludf.DUMMYFUNCTION("""COMPUTED_VALUE"""),"Colombo")</f>
        <v/>
      </c>
      <c r="B106" s="45" t="n"/>
      <c r="C106" s="45">
        <f>IFERROR(__xludf.DUMMYFUNCTION("""COMPUTED_VALUE"""),3231352)</f>
        <v/>
      </c>
      <c r="D106" s="45" t="n"/>
      <c r="E106" s="45">
        <f>IFERROR(__xludf.DUMMYFUNCTION("""COMPUTED_VALUE"""),"CFS")</f>
        <v/>
      </c>
      <c r="F106" s="45">
        <f>IFERROR(__xludf.DUMMYFUNCTION("""COMPUTED_VALUE"""),"MAS AMITY PTE LTD")</f>
        <v/>
      </c>
      <c r="G106" s="45">
        <f>IFERROR(__xludf.DUMMYFUNCTION("""COMPUTED_VALUE"""),"MAS Active (Pvt) Ltd - Linea Intimo")</f>
        <v/>
      </c>
      <c r="H106" s="43">
        <f>IFERROR(__xludf.DUMMYFUNCTION("""COMPUTED_VALUE"""),452698683650)</f>
        <v/>
      </c>
      <c r="I106" s="45">
        <f>IFERROR(__xludf.DUMMYFUNCTION("""COMPUTED_VALUE"""),19890523)</f>
        <v/>
      </c>
      <c r="J106" s="45">
        <f>IFERROR(__xludf.DUMMYFUNCTION("""COMPUTED_VALUE"""),"LW7DHNS")</f>
        <v/>
      </c>
      <c r="K106" s="45">
        <f>IFERROR(__xludf.DUMMYFUNCTION("""COMPUTED_VALUE"""),"LW7DHNS-070900")</f>
        <v/>
      </c>
      <c r="L106" s="45">
        <f>IFERROR(__xludf.DUMMYFUNCTION("""COMPUTED_VALUE"""),5)</f>
        <v/>
      </c>
      <c r="M106" s="45">
        <f>IFERROR(__xludf.DUMMYFUNCTION("""COMPUTED_VALUE"""),125)</f>
        <v/>
      </c>
      <c r="N106" s="45">
        <f>IFERROR(__xludf.DUMMYFUNCTION("""COMPUTED_VALUE"""),27.88)</f>
        <v/>
      </c>
      <c r="O106" s="45">
        <f>IFERROR(__xludf.DUMMYFUNCTION("""COMPUTED_VALUE"""),0.237)</f>
        <v/>
      </c>
      <c r="P106" s="45">
        <f>IFERROR(__xludf.DUMMYFUNCTION("""COMPUTED_VALUE"""),"Colombo, LK")</f>
        <v/>
      </c>
      <c r="Q106" s="45">
        <f>IFERROR(__xludf.DUMMYFUNCTION("""COMPUTED_VALUE"""),"New York, NY, US")</f>
        <v/>
      </c>
      <c r="R106" s="44">
        <f>IFERROR(__xludf.DUMMYFUNCTION("""COMPUTED_VALUE"""),45817)</f>
        <v/>
      </c>
      <c r="S106" s="44">
        <f>IFERROR(__xludf.DUMMYFUNCTION("""COMPUTED_VALUE"""),45876)</f>
        <v/>
      </c>
      <c r="T106" s="45">
        <f>IFERROR(__xludf.DUMMYFUNCTION("""COMPUTED_VALUE"""),"Milton, ON, CA")</f>
        <v/>
      </c>
      <c r="U106" s="45" t="n"/>
      <c r="V106" s="45" t="n"/>
      <c r="W106" s="45" t="n"/>
      <c r="X106" s="45" t="n"/>
      <c r="Y106" s="46">
        <f>IFERROR(__xludf.DUMMYFUNCTION("""COMPUTED_VALUE"""),45825)</f>
        <v/>
      </c>
      <c r="Z106" s="46">
        <f>IFERROR(__xludf.DUMMYFUNCTION("""COMPUTED_VALUE"""),45854)</f>
        <v/>
      </c>
      <c r="AA106" s="46">
        <f>IFERROR(__xludf.DUMMYFUNCTION("""COMPUTED_VALUE"""),45867)</f>
        <v/>
      </c>
      <c r="AB106" s="45">
        <f>IFERROR(__xludf.DUMMYFUNCTION("""COMPUTED_VALUE"""),"7211 Fifth Line")</f>
        <v/>
      </c>
      <c r="AC106" s="45" t="n"/>
      <c r="AD106" s="45">
        <f>IFERROR(__xludf.DUMMYFUNCTION("""COMPUTED_VALUE"""),"OCEAN")</f>
        <v/>
      </c>
      <c r="AE106" s="45">
        <f>IFERROR(__xludf.DUMMYFUNCTION("""COMPUTED_VALUE"""),"N")</f>
        <v/>
      </c>
      <c r="AF106" s="45" t="n"/>
      <c r="AG106" s="49">
        <f>IFERROR(__xludf.DUMMYFUNCTION("IFNA(vlookup(H106,IMPORTRANGE(""1vUGwO1n0QQGx9kKbO0_M5gmuhXZ6-LaxQxgrmJnzgP0"",""'TP# look up'!A:C""),3,0),"""")"),"")</f>
        <v/>
      </c>
      <c r="AH106" s="49">
        <f>LEFT(J106,2)</f>
        <v/>
      </c>
    </row>
    <row r="107" ht="12.75" customHeight="1">
      <c r="A107" s="45">
        <f>IFERROR(__xludf.DUMMYFUNCTION("""COMPUTED_VALUE"""),"Colombo")</f>
        <v/>
      </c>
      <c r="B107" s="45" t="n"/>
      <c r="C107" s="45">
        <f>IFERROR(__xludf.DUMMYFUNCTION("""COMPUTED_VALUE"""),3231352)</f>
        <v/>
      </c>
      <c r="D107" s="45" t="n"/>
      <c r="E107" s="45">
        <f>IFERROR(__xludf.DUMMYFUNCTION("""COMPUTED_VALUE"""),"CFS")</f>
        <v/>
      </c>
      <c r="F107" s="45">
        <f>IFERROR(__xludf.DUMMYFUNCTION("""COMPUTED_VALUE"""),"Bodyline Trading (Private) Limited")</f>
        <v/>
      </c>
      <c r="G107" s="45">
        <f>IFERROR(__xludf.DUMMYFUNCTION("""COMPUTED_VALUE"""),"Bodyline (Private) Limited")</f>
        <v/>
      </c>
      <c r="H107" s="43">
        <f>IFERROR(__xludf.DUMMYFUNCTION("""COMPUTED_VALUE"""),452657341556)</f>
        <v/>
      </c>
      <c r="I107" s="45">
        <f>IFERROR(__xludf.DUMMYFUNCTION("""COMPUTED_VALUE"""),19877724)</f>
        <v/>
      </c>
      <c r="J107" s="45">
        <f>IFERROR(__xludf.DUMMYFUNCTION("""COMPUTED_VALUE"""),"LW9DTYS")</f>
        <v/>
      </c>
      <c r="K107" s="45">
        <f>IFERROR(__xludf.DUMMYFUNCTION("""COMPUTED_VALUE"""),"LW9DTYS-073330")</f>
        <v/>
      </c>
      <c r="L107" s="45">
        <f>IFERROR(__xludf.DUMMYFUNCTION("""COMPUTED_VALUE"""),8)</f>
        <v/>
      </c>
      <c r="M107" s="45">
        <f>IFERROR(__xludf.DUMMYFUNCTION("""COMPUTED_VALUE"""),255)</f>
        <v/>
      </c>
      <c r="N107" s="45">
        <f>IFERROR(__xludf.DUMMYFUNCTION("""COMPUTED_VALUE"""),27.452)</f>
        <v/>
      </c>
      <c r="O107" s="45">
        <f>IFERROR(__xludf.DUMMYFUNCTION("""COMPUTED_VALUE"""),0.351)</f>
        <v/>
      </c>
      <c r="P107" s="45">
        <f>IFERROR(__xludf.DUMMYFUNCTION("""COMPUTED_VALUE"""),"Colombo, LK")</f>
        <v/>
      </c>
      <c r="Q107" s="45">
        <f>IFERROR(__xludf.DUMMYFUNCTION("""COMPUTED_VALUE"""),"New York, NY, US")</f>
        <v/>
      </c>
      <c r="R107" s="44">
        <f>IFERROR(__xludf.DUMMYFUNCTION("""COMPUTED_VALUE"""),45817)</f>
        <v/>
      </c>
      <c r="S107" s="44">
        <f>IFERROR(__xludf.DUMMYFUNCTION("""COMPUTED_VALUE"""),45876)</f>
        <v/>
      </c>
      <c r="T107" s="45">
        <f>IFERROR(__xludf.DUMMYFUNCTION("""COMPUTED_VALUE"""),"Milton, ON, CA")</f>
        <v/>
      </c>
      <c r="U107" s="45" t="n"/>
      <c r="V107" s="45" t="n"/>
      <c r="W107" s="45" t="n"/>
      <c r="X107" s="45" t="n"/>
      <c r="Y107" s="46">
        <f>IFERROR(__xludf.DUMMYFUNCTION("""COMPUTED_VALUE"""),45825)</f>
        <v/>
      </c>
      <c r="Z107" s="46">
        <f>IFERROR(__xludf.DUMMYFUNCTION("""COMPUTED_VALUE"""),45854)</f>
        <v/>
      </c>
      <c r="AA107" s="46">
        <f>IFERROR(__xludf.DUMMYFUNCTION("""COMPUTED_VALUE"""),45867)</f>
        <v/>
      </c>
      <c r="AB107" s="45">
        <f>IFERROR(__xludf.DUMMYFUNCTION("""COMPUTED_VALUE"""),"7211 Fifth Line")</f>
        <v/>
      </c>
      <c r="AC107" s="45" t="n"/>
      <c r="AD107" s="45">
        <f>IFERROR(__xludf.DUMMYFUNCTION("""COMPUTED_VALUE"""),"OCEAN")</f>
        <v/>
      </c>
      <c r="AE107" s="45">
        <f>IFERROR(__xludf.DUMMYFUNCTION("""COMPUTED_VALUE"""),"N")</f>
        <v/>
      </c>
      <c r="AF107" s="45" t="n"/>
      <c r="AG107" s="49">
        <f>IFERROR(__xludf.DUMMYFUNCTION("IFNA(vlookup(H107,IMPORTRANGE(""1vUGwO1n0QQGx9kKbO0_M5gmuhXZ6-LaxQxgrmJnzgP0"",""'TP# look up'!A:C""),3,0),"""")"),"")</f>
        <v/>
      </c>
      <c r="AH107" s="49">
        <f>LEFT(J107,2)</f>
        <v/>
      </c>
    </row>
    <row r="108" ht="12.75" customHeight="1">
      <c r="A108" s="45">
        <f>IFERROR(__xludf.DUMMYFUNCTION("""COMPUTED_VALUE"""),"Colombo")</f>
        <v/>
      </c>
      <c r="B108" s="45" t="n"/>
      <c r="C108" s="45">
        <f>IFERROR(__xludf.DUMMYFUNCTION("""COMPUTED_VALUE"""),3231352)</f>
        <v/>
      </c>
      <c r="D108" s="45" t="n"/>
      <c r="E108" s="45">
        <f>IFERROR(__xludf.DUMMYFUNCTION("""COMPUTED_VALUE"""),"CFS")</f>
        <v/>
      </c>
      <c r="F108" s="45">
        <f>IFERROR(__xludf.DUMMYFUNCTION("""COMPUTED_VALUE"""),"Bodyline Trading (Private) Limited")</f>
        <v/>
      </c>
      <c r="G108" s="45">
        <f>IFERROR(__xludf.DUMMYFUNCTION("""COMPUTED_VALUE"""),"Bodyline (Private) Limited")</f>
        <v/>
      </c>
      <c r="H108" s="43">
        <f>IFERROR(__xludf.DUMMYFUNCTION("""COMPUTED_VALUE"""),452657453774)</f>
        <v/>
      </c>
      <c r="I108" s="45">
        <f>IFERROR(__xludf.DUMMYFUNCTION("""COMPUTED_VALUE"""),19878459)</f>
        <v/>
      </c>
      <c r="J108" s="45">
        <f>IFERROR(__xludf.DUMMYFUNCTION("""COMPUTED_VALUE"""),"LW9DTYS")</f>
        <v/>
      </c>
      <c r="K108" s="45">
        <f>IFERROR(__xludf.DUMMYFUNCTION("""COMPUTED_VALUE"""),"LW9DTYS-073330")</f>
        <v/>
      </c>
      <c r="L108" s="45">
        <f>IFERROR(__xludf.DUMMYFUNCTION("""COMPUTED_VALUE"""),4)</f>
        <v/>
      </c>
      <c r="M108" s="45">
        <f>IFERROR(__xludf.DUMMYFUNCTION("""COMPUTED_VALUE"""),124)</f>
        <v/>
      </c>
      <c r="N108" s="45">
        <f>IFERROR(__xludf.DUMMYFUNCTION("""COMPUTED_VALUE"""),13.746)</f>
        <v/>
      </c>
      <c r="O108" s="45">
        <f>IFERROR(__xludf.DUMMYFUNCTION("""COMPUTED_VALUE"""),0.176)</f>
        <v/>
      </c>
      <c r="P108" s="45">
        <f>IFERROR(__xludf.DUMMYFUNCTION("""COMPUTED_VALUE"""),"Colombo, LK")</f>
        <v/>
      </c>
      <c r="Q108" s="45">
        <f>IFERROR(__xludf.DUMMYFUNCTION("""COMPUTED_VALUE"""),"New York, NY, US")</f>
        <v/>
      </c>
      <c r="R108" s="44">
        <f>IFERROR(__xludf.DUMMYFUNCTION("""COMPUTED_VALUE"""),45817)</f>
        <v/>
      </c>
      <c r="S108" s="44">
        <f>IFERROR(__xludf.DUMMYFUNCTION("""COMPUTED_VALUE"""),45876)</f>
        <v/>
      </c>
      <c r="T108" s="45">
        <f>IFERROR(__xludf.DUMMYFUNCTION("""COMPUTED_VALUE"""),"Mississauga, ON, CA")</f>
        <v/>
      </c>
      <c r="U108" s="45" t="n"/>
      <c r="V108" s="45" t="n"/>
      <c r="W108" s="45" t="n"/>
      <c r="X108" s="45" t="n"/>
      <c r="Y108" s="46">
        <f>IFERROR(__xludf.DUMMYFUNCTION("""COMPUTED_VALUE"""),45825)</f>
        <v/>
      </c>
      <c r="Z108" s="46">
        <f>IFERROR(__xludf.DUMMYFUNCTION("""COMPUTED_VALUE"""),45854)</f>
        <v/>
      </c>
      <c r="AA108" s="46">
        <f>IFERROR(__xludf.DUMMYFUNCTION("""COMPUTED_VALUE"""),45867)</f>
        <v/>
      </c>
      <c r="AB108" s="45">
        <f>IFERROR(__xludf.DUMMYFUNCTION("""COMPUTED_VALUE"""),"3500 Argentia Road")</f>
        <v/>
      </c>
      <c r="AC108" s="45" t="n"/>
      <c r="AD108" s="45">
        <f>IFERROR(__xludf.DUMMYFUNCTION("""COMPUTED_VALUE"""),"OCEAN")</f>
        <v/>
      </c>
      <c r="AE108" s="45">
        <f>IFERROR(__xludf.DUMMYFUNCTION("""COMPUTED_VALUE"""),"N")</f>
        <v/>
      </c>
      <c r="AF108" s="45" t="n"/>
      <c r="AG108" s="49">
        <f>IFERROR(__xludf.DUMMYFUNCTION("IFNA(vlookup(H108,IMPORTRANGE(""1vUGwO1n0QQGx9kKbO0_M5gmuhXZ6-LaxQxgrmJnzgP0"",""'TP# look up'!A:C""),3,0),"""")"),"")</f>
        <v/>
      </c>
      <c r="AH108" s="49">
        <f>LEFT(J108,2)</f>
        <v/>
      </c>
    </row>
    <row r="109" ht="12.75" customHeight="1">
      <c r="A109" s="45">
        <f>IFERROR(__xludf.DUMMYFUNCTION("""COMPUTED_VALUE"""),"Colombo")</f>
        <v/>
      </c>
      <c r="B109" s="45" t="n"/>
      <c r="C109" s="45">
        <f>IFERROR(__xludf.DUMMYFUNCTION("""COMPUTED_VALUE"""),3231352)</f>
        <v/>
      </c>
      <c r="D109" s="45" t="n"/>
      <c r="E109" s="45">
        <f>IFERROR(__xludf.DUMMYFUNCTION("""COMPUTED_VALUE"""),"CFS")</f>
        <v/>
      </c>
      <c r="F109" s="45">
        <f>IFERROR(__xludf.DUMMYFUNCTION("""COMPUTED_VALUE"""),"Bodyline Trading (Private) Limited")</f>
        <v/>
      </c>
      <c r="G109" s="45">
        <f>IFERROR(__xludf.DUMMYFUNCTION("""COMPUTED_VALUE"""),"Bodyline (Private) Limited")</f>
        <v/>
      </c>
      <c r="H109" s="43">
        <f>IFERROR(__xludf.DUMMYFUNCTION("""COMPUTED_VALUE"""),452694490771)</f>
        <v/>
      </c>
      <c r="I109" s="45">
        <f>IFERROR(__xludf.DUMMYFUNCTION("""COMPUTED_VALUE"""),19843789)</f>
        <v/>
      </c>
      <c r="J109" s="45">
        <f>IFERROR(__xludf.DUMMYFUNCTION("""COMPUTED_VALUE"""),"LW2EB8S")</f>
        <v/>
      </c>
      <c r="K109" s="45">
        <f>IFERROR(__xludf.DUMMYFUNCTION("""COMPUTED_VALUE"""),"LW2EB8S-0001")</f>
        <v/>
      </c>
      <c r="L109" s="45">
        <f>IFERROR(__xludf.DUMMYFUNCTION("""COMPUTED_VALUE"""),7)</f>
        <v/>
      </c>
      <c r="M109" s="45">
        <f>IFERROR(__xludf.DUMMYFUNCTION("""COMPUTED_VALUE"""),347)</f>
        <v/>
      </c>
      <c r="N109" s="45">
        <f>IFERROR(__xludf.DUMMYFUNCTION("""COMPUTED_VALUE"""),51.738)</f>
        <v/>
      </c>
      <c r="O109" s="45">
        <f>IFERROR(__xludf.DUMMYFUNCTION("""COMPUTED_VALUE"""),0.49)</f>
        <v/>
      </c>
      <c r="P109" s="45">
        <f>IFERROR(__xludf.DUMMYFUNCTION("""COMPUTED_VALUE"""),"Colombo, LK")</f>
        <v/>
      </c>
      <c r="Q109" s="45">
        <f>IFERROR(__xludf.DUMMYFUNCTION("""COMPUTED_VALUE"""),"New York, NY, US")</f>
        <v/>
      </c>
      <c r="R109" s="44">
        <f>IFERROR(__xludf.DUMMYFUNCTION("""COMPUTED_VALUE"""),45817)</f>
        <v/>
      </c>
      <c r="S109" s="44">
        <f>IFERROR(__xludf.DUMMYFUNCTION("""COMPUTED_VALUE"""),45876)</f>
        <v/>
      </c>
      <c r="T109" s="45">
        <f>IFERROR(__xludf.DUMMYFUNCTION("""COMPUTED_VALUE"""),"Milton, ON, CA")</f>
        <v/>
      </c>
      <c r="U109" s="45" t="n"/>
      <c r="V109" s="45" t="n"/>
      <c r="W109" s="45" t="n"/>
      <c r="X109" s="45" t="n"/>
      <c r="Y109" s="46">
        <f>IFERROR(__xludf.DUMMYFUNCTION("""COMPUTED_VALUE"""),45825)</f>
        <v/>
      </c>
      <c r="Z109" s="46">
        <f>IFERROR(__xludf.DUMMYFUNCTION("""COMPUTED_VALUE"""),45854)</f>
        <v/>
      </c>
      <c r="AA109" s="46">
        <f>IFERROR(__xludf.DUMMYFUNCTION("""COMPUTED_VALUE"""),45867)</f>
        <v/>
      </c>
      <c r="AB109" s="45">
        <f>IFERROR(__xludf.DUMMYFUNCTION("""COMPUTED_VALUE"""),"7211 Fifth Line")</f>
        <v/>
      </c>
      <c r="AC109" s="45" t="n"/>
      <c r="AD109" s="45">
        <f>IFERROR(__xludf.DUMMYFUNCTION("""COMPUTED_VALUE"""),"OCEAN")</f>
        <v/>
      </c>
      <c r="AE109" s="45">
        <f>IFERROR(__xludf.DUMMYFUNCTION("""COMPUTED_VALUE"""),"N")</f>
        <v/>
      </c>
      <c r="AF109" s="45" t="n"/>
      <c r="AG109" s="49">
        <f>IFERROR(__xludf.DUMMYFUNCTION("IFNA(vlookup(H109,IMPORTRANGE(""1vUGwO1n0QQGx9kKbO0_M5gmuhXZ6-LaxQxgrmJnzgP0"",""'TP# look up'!A:C""),3,0),"""")"),"")</f>
        <v/>
      </c>
      <c r="AH109" s="49">
        <f>LEFT(J109,2)</f>
        <v/>
      </c>
    </row>
    <row r="110" ht="12.75" customHeight="1">
      <c r="A110" s="45">
        <f>IFERROR(__xludf.DUMMYFUNCTION("""COMPUTED_VALUE"""),"Colombo")</f>
        <v/>
      </c>
      <c r="B110" s="45" t="n"/>
      <c r="C110" s="45">
        <f>IFERROR(__xludf.DUMMYFUNCTION("""COMPUTED_VALUE"""),3231352)</f>
        <v/>
      </c>
      <c r="D110" s="45" t="n"/>
      <c r="E110" s="45">
        <f>IFERROR(__xludf.DUMMYFUNCTION("""COMPUTED_VALUE"""),"CFS")</f>
        <v/>
      </c>
      <c r="F110" s="45">
        <f>IFERROR(__xludf.DUMMYFUNCTION("""COMPUTED_VALUE"""),"Bodyline Trading (Private) Limited")</f>
        <v/>
      </c>
      <c r="G110" s="45">
        <f>IFERROR(__xludf.DUMMYFUNCTION("""COMPUTED_VALUE"""),"Bodyline (Private) Limited")</f>
        <v/>
      </c>
      <c r="H110" s="43">
        <f>IFERROR(__xludf.DUMMYFUNCTION("""COMPUTED_VALUE"""),452695112654)</f>
        <v/>
      </c>
      <c r="I110" s="45">
        <f>IFERROR(__xludf.DUMMYFUNCTION("""COMPUTED_VALUE"""),19878709)</f>
        <v/>
      </c>
      <c r="J110" s="45">
        <f>IFERROR(__xludf.DUMMYFUNCTION("""COMPUTED_VALUE"""),"LW2EB8S")</f>
        <v/>
      </c>
      <c r="K110" s="45">
        <f>IFERROR(__xludf.DUMMYFUNCTION("""COMPUTED_VALUE"""),"LW2EB8S-031382")</f>
        <v/>
      </c>
      <c r="L110" s="45">
        <f>IFERROR(__xludf.DUMMYFUNCTION("""COMPUTED_VALUE"""),11)</f>
        <v/>
      </c>
      <c r="M110" s="45">
        <f>IFERROR(__xludf.DUMMYFUNCTION("""COMPUTED_VALUE"""),558)</f>
        <v/>
      </c>
      <c r="N110" s="45">
        <f>IFERROR(__xludf.DUMMYFUNCTION("""COMPUTED_VALUE"""),85.409)</f>
        <v/>
      </c>
      <c r="O110" s="45">
        <f>IFERROR(__xludf.DUMMYFUNCTION("""COMPUTED_VALUE"""),0.849)</f>
        <v/>
      </c>
      <c r="P110" s="45">
        <f>IFERROR(__xludf.DUMMYFUNCTION("""COMPUTED_VALUE"""),"Colombo, LK")</f>
        <v/>
      </c>
      <c r="Q110" s="45">
        <f>IFERROR(__xludf.DUMMYFUNCTION("""COMPUTED_VALUE"""),"New York, NY, US")</f>
        <v/>
      </c>
      <c r="R110" s="44">
        <f>IFERROR(__xludf.DUMMYFUNCTION("""COMPUTED_VALUE"""),45817)</f>
        <v/>
      </c>
      <c r="S110" s="44">
        <f>IFERROR(__xludf.DUMMYFUNCTION("""COMPUTED_VALUE"""),45876)</f>
        <v/>
      </c>
      <c r="T110" s="45">
        <f>IFERROR(__xludf.DUMMYFUNCTION("""COMPUTED_VALUE"""),"Mississauga, ON, CA")</f>
        <v/>
      </c>
      <c r="U110" s="45" t="n"/>
      <c r="V110" s="45" t="n"/>
      <c r="W110" s="45" t="n"/>
      <c r="X110" s="45" t="n"/>
      <c r="Y110" s="46">
        <f>IFERROR(__xludf.DUMMYFUNCTION("""COMPUTED_VALUE"""),45825)</f>
        <v/>
      </c>
      <c r="Z110" s="46">
        <f>IFERROR(__xludf.DUMMYFUNCTION("""COMPUTED_VALUE"""),45854)</f>
        <v/>
      </c>
      <c r="AA110" s="46">
        <f>IFERROR(__xludf.DUMMYFUNCTION("""COMPUTED_VALUE"""),45867)</f>
        <v/>
      </c>
      <c r="AB110" s="45">
        <f>IFERROR(__xludf.DUMMYFUNCTION("""COMPUTED_VALUE"""),"3500 Argentia Road")</f>
        <v/>
      </c>
      <c r="AC110" s="45" t="n"/>
      <c r="AD110" s="45">
        <f>IFERROR(__xludf.DUMMYFUNCTION("""COMPUTED_VALUE"""),"OCEAN")</f>
        <v/>
      </c>
      <c r="AE110" s="45">
        <f>IFERROR(__xludf.DUMMYFUNCTION("""COMPUTED_VALUE"""),"N")</f>
        <v/>
      </c>
      <c r="AF110" s="45" t="n"/>
      <c r="AG110" s="49">
        <f>IFERROR(__xludf.DUMMYFUNCTION("IFNA(vlookup(H110,IMPORTRANGE(""1vUGwO1n0QQGx9kKbO0_M5gmuhXZ6-LaxQxgrmJnzgP0"",""'TP# look up'!A:C""),3,0),"""")"),"")</f>
        <v/>
      </c>
      <c r="AH110" s="49">
        <f>LEFT(J110,2)</f>
        <v/>
      </c>
    </row>
    <row r="111" ht="12.75" customHeight="1">
      <c r="A111" s="45">
        <f>IFERROR(__xludf.DUMMYFUNCTION("""COMPUTED_VALUE"""),"Colombo")</f>
        <v/>
      </c>
      <c r="B111" s="45" t="n"/>
      <c r="C111" s="45">
        <f>IFERROR(__xludf.DUMMYFUNCTION("""COMPUTED_VALUE"""),3231352)</f>
        <v/>
      </c>
      <c r="D111" s="45" t="n"/>
      <c r="E111" s="45">
        <f>IFERROR(__xludf.DUMMYFUNCTION("""COMPUTED_VALUE"""),"CFS")</f>
        <v/>
      </c>
      <c r="F111" s="45">
        <f>IFERROR(__xludf.DUMMYFUNCTION("""COMPUTED_VALUE"""),"MAS AMITY PTE LTD")</f>
        <v/>
      </c>
      <c r="G111" s="45">
        <f>IFERROR(__xludf.DUMMYFUNCTION("""COMPUTED_VALUE"""),"MAS Active(Pvt) Ltd – CONTOURLINE")</f>
        <v/>
      </c>
      <c r="H111" s="43">
        <f>IFERROR(__xludf.DUMMYFUNCTION("""COMPUTED_VALUE"""),450960211034)</f>
        <v/>
      </c>
      <c r="I111" s="45">
        <f>IFERROR(__xludf.DUMMYFUNCTION("""COMPUTED_VALUE"""),19925225)</f>
        <v/>
      </c>
      <c r="J111" s="45">
        <f>IFERROR(__xludf.DUMMYFUNCTION("""COMPUTED_VALUE"""),"LM3FGKS")</f>
        <v/>
      </c>
      <c r="K111" s="45">
        <f>IFERROR(__xludf.DUMMYFUNCTION("""COMPUTED_VALUE"""),"LM3FGKS-033454")</f>
        <v/>
      </c>
      <c r="L111" s="45">
        <f>IFERROR(__xludf.DUMMYFUNCTION("""COMPUTED_VALUE"""),2)</f>
        <v/>
      </c>
      <c r="M111" s="45">
        <f>IFERROR(__xludf.DUMMYFUNCTION("""COMPUTED_VALUE"""),72)</f>
        <v/>
      </c>
      <c r="N111" s="45">
        <f>IFERROR(__xludf.DUMMYFUNCTION("""COMPUTED_VALUE"""),17.441)</f>
        <v/>
      </c>
      <c r="O111" s="45">
        <f>IFERROR(__xludf.DUMMYFUNCTION("""COMPUTED_VALUE"""),0.118)</f>
        <v/>
      </c>
      <c r="P111" s="45">
        <f>IFERROR(__xludf.DUMMYFUNCTION("""COMPUTED_VALUE"""),"Colombo, LK")</f>
        <v/>
      </c>
      <c r="Q111" s="45">
        <f>IFERROR(__xludf.DUMMYFUNCTION("""COMPUTED_VALUE"""),"New York, NY, US")</f>
        <v/>
      </c>
      <c r="R111" s="44">
        <f>IFERROR(__xludf.DUMMYFUNCTION("""COMPUTED_VALUE"""),45817)</f>
        <v/>
      </c>
      <c r="S111" s="44">
        <f>IFERROR(__xludf.DUMMYFUNCTION("""COMPUTED_VALUE"""),45876)</f>
        <v/>
      </c>
      <c r="T111" s="45">
        <f>IFERROR(__xludf.DUMMYFUNCTION("""COMPUTED_VALUE"""),"Mississauga, ON, CA")</f>
        <v/>
      </c>
      <c r="U111" s="45" t="n"/>
      <c r="V111" s="45" t="n"/>
      <c r="W111" s="45" t="n"/>
      <c r="X111" s="45" t="n"/>
      <c r="Y111" s="46">
        <f>IFERROR(__xludf.DUMMYFUNCTION("""COMPUTED_VALUE"""),45825)</f>
        <v/>
      </c>
      <c r="Z111" s="46">
        <f>IFERROR(__xludf.DUMMYFUNCTION("""COMPUTED_VALUE"""),45854)</f>
        <v/>
      </c>
      <c r="AA111" s="46">
        <f>IFERROR(__xludf.DUMMYFUNCTION("""COMPUTED_VALUE"""),45867)</f>
        <v/>
      </c>
      <c r="AB111" s="45">
        <f>IFERROR(__xludf.DUMMYFUNCTION("""COMPUTED_VALUE"""),"3500 Argentia Road")</f>
        <v/>
      </c>
      <c r="AC111" s="45" t="n"/>
      <c r="AD111" s="45">
        <f>IFERROR(__xludf.DUMMYFUNCTION("""COMPUTED_VALUE"""),"OCEAN")</f>
        <v/>
      </c>
      <c r="AE111" s="45">
        <f>IFERROR(__xludf.DUMMYFUNCTION("""COMPUTED_VALUE"""),"N")</f>
        <v/>
      </c>
      <c r="AF111" s="45" t="n"/>
      <c r="AG111" s="49">
        <f>IFERROR(__xludf.DUMMYFUNCTION("IFNA(vlookup(H111,IMPORTRANGE(""1vUGwO1n0QQGx9kKbO0_M5gmuhXZ6-LaxQxgrmJnzgP0"",""'TP# look up'!A:C""),3,0),"""")"),"")</f>
        <v/>
      </c>
      <c r="AH111" s="49">
        <f>LEFT(J111,2)</f>
        <v/>
      </c>
    </row>
    <row r="112" ht="12.75" customHeight="1">
      <c r="A112" s="45">
        <f>IFERROR(__xludf.DUMMYFUNCTION("""COMPUTED_VALUE"""),"Colombo")</f>
        <v/>
      </c>
      <c r="B112" s="45" t="n"/>
      <c r="C112" s="45">
        <f>IFERROR(__xludf.DUMMYFUNCTION("""COMPUTED_VALUE"""),3231352)</f>
        <v/>
      </c>
      <c r="D112" s="45" t="n"/>
      <c r="E112" s="45">
        <f>IFERROR(__xludf.DUMMYFUNCTION("""COMPUTED_VALUE"""),"CFS")</f>
        <v/>
      </c>
      <c r="F112" s="45">
        <f>IFERROR(__xludf.DUMMYFUNCTION("""COMPUTED_VALUE"""),"MAS AMITY PTE LTD")</f>
        <v/>
      </c>
      <c r="G112" s="45">
        <f>IFERROR(__xludf.DUMMYFUNCTION("""COMPUTED_VALUE"""),"MAS Active(Pvt) Ltd – CONTOURLINE")</f>
        <v/>
      </c>
      <c r="H112" s="43">
        <f>IFERROR(__xludf.DUMMYFUNCTION("""COMPUTED_VALUE"""),453414755453)</f>
        <v/>
      </c>
      <c r="I112" s="45">
        <f>IFERROR(__xludf.DUMMYFUNCTION("""COMPUTED_VALUE"""),19896671)</f>
        <v/>
      </c>
      <c r="J112" s="45">
        <f>IFERROR(__xludf.DUMMYFUNCTION("""COMPUTED_VALUE"""),"LW1DRKS")</f>
        <v/>
      </c>
      <c r="K112" s="45">
        <f>IFERROR(__xludf.DUMMYFUNCTION("""COMPUTED_VALUE"""),"LW1DRKS-070108")</f>
        <v/>
      </c>
      <c r="L112" s="45">
        <f>IFERROR(__xludf.DUMMYFUNCTION("""COMPUTED_VALUE"""),1)</f>
        <v/>
      </c>
      <c r="M112" s="45">
        <f>IFERROR(__xludf.DUMMYFUNCTION("""COMPUTED_VALUE"""),69)</f>
        <v/>
      </c>
      <c r="N112" s="45">
        <f>IFERROR(__xludf.DUMMYFUNCTION("""COMPUTED_VALUE"""),8.941)</f>
        <v/>
      </c>
      <c r="O112" s="45">
        <f>IFERROR(__xludf.DUMMYFUNCTION("""COMPUTED_VALUE"""),0.079)</f>
        <v/>
      </c>
      <c r="P112" s="45">
        <f>IFERROR(__xludf.DUMMYFUNCTION("""COMPUTED_VALUE"""),"Colombo, LK")</f>
        <v/>
      </c>
      <c r="Q112" s="45">
        <f>IFERROR(__xludf.DUMMYFUNCTION("""COMPUTED_VALUE"""),"New York, NY, US")</f>
        <v/>
      </c>
      <c r="R112" s="44">
        <f>IFERROR(__xludf.DUMMYFUNCTION("""COMPUTED_VALUE"""),45817)</f>
        <v/>
      </c>
      <c r="S112" s="44">
        <f>IFERROR(__xludf.DUMMYFUNCTION("""COMPUTED_VALUE"""),45876)</f>
        <v/>
      </c>
      <c r="T112" s="45">
        <f>IFERROR(__xludf.DUMMYFUNCTION("""COMPUTED_VALUE"""),"Mississauga, ON, CA")</f>
        <v/>
      </c>
      <c r="U112" s="45" t="n"/>
      <c r="V112" s="45" t="n"/>
      <c r="W112" s="45" t="n"/>
      <c r="X112" s="45" t="n"/>
      <c r="Y112" s="46">
        <f>IFERROR(__xludf.DUMMYFUNCTION("""COMPUTED_VALUE"""),45825)</f>
        <v/>
      </c>
      <c r="Z112" s="46">
        <f>IFERROR(__xludf.DUMMYFUNCTION("""COMPUTED_VALUE"""),45854)</f>
        <v/>
      </c>
      <c r="AA112" s="46">
        <f>IFERROR(__xludf.DUMMYFUNCTION("""COMPUTED_VALUE"""),45867)</f>
        <v/>
      </c>
      <c r="AB112" s="45">
        <f>IFERROR(__xludf.DUMMYFUNCTION("""COMPUTED_VALUE"""),"3500 Argentia Road")</f>
        <v/>
      </c>
      <c r="AC112" s="45" t="n"/>
      <c r="AD112" s="45">
        <f>IFERROR(__xludf.DUMMYFUNCTION("""COMPUTED_VALUE"""),"OCEAN")</f>
        <v/>
      </c>
      <c r="AE112" s="45">
        <f>IFERROR(__xludf.DUMMYFUNCTION("""COMPUTED_VALUE"""),"N")</f>
        <v/>
      </c>
      <c r="AF112" s="45" t="n"/>
      <c r="AG112" s="49">
        <f>IFERROR(__xludf.DUMMYFUNCTION("IFNA(vlookup(H112,IMPORTRANGE(""1vUGwO1n0QQGx9kKbO0_M5gmuhXZ6-LaxQxgrmJnzgP0"",""'TP# look up'!A:C""),3,0),"""")"),"")</f>
        <v/>
      </c>
      <c r="AH112" s="49">
        <f>LEFT(J112,2)</f>
        <v/>
      </c>
    </row>
    <row r="113" ht="12.75" customHeight="1">
      <c r="A113" s="45">
        <f>IFERROR(__xludf.DUMMYFUNCTION("""COMPUTED_VALUE"""),"Colombo")</f>
        <v/>
      </c>
      <c r="B113" s="45" t="n"/>
      <c r="C113" s="45">
        <f>IFERROR(__xludf.DUMMYFUNCTION("""COMPUTED_VALUE"""),3231352)</f>
        <v/>
      </c>
      <c r="D113" s="45" t="n"/>
      <c r="E113" s="45">
        <f>IFERROR(__xludf.DUMMYFUNCTION("""COMPUTED_VALUE"""),"CFS")</f>
        <v/>
      </c>
      <c r="F113" s="45">
        <f>IFERROR(__xludf.DUMMYFUNCTION("""COMPUTED_VALUE"""),"MAS AMITY PTE LTD")</f>
        <v/>
      </c>
      <c r="G113" s="45">
        <f>IFERROR(__xludf.DUMMYFUNCTION("""COMPUTED_VALUE"""),"MAS Active(Pvt) Ltd – CONTOURLINE")</f>
        <v/>
      </c>
      <c r="H113" s="43">
        <f>IFERROR(__xludf.DUMMYFUNCTION("""COMPUTED_VALUE"""),453416407110)</f>
        <v/>
      </c>
      <c r="I113" s="45">
        <f>IFERROR(__xludf.DUMMYFUNCTION("""COMPUTED_VALUE"""),19896696)</f>
        <v/>
      </c>
      <c r="J113" s="45">
        <f>IFERROR(__xludf.DUMMYFUNCTION("""COMPUTED_VALUE"""),"LW1DRKS")</f>
        <v/>
      </c>
      <c r="K113" s="45">
        <f>IFERROR(__xludf.DUMMYFUNCTION("""COMPUTED_VALUE"""),"LW1DRKS-070108")</f>
        <v/>
      </c>
      <c r="L113" s="45">
        <f>IFERROR(__xludf.DUMMYFUNCTION("""COMPUTED_VALUE"""),3)</f>
        <v/>
      </c>
      <c r="M113" s="45">
        <f>IFERROR(__xludf.DUMMYFUNCTION("""COMPUTED_VALUE"""),217)</f>
        <v/>
      </c>
      <c r="N113" s="45">
        <f>IFERROR(__xludf.DUMMYFUNCTION("""COMPUTED_VALUE"""),27.985)</f>
        <v/>
      </c>
      <c r="O113" s="45">
        <f>IFERROR(__xludf.DUMMYFUNCTION("""COMPUTED_VALUE"""),0.237)</f>
        <v/>
      </c>
      <c r="P113" s="45">
        <f>IFERROR(__xludf.DUMMYFUNCTION("""COMPUTED_VALUE"""),"Colombo, LK")</f>
        <v/>
      </c>
      <c r="Q113" s="45">
        <f>IFERROR(__xludf.DUMMYFUNCTION("""COMPUTED_VALUE"""),"New York, NY, US")</f>
        <v/>
      </c>
      <c r="R113" s="44">
        <f>IFERROR(__xludf.DUMMYFUNCTION("""COMPUTED_VALUE"""),45817)</f>
        <v/>
      </c>
      <c r="S113" s="44">
        <f>IFERROR(__xludf.DUMMYFUNCTION("""COMPUTED_VALUE"""),45876)</f>
        <v/>
      </c>
      <c r="T113" s="45">
        <f>IFERROR(__xludf.DUMMYFUNCTION("""COMPUTED_VALUE"""),"Mississauga, ON, CA")</f>
        <v/>
      </c>
      <c r="U113" s="45" t="n"/>
      <c r="V113" s="45" t="n"/>
      <c r="W113" s="45" t="n"/>
      <c r="X113" s="45" t="n"/>
      <c r="Y113" s="46">
        <f>IFERROR(__xludf.DUMMYFUNCTION("""COMPUTED_VALUE"""),45825)</f>
        <v/>
      </c>
      <c r="Z113" s="46">
        <f>IFERROR(__xludf.DUMMYFUNCTION("""COMPUTED_VALUE"""),45854)</f>
        <v/>
      </c>
      <c r="AA113" s="46">
        <f>IFERROR(__xludf.DUMMYFUNCTION("""COMPUTED_VALUE"""),45867)</f>
        <v/>
      </c>
      <c r="AB113" s="45">
        <f>IFERROR(__xludf.DUMMYFUNCTION("""COMPUTED_VALUE"""),"3500 Argentia Road")</f>
        <v/>
      </c>
      <c r="AC113" s="45" t="n"/>
      <c r="AD113" s="45">
        <f>IFERROR(__xludf.DUMMYFUNCTION("""COMPUTED_VALUE"""),"OCEAN")</f>
        <v/>
      </c>
      <c r="AE113" s="45">
        <f>IFERROR(__xludf.DUMMYFUNCTION("""COMPUTED_VALUE"""),"N")</f>
        <v/>
      </c>
      <c r="AF113" s="45" t="n"/>
      <c r="AG113" s="49">
        <f>IFERROR(__xludf.DUMMYFUNCTION("IFNA(vlookup(H113,IMPORTRANGE(""1vUGwO1n0QQGx9kKbO0_M5gmuhXZ6-LaxQxgrmJnzgP0"",""'TP# look up'!A:C""),3,0),"""")"),"")</f>
        <v/>
      </c>
      <c r="AH113" s="49">
        <f>LEFT(J113,2)</f>
        <v/>
      </c>
    </row>
    <row r="114" ht="12.75" customHeight="1">
      <c r="A114" s="45">
        <f>IFERROR(__xludf.DUMMYFUNCTION("""COMPUTED_VALUE"""),"Colombo")</f>
        <v/>
      </c>
      <c r="B114" s="45" t="n"/>
      <c r="C114" s="45">
        <f>IFERROR(__xludf.DUMMYFUNCTION("""COMPUTED_VALUE"""),3231352)</f>
        <v/>
      </c>
      <c r="D114" s="45" t="n"/>
      <c r="E114" s="45">
        <f>IFERROR(__xludf.DUMMYFUNCTION("""COMPUTED_VALUE"""),"CFS")</f>
        <v/>
      </c>
      <c r="F114" s="45">
        <f>IFERROR(__xludf.DUMMYFUNCTION("""COMPUTED_VALUE"""),"MAS AMITY PTE LTD")</f>
        <v/>
      </c>
      <c r="G114" s="45">
        <f>IFERROR(__xludf.DUMMYFUNCTION("""COMPUTED_VALUE"""),"MAS Active (Pvt) Ltd – Sleekline")</f>
        <v/>
      </c>
      <c r="H114" s="43">
        <f>IFERROR(__xludf.DUMMYFUNCTION("""COMPUTED_VALUE"""),450580294306)</f>
        <v/>
      </c>
      <c r="I114" s="45">
        <f>IFERROR(__xludf.DUMMYFUNCTION("""COMPUTED_VALUE"""),19935923)</f>
        <v/>
      </c>
      <c r="J114" s="45">
        <f>IFERROR(__xludf.DUMMYFUNCTION("""COMPUTED_VALUE"""),"LM9B19S")</f>
        <v/>
      </c>
      <c r="K114" s="45">
        <f>IFERROR(__xludf.DUMMYFUNCTION("""COMPUTED_VALUE"""),"LM9B19S-4310")</f>
        <v/>
      </c>
      <c r="L114" s="45">
        <f>IFERROR(__xludf.DUMMYFUNCTION("""COMPUTED_VALUE"""),3)</f>
        <v/>
      </c>
      <c r="M114" s="45">
        <f>IFERROR(__xludf.DUMMYFUNCTION("""COMPUTED_VALUE"""),145)</f>
        <v/>
      </c>
      <c r="N114" s="45">
        <f>IFERROR(__xludf.DUMMYFUNCTION("""COMPUTED_VALUE"""),40.3)</f>
        <v/>
      </c>
      <c r="O114" s="45">
        <f>IFERROR(__xludf.DUMMYFUNCTION("""COMPUTED_VALUE"""),0.238)</f>
        <v/>
      </c>
      <c r="P114" s="45">
        <f>IFERROR(__xludf.DUMMYFUNCTION("""COMPUTED_VALUE"""),"Colombo, LK")</f>
        <v/>
      </c>
      <c r="Q114" s="45">
        <f>IFERROR(__xludf.DUMMYFUNCTION("""COMPUTED_VALUE"""),"New York, NY, US")</f>
        <v/>
      </c>
      <c r="R114" s="44">
        <f>IFERROR(__xludf.DUMMYFUNCTION("""COMPUTED_VALUE"""),45817)</f>
        <v/>
      </c>
      <c r="S114" s="44">
        <f>IFERROR(__xludf.DUMMYFUNCTION("""COMPUTED_VALUE"""),45876)</f>
        <v/>
      </c>
      <c r="T114" s="45">
        <f>IFERROR(__xludf.DUMMYFUNCTION("""COMPUTED_VALUE"""),"Mississauga, ON, CA")</f>
        <v/>
      </c>
      <c r="U114" s="45" t="n"/>
      <c r="V114" s="45" t="n"/>
      <c r="W114" s="45" t="n"/>
      <c r="X114" s="45" t="n"/>
      <c r="Y114" s="46">
        <f>IFERROR(__xludf.DUMMYFUNCTION("""COMPUTED_VALUE"""),45825)</f>
        <v/>
      </c>
      <c r="Z114" s="46">
        <f>IFERROR(__xludf.DUMMYFUNCTION("""COMPUTED_VALUE"""),45854)</f>
        <v/>
      </c>
      <c r="AA114" s="46">
        <f>IFERROR(__xludf.DUMMYFUNCTION("""COMPUTED_VALUE"""),45867)</f>
        <v/>
      </c>
      <c r="AB114" s="45">
        <f>IFERROR(__xludf.DUMMYFUNCTION("""COMPUTED_VALUE"""),"3500 Argentia Road")</f>
        <v/>
      </c>
      <c r="AC114" s="45" t="n"/>
      <c r="AD114" s="45">
        <f>IFERROR(__xludf.DUMMYFUNCTION("""COMPUTED_VALUE"""),"OCEAN")</f>
        <v/>
      </c>
      <c r="AE114" s="45">
        <f>IFERROR(__xludf.DUMMYFUNCTION("""COMPUTED_VALUE"""),"N")</f>
        <v/>
      </c>
      <c r="AF114" s="45" t="n"/>
      <c r="AG114" s="49">
        <f>IFERROR(__xludf.DUMMYFUNCTION("IFNA(vlookup(H114,IMPORTRANGE(""1vUGwO1n0QQGx9kKbO0_M5gmuhXZ6-LaxQxgrmJnzgP0"",""'TP# look up'!A:C""),3,0),"""")"),"")</f>
        <v/>
      </c>
      <c r="AH114" s="49">
        <f>LEFT(J114,2)</f>
        <v/>
      </c>
    </row>
    <row r="115" ht="12.75" customHeight="1">
      <c r="A115" s="45">
        <f>IFERROR(__xludf.DUMMYFUNCTION("""COMPUTED_VALUE"""),"Colombo")</f>
        <v/>
      </c>
      <c r="B115" s="45" t="n"/>
      <c r="C115" s="45">
        <f>IFERROR(__xludf.DUMMYFUNCTION("""COMPUTED_VALUE"""),3231485)</f>
        <v/>
      </c>
      <c r="D115" s="45" t="n"/>
      <c r="E115" s="45">
        <f>IFERROR(__xludf.DUMMYFUNCTION("""COMPUTED_VALUE"""),"CFS")</f>
        <v/>
      </c>
      <c r="F115" s="45">
        <f>IFERROR(__xludf.DUMMYFUNCTION("""COMPUTED_VALUE"""),"Inqube Global (PVT) Ltd")</f>
        <v/>
      </c>
      <c r="G115" s="45">
        <f>IFERROR(__xludf.DUMMYFUNCTION("""COMPUTED_VALUE"""),"BRANDIX APPAREL SOLUTION LTD - GIRITALE")</f>
        <v/>
      </c>
      <c r="H115" s="43">
        <f>IFERROR(__xludf.DUMMYFUNCTION("""COMPUTED_VALUE"""),450934328023)</f>
        <v/>
      </c>
      <c r="I115" s="45">
        <f>IFERROR(__xludf.DUMMYFUNCTION("""COMPUTED_VALUE"""),19807106)</f>
        <v/>
      </c>
      <c r="J115" s="45">
        <f>IFERROR(__xludf.DUMMYFUNCTION("""COMPUTED_VALUE"""),"LM5AO4S")</f>
        <v/>
      </c>
      <c r="K115" s="45">
        <f>IFERROR(__xludf.DUMMYFUNCTION("""COMPUTED_VALUE"""),"LM5AO4S-019222")</f>
        <v/>
      </c>
      <c r="L115" s="45">
        <f>IFERROR(__xludf.DUMMYFUNCTION("""COMPUTED_VALUE"""),7)</f>
        <v/>
      </c>
      <c r="M115" s="45">
        <f>IFERROR(__xludf.DUMMYFUNCTION("""COMPUTED_VALUE"""),166)</f>
        <v/>
      </c>
      <c r="N115" s="45">
        <f>IFERROR(__xludf.DUMMYFUNCTION("""COMPUTED_VALUE"""),75.26)</f>
        <v/>
      </c>
      <c r="O115" s="45">
        <f>IFERROR(__xludf.DUMMYFUNCTION("""COMPUTED_VALUE"""),0.458)</f>
        <v/>
      </c>
      <c r="P115" s="45">
        <f>IFERROR(__xludf.DUMMYFUNCTION("""COMPUTED_VALUE"""),"Colombo, LK")</f>
        <v/>
      </c>
      <c r="Q115" s="45">
        <f>IFERROR(__xludf.DUMMYFUNCTION("""COMPUTED_VALUE"""),"Felixstowe, GB")</f>
        <v/>
      </c>
      <c r="R115" s="44">
        <f>IFERROR(__xludf.DUMMYFUNCTION("""COMPUTED_VALUE"""),45817)</f>
        <v/>
      </c>
      <c r="S115" s="44">
        <f>IFERROR(__xludf.DUMMYFUNCTION("""COMPUTED_VALUE"""),45876)</f>
        <v/>
      </c>
      <c r="T115" s="45">
        <f>IFERROR(__xludf.DUMMYFUNCTION("""COMPUTED_VALUE"""),"Birmingham, GB")</f>
        <v/>
      </c>
      <c r="U115" s="45" t="n"/>
      <c r="V115" s="45" t="n"/>
      <c r="W115" s="45" t="n"/>
      <c r="X115" s="45" t="n"/>
      <c r="Y115" s="46">
        <f>IFERROR(__xludf.DUMMYFUNCTION("""COMPUTED_VALUE"""),45826)</f>
        <v/>
      </c>
      <c r="Z115" s="46">
        <f>IFERROR(__xludf.DUMMYFUNCTION("""COMPUTED_VALUE"""),45850)</f>
        <v/>
      </c>
      <c r="AA115" s="46">
        <f>IFERROR(__xludf.DUMMYFUNCTION("""COMPUTED_VALUE"""),45857)</f>
        <v/>
      </c>
      <c r="AB115" s="45">
        <f>IFERROR(__xludf.DUMMYFUNCTION("""COMPUTED_VALUE"""),"10A Faraday Ave")</f>
        <v/>
      </c>
      <c r="AC115" s="45">
        <f>IFERROR(__xludf.DUMMYFUNCTION("""COMPUTED_VALUE"""),"Coleshill")</f>
        <v/>
      </c>
      <c r="AD115" s="45">
        <f>IFERROR(__xludf.DUMMYFUNCTION("""COMPUTED_VALUE"""),"OCEAN")</f>
        <v/>
      </c>
      <c r="AE115" s="45">
        <f>IFERROR(__xludf.DUMMYFUNCTION("""COMPUTED_VALUE"""),"N")</f>
        <v/>
      </c>
      <c r="AF115" s="45" t="n"/>
      <c r="AG115" s="49">
        <f>IFERROR(__xludf.DUMMYFUNCTION("IFNA(vlookup(H115,IMPORTRANGE(""1vUGwO1n0QQGx9kKbO0_M5gmuhXZ6-LaxQxgrmJnzgP0"",""'TP# look up'!A:C""),3,0),"""")"),"")</f>
        <v/>
      </c>
      <c r="AH115" s="49">
        <f>LEFT(J115,2)</f>
        <v/>
      </c>
    </row>
    <row r="116" ht="12.75" customHeight="1">
      <c r="A116" s="45">
        <f>IFERROR(__xludf.DUMMYFUNCTION("""COMPUTED_VALUE"""),"Colombo")</f>
        <v/>
      </c>
      <c r="B116" s="45" t="n"/>
      <c r="C116" s="45">
        <f>IFERROR(__xludf.DUMMYFUNCTION("""COMPUTED_VALUE"""),3231485)</f>
        <v/>
      </c>
      <c r="D116" s="45" t="n"/>
      <c r="E116" s="45">
        <f>IFERROR(__xludf.DUMMYFUNCTION("""COMPUTED_VALUE"""),"CFS")</f>
        <v/>
      </c>
      <c r="F116" s="45">
        <f>IFERROR(__xludf.DUMMYFUNCTION("""COMPUTED_VALUE"""),"Inqube Global (PVT) Ltd")</f>
        <v/>
      </c>
      <c r="G116" s="45">
        <f>IFERROR(__xludf.DUMMYFUNCTION("""COMPUTED_VALUE"""),"BRANDIX APPAREL SOLUTION LTD - GIRITALE")</f>
        <v/>
      </c>
      <c r="H116" s="43">
        <f>IFERROR(__xludf.DUMMYFUNCTION("""COMPUTED_VALUE"""),450934329371)</f>
        <v/>
      </c>
      <c r="I116" s="45">
        <f>IFERROR(__xludf.DUMMYFUNCTION("""COMPUTED_VALUE"""),19807101)</f>
        <v/>
      </c>
      <c r="J116" s="45">
        <f>IFERROR(__xludf.DUMMYFUNCTION("""COMPUTED_VALUE"""),"LM5AO4S")</f>
        <v/>
      </c>
      <c r="K116" s="45">
        <f>IFERROR(__xludf.DUMMYFUNCTION("""COMPUTED_VALUE"""),"LM5AO4S-019222")</f>
        <v/>
      </c>
      <c r="L116" s="45">
        <f>IFERROR(__xludf.DUMMYFUNCTION("""COMPUTED_VALUE"""),6)</f>
        <v/>
      </c>
      <c r="M116" s="45">
        <f>IFERROR(__xludf.DUMMYFUNCTION("""COMPUTED_VALUE"""),226)</f>
        <v/>
      </c>
      <c r="N116" s="45">
        <f>IFERROR(__xludf.DUMMYFUNCTION("""COMPUTED_VALUE"""),102.12)</f>
        <v/>
      </c>
      <c r="O116" s="45">
        <f>IFERROR(__xludf.DUMMYFUNCTION("""COMPUTED_VALUE"""),0.495)</f>
        <v/>
      </c>
      <c r="P116" s="45">
        <f>IFERROR(__xludf.DUMMYFUNCTION("""COMPUTED_VALUE"""),"Colombo, LK")</f>
        <v/>
      </c>
      <c r="Q116" s="45">
        <f>IFERROR(__xludf.DUMMYFUNCTION("""COMPUTED_VALUE"""),"Felixstowe, GB")</f>
        <v/>
      </c>
      <c r="R116" s="44">
        <f>IFERROR(__xludf.DUMMYFUNCTION("""COMPUTED_VALUE"""),45817)</f>
        <v/>
      </c>
      <c r="S116" s="44">
        <f>IFERROR(__xludf.DUMMYFUNCTION("""COMPUTED_VALUE"""),45876)</f>
        <v/>
      </c>
      <c r="T116" s="45">
        <f>IFERROR(__xludf.DUMMYFUNCTION("""COMPUTED_VALUE"""),"Birmingham, GB")</f>
        <v/>
      </c>
      <c r="U116" s="45" t="n"/>
      <c r="V116" s="45" t="n"/>
      <c r="W116" s="45" t="n"/>
      <c r="X116" s="45" t="n"/>
      <c r="Y116" s="46">
        <f>IFERROR(__xludf.DUMMYFUNCTION("""COMPUTED_VALUE"""),45826)</f>
        <v/>
      </c>
      <c r="Z116" s="46">
        <f>IFERROR(__xludf.DUMMYFUNCTION("""COMPUTED_VALUE"""),45850)</f>
        <v/>
      </c>
      <c r="AA116" s="46">
        <f>IFERROR(__xludf.DUMMYFUNCTION("""COMPUTED_VALUE"""),45857)</f>
        <v/>
      </c>
      <c r="AB116" s="45">
        <f>IFERROR(__xludf.DUMMYFUNCTION("""COMPUTED_VALUE"""),"10A Faraday Ave")</f>
        <v/>
      </c>
      <c r="AC116" s="45">
        <f>IFERROR(__xludf.DUMMYFUNCTION("""COMPUTED_VALUE"""),"Coleshill")</f>
        <v/>
      </c>
      <c r="AD116" s="45">
        <f>IFERROR(__xludf.DUMMYFUNCTION("""COMPUTED_VALUE"""),"OCEAN")</f>
        <v/>
      </c>
      <c r="AE116" s="45">
        <f>IFERROR(__xludf.DUMMYFUNCTION("""COMPUTED_VALUE"""),"N")</f>
        <v/>
      </c>
      <c r="AF116" s="45" t="n"/>
      <c r="AG116" s="49">
        <f>IFERROR(__xludf.DUMMYFUNCTION("IFNA(vlookup(H116,IMPORTRANGE(""1vUGwO1n0QQGx9kKbO0_M5gmuhXZ6-LaxQxgrmJnzgP0"",""'TP# look up'!A:C""),3,0),"""")"),"")</f>
        <v/>
      </c>
      <c r="AH116" s="49">
        <f>LEFT(J116,2)</f>
        <v/>
      </c>
    </row>
    <row r="117" ht="12.75" customHeight="1">
      <c r="A117" s="45">
        <f>IFERROR(__xludf.DUMMYFUNCTION("""COMPUTED_VALUE"""),"Colombo")</f>
        <v/>
      </c>
      <c r="B117" s="45" t="n"/>
      <c r="C117" s="45">
        <f>IFERROR(__xludf.DUMMYFUNCTION("""COMPUTED_VALUE"""),3231485)</f>
        <v/>
      </c>
      <c r="D117" s="45" t="n"/>
      <c r="E117" s="45">
        <f>IFERROR(__xludf.DUMMYFUNCTION("""COMPUTED_VALUE"""),"CFS")</f>
        <v/>
      </c>
      <c r="F117" s="45">
        <f>IFERROR(__xludf.DUMMYFUNCTION("""COMPUTED_VALUE"""),"Inqube Global (PVT) Ltd")</f>
        <v/>
      </c>
      <c r="G117" s="45">
        <f>IFERROR(__xludf.DUMMYFUNCTION("""COMPUTED_VALUE"""),"Brandix Apparel Solutions Limited - Minuwangoda")</f>
        <v/>
      </c>
      <c r="H117" s="43">
        <f>IFERROR(__xludf.DUMMYFUNCTION("""COMPUTED_VALUE"""),450834858288)</f>
        <v/>
      </c>
      <c r="I117" s="45">
        <f>IFERROR(__xludf.DUMMYFUNCTION("""COMPUTED_VALUE"""),19854894)</f>
        <v/>
      </c>
      <c r="J117" s="45">
        <f>IFERROR(__xludf.DUMMYFUNCTION("""COMPUTED_VALUE"""),"LW3KASS")</f>
        <v/>
      </c>
      <c r="K117" s="45">
        <f>IFERROR(__xludf.DUMMYFUNCTION("""COMPUTED_VALUE"""),"LW3KASS-070108")</f>
        <v/>
      </c>
      <c r="L117" s="45">
        <f>IFERROR(__xludf.DUMMYFUNCTION("""COMPUTED_VALUE"""),6)</f>
        <v/>
      </c>
      <c r="M117" s="45">
        <f>IFERROR(__xludf.DUMMYFUNCTION("""COMPUTED_VALUE"""),135)</f>
        <v/>
      </c>
      <c r="N117" s="45">
        <f>IFERROR(__xludf.DUMMYFUNCTION("""COMPUTED_VALUE"""),42.55)</f>
        <v/>
      </c>
      <c r="O117" s="45">
        <f>IFERROR(__xludf.DUMMYFUNCTION("""COMPUTED_VALUE"""),0.471)</f>
        <v/>
      </c>
      <c r="P117" s="45">
        <f>IFERROR(__xludf.DUMMYFUNCTION("""COMPUTED_VALUE"""),"Colombo, LK")</f>
        <v/>
      </c>
      <c r="Q117" s="45">
        <f>IFERROR(__xludf.DUMMYFUNCTION("""COMPUTED_VALUE"""),"Felixstowe, GB")</f>
        <v/>
      </c>
      <c r="R117" s="44">
        <f>IFERROR(__xludf.DUMMYFUNCTION("""COMPUTED_VALUE"""),45817)</f>
        <v/>
      </c>
      <c r="S117" s="44">
        <f>IFERROR(__xludf.DUMMYFUNCTION("""COMPUTED_VALUE"""),45876)</f>
        <v/>
      </c>
      <c r="T117" s="45">
        <f>IFERROR(__xludf.DUMMYFUNCTION("""COMPUTED_VALUE"""),"Birmingham, GB")</f>
        <v/>
      </c>
      <c r="U117" s="45" t="n"/>
      <c r="V117" s="45" t="n"/>
      <c r="W117" s="45" t="n"/>
      <c r="X117" s="45" t="n"/>
      <c r="Y117" s="46">
        <f>IFERROR(__xludf.DUMMYFUNCTION("""COMPUTED_VALUE"""),45825)</f>
        <v/>
      </c>
      <c r="Z117" s="46">
        <f>IFERROR(__xludf.DUMMYFUNCTION("""COMPUTED_VALUE"""),45850)</f>
        <v/>
      </c>
      <c r="AA117" s="46">
        <f>IFERROR(__xludf.DUMMYFUNCTION("""COMPUTED_VALUE"""),45857)</f>
        <v/>
      </c>
      <c r="AB117" s="45">
        <f>IFERROR(__xludf.DUMMYFUNCTION("""COMPUTED_VALUE"""),"10A Faraday Ave")</f>
        <v/>
      </c>
      <c r="AC117" s="45">
        <f>IFERROR(__xludf.DUMMYFUNCTION("""COMPUTED_VALUE"""),"Coleshill")</f>
        <v/>
      </c>
      <c r="AD117" s="45">
        <f>IFERROR(__xludf.DUMMYFUNCTION("""COMPUTED_VALUE"""),"OCEAN")</f>
        <v/>
      </c>
      <c r="AE117" s="45">
        <f>IFERROR(__xludf.DUMMYFUNCTION("""COMPUTED_VALUE"""),"N")</f>
        <v/>
      </c>
      <c r="AF117" s="45" t="n"/>
      <c r="AG117" s="49">
        <f>IFERROR(__xludf.DUMMYFUNCTION("IFNA(vlookup(H117,IMPORTRANGE(""1vUGwO1n0QQGx9kKbO0_M5gmuhXZ6-LaxQxgrmJnzgP0"",""'TP# look up'!A:C""),3,0),"""")"),"")</f>
        <v/>
      </c>
      <c r="AH117" s="49">
        <f>LEFT(J117,2)</f>
        <v/>
      </c>
    </row>
    <row r="118" hidden="1" ht="12.75" customHeight="1">
      <c r="A118" s="45">
        <f>IFERROR(__xludf.DUMMYFUNCTION("""COMPUTED_VALUE"""),"Colombo")</f>
        <v/>
      </c>
      <c r="B118" s="45" t="n"/>
      <c r="C118" s="45">
        <f>IFERROR(__xludf.DUMMYFUNCTION("""COMPUTED_VALUE"""),3231485)</f>
        <v/>
      </c>
      <c r="D118" s="45" t="n"/>
      <c r="E118" s="45">
        <f>IFERROR(__xludf.DUMMYFUNCTION("""COMPUTED_VALUE"""),"CFS")</f>
        <v/>
      </c>
      <c r="F118" s="45">
        <f>IFERROR(__xludf.DUMMYFUNCTION("""COMPUTED_VALUE"""),"Bodyline Trading (Private) Limited")</f>
        <v/>
      </c>
      <c r="G118" s="45">
        <f>IFERROR(__xludf.DUMMYFUNCTION("""COMPUTED_VALUE"""),"Bodyline (Private) Limited")</f>
        <v/>
      </c>
      <c r="H118" s="43">
        <f>IFERROR(__xludf.DUMMYFUNCTION("""COMPUTED_VALUE"""),451192157326)</f>
        <v/>
      </c>
      <c r="I118" s="45">
        <f>IFERROR(__xludf.DUMMYFUNCTION("""COMPUTED_VALUE"""),19828431)</f>
        <v/>
      </c>
      <c r="J118" s="45">
        <f>IFERROR(__xludf.DUMMYFUNCTION("""COMPUTED_VALUE"""),"LW2DPOS")</f>
        <v/>
      </c>
      <c r="K118" s="45">
        <f>IFERROR(__xludf.DUMMYFUNCTION("""COMPUTED_VALUE"""),"LW2DPOS-0001")</f>
        <v/>
      </c>
      <c r="L118" s="45">
        <f>IFERROR(__xludf.DUMMYFUNCTION("""COMPUTED_VALUE"""),4)</f>
        <v/>
      </c>
      <c r="M118" s="45">
        <f>IFERROR(__xludf.DUMMYFUNCTION("""COMPUTED_VALUE"""),116)</f>
        <v/>
      </c>
      <c r="N118" s="45">
        <f>IFERROR(__xludf.DUMMYFUNCTION("""COMPUTED_VALUE"""),18.262)</f>
        <v/>
      </c>
      <c r="O118" s="45">
        <f>IFERROR(__xludf.DUMMYFUNCTION("""COMPUTED_VALUE"""),0.212)</f>
        <v/>
      </c>
      <c r="P118" s="45">
        <f>IFERROR(__xludf.DUMMYFUNCTION("""COMPUTED_VALUE"""),"Colombo, LK")</f>
        <v/>
      </c>
      <c r="Q118" s="45">
        <f>IFERROR(__xludf.DUMMYFUNCTION("""COMPUTED_VALUE"""),"Felixstowe, GB")</f>
        <v/>
      </c>
      <c r="R118" s="44">
        <f>IFERROR(__xludf.DUMMYFUNCTION("""COMPUTED_VALUE"""),45817)</f>
        <v/>
      </c>
      <c r="S118" s="44">
        <f>IFERROR(__xludf.DUMMYFUNCTION("""COMPUTED_VALUE"""),45876)</f>
        <v/>
      </c>
      <c r="T118" s="45">
        <f>IFERROR(__xludf.DUMMYFUNCTION("""COMPUTED_VALUE"""),"Birmingham, GB")</f>
        <v/>
      </c>
      <c r="U118" s="45" t="n"/>
      <c r="V118" s="45" t="n"/>
      <c r="W118" s="45" t="n"/>
      <c r="X118" s="45" t="n"/>
      <c r="Y118" s="46">
        <f>IFERROR(__xludf.DUMMYFUNCTION("""COMPUTED_VALUE"""),45826)</f>
        <v/>
      </c>
      <c r="Z118" s="46">
        <f>IFERROR(__xludf.DUMMYFUNCTION("""COMPUTED_VALUE"""),45850)</f>
        <v/>
      </c>
      <c r="AA118" s="46">
        <f>IFERROR(__xludf.DUMMYFUNCTION("""COMPUTED_VALUE"""),45857)</f>
        <v/>
      </c>
      <c r="AB118" s="45">
        <f>IFERROR(__xludf.DUMMYFUNCTION("""COMPUTED_VALUE"""),"10A Faraday Ave")</f>
        <v/>
      </c>
      <c r="AC118" s="45">
        <f>IFERROR(__xludf.DUMMYFUNCTION("""COMPUTED_VALUE"""),"Coleshill")</f>
        <v/>
      </c>
      <c r="AD118" s="45">
        <f>IFERROR(__xludf.DUMMYFUNCTION("""COMPUTED_VALUE"""),"OCEAN")</f>
        <v/>
      </c>
      <c r="AE118" s="45">
        <f>IFERROR(__xludf.DUMMYFUNCTION("""COMPUTED_VALUE"""),"N")</f>
        <v/>
      </c>
      <c r="AF118" s="45" t="n"/>
      <c r="AG118" s="49">
        <f>IFERROR(__xludf.DUMMYFUNCTION("IFNA(vlookup(H118,IMPORTRANGE(""1vUGwO1n0QQGx9kKbO0_M5gmuhXZ6-LaxQxgrmJnzgP0"",""'TP# look up'!A:C""),3,0),"""")"),"")</f>
        <v/>
      </c>
      <c r="AH118" s="49">
        <f>LEFT(J118,2)</f>
        <v/>
      </c>
    </row>
    <row r="119" hidden="1" ht="12.75" customHeight="1">
      <c r="A119" s="45">
        <f>IFERROR(__xludf.DUMMYFUNCTION("""COMPUTED_VALUE"""),"Colombo")</f>
        <v/>
      </c>
      <c r="B119" s="45" t="n"/>
      <c r="C119" s="45">
        <f>IFERROR(__xludf.DUMMYFUNCTION("""COMPUTED_VALUE"""),3231485)</f>
        <v/>
      </c>
      <c r="D119" s="45" t="n"/>
      <c r="E119" s="45">
        <f>IFERROR(__xludf.DUMMYFUNCTION("""COMPUTED_VALUE"""),"CFS")</f>
        <v/>
      </c>
      <c r="F119" s="45">
        <f>IFERROR(__xludf.DUMMYFUNCTION("""COMPUTED_VALUE"""),"Bodyline Trading (Private) Limited")</f>
        <v/>
      </c>
      <c r="G119" s="45">
        <f>IFERROR(__xludf.DUMMYFUNCTION("""COMPUTED_VALUE"""),"Bodyline (Private) Limited")</f>
        <v/>
      </c>
      <c r="H119" s="43">
        <f>IFERROR(__xludf.DUMMYFUNCTION("""COMPUTED_VALUE"""),451192613725)</f>
        <v/>
      </c>
      <c r="I119" s="45">
        <f>IFERROR(__xludf.DUMMYFUNCTION("""COMPUTED_VALUE"""),19828428)</f>
        <v/>
      </c>
      <c r="J119" s="45">
        <f>IFERROR(__xludf.DUMMYFUNCTION("""COMPUTED_VALUE"""),"LW2DPOS")</f>
        <v/>
      </c>
      <c r="K119" s="45">
        <f>IFERROR(__xludf.DUMMYFUNCTION("""COMPUTED_VALUE"""),"LW2DPOS-0001")</f>
        <v/>
      </c>
      <c r="L119" s="45">
        <f>IFERROR(__xludf.DUMMYFUNCTION("""COMPUTED_VALUE"""),1)</f>
        <v/>
      </c>
      <c r="M119" s="45">
        <f>IFERROR(__xludf.DUMMYFUNCTION("""COMPUTED_VALUE"""),22)</f>
        <v/>
      </c>
      <c r="N119" s="45">
        <f>IFERROR(__xludf.DUMMYFUNCTION("""COMPUTED_VALUE"""),3.546)</f>
        <v/>
      </c>
      <c r="O119" s="45">
        <f>IFERROR(__xludf.DUMMYFUNCTION("""COMPUTED_VALUE"""),0.044)</f>
        <v/>
      </c>
      <c r="P119" s="45">
        <f>IFERROR(__xludf.DUMMYFUNCTION("""COMPUTED_VALUE"""),"Colombo, LK")</f>
        <v/>
      </c>
      <c r="Q119" s="45">
        <f>IFERROR(__xludf.DUMMYFUNCTION("""COMPUTED_VALUE"""),"Felixstowe, GB")</f>
        <v/>
      </c>
      <c r="R119" s="44">
        <f>IFERROR(__xludf.DUMMYFUNCTION("""COMPUTED_VALUE"""),45817)</f>
        <v/>
      </c>
      <c r="S119" s="44">
        <f>IFERROR(__xludf.DUMMYFUNCTION("""COMPUTED_VALUE"""),45876)</f>
        <v/>
      </c>
      <c r="T119" s="45">
        <f>IFERROR(__xludf.DUMMYFUNCTION("""COMPUTED_VALUE"""),"Birmingham, GB")</f>
        <v/>
      </c>
      <c r="U119" s="45" t="n"/>
      <c r="V119" s="45" t="n"/>
      <c r="W119" s="45" t="n"/>
      <c r="X119" s="45" t="n"/>
      <c r="Y119" s="46">
        <f>IFERROR(__xludf.DUMMYFUNCTION("""COMPUTED_VALUE"""),45826)</f>
        <v/>
      </c>
      <c r="Z119" s="46">
        <f>IFERROR(__xludf.DUMMYFUNCTION("""COMPUTED_VALUE"""),45850)</f>
        <v/>
      </c>
      <c r="AA119" s="46">
        <f>IFERROR(__xludf.DUMMYFUNCTION("""COMPUTED_VALUE"""),45857)</f>
        <v/>
      </c>
      <c r="AB119" s="45">
        <f>IFERROR(__xludf.DUMMYFUNCTION("""COMPUTED_VALUE"""),"10A Faraday Ave")</f>
        <v/>
      </c>
      <c r="AC119" s="45">
        <f>IFERROR(__xludf.DUMMYFUNCTION("""COMPUTED_VALUE"""),"Coleshill")</f>
        <v/>
      </c>
      <c r="AD119" s="45">
        <f>IFERROR(__xludf.DUMMYFUNCTION("""COMPUTED_VALUE"""),"OCEAN")</f>
        <v/>
      </c>
      <c r="AE119" s="45">
        <f>IFERROR(__xludf.DUMMYFUNCTION("""COMPUTED_VALUE"""),"N")</f>
        <v/>
      </c>
      <c r="AF119" s="45" t="n"/>
      <c r="AG119" s="49">
        <f>IFERROR(__xludf.DUMMYFUNCTION("IFNA(vlookup(H119,IMPORTRANGE(""1vUGwO1n0QQGx9kKbO0_M5gmuhXZ6-LaxQxgrmJnzgP0"",""'TP# look up'!A:C""),3,0),"""")"),"")</f>
        <v/>
      </c>
      <c r="AH119" s="49">
        <f>LEFT(J119,2)</f>
        <v/>
      </c>
    </row>
    <row r="120" hidden="1" ht="12.75" customHeight="1">
      <c r="A120" s="45">
        <f>IFERROR(__xludf.DUMMYFUNCTION("""COMPUTED_VALUE"""),"Colombo")</f>
        <v/>
      </c>
      <c r="B120" s="45" t="n"/>
      <c r="C120" s="45">
        <f>IFERROR(__xludf.DUMMYFUNCTION("""COMPUTED_VALUE"""),3231485)</f>
        <v/>
      </c>
      <c r="D120" s="45" t="n"/>
      <c r="E120" s="45">
        <f>IFERROR(__xludf.DUMMYFUNCTION("""COMPUTED_VALUE"""),"CFS")</f>
        <v/>
      </c>
      <c r="F120" s="45">
        <f>IFERROR(__xludf.DUMMYFUNCTION("""COMPUTED_VALUE"""),"Inqube Global (PVT) Ltd")</f>
        <v/>
      </c>
      <c r="G120" s="45">
        <f>IFERROR(__xludf.DUMMYFUNCTION("""COMPUTED_VALUE"""),"Quantum Clothing Lanka (Pvt) Ltd")</f>
        <v/>
      </c>
      <c r="H120" s="43">
        <f>IFERROR(__xludf.DUMMYFUNCTION("""COMPUTED_VALUE"""),451349760012)</f>
        <v/>
      </c>
      <c r="I120" s="45">
        <f>IFERROR(__xludf.DUMMYFUNCTION("""COMPUTED_VALUE"""),19727218)</f>
        <v/>
      </c>
      <c r="J120" s="45">
        <f>IFERROR(__xludf.DUMMYFUNCTION("""COMPUTED_VALUE"""),"LW2E01S")</f>
        <v/>
      </c>
      <c r="K120" s="45">
        <f>IFERROR(__xludf.DUMMYFUNCTION("""COMPUTED_VALUE"""),"LW2E01S-031382")</f>
        <v/>
      </c>
      <c r="L120" s="45">
        <f>IFERROR(__xludf.DUMMYFUNCTION("""COMPUTED_VALUE"""),16)</f>
        <v/>
      </c>
      <c r="M120" s="45">
        <f>IFERROR(__xludf.DUMMYFUNCTION("""COMPUTED_VALUE"""),146)</f>
        <v/>
      </c>
      <c r="N120" s="45">
        <f>IFERROR(__xludf.DUMMYFUNCTION("""COMPUTED_VALUE"""),53.108)</f>
        <v/>
      </c>
      <c r="O120" s="45">
        <f>IFERROR(__xludf.DUMMYFUNCTION("""COMPUTED_VALUE"""),1.302)</f>
        <v/>
      </c>
      <c r="P120" s="45">
        <f>IFERROR(__xludf.DUMMYFUNCTION("""COMPUTED_VALUE"""),"Colombo, LK")</f>
        <v/>
      </c>
      <c r="Q120" s="45">
        <f>IFERROR(__xludf.DUMMYFUNCTION("""COMPUTED_VALUE"""),"Felixstowe, GB")</f>
        <v/>
      </c>
      <c r="R120" s="44">
        <f>IFERROR(__xludf.DUMMYFUNCTION("""COMPUTED_VALUE"""),45817)</f>
        <v/>
      </c>
      <c r="S120" s="44">
        <f>IFERROR(__xludf.DUMMYFUNCTION("""COMPUTED_VALUE"""),45876)</f>
        <v/>
      </c>
      <c r="T120" s="45">
        <f>IFERROR(__xludf.DUMMYFUNCTION("""COMPUTED_VALUE"""),"Birmingham, GB")</f>
        <v/>
      </c>
      <c r="U120" s="45" t="n"/>
      <c r="V120" s="45" t="n"/>
      <c r="W120" s="45" t="n"/>
      <c r="X120" s="45" t="n"/>
      <c r="Y120" s="46">
        <f>IFERROR(__xludf.DUMMYFUNCTION("""COMPUTED_VALUE"""),45826)</f>
        <v/>
      </c>
      <c r="Z120" s="46">
        <f>IFERROR(__xludf.DUMMYFUNCTION("""COMPUTED_VALUE"""),45850)</f>
        <v/>
      </c>
      <c r="AA120" s="46">
        <f>IFERROR(__xludf.DUMMYFUNCTION("""COMPUTED_VALUE"""),45857)</f>
        <v/>
      </c>
      <c r="AB120" s="45">
        <f>IFERROR(__xludf.DUMMYFUNCTION("""COMPUTED_VALUE"""),"10A Faraday Ave")</f>
        <v/>
      </c>
      <c r="AC120" s="45">
        <f>IFERROR(__xludf.DUMMYFUNCTION("""COMPUTED_VALUE"""),"Coleshill")</f>
        <v/>
      </c>
      <c r="AD120" s="45">
        <f>IFERROR(__xludf.DUMMYFUNCTION("""COMPUTED_VALUE"""),"OCEAN")</f>
        <v/>
      </c>
      <c r="AE120" s="45">
        <f>IFERROR(__xludf.DUMMYFUNCTION("""COMPUTED_VALUE"""),"N")</f>
        <v/>
      </c>
      <c r="AF120" s="45" t="n"/>
      <c r="AG120" s="49">
        <f>IFERROR(__xludf.DUMMYFUNCTION("IFNA(vlookup(H120,IMPORTRANGE(""1vUGwO1n0QQGx9kKbO0_M5gmuhXZ6-LaxQxgrmJnzgP0"",""'TP# look up'!A:C""),3,0),"""")"),"")</f>
        <v/>
      </c>
      <c r="AH120" s="49">
        <f>LEFT(J120,2)</f>
        <v/>
      </c>
    </row>
    <row r="121" hidden="1" ht="12.75" customHeight="1">
      <c r="A121" s="45">
        <f>IFERROR(__xludf.DUMMYFUNCTION("""COMPUTED_VALUE"""),"Colombo")</f>
        <v/>
      </c>
      <c r="B121" s="45" t="n"/>
      <c r="C121" s="45">
        <f>IFERROR(__xludf.DUMMYFUNCTION("""COMPUTED_VALUE"""),3231485)</f>
        <v/>
      </c>
      <c r="D121" s="45" t="n"/>
      <c r="E121" s="45">
        <f>IFERROR(__xludf.DUMMYFUNCTION("""COMPUTED_VALUE"""),"CFS")</f>
        <v/>
      </c>
      <c r="F121" s="45">
        <f>IFERROR(__xludf.DUMMYFUNCTION("""COMPUTED_VALUE"""),"Inqube Global (PVT) Ltd")</f>
        <v/>
      </c>
      <c r="G121" s="45">
        <f>IFERROR(__xludf.DUMMYFUNCTION("""COMPUTED_VALUE"""),"Quantum Clothing Lanka (Pvt) Ltd")</f>
        <v/>
      </c>
      <c r="H121" s="43">
        <f>IFERROR(__xludf.DUMMYFUNCTION("""COMPUTED_VALUE"""),451351956162)</f>
        <v/>
      </c>
      <c r="I121" s="45">
        <f>IFERROR(__xludf.DUMMYFUNCTION("""COMPUTED_VALUE"""),19727219)</f>
        <v/>
      </c>
      <c r="J121" s="45">
        <f>IFERROR(__xludf.DUMMYFUNCTION("""COMPUTED_VALUE"""),"LW2E01S")</f>
        <v/>
      </c>
      <c r="K121" s="45">
        <f>IFERROR(__xludf.DUMMYFUNCTION("""COMPUTED_VALUE"""),"LW2E01S-031382")</f>
        <v/>
      </c>
      <c r="L121" s="45">
        <f>IFERROR(__xludf.DUMMYFUNCTION("""COMPUTED_VALUE"""),17)</f>
        <v/>
      </c>
      <c r="M121" s="45">
        <f>IFERROR(__xludf.DUMMYFUNCTION("""COMPUTED_VALUE"""),149)</f>
        <v/>
      </c>
      <c r="N121" s="45">
        <f>IFERROR(__xludf.DUMMYFUNCTION("""COMPUTED_VALUE"""),54.353)</f>
        <v/>
      </c>
      <c r="O121" s="45">
        <f>IFERROR(__xludf.DUMMYFUNCTION("""COMPUTED_VALUE"""),1.344)</f>
        <v/>
      </c>
      <c r="P121" s="45">
        <f>IFERROR(__xludf.DUMMYFUNCTION("""COMPUTED_VALUE"""),"Colombo, LK")</f>
        <v/>
      </c>
      <c r="Q121" s="45">
        <f>IFERROR(__xludf.DUMMYFUNCTION("""COMPUTED_VALUE"""),"Felixstowe, GB")</f>
        <v/>
      </c>
      <c r="R121" s="44">
        <f>IFERROR(__xludf.DUMMYFUNCTION("""COMPUTED_VALUE"""),45817)</f>
        <v/>
      </c>
      <c r="S121" s="44">
        <f>IFERROR(__xludf.DUMMYFUNCTION("""COMPUTED_VALUE"""),45876)</f>
        <v/>
      </c>
      <c r="T121" s="45">
        <f>IFERROR(__xludf.DUMMYFUNCTION("""COMPUTED_VALUE"""),"Birmingham, GB")</f>
        <v/>
      </c>
      <c r="U121" s="45" t="n"/>
      <c r="V121" s="45" t="n"/>
      <c r="W121" s="45" t="n"/>
      <c r="X121" s="45" t="n"/>
      <c r="Y121" s="46">
        <f>IFERROR(__xludf.DUMMYFUNCTION("""COMPUTED_VALUE"""),45820)</f>
        <v/>
      </c>
      <c r="Z121" s="46">
        <f>IFERROR(__xludf.DUMMYFUNCTION("""COMPUTED_VALUE"""),45850)</f>
        <v/>
      </c>
      <c r="AA121" s="46">
        <f>IFERROR(__xludf.DUMMYFUNCTION("""COMPUTED_VALUE"""),45857)</f>
        <v/>
      </c>
      <c r="AB121" s="45">
        <f>IFERROR(__xludf.DUMMYFUNCTION("""COMPUTED_VALUE"""),"10A Faraday Ave")</f>
        <v/>
      </c>
      <c r="AC121" s="45">
        <f>IFERROR(__xludf.DUMMYFUNCTION("""COMPUTED_VALUE"""),"Coleshill")</f>
        <v/>
      </c>
      <c r="AD121" s="45">
        <f>IFERROR(__xludf.DUMMYFUNCTION("""COMPUTED_VALUE"""),"OCEAN")</f>
        <v/>
      </c>
      <c r="AE121" s="45">
        <f>IFERROR(__xludf.DUMMYFUNCTION("""COMPUTED_VALUE"""),"N")</f>
        <v/>
      </c>
      <c r="AF121" s="45">
        <f>IFERROR(__xludf.DUMMYFUNCTION("""COMPUTED_VALUE"""),"Qty changed from 151 to 149.0, Volume changed from 1.386 to 1.344, Gross Volume changed from 1.386 to 1.344, Weight changed from 55.875 to 54.353, Gross Weight changed from 55.875 to 54.353")</f>
        <v/>
      </c>
      <c r="AG121" s="49">
        <f>IFERROR(__xludf.DUMMYFUNCTION("IFNA(vlookup(H121,IMPORTRANGE(""1vUGwO1n0QQGx9kKbO0_M5gmuhXZ6-LaxQxgrmJnzgP0"",""'TP# look up'!A:C""),3,0),"""")"),"")</f>
        <v/>
      </c>
      <c r="AH121" s="49">
        <f>LEFT(J121,2)</f>
        <v/>
      </c>
    </row>
    <row r="122" hidden="1" ht="12.75" customHeight="1">
      <c r="A122" s="45">
        <f>IFERROR(__xludf.DUMMYFUNCTION("""COMPUTED_VALUE"""),"Colombo")</f>
        <v/>
      </c>
      <c r="B122" s="45" t="n"/>
      <c r="C122" s="45">
        <f>IFERROR(__xludf.DUMMYFUNCTION("""COMPUTED_VALUE"""),3231485)</f>
        <v/>
      </c>
      <c r="D122" s="45" t="n"/>
      <c r="E122" s="45">
        <f>IFERROR(__xludf.DUMMYFUNCTION("""COMPUTED_VALUE"""),"CFS")</f>
        <v/>
      </c>
      <c r="F122" s="45">
        <f>IFERROR(__xludf.DUMMYFUNCTION("""COMPUTED_VALUE"""),"Inqube Global (PVT) Ltd")</f>
        <v/>
      </c>
      <c r="G122" s="45">
        <f>IFERROR(__xludf.DUMMYFUNCTION("""COMPUTED_VALUE"""),"Quantum Clothing Lanka (Pvt) Ltd")</f>
        <v/>
      </c>
      <c r="H122" s="43">
        <f>IFERROR(__xludf.DUMMYFUNCTION("""COMPUTED_VALUE"""),451374186160)</f>
        <v/>
      </c>
      <c r="I122" s="45">
        <f>IFERROR(__xludf.DUMMYFUNCTION("""COMPUTED_VALUE"""),19855322)</f>
        <v/>
      </c>
      <c r="J122" s="45">
        <f>IFERROR(__xludf.DUMMYFUNCTION("""COMPUTED_VALUE"""),"LW2EDNS")</f>
        <v/>
      </c>
      <c r="K122" s="45">
        <f>IFERROR(__xludf.DUMMYFUNCTION("""COMPUTED_VALUE"""),"LW2EDNS-0001")</f>
        <v/>
      </c>
      <c r="L122" s="45">
        <f>IFERROR(__xludf.DUMMYFUNCTION("""COMPUTED_VALUE"""),1)</f>
        <v/>
      </c>
      <c r="M122" s="45">
        <f>IFERROR(__xludf.DUMMYFUNCTION("""COMPUTED_VALUE"""),154)</f>
        <v/>
      </c>
      <c r="N122" s="45">
        <f>IFERROR(__xludf.DUMMYFUNCTION("""COMPUTED_VALUE"""),11.892)</f>
        <v/>
      </c>
      <c r="O122" s="45">
        <f>IFERROR(__xludf.DUMMYFUNCTION("""COMPUTED_VALUE"""),0.04)</f>
        <v/>
      </c>
      <c r="P122" s="45">
        <f>IFERROR(__xludf.DUMMYFUNCTION("""COMPUTED_VALUE"""),"Colombo, LK")</f>
        <v/>
      </c>
      <c r="Q122" s="45">
        <f>IFERROR(__xludf.DUMMYFUNCTION("""COMPUTED_VALUE"""),"Felixstowe, GB")</f>
        <v/>
      </c>
      <c r="R122" s="44">
        <f>IFERROR(__xludf.DUMMYFUNCTION("""COMPUTED_VALUE"""),45817)</f>
        <v/>
      </c>
      <c r="S122" s="44">
        <f>IFERROR(__xludf.DUMMYFUNCTION("""COMPUTED_VALUE"""),45876)</f>
        <v/>
      </c>
      <c r="T122" s="45">
        <f>IFERROR(__xludf.DUMMYFUNCTION("""COMPUTED_VALUE"""),"Birmingham, GB")</f>
        <v/>
      </c>
      <c r="U122" s="45" t="n"/>
      <c r="V122" s="45" t="n"/>
      <c r="W122" s="45" t="n"/>
      <c r="X122" s="45" t="n"/>
      <c r="Y122" s="46">
        <f>IFERROR(__xludf.DUMMYFUNCTION("""COMPUTED_VALUE"""),45826)</f>
        <v/>
      </c>
      <c r="Z122" s="46">
        <f>IFERROR(__xludf.DUMMYFUNCTION("""COMPUTED_VALUE"""),45850)</f>
        <v/>
      </c>
      <c r="AA122" s="46">
        <f>IFERROR(__xludf.DUMMYFUNCTION("""COMPUTED_VALUE"""),45857)</f>
        <v/>
      </c>
      <c r="AB122" s="45">
        <f>IFERROR(__xludf.DUMMYFUNCTION("""COMPUTED_VALUE"""),"10A Faraday Ave")</f>
        <v/>
      </c>
      <c r="AC122" s="45">
        <f>IFERROR(__xludf.DUMMYFUNCTION("""COMPUTED_VALUE"""),"Coleshill")</f>
        <v/>
      </c>
      <c r="AD122" s="45">
        <f>IFERROR(__xludf.DUMMYFUNCTION("""COMPUTED_VALUE"""),"OCEAN")</f>
        <v/>
      </c>
      <c r="AE122" s="45">
        <f>IFERROR(__xludf.DUMMYFUNCTION("""COMPUTED_VALUE"""),"N")</f>
        <v/>
      </c>
      <c r="AF122" s="45" t="n"/>
      <c r="AG122" s="49">
        <f>IFERROR(__xludf.DUMMYFUNCTION("IFNA(vlookup(H122,IMPORTRANGE(""1vUGwO1n0QQGx9kKbO0_M5gmuhXZ6-LaxQxgrmJnzgP0"",""'TP# look up'!A:C""),3,0),"""")"),"")</f>
        <v/>
      </c>
      <c r="AH122" s="49">
        <f>LEFT(J122,2)</f>
        <v/>
      </c>
    </row>
    <row r="123" hidden="1" ht="12.75" customHeight="1">
      <c r="A123" s="45">
        <f>IFERROR(__xludf.DUMMYFUNCTION("""COMPUTED_VALUE"""),"Colombo")</f>
        <v/>
      </c>
      <c r="B123" s="45" t="n"/>
      <c r="C123" s="45">
        <f>IFERROR(__xludf.DUMMYFUNCTION("""COMPUTED_VALUE"""),3231485)</f>
        <v/>
      </c>
      <c r="D123" s="45" t="n"/>
      <c r="E123" s="45">
        <f>IFERROR(__xludf.DUMMYFUNCTION("""COMPUTED_VALUE"""),"CFS")</f>
        <v/>
      </c>
      <c r="F123" s="45">
        <f>IFERROR(__xludf.DUMMYFUNCTION("""COMPUTED_VALUE"""),"Inqube Global (PVT) Ltd")</f>
        <v/>
      </c>
      <c r="G123" s="45">
        <f>IFERROR(__xludf.DUMMYFUNCTION("""COMPUTED_VALUE"""),"Quantum Clothing Lanka (Pvt) Ltd")</f>
        <v/>
      </c>
      <c r="H123" s="43">
        <f>IFERROR(__xludf.DUMMYFUNCTION("""COMPUTED_VALUE"""),451374824670)</f>
        <v/>
      </c>
      <c r="I123" s="45">
        <f>IFERROR(__xludf.DUMMYFUNCTION("""COMPUTED_VALUE"""),19855324)</f>
        <v/>
      </c>
      <c r="J123" s="45">
        <f>IFERROR(__xludf.DUMMYFUNCTION("""COMPUTED_VALUE"""),"LW2EDNS")</f>
        <v/>
      </c>
      <c r="K123" s="45">
        <f>IFERROR(__xludf.DUMMYFUNCTION("""COMPUTED_VALUE"""),"LW2EDNS-0001")</f>
        <v/>
      </c>
      <c r="L123" s="45">
        <f>IFERROR(__xludf.DUMMYFUNCTION("""COMPUTED_VALUE"""),1)</f>
        <v/>
      </c>
      <c r="M123" s="45">
        <f>IFERROR(__xludf.DUMMYFUNCTION("""COMPUTED_VALUE"""),30)</f>
        <v/>
      </c>
      <c r="N123" s="45">
        <f>IFERROR(__xludf.DUMMYFUNCTION("""COMPUTED_VALUE"""),3.105)</f>
        <v/>
      </c>
      <c r="O123" s="45">
        <f>IFERROR(__xludf.DUMMYFUNCTION("""COMPUTED_VALUE"""),0.04)</f>
        <v/>
      </c>
      <c r="P123" s="45">
        <f>IFERROR(__xludf.DUMMYFUNCTION("""COMPUTED_VALUE"""),"Colombo, LK")</f>
        <v/>
      </c>
      <c r="Q123" s="45">
        <f>IFERROR(__xludf.DUMMYFUNCTION("""COMPUTED_VALUE"""),"Felixstowe, GB")</f>
        <v/>
      </c>
      <c r="R123" s="44">
        <f>IFERROR(__xludf.DUMMYFUNCTION("""COMPUTED_VALUE"""),45817)</f>
        <v/>
      </c>
      <c r="S123" s="44">
        <f>IFERROR(__xludf.DUMMYFUNCTION("""COMPUTED_VALUE"""),45876)</f>
        <v/>
      </c>
      <c r="T123" s="45">
        <f>IFERROR(__xludf.DUMMYFUNCTION("""COMPUTED_VALUE"""),"Birmingham, GB")</f>
        <v/>
      </c>
      <c r="U123" s="45" t="n"/>
      <c r="V123" s="45" t="n"/>
      <c r="W123" s="45" t="n"/>
      <c r="X123" s="45" t="n"/>
      <c r="Y123" s="46">
        <f>IFERROR(__xludf.DUMMYFUNCTION("""COMPUTED_VALUE"""),45826)</f>
        <v/>
      </c>
      <c r="Z123" s="46">
        <f>IFERROR(__xludf.DUMMYFUNCTION("""COMPUTED_VALUE"""),45850)</f>
        <v/>
      </c>
      <c r="AA123" s="46">
        <f>IFERROR(__xludf.DUMMYFUNCTION("""COMPUTED_VALUE"""),45857)</f>
        <v/>
      </c>
      <c r="AB123" s="45">
        <f>IFERROR(__xludf.DUMMYFUNCTION("""COMPUTED_VALUE"""),"10A Faraday Ave")</f>
        <v/>
      </c>
      <c r="AC123" s="45">
        <f>IFERROR(__xludf.DUMMYFUNCTION("""COMPUTED_VALUE"""),"Coleshill")</f>
        <v/>
      </c>
      <c r="AD123" s="45">
        <f>IFERROR(__xludf.DUMMYFUNCTION("""COMPUTED_VALUE"""),"OCEAN")</f>
        <v/>
      </c>
      <c r="AE123" s="45">
        <f>IFERROR(__xludf.DUMMYFUNCTION("""COMPUTED_VALUE"""),"N")</f>
        <v/>
      </c>
      <c r="AF123" s="45" t="n"/>
      <c r="AG123" s="49">
        <f>IFERROR(__xludf.DUMMYFUNCTION("IFNA(vlookup(H123,IMPORTRANGE(""1vUGwO1n0QQGx9kKbO0_M5gmuhXZ6-LaxQxgrmJnzgP0"",""'TP# look up'!A:C""),3,0),"""")"),"")</f>
        <v/>
      </c>
      <c r="AH123" s="49">
        <f>LEFT(J123,2)</f>
        <v/>
      </c>
    </row>
    <row r="124" hidden="1" ht="12.75" customHeight="1">
      <c r="A124" s="45">
        <f>IFERROR(__xludf.DUMMYFUNCTION("""COMPUTED_VALUE"""),"Colombo")</f>
        <v/>
      </c>
      <c r="B124" s="45" t="n"/>
      <c r="C124" s="45">
        <f>IFERROR(__xludf.DUMMYFUNCTION("""COMPUTED_VALUE"""),3231485)</f>
        <v/>
      </c>
      <c r="D124" s="45" t="n"/>
      <c r="E124" s="45">
        <f>IFERROR(__xludf.DUMMYFUNCTION("""COMPUTED_VALUE"""),"CFS")</f>
        <v/>
      </c>
      <c r="F124" s="45">
        <f>IFERROR(__xludf.DUMMYFUNCTION("""COMPUTED_VALUE"""),"MAS AMITY PTE LTD")</f>
        <v/>
      </c>
      <c r="G124" s="45">
        <f>IFERROR(__xludf.DUMMYFUNCTION("""COMPUTED_VALUE"""),"MAS Active (Pvt) Ltd - Linea Intimo")</f>
        <v/>
      </c>
      <c r="H124" s="43">
        <f>IFERROR(__xludf.DUMMYFUNCTION("""COMPUTED_VALUE"""),452597618598)</f>
        <v/>
      </c>
      <c r="I124" s="45">
        <f>IFERROR(__xludf.DUMMYFUNCTION("""COMPUTED_VALUE"""),19924614)</f>
        <v/>
      </c>
      <c r="J124" s="45">
        <f>IFERROR(__xludf.DUMMYFUNCTION("""COMPUTED_VALUE"""),"LW7DK4S")</f>
        <v/>
      </c>
      <c r="K124" s="45">
        <f>IFERROR(__xludf.DUMMYFUNCTION("""COMPUTED_VALUE"""),"LW7DK4S-4780")</f>
        <v/>
      </c>
      <c r="L124" s="45">
        <f>IFERROR(__xludf.DUMMYFUNCTION("""COMPUTED_VALUE"""),2)</f>
        <v/>
      </c>
      <c r="M124" s="45">
        <f>IFERROR(__xludf.DUMMYFUNCTION("""COMPUTED_VALUE"""),28)</f>
        <v/>
      </c>
      <c r="N124" s="45">
        <f>IFERROR(__xludf.DUMMYFUNCTION("""COMPUTED_VALUE"""),5.114)</f>
        <v/>
      </c>
      <c r="O124" s="45">
        <f>IFERROR(__xludf.DUMMYFUNCTION("""COMPUTED_VALUE"""),0.079)</f>
        <v/>
      </c>
      <c r="P124" s="45">
        <f>IFERROR(__xludf.DUMMYFUNCTION("""COMPUTED_VALUE"""),"Colombo, LK")</f>
        <v/>
      </c>
      <c r="Q124" s="45">
        <f>IFERROR(__xludf.DUMMYFUNCTION("""COMPUTED_VALUE"""),"Felixstowe, GB")</f>
        <v/>
      </c>
      <c r="R124" s="44">
        <f>IFERROR(__xludf.DUMMYFUNCTION("""COMPUTED_VALUE"""),45817)</f>
        <v/>
      </c>
      <c r="S124" s="44">
        <f>IFERROR(__xludf.DUMMYFUNCTION("""COMPUTED_VALUE"""),45876)</f>
        <v/>
      </c>
      <c r="T124" s="45">
        <f>IFERROR(__xludf.DUMMYFUNCTION("""COMPUTED_VALUE"""),"Birmingham, GB")</f>
        <v/>
      </c>
      <c r="U124" s="45" t="n"/>
      <c r="V124" s="45" t="n"/>
      <c r="W124" s="45" t="n"/>
      <c r="X124" s="45" t="n"/>
      <c r="Y124" s="46">
        <f>IFERROR(__xludf.DUMMYFUNCTION("""COMPUTED_VALUE"""),45826)</f>
        <v/>
      </c>
      <c r="Z124" s="46">
        <f>IFERROR(__xludf.DUMMYFUNCTION("""COMPUTED_VALUE"""),45850)</f>
        <v/>
      </c>
      <c r="AA124" s="46">
        <f>IFERROR(__xludf.DUMMYFUNCTION("""COMPUTED_VALUE"""),45857)</f>
        <v/>
      </c>
      <c r="AB124" s="45">
        <f>IFERROR(__xludf.DUMMYFUNCTION("""COMPUTED_VALUE"""),"10A Faraday Ave")</f>
        <v/>
      </c>
      <c r="AC124" s="45">
        <f>IFERROR(__xludf.DUMMYFUNCTION("""COMPUTED_VALUE"""),"Coleshill")</f>
        <v/>
      </c>
      <c r="AD124" s="45">
        <f>IFERROR(__xludf.DUMMYFUNCTION("""COMPUTED_VALUE"""),"OCEAN")</f>
        <v/>
      </c>
      <c r="AE124" s="45">
        <f>IFERROR(__xludf.DUMMYFUNCTION("""COMPUTED_VALUE"""),"N")</f>
        <v/>
      </c>
      <c r="AF124" s="45" t="n"/>
      <c r="AG124" s="49">
        <f>IFERROR(__xludf.DUMMYFUNCTION("IFNA(vlookup(H124,IMPORTRANGE(""1vUGwO1n0QQGx9kKbO0_M5gmuhXZ6-LaxQxgrmJnzgP0"",""'TP# look up'!A:C""),3,0),"""")"),"")</f>
        <v/>
      </c>
      <c r="AH124" s="49">
        <f>LEFT(J124,2)</f>
        <v/>
      </c>
    </row>
    <row r="125" hidden="1" ht="12.75" customHeight="1">
      <c r="A125" s="45">
        <f>IFERROR(__xludf.DUMMYFUNCTION("""COMPUTED_VALUE"""),"Colombo")</f>
        <v/>
      </c>
      <c r="B125" s="45" t="n"/>
      <c r="C125" s="45">
        <f>IFERROR(__xludf.DUMMYFUNCTION("""COMPUTED_VALUE"""),3231485)</f>
        <v/>
      </c>
      <c r="D125" s="45" t="n"/>
      <c r="E125" s="45">
        <f>IFERROR(__xludf.DUMMYFUNCTION("""COMPUTED_VALUE"""),"CFS")</f>
        <v/>
      </c>
      <c r="F125" s="45">
        <f>IFERROR(__xludf.DUMMYFUNCTION("""COMPUTED_VALUE"""),"MAS AMITY PTE LTD")</f>
        <v/>
      </c>
      <c r="G125" s="45">
        <f>IFERROR(__xludf.DUMMYFUNCTION("""COMPUTED_VALUE"""),"MAS Active(Pvt) Ltd – CONTOURLINE")</f>
        <v/>
      </c>
      <c r="H125" s="43">
        <f>IFERROR(__xludf.DUMMYFUNCTION("""COMPUTED_VALUE"""),452568276947)</f>
        <v/>
      </c>
      <c r="I125" s="45">
        <f>IFERROR(__xludf.DUMMYFUNCTION("""COMPUTED_VALUE"""),19925858)</f>
        <v/>
      </c>
      <c r="J125" s="45">
        <f>IFERROR(__xludf.DUMMYFUNCTION("""COMPUTED_VALUE"""),"LW5EPSS")</f>
        <v/>
      </c>
      <c r="K125" s="45">
        <f>IFERROR(__xludf.DUMMYFUNCTION("""COMPUTED_VALUE"""),"LW5EPSS-035487")</f>
        <v/>
      </c>
      <c r="L125" s="45">
        <f>IFERROR(__xludf.DUMMYFUNCTION("""COMPUTED_VALUE"""),6)</f>
        <v/>
      </c>
      <c r="M125" s="45">
        <f>IFERROR(__xludf.DUMMYFUNCTION("""COMPUTED_VALUE"""),253)</f>
        <v/>
      </c>
      <c r="N125" s="45">
        <f>IFERROR(__xludf.DUMMYFUNCTION("""COMPUTED_VALUE"""),58.574)</f>
        <v/>
      </c>
      <c r="O125" s="45">
        <f>IFERROR(__xludf.DUMMYFUNCTION("""COMPUTED_VALUE"""),0.474)</f>
        <v/>
      </c>
      <c r="P125" s="45">
        <f>IFERROR(__xludf.DUMMYFUNCTION("""COMPUTED_VALUE"""),"Colombo, LK")</f>
        <v/>
      </c>
      <c r="Q125" s="45">
        <f>IFERROR(__xludf.DUMMYFUNCTION("""COMPUTED_VALUE"""),"Felixstowe, GB")</f>
        <v/>
      </c>
      <c r="R125" s="44">
        <f>IFERROR(__xludf.DUMMYFUNCTION("""COMPUTED_VALUE"""),45817)</f>
        <v/>
      </c>
      <c r="S125" s="44">
        <f>IFERROR(__xludf.DUMMYFUNCTION("""COMPUTED_VALUE"""),45876)</f>
        <v/>
      </c>
      <c r="T125" s="45">
        <f>IFERROR(__xludf.DUMMYFUNCTION("""COMPUTED_VALUE"""),"Birmingham, GB")</f>
        <v/>
      </c>
      <c r="U125" s="45" t="n"/>
      <c r="V125" s="45" t="n"/>
      <c r="W125" s="45" t="n"/>
      <c r="X125" s="45" t="n"/>
      <c r="Y125" s="46">
        <f>IFERROR(__xludf.DUMMYFUNCTION("""COMPUTED_VALUE"""),45826)</f>
        <v/>
      </c>
      <c r="Z125" s="46">
        <f>IFERROR(__xludf.DUMMYFUNCTION("""COMPUTED_VALUE"""),45850)</f>
        <v/>
      </c>
      <c r="AA125" s="46">
        <f>IFERROR(__xludf.DUMMYFUNCTION("""COMPUTED_VALUE"""),45857)</f>
        <v/>
      </c>
      <c r="AB125" s="45">
        <f>IFERROR(__xludf.DUMMYFUNCTION("""COMPUTED_VALUE"""),"10A Faraday Ave")</f>
        <v/>
      </c>
      <c r="AC125" s="45">
        <f>IFERROR(__xludf.DUMMYFUNCTION("""COMPUTED_VALUE"""),"Coleshill")</f>
        <v/>
      </c>
      <c r="AD125" s="45">
        <f>IFERROR(__xludf.DUMMYFUNCTION("""COMPUTED_VALUE"""),"OCEAN")</f>
        <v/>
      </c>
      <c r="AE125" s="45">
        <f>IFERROR(__xludf.DUMMYFUNCTION("""COMPUTED_VALUE"""),"N")</f>
        <v/>
      </c>
      <c r="AF125" s="45" t="n"/>
      <c r="AG125" s="49">
        <f>IFERROR(__xludf.DUMMYFUNCTION("IFNA(vlookup(H125,IMPORTRANGE(""1vUGwO1n0QQGx9kKbO0_M5gmuhXZ6-LaxQxgrmJnzgP0"",""'TP# look up'!A:C""),3,0),"""")"),"")</f>
        <v/>
      </c>
      <c r="AH125" s="49">
        <f>LEFT(J125,2)</f>
        <v/>
      </c>
    </row>
    <row r="126" hidden="1" ht="12.75" customHeight="1">
      <c r="A126" s="45">
        <f>IFERROR(__xludf.DUMMYFUNCTION("""COMPUTED_VALUE"""),"Colombo")</f>
        <v/>
      </c>
      <c r="B126" s="45" t="n"/>
      <c r="C126" s="45">
        <f>IFERROR(__xludf.DUMMYFUNCTION("""COMPUTED_VALUE"""),3231485)</f>
        <v/>
      </c>
      <c r="D126" s="45" t="n"/>
      <c r="E126" s="45">
        <f>IFERROR(__xludf.DUMMYFUNCTION("""COMPUTED_VALUE"""),"CFS")</f>
        <v/>
      </c>
      <c r="F126" s="45">
        <f>IFERROR(__xludf.DUMMYFUNCTION("""COMPUTED_VALUE"""),"MAS AMITY PTE LTD")</f>
        <v/>
      </c>
      <c r="G126" s="45">
        <f>IFERROR(__xludf.DUMMYFUNCTION("""COMPUTED_VALUE"""),"MAS Active(Pvt) Ltd – CONTOURLINE")</f>
        <v/>
      </c>
      <c r="H126" s="43">
        <f>IFERROR(__xludf.DUMMYFUNCTION("""COMPUTED_VALUE"""),452579874382)</f>
        <v/>
      </c>
      <c r="I126" s="45">
        <f>IFERROR(__xludf.DUMMYFUNCTION("""COMPUTED_VALUE"""),19925866)</f>
        <v/>
      </c>
      <c r="J126" s="45">
        <f>IFERROR(__xludf.DUMMYFUNCTION("""COMPUTED_VALUE"""),"LW5EPSS")</f>
        <v/>
      </c>
      <c r="K126" s="45">
        <f>IFERROR(__xludf.DUMMYFUNCTION("""COMPUTED_VALUE"""),"LW5EPSS-035487")</f>
        <v/>
      </c>
      <c r="L126" s="45">
        <f>IFERROR(__xludf.DUMMYFUNCTION("""COMPUTED_VALUE"""),1)</f>
        <v/>
      </c>
      <c r="M126" s="45">
        <f>IFERROR(__xludf.DUMMYFUNCTION("""COMPUTED_VALUE"""),35)</f>
        <v/>
      </c>
      <c r="N126" s="45">
        <f>IFERROR(__xludf.DUMMYFUNCTION("""COMPUTED_VALUE"""),8.347)</f>
        <v/>
      </c>
      <c r="O126" s="45">
        <f>IFERROR(__xludf.DUMMYFUNCTION("""COMPUTED_VALUE"""),0.079)</f>
        <v/>
      </c>
      <c r="P126" s="45">
        <f>IFERROR(__xludf.DUMMYFUNCTION("""COMPUTED_VALUE"""),"Colombo, LK")</f>
        <v/>
      </c>
      <c r="Q126" s="45">
        <f>IFERROR(__xludf.DUMMYFUNCTION("""COMPUTED_VALUE"""),"Felixstowe, GB")</f>
        <v/>
      </c>
      <c r="R126" s="44">
        <f>IFERROR(__xludf.DUMMYFUNCTION("""COMPUTED_VALUE"""),45817)</f>
        <v/>
      </c>
      <c r="S126" s="44">
        <f>IFERROR(__xludf.DUMMYFUNCTION("""COMPUTED_VALUE"""),45876)</f>
        <v/>
      </c>
      <c r="T126" s="45">
        <f>IFERROR(__xludf.DUMMYFUNCTION("""COMPUTED_VALUE"""),"Birmingham, GB")</f>
        <v/>
      </c>
      <c r="U126" s="45" t="n"/>
      <c r="V126" s="45" t="n"/>
      <c r="W126" s="45" t="n"/>
      <c r="X126" s="45" t="n"/>
      <c r="Y126" s="46">
        <f>IFERROR(__xludf.DUMMYFUNCTION("""COMPUTED_VALUE"""),45826)</f>
        <v/>
      </c>
      <c r="Z126" s="46">
        <f>IFERROR(__xludf.DUMMYFUNCTION("""COMPUTED_VALUE"""),45850)</f>
        <v/>
      </c>
      <c r="AA126" s="46">
        <f>IFERROR(__xludf.DUMMYFUNCTION("""COMPUTED_VALUE"""),45857)</f>
        <v/>
      </c>
      <c r="AB126" s="45">
        <f>IFERROR(__xludf.DUMMYFUNCTION("""COMPUTED_VALUE"""),"10A Faraday Ave")</f>
        <v/>
      </c>
      <c r="AC126" s="45">
        <f>IFERROR(__xludf.DUMMYFUNCTION("""COMPUTED_VALUE"""),"Coleshill")</f>
        <v/>
      </c>
      <c r="AD126" s="45">
        <f>IFERROR(__xludf.DUMMYFUNCTION("""COMPUTED_VALUE"""),"OCEAN")</f>
        <v/>
      </c>
      <c r="AE126" s="45">
        <f>IFERROR(__xludf.DUMMYFUNCTION("""COMPUTED_VALUE"""),"N")</f>
        <v/>
      </c>
      <c r="AF126" s="45" t="n"/>
      <c r="AG126" s="49">
        <f>IFERROR(__xludf.DUMMYFUNCTION("IFNA(vlookup(H126,IMPORTRANGE(""1vUGwO1n0QQGx9kKbO0_M5gmuhXZ6-LaxQxgrmJnzgP0"",""'TP# look up'!A:C""),3,0),"""")"),"")</f>
        <v/>
      </c>
      <c r="AH126" s="49">
        <f>LEFT(J126,2)</f>
        <v/>
      </c>
    </row>
    <row r="127" hidden="1" ht="12.75" customHeight="1">
      <c r="A127" s="45">
        <f>IFERROR(__xludf.DUMMYFUNCTION("""COMPUTED_VALUE"""),"Colombo")</f>
        <v/>
      </c>
      <c r="B127" s="45" t="n"/>
      <c r="C127" s="45">
        <f>IFERROR(__xludf.DUMMYFUNCTION("""COMPUTED_VALUE"""),3231485)</f>
        <v/>
      </c>
      <c r="D127" s="45" t="n"/>
      <c r="E127" s="45">
        <f>IFERROR(__xludf.DUMMYFUNCTION("""COMPUTED_VALUE"""),"CFS")</f>
        <v/>
      </c>
      <c r="F127" s="45">
        <f>IFERROR(__xludf.DUMMYFUNCTION("""COMPUTED_VALUE"""),"MAS AMITY PTE LTD")</f>
        <v/>
      </c>
      <c r="G127" s="45">
        <f>IFERROR(__xludf.DUMMYFUNCTION("""COMPUTED_VALUE"""),"MAS Active(Pvt) Ltd – CONTOURLINE")</f>
        <v/>
      </c>
      <c r="H127" s="43">
        <f>IFERROR(__xludf.DUMMYFUNCTION("""COMPUTED_VALUE"""),452580966646)</f>
        <v/>
      </c>
      <c r="I127" s="45">
        <f>IFERROR(__xludf.DUMMYFUNCTION("""COMPUTED_VALUE"""),19921025)</f>
        <v/>
      </c>
      <c r="J127" s="45">
        <f>IFERROR(__xludf.DUMMYFUNCTION("""COMPUTED_VALUE"""),"LW2EB3S")</f>
        <v/>
      </c>
      <c r="K127" s="45">
        <f>IFERROR(__xludf.DUMMYFUNCTION("""COMPUTED_VALUE"""),"LW2EB3S-035486")</f>
        <v/>
      </c>
      <c r="L127" s="45">
        <f>IFERROR(__xludf.DUMMYFUNCTION("""COMPUTED_VALUE"""),2)</f>
        <v/>
      </c>
      <c r="M127" s="45">
        <f>IFERROR(__xludf.DUMMYFUNCTION("""COMPUTED_VALUE"""),151)</f>
        <v/>
      </c>
      <c r="N127" s="45">
        <f>IFERROR(__xludf.DUMMYFUNCTION("""COMPUTED_VALUE"""),18.999)</f>
        <v/>
      </c>
      <c r="O127" s="45">
        <f>IFERROR(__xludf.DUMMYFUNCTION("""COMPUTED_VALUE"""),0.158)</f>
        <v/>
      </c>
      <c r="P127" s="45">
        <f>IFERROR(__xludf.DUMMYFUNCTION("""COMPUTED_VALUE"""),"Colombo, LK")</f>
        <v/>
      </c>
      <c r="Q127" s="45">
        <f>IFERROR(__xludf.DUMMYFUNCTION("""COMPUTED_VALUE"""),"Felixstowe, GB")</f>
        <v/>
      </c>
      <c r="R127" s="44">
        <f>IFERROR(__xludf.DUMMYFUNCTION("""COMPUTED_VALUE"""),45817)</f>
        <v/>
      </c>
      <c r="S127" s="44">
        <f>IFERROR(__xludf.DUMMYFUNCTION("""COMPUTED_VALUE"""),45876)</f>
        <v/>
      </c>
      <c r="T127" s="45">
        <f>IFERROR(__xludf.DUMMYFUNCTION("""COMPUTED_VALUE"""),"Birmingham, GB")</f>
        <v/>
      </c>
      <c r="U127" s="45" t="n"/>
      <c r="V127" s="45" t="n"/>
      <c r="W127" s="45" t="n"/>
      <c r="X127" s="45" t="n"/>
      <c r="Y127" s="46">
        <f>IFERROR(__xludf.DUMMYFUNCTION("""COMPUTED_VALUE"""),45826)</f>
        <v/>
      </c>
      <c r="Z127" s="46">
        <f>IFERROR(__xludf.DUMMYFUNCTION("""COMPUTED_VALUE"""),45850)</f>
        <v/>
      </c>
      <c r="AA127" s="46">
        <f>IFERROR(__xludf.DUMMYFUNCTION("""COMPUTED_VALUE"""),45857)</f>
        <v/>
      </c>
      <c r="AB127" s="45">
        <f>IFERROR(__xludf.DUMMYFUNCTION("""COMPUTED_VALUE"""),"10A Faraday Ave")</f>
        <v/>
      </c>
      <c r="AC127" s="45">
        <f>IFERROR(__xludf.DUMMYFUNCTION("""COMPUTED_VALUE"""),"Coleshill")</f>
        <v/>
      </c>
      <c r="AD127" s="45">
        <f>IFERROR(__xludf.DUMMYFUNCTION("""COMPUTED_VALUE"""),"OCEAN")</f>
        <v/>
      </c>
      <c r="AE127" s="45">
        <f>IFERROR(__xludf.DUMMYFUNCTION("""COMPUTED_VALUE"""),"N")</f>
        <v/>
      </c>
      <c r="AF127" s="45" t="n"/>
      <c r="AG127" s="49">
        <f>IFERROR(__xludf.DUMMYFUNCTION("IFNA(vlookup(H127,IMPORTRANGE(""1vUGwO1n0QQGx9kKbO0_M5gmuhXZ6-LaxQxgrmJnzgP0"",""'TP# look up'!A:C""),3,0),"""")"),"")</f>
        <v/>
      </c>
      <c r="AH127" s="49">
        <f>LEFT(J127,2)</f>
        <v/>
      </c>
    </row>
    <row r="128" hidden="1" ht="12.75" customHeight="1">
      <c r="A128" s="45">
        <f>IFERROR(__xludf.DUMMYFUNCTION("""COMPUTED_VALUE"""),"Colombo")</f>
        <v/>
      </c>
      <c r="B128" s="45" t="n"/>
      <c r="C128" s="45">
        <f>IFERROR(__xludf.DUMMYFUNCTION("""COMPUTED_VALUE"""),3231485)</f>
        <v/>
      </c>
      <c r="D128" s="45" t="n"/>
      <c r="E128" s="45">
        <f>IFERROR(__xludf.DUMMYFUNCTION("""COMPUTED_VALUE"""),"CFS")</f>
        <v/>
      </c>
      <c r="F128" s="45">
        <f>IFERROR(__xludf.DUMMYFUNCTION("""COMPUTED_VALUE"""),"MAS AMITY PTE LTD")</f>
        <v/>
      </c>
      <c r="G128" s="45">
        <f>IFERROR(__xludf.DUMMYFUNCTION("""COMPUTED_VALUE"""),"MAS Active(Pvt) Ltd – CONTOURLINE")</f>
        <v/>
      </c>
      <c r="H128" s="43">
        <f>IFERROR(__xludf.DUMMYFUNCTION("""COMPUTED_VALUE"""),452583055742)</f>
        <v/>
      </c>
      <c r="I128" s="45">
        <f>IFERROR(__xludf.DUMMYFUNCTION("""COMPUTED_VALUE"""),19803353)</f>
        <v/>
      </c>
      <c r="J128" s="45">
        <f>IFERROR(__xludf.DUMMYFUNCTION("""COMPUTED_VALUE"""),"LM3FGKS")</f>
        <v/>
      </c>
      <c r="K128" s="45">
        <f>IFERROR(__xludf.DUMMYFUNCTION("""COMPUTED_VALUE"""),"LM3FGKS-033454")</f>
        <v/>
      </c>
      <c r="L128" s="45">
        <f>IFERROR(__xludf.DUMMYFUNCTION("""COMPUTED_VALUE"""),1)</f>
        <v/>
      </c>
      <c r="M128" s="45">
        <f>IFERROR(__xludf.DUMMYFUNCTION("""COMPUTED_VALUE"""),43)</f>
        <v/>
      </c>
      <c r="N128" s="45">
        <f>IFERROR(__xludf.DUMMYFUNCTION("""COMPUTED_VALUE"""),10.058)</f>
        <v/>
      </c>
      <c r="O128" s="45">
        <f>IFERROR(__xludf.DUMMYFUNCTION("""COMPUTED_VALUE"""),0.079)</f>
        <v/>
      </c>
      <c r="P128" s="45">
        <f>IFERROR(__xludf.DUMMYFUNCTION("""COMPUTED_VALUE"""),"Colombo, LK")</f>
        <v/>
      </c>
      <c r="Q128" s="45">
        <f>IFERROR(__xludf.DUMMYFUNCTION("""COMPUTED_VALUE"""),"Felixstowe, GB")</f>
        <v/>
      </c>
      <c r="R128" s="44">
        <f>IFERROR(__xludf.DUMMYFUNCTION("""COMPUTED_VALUE"""),45817)</f>
        <v/>
      </c>
      <c r="S128" s="44">
        <f>IFERROR(__xludf.DUMMYFUNCTION("""COMPUTED_VALUE"""),45876)</f>
        <v/>
      </c>
      <c r="T128" s="45">
        <f>IFERROR(__xludf.DUMMYFUNCTION("""COMPUTED_VALUE"""),"Birmingham, GB")</f>
        <v/>
      </c>
      <c r="U128" s="45" t="n"/>
      <c r="V128" s="45" t="n"/>
      <c r="W128" s="45" t="n"/>
      <c r="X128" s="45" t="n"/>
      <c r="Y128" s="46">
        <f>IFERROR(__xludf.DUMMYFUNCTION("""COMPUTED_VALUE"""),45826)</f>
        <v/>
      </c>
      <c r="Z128" s="46">
        <f>IFERROR(__xludf.DUMMYFUNCTION("""COMPUTED_VALUE"""),45850)</f>
        <v/>
      </c>
      <c r="AA128" s="46">
        <f>IFERROR(__xludf.DUMMYFUNCTION("""COMPUTED_VALUE"""),45857)</f>
        <v/>
      </c>
      <c r="AB128" s="45">
        <f>IFERROR(__xludf.DUMMYFUNCTION("""COMPUTED_VALUE"""),"10A Faraday Ave")</f>
        <v/>
      </c>
      <c r="AC128" s="45">
        <f>IFERROR(__xludf.DUMMYFUNCTION("""COMPUTED_VALUE"""),"Coleshill")</f>
        <v/>
      </c>
      <c r="AD128" s="45">
        <f>IFERROR(__xludf.DUMMYFUNCTION("""COMPUTED_VALUE"""),"OCEAN")</f>
        <v/>
      </c>
      <c r="AE128" s="45">
        <f>IFERROR(__xludf.DUMMYFUNCTION("""COMPUTED_VALUE"""),"N")</f>
        <v/>
      </c>
      <c r="AF128" s="45" t="n"/>
      <c r="AG128" s="49">
        <f>IFERROR(__xludf.DUMMYFUNCTION("IFNA(vlookup(H128,IMPORTRANGE(""1vUGwO1n0QQGx9kKbO0_M5gmuhXZ6-LaxQxgrmJnzgP0"",""'TP# look up'!A:C""),3,0),"""")"),"")</f>
        <v/>
      </c>
      <c r="AH128" s="49">
        <f>LEFT(J128,2)</f>
        <v/>
      </c>
    </row>
    <row r="129" hidden="1" ht="12.75" customHeight="1">
      <c r="A129" s="45">
        <f>IFERROR(__xludf.DUMMYFUNCTION("""COMPUTED_VALUE"""),"Colombo")</f>
        <v/>
      </c>
      <c r="B129" s="45" t="n"/>
      <c r="C129" s="45">
        <f>IFERROR(__xludf.DUMMYFUNCTION("""COMPUTED_VALUE"""),3231485)</f>
        <v/>
      </c>
      <c r="D129" s="45" t="n"/>
      <c r="E129" s="45">
        <f>IFERROR(__xludf.DUMMYFUNCTION("""COMPUTED_VALUE"""),"CFS")</f>
        <v/>
      </c>
      <c r="F129" s="45">
        <f>IFERROR(__xludf.DUMMYFUNCTION("""COMPUTED_VALUE"""),"MAS AMITY PTE LTD")</f>
        <v/>
      </c>
      <c r="G129" s="45">
        <f>IFERROR(__xludf.DUMMYFUNCTION("""COMPUTED_VALUE"""),"MAS Active(Pvt) Ltd – CONTOURLINE")</f>
        <v/>
      </c>
      <c r="H129" s="43">
        <f>IFERROR(__xludf.DUMMYFUNCTION("""COMPUTED_VALUE"""),452583681061)</f>
        <v/>
      </c>
      <c r="I129" s="45">
        <f>IFERROR(__xludf.DUMMYFUNCTION("""COMPUTED_VALUE"""),19925963)</f>
        <v/>
      </c>
      <c r="J129" s="45">
        <f>IFERROR(__xludf.DUMMYFUNCTION("""COMPUTED_VALUE"""),"LW5FARS")</f>
        <v/>
      </c>
      <c r="K129" s="45">
        <f>IFERROR(__xludf.DUMMYFUNCTION("""COMPUTED_VALUE"""),"LW5FARS-0001")</f>
        <v/>
      </c>
      <c r="L129" s="45">
        <f>IFERROR(__xludf.DUMMYFUNCTION("""COMPUTED_VALUE"""),4)</f>
        <v/>
      </c>
      <c r="M129" s="45">
        <f>IFERROR(__xludf.DUMMYFUNCTION("""COMPUTED_VALUE"""),195)</f>
        <v/>
      </c>
      <c r="N129" s="45">
        <f>IFERROR(__xludf.DUMMYFUNCTION("""COMPUTED_VALUE"""),41.983)</f>
        <v/>
      </c>
      <c r="O129" s="45">
        <f>IFERROR(__xludf.DUMMYFUNCTION("""COMPUTED_VALUE"""),0.316)</f>
        <v/>
      </c>
      <c r="P129" s="45">
        <f>IFERROR(__xludf.DUMMYFUNCTION("""COMPUTED_VALUE"""),"Colombo, LK")</f>
        <v/>
      </c>
      <c r="Q129" s="45">
        <f>IFERROR(__xludf.DUMMYFUNCTION("""COMPUTED_VALUE"""),"Felixstowe, GB")</f>
        <v/>
      </c>
      <c r="R129" s="44">
        <f>IFERROR(__xludf.DUMMYFUNCTION("""COMPUTED_VALUE"""),45817)</f>
        <v/>
      </c>
      <c r="S129" s="44">
        <f>IFERROR(__xludf.DUMMYFUNCTION("""COMPUTED_VALUE"""),45876)</f>
        <v/>
      </c>
      <c r="T129" s="45">
        <f>IFERROR(__xludf.DUMMYFUNCTION("""COMPUTED_VALUE"""),"Birmingham, GB")</f>
        <v/>
      </c>
      <c r="U129" s="45" t="n"/>
      <c r="V129" s="45" t="n"/>
      <c r="W129" s="45" t="n"/>
      <c r="X129" s="45" t="n"/>
      <c r="Y129" s="46">
        <f>IFERROR(__xludf.DUMMYFUNCTION("""COMPUTED_VALUE"""),45826)</f>
        <v/>
      </c>
      <c r="Z129" s="46">
        <f>IFERROR(__xludf.DUMMYFUNCTION("""COMPUTED_VALUE"""),45850)</f>
        <v/>
      </c>
      <c r="AA129" s="46">
        <f>IFERROR(__xludf.DUMMYFUNCTION("""COMPUTED_VALUE"""),45857)</f>
        <v/>
      </c>
      <c r="AB129" s="45">
        <f>IFERROR(__xludf.DUMMYFUNCTION("""COMPUTED_VALUE"""),"10A Faraday Ave")</f>
        <v/>
      </c>
      <c r="AC129" s="45">
        <f>IFERROR(__xludf.DUMMYFUNCTION("""COMPUTED_VALUE"""),"Coleshill")</f>
        <v/>
      </c>
      <c r="AD129" s="45">
        <f>IFERROR(__xludf.DUMMYFUNCTION("""COMPUTED_VALUE"""),"OCEAN")</f>
        <v/>
      </c>
      <c r="AE129" s="45">
        <f>IFERROR(__xludf.DUMMYFUNCTION("""COMPUTED_VALUE"""),"N")</f>
        <v/>
      </c>
      <c r="AF129" s="45" t="n"/>
      <c r="AG129" s="49">
        <f>IFERROR(__xludf.DUMMYFUNCTION("IFNA(vlookup(H129,IMPORTRANGE(""1vUGwO1n0QQGx9kKbO0_M5gmuhXZ6-LaxQxgrmJnzgP0"",""'TP# look up'!A:C""),3,0),"""")"),"")</f>
        <v/>
      </c>
      <c r="AH129" s="49">
        <f>LEFT(J129,2)</f>
        <v/>
      </c>
    </row>
    <row r="130" hidden="1" ht="12.75" customHeight="1">
      <c r="A130" s="45">
        <f>IFERROR(__xludf.DUMMYFUNCTION("""COMPUTED_VALUE"""),"Colombo")</f>
        <v/>
      </c>
      <c r="B130" s="45" t="n"/>
      <c r="C130" s="45">
        <f>IFERROR(__xludf.DUMMYFUNCTION("""COMPUTED_VALUE"""),3231485)</f>
        <v/>
      </c>
      <c r="D130" s="45" t="n"/>
      <c r="E130" s="45">
        <f>IFERROR(__xludf.DUMMYFUNCTION("""COMPUTED_VALUE"""),"CFS")</f>
        <v/>
      </c>
      <c r="F130" s="45">
        <f>IFERROR(__xludf.DUMMYFUNCTION("""COMPUTED_VALUE"""),"MAS AMITY PTE LTD")</f>
        <v/>
      </c>
      <c r="G130" s="45">
        <f>IFERROR(__xludf.DUMMYFUNCTION("""COMPUTED_VALUE"""),"MAS Active(Pvt) Ltd – CONTOURLINE")</f>
        <v/>
      </c>
      <c r="H130" s="43">
        <f>IFERROR(__xludf.DUMMYFUNCTION("""COMPUTED_VALUE"""),452583681674)</f>
        <v/>
      </c>
      <c r="I130" s="45">
        <f>IFERROR(__xludf.DUMMYFUNCTION("""COMPUTED_VALUE"""),19803359)</f>
        <v/>
      </c>
      <c r="J130" s="45">
        <f>IFERROR(__xludf.DUMMYFUNCTION("""COMPUTED_VALUE"""),"LM3FGKS")</f>
        <v/>
      </c>
      <c r="K130" s="45">
        <f>IFERROR(__xludf.DUMMYFUNCTION("""COMPUTED_VALUE"""),"LM3FGKS-033454")</f>
        <v/>
      </c>
      <c r="L130" s="45">
        <f>IFERROR(__xludf.DUMMYFUNCTION("""COMPUTED_VALUE"""),2)</f>
        <v/>
      </c>
      <c r="M130" s="45">
        <f>IFERROR(__xludf.DUMMYFUNCTION("""COMPUTED_VALUE"""),73)</f>
        <v/>
      </c>
      <c r="N130" s="45">
        <f>IFERROR(__xludf.DUMMYFUNCTION("""COMPUTED_VALUE"""),17.573)</f>
        <v/>
      </c>
      <c r="O130" s="45">
        <f>IFERROR(__xludf.DUMMYFUNCTION("""COMPUTED_VALUE"""),0.118)</f>
        <v/>
      </c>
      <c r="P130" s="45">
        <f>IFERROR(__xludf.DUMMYFUNCTION("""COMPUTED_VALUE"""),"Colombo, LK")</f>
        <v/>
      </c>
      <c r="Q130" s="45">
        <f>IFERROR(__xludf.DUMMYFUNCTION("""COMPUTED_VALUE"""),"Felixstowe, GB")</f>
        <v/>
      </c>
      <c r="R130" s="44">
        <f>IFERROR(__xludf.DUMMYFUNCTION("""COMPUTED_VALUE"""),45817)</f>
        <v/>
      </c>
      <c r="S130" s="44">
        <f>IFERROR(__xludf.DUMMYFUNCTION("""COMPUTED_VALUE"""),45876)</f>
        <v/>
      </c>
      <c r="T130" s="45">
        <f>IFERROR(__xludf.DUMMYFUNCTION("""COMPUTED_VALUE"""),"Birmingham, GB")</f>
        <v/>
      </c>
      <c r="U130" s="45" t="n"/>
      <c r="V130" s="45" t="n"/>
      <c r="W130" s="45" t="n"/>
      <c r="X130" s="45" t="n"/>
      <c r="Y130" s="46">
        <f>IFERROR(__xludf.DUMMYFUNCTION("""COMPUTED_VALUE"""),45826)</f>
        <v/>
      </c>
      <c r="Z130" s="46">
        <f>IFERROR(__xludf.DUMMYFUNCTION("""COMPUTED_VALUE"""),45850)</f>
        <v/>
      </c>
      <c r="AA130" s="46">
        <f>IFERROR(__xludf.DUMMYFUNCTION("""COMPUTED_VALUE"""),45857)</f>
        <v/>
      </c>
      <c r="AB130" s="45">
        <f>IFERROR(__xludf.DUMMYFUNCTION("""COMPUTED_VALUE"""),"10A Faraday Ave")</f>
        <v/>
      </c>
      <c r="AC130" s="45">
        <f>IFERROR(__xludf.DUMMYFUNCTION("""COMPUTED_VALUE"""),"Coleshill")</f>
        <v/>
      </c>
      <c r="AD130" s="45">
        <f>IFERROR(__xludf.DUMMYFUNCTION("""COMPUTED_VALUE"""),"OCEAN")</f>
        <v/>
      </c>
      <c r="AE130" s="45">
        <f>IFERROR(__xludf.DUMMYFUNCTION("""COMPUTED_VALUE"""),"N")</f>
        <v/>
      </c>
      <c r="AF130" s="45" t="n"/>
      <c r="AG130" s="49">
        <f>IFERROR(__xludf.DUMMYFUNCTION("IFNA(vlookup(H130,IMPORTRANGE(""1vUGwO1n0QQGx9kKbO0_M5gmuhXZ6-LaxQxgrmJnzgP0"",""'TP# look up'!A:C""),3,0),"""")"),"")</f>
        <v/>
      </c>
      <c r="AH130" s="49">
        <f>LEFT(J130,2)</f>
        <v/>
      </c>
    </row>
    <row r="131" hidden="1" ht="12.75" customHeight="1">
      <c r="A131" s="45">
        <f>IFERROR(__xludf.DUMMYFUNCTION("""COMPUTED_VALUE"""),"Colombo")</f>
        <v/>
      </c>
      <c r="B131" s="45" t="n"/>
      <c r="C131" s="45">
        <f>IFERROR(__xludf.DUMMYFUNCTION("""COMPUTED_VALUE"""),3231485)</f>
        <v/>
      </c>
      <c r="D131" s="45" t="n"/>
      <c r="E131" s="45">
        <f>IFERROR(__xludf.DUMMYFUNCTION("""COMPUTED_VALUE"""),"CFS")</f>
        <v/>
      </c>
      <c r="F131" s="45">
        <f>IFERROR(__xludf.DUMMYFUNCTION("""COMPUTED_VALUE"""),"MAS AMITY PTE LTD")</f>
        <v/>
      </c>
      <c r="G131" s="45">
        <f>IFERROR(__xludf.DUMMYFUNCTION("""COMPUTED_VALUE"""),"MAS Fabrics (Pvt) Ltd Intimo")</f>
        <v/>
      </c>
      <c r="H131" s="43">
        <f>IFERROR(__xludf.DUMMYFUNCTION("""COMPUTED_VALUE"""),452583058525)</f>
        <v/>
      </c>
      <c r="I131" s="45">
        <f>IFERROR(__xludf.DUMMYFUNCTION("""COMPUTED_VALUE"""),19820984)</f>
        <v/>
      </c>
      <c r="J131" s="45">
        <f>IFERROR(__xludf.DUMMYFUNCTION("""COMPUTED_VALUE"""),"LW3JSNS")</f>
        <v/>
      </c>
      <c r="K131" s="45">
        <f>IFERROR(__xludf.DUMMYFUNCTION("""COMPUTED_VALUE"""),"LW3JSNS-071208")</f>
        <v/>
      </c>
      <c r="L131" s="45">
        <f>IFERROR(__xludf.DUMMYFUNCTION("""COMPUTED_VALUE"""),2)</f>
        <v/>
      </c>
      <c r="M131" s="45">
        <f>IFERROR(__xludf.DUMMYFUNCTION("""COMPUTED_VALUE"""),81)</f>
        <v/>
      </c>
      <c r="N131" s="45">
        <f>IFERROR(__xludf.DUMMYFUNCTION("""COMPUTED_VALUE"""),9.56)</f>
        <v/>
      </c>
      <c r="O131" s="45">
        <f>IFERROR(__xludf.DUMMYFUNCTION("""COMPUTED_VALUE"""),0.118)</f>
        <v/>
      </c>
      <c r="P131" s="45">
        <f>IFERROR(__xludf.DUMMYFUNCTION("""COMPUTED_VALUE"""),"Colombo, LK")</f>
        <v/>
      </c>
      <c r="Q131" s="45">
        <f>IFERROR(__xludf.DUMMYFUNCTION("""COMPUTED_VALUE"""),"Felixstowe, GB")</f>
        <v/>
      </c>
      <c r="R131" s="44">
        <f>IFERROR(__xludf.DUMMYFUNCTION("""COMPUTED_VALUE"""),45817)</f>
        <v/>
      </c>
      <c r="S131" s="44">
        <f>IFERROR(__xludf.DUMMYFUNCTION("""COMPUTED_VALUE"""),45876)</f>
        <v/>
      </c>
      <c r="T131" s="45">
        <f>IFERROR(__xludf.DUMMYFUNCTION("""COMPUTED_VALUE"""),"Birmingham, GB")</f>
        <v/>
      </c>
      <c r="U131" s="45" t="n"/>
      <c r="V131" s="45" t="n"/>
      <c r="W131" s="45" t="n"/>
      <c r="X131" s="45" t="n"/>
      <c r="Y131" s="46">
        <f>IFERROR(__xludf.DUMMYFUNCTION("""COMPUTED_VALUE"""),45826)</f>
        <v/>
      </c>
      <c r="Z131" s="46">
        <f>IFERROR(__xludf.DUMMYFUNCTION("""COMPUTED_VALUE"""),45850)</f>
        <v/>
      </c>
      <c r="AA131" s="46">
        <f>IFERROR(__xludf.DUMMYFUNCTION("""COMPUTED_VALUE"""),45857)</f>
        <v/>
      </c>
      <c r="AB131" s="45">
        <f>IFERROR(__xludf.DUMMYFUNCTION("""COMPUTED_VALUE"""),"10A Faraday Ave")</f>
        <v/>
      </c>
      <c r="AC131" s="45">
        <f>IFERROR(__xludf.DUMMYFUNCTION("""COMPUTED_VALUE"""),"Coleshill")</f>
        <v/>
      </c>
      <c r="AD131" s="45">
        <f>IFERROR(__xludf.DUMMYFUNCTION("""COMPUTED_VALUE"""),"OCEAN")</f>
        <v/>
      </c>
      <c r="AE131" s="45">
        <f>IFERROR(__xludf.DUMMYFUNCTION("""COMPUTED_VALUE"""),"N")</f>
        <v/>
      </c>
      <c r="AF131" s="45" t="n"/>
      <c r="AG131" s="49">
        <f>IFERROR(__xludf.DUMMYFUNCTION("IFNA(vlookup(H131,IMPORTRANGE(""1vUGwO1n0QQGx9kKbO0_M5gmuhXZ6-LaxQxgrmJnzgP0"",""'TP# look up'!A:C""),3,0),"""")"),"")</f>
        <v/>
      </c>
      <c r="AH131" s="49">
        <f>LEFT(J131,2)</f>
        <v/>
      </c>
    </row>
    <row r="132" hidden="1" ht="12.75" customHeight="1">
      <c r="A132" s="45">
        <f>IFERROR(__xludf.DUMMYFUNCTION("""COMPUTED_VALUE"""),"Colombo")</f>
        <v/>
      </c>
      <c r="B132" s="45" t="n"/>
      <c r="C132" s="45">
        <f>IFERROR(__xludf.DUMMYFUNCTION("""COMPUTED_VALUE"""),3231485)</f>
        <v/>
      </c>
      <c r="D132" s="45" t="n"/>
      <c r="E132" s="45">
        <f>IFERROR(__xludf.DUMMYFUNCTION("""COMPUTED_VALUE"""),"CFS")</f>
        <v/>
      </c>
      <c r="F132" s="45">
        <f>IFERROR(__xludf.DUMMYFUNCTION("""COMPUTED_VALUE"""),"MAS AMITY PTE LTD")</f>
        <v/>
      </c>
      <c r="G132" s="45">
        <f>IFERROR(__xludf.DUMMYFUNCTION("""COMPUTED_VALUE"""),"MAS Fabrics (Pvt) Ltd Intimo")</f>
        <v/>
      </c>
      <c r="H132" s="43">
        <f>IFERROR(__xludf.DUMMYFUNCTION("""COMPUTED_VALUE"""),452586573749)</f>
        <v/>
      </c>
      <c r="I132" s="45">
        <f>IFERROR(__xludf.DUMMYFUNCTION("""COMPUTED_VALUE"""),19820974)</f>
        <v/>
      </c>
      <c r="J132" s="45">
        <f>IFERROR(__xludf.DUMMYFUNCTION("""COMPUTED_VALUE"""),"LW3JSMS")</f>
        <v/>
      </c>
      <c r="K132" s="45">
        <f>IFERROR(__xludf.DUMMYFUNCTION("""COMPUTED_VALUE"""),"LW3JSMS-071210")</f>
        <v/>
      </c>
      <c r="L132" s="45">
        <f>IFERROR(__xludf.DUMMYFUNCTION("""COMPUTED_VALUE"""),2)</f>
        <v/>
      </c>
      <c r="M132" s="45">
        <f>IFERROR(__xludf.DUMMYFUNCTION("""COMPUTED_VALUE"""),99)</f>
        <v/>
      </c>
      <c r="N132" s="45">
        <f>IFERROR(__xludf.DUMMYFUNCTION("""COMPUTED_VALUE"""),13.451)</f>
        <v/>
      </c>
      <c r="O132" s="45">
        <f>IFERROR(__xludf.DUMMYFUNCTION("""COMPUTED_VALUE"""),0.118)</f>
        <v/>
      </c>
      <c r="P132" s="45">
        <f>IFERROR(__xludf.DUMMYFUNCTION("""COMPUTED_VALUE"""),"Colombo, LK")</f>
        <v/>
      </c>
      <c r="Q132" s="45">
        <f>IFERROR(__xludf.DUMMYFUNCTION("""COMPUTED_VALUE"""),"Felixstowe, GB")</f>
        <v/>
      </c>
      <c r="R132" s="44">
        <f>IFERROR(__xludf.DUMMYFUNCTION("""COMPUTED_VALUE"""),45817)</f>
        <v/>
      </c>
      <c r="S132" s="44">
        <f>IFERROR(__xludf.DUMMYFUNCTION("""COMPUTED_VALUE"""),45876)</f>
        <v/>
      </c>
      <c r="T132" s="45">
        <f>IFERROR(__xludf.DUMMYFUNCTION("""COMPUTED_VALUE"""),"Birmingham, GB")</f>
        <v/>
      </c>
      <c r="U132" s="45" t="n"/>
      <c r="V132" s="45" t="n"/>
      <c r="W132" s="45" t="n"/>
      <c r="X132" s="45" t="n"/>
      <c r="Y132" s="46">
        <f>IFERROR(__xludf.DUMMYFUNCTION("""COMPUTED_VALUE"""),45826)</f>
        <v/>
      </c>
      <c r="Z132" s="46">
        <f>IFERROR(__xludf.DUMMYFUNCTION("""COMPUTED_VALUE"""),45850)</f>
        <v/>
      </c>
      <c r="AA132" s="46">
        <f>IFERROR(__xludf.DUMMYFUNCTION("""COMPUTED_VALUE"""),45857)</f>
        <v/>
      </c>
      <c r="AB132" s="45">
        <f>IFERROR(__xludf.DUMMYFUNCTION("""COMPUTED_VALUE"""),"10A Faraday Ave")</f>
        <v/>
      </c>
      <c r="AC132" s="45">
        <f>IFERROR(__xludf.DUMMYFUNCTION("""COMPUTED_VALUE"""),"Coleshill")</f>
        <v/>
      </c>
      <c r="AD132" s="45">
        <f>IFERROR(__xludf.DUMMYFUNCTION("""COMPUTED_VALUE"""),"OCEAN")</f>
        <v/>
      </c>
      <c r="AE132" s="45">
        <f>IFERROR(__xludf.DUMMYFUNCTION("""COMPUTED_VALUE"""),"N")</f>
        <v/>
      </c>
      <c r="AF132" s="45" t="n"/>
      <c r="AG132" s="49">
        <f>IFERROR(__xludf.DUMMYFUNCTION("IFNA(vlookup(H132,IMPORTRANGE(""1vUGwO1n0QQGx9kKbO0_M5gmuhXZ6-LaxQxgrmJnzgP0"",""'TP# look up'!A:C""),3,0),"""")"),"")</f>
        <v/>
      </c>
      <c r="AH132" s="49">
        <f>LEFT(J132,2)</f>
        <v/>
      </c>
    </row>
    <row r="133" hidden="1" ht="12.75" customHeight="1">
      <c r="A133" s="45">
        <f>IFERROR(__xludf.DUMMYFUNCTION("""COMPUTED_VALUE"""),"Colombo")</f>
        <v/>
      </c>
      <c r="B133" s="45" t="n"/>
      <c r="C133" s="45">
        <f>IFERROR(__xludf.DUMMYFUNCTION("""COMPUTED_VALUE"""),3231485)</f>
        <v/>
      </c>
      <c r="D133" s="45" t="n"/>
      <c r="E133" s="45">
        <f>IFERROR(__xludf.DUMMYFUNCTION("""COMPUTED_VALUE"""),"CFS")</f>
        <v/>
      </c>
      <c r="F133" s="45">
        <f>IFERROR(__xludf.DUMMYFUNCTION("""COMPUTED_VALUE"""),"MAS AMITY PTE LTD")</f>
        <v/>
      </c>
      <c r="G133" s="45">
        <f>IFERROR(__xludf.DUMMYFUNCTION("""COMPUTED_VALUE"""),"MAS Fabrics (Pvt) Ltd Intimo")</f>
        <v/>
      </c>
      <c r="H133" s="43">
        <f>IFERROR(__xludf.DUMMYFUNCTION("""COMPUTED_VALUE"""),452586691064)</f>
        <v/>
      </c>
      <c r="I133" s="45">
        <f>IFERROR(__xludf.DUMMYFUNCTION("""COMPUTED_VALUE"""),19820858)</f>
        <v/>
      </c>
      <c r="J133" s="45">
        <f>IFERROR(__xludf.DUMMYFUNCTION("""COMPUTED_VALUE"""),"LW3JE8S")</f>
        <v/>
      </c>
      <c r="K133" s="45">
        <f>IFERROR(__xludf.DUMMYFUNCTION("""COMPUTED_VALUE"""),"LW3JE8S-042836")</f>
        <v/>
      </c>
      <c r="L133" s="45">
        <f>IFERROR(__xludf.DUMMYFUNCTION("""COMPUTED_VALUE"""),7)</f>
        <v/>
      </c>
      <c r="M133" s="45">
        <f>IFERROR(__xludf.DUMMYFUNCTION("""COMPUTED_VALUE"""),267)</f>
        <v/>
      </c>
      <c r="N133" s="45">
        <f>IFERROR(__xludf.DUMMYFUNCTION("""COMPUTED_VALUE"""),50.902)</f>
        <v/>
      </c>
      <c r="O133" s="45">
        <f>IFERROR(__xludf.DUMMYFUNCTION("""COMPUTED_VALUE"""),0.434)</f>
        <v/>
      </c>
      <c r="P133" s="45">
        <f>IFERROR(__xludf.DUMMYFUNCTION("""COMPUTED_VALUE"""),"Colombo, LK")</f>
        <v/>
      </c>
      <c r="Q133" s="45">
        <f>IFERROR(__xludf.DUMMYFUNCTION("""COMPUTED_VALUE"""),"Felixstowe, GB")</f>
        <v/>
      </c>
      <c r="R133" s="44">
        <f>IFERROR(__xludf.DUMMYFUNCTION("""COMPUTED_VALUE"""),45817)</f>
        <v/>
      </c>
      <c r="S133" s="44">
        <f>IFERROR(__xludf.DUMMYFUNCTION("""COMPUTED_VALUE"""),45876)</f>
        <v/>
      </c>
      <c r="T133" s="45">
        <f>IFERROR(__xludf.DUMMYFUNCTION("""COMPUTED_VALUE"""),"Birmingham, GB")</f>
        <v/>
      </c>
      <c r="U133" s="45" t="n"/>
      <c r="V133" s="45" t="n"/>
      <c r="W133" s="45" t="n"/>
      <c r="X133" s="45" t="n"/>
      <c r="Y133" s="46">
        <f>IFERROR(__xludf.DUMMYFUNCTION("""COMPUTED_VALUE"""),45826)</f>
        <v/>
      </c>
      <c r="Z133" s="46">
        <f>IFERROR(__xludf.DUMMYFUNCTION("""COMPUTED_VALUE"""),45850)</f>
        <v/>
      </c>
      <c r="AA133" s="46">
        <f>IFERROR(__xludf.DUMMYFUNCTION("""COMPUTED_VALUE"""),45857)</f>
        <v/>
      </c>
      <c r="AB133" s="45">
        <f>IFERROR(__xludf.DUMMYFUNCTION("""COMPUTED_VALUE"""),"10A Faraday Ave")</f>
        <v/>
      </c>
      <c r="AC133" s="45">
        <f>IFERROR(__xludf.DUMMYFUNCTION("""COMPUTED_VALUE"""),"Coleshill")</f>
        <v/>
      </c>
      <c r="AD133" s="45">
        <f>IFERROR(__xludf.DUMMYFUNCTION("""COMPUTED_VALUE"""),"OCEAN")</f>
        <v/>
      </c>
      <c r="AE133" s="45">
        <f>IFERROR(__xludf.DUMMYFUNCTION("""COMPUTED_VALUE"""),"N")</f>
        <v/>
      </c>
      <c r="AF133" s="45" t="n"/>
      <c r="AG133" s="49">
        <f>IFERROR(__xludf.DUMMYFUNCTION("IFNA(vlookup(H133,IMPORTRANGE(""1vUGwO1n0QQGx9kKbO0_M5gmuhXZ6-LaxQxgrmJnzgP0"",""'TP# look up'!A:C""),3,0),"""")"),"")</f>
        <v/>
      </c>
      <c r="AH133" s="49">
        <f>LEFT(J133,2)</f>
        <v/>
      </c>
    </row>
    <row r="134" hidden="1" ht="12.75" customHeight="1">
      <c r="A134" s="45">
        <f>IFERROR(__xludf.DUMMYFUNCTION("""COMPUTED_VALUE"""),"Colombo")</f>
        <v/>
      </c>
      <c r="B134" s="45" t="n"/>
      <c r="C134" s="45">
        <f>IFERROR(__xludf.DUMMYFUNCTION("""COMPUTED_VALUE"""),3231485)</f>
        <v/>
      </c>
      <c r="D134" s="45" t="n"/>
      <c r="E134" s="45">
        <f>IFERROR(__xludf.DUMMYFUNCTION("""COMPUTED_VALUE"""),"CFS")</f>
        <v/>
      </c>
      <c r="F134" s="45">
        <f>IFERROR(__xludf.DUMMYFUNCTION("""COMPUTED_VALUE"""),"MAS AMITY PTE LTD")</f>
        <v/>
      </c>
      <c r="G134" s="45">
        <f>IFERROR(__xludf.DUMMYFUNCTION("""COMPUTED_VALUE"""),"MAS Fabrics (Pvt) Ltd Intimo")</f>
        <v/>
      </c>
      <c r="H134" s="43">
        <f>IFERROR(__xludf.DUMMYFUNCTION("""COMPUTED_VALUE"""),452588863929)</f>
        <v/>
      </c>
      <c r="I134" s="45">
        <f>IFERROR(__xludf.DUMMYFUNCTION("""COMPUTED_VALUE"""),19820865)</f>
        <v/>
      </c>
      <c r="J134" s="45">
        <f>IFERROR(__xludf.DUMMYFUNCTION("""COMPUTED_VALUE"""),"LW3JE8S")</f>
        <v/>
      </c>
      <c r="K134" s="45">
        <f>IFERROR(__xludf.DUMMYFUNCTION("""COMPUTED_VALUE"""),"LW3JE8S-042836")</f>
        <v/>
      </c>
      <c r="L134" s="45">
        <f>IFERROR(__xludf.DUMMYFUNCTION("""COMPUTED_VALUE"""),4)</f>
        <v/>
      </c>
      <c r="M134" s="45">
        <f>IFERROR(__xludf.DUMMYFUNCTION("""COMPUTED_VALUE"""),108)</f>
        <v/>
      </c>
      <c r="N134" s="45">
        <f>IFERROR(__xludf.DUMMYFUNCTION("""COMPUTED_VALUE"""),21.413)</f>
        <v/>
      </c>
      <c r="O134" s="45">
        <f>IFERROR(__xludf.DUMMYFUNCTION("""COMPUTED_VALUE"""),0.197)</f>
        <v/>
      </c>
      <c r="P134" s="45">
        <f>IFERROR(__xludf.DUMMYFUNCTION("""COMPUTED_VALUE"""),"Colombo, LK")</f>
        <v/>
      </c>
      <c r="Q134" s="45">
        <f>IFERROR(__xludf.DUMMYFUNCTION("""COMPUTED_VALUE"""),"Felixstowe, GB")</f>
        <v/>
      </c>
      <c r="R134" s="44">
        <f>IFERROR(__xludf.DUMMYFUNCTION("""COMPUTED_VALUE"""),45817)</f>
        <v/>
      </c>
      <c r="S134" s="44">
        <f>IFERROR(__xludf.DUMMYFUNCTION("""COMPUTED_VALUE"""),45876)</f>
        <v/>
      </c>
      <c r="T134" s="45">
        <f>IFERROR(__xludf.DUMMYFUNCTION("""COMPUTED_VALUE"""),"Birmingham, GB")</f>
        <v/>
      </c>
      <c r="U134" s="45" t="n"/>
      <c r="V134" s="45" t="n"/>
      <c r="W134" s="45" t="n"/>
      <c r="X134" s="45" t="n"/>
      <c r="Y134" s="46">
        <f>IFERROR(__xludf.DUMMYFUNCTION("""COMPUTED_VALUE"""),45826)</f>
        <v/>
      </c>
      <c r="Z134" s="46">
        <f>IFERROR(__xludf.DUMMYFUNCTION("""COMPUTED_VALUE"""),45850)</f>
        <v/>
      </c>
      <c r="AA134" s="46">
        <f>IFERROR(__xludf.DUMMYFUNCTION("""COMPUTED_VALUE"""),45857)</f>
        <v/>
      </c>
      <c r="AB134" s="45">
        <f>IFERROR(__xludf.DUMMYFUNCTION("""COMPUTED_VALUE"""),"10A Faraday Ave")</f>
        <v/>
      </c>
      <c r="AC134" s="45">
        <f>IFERROR(__xludf.DUMMYFUNCTION("""COMPUTED_VALUE"""),"Coleshill")</f>
        <v/>
      </c>
      <c r="AD134" s="45">
        <f>IFERROR(__xludf.DUMMYFUNCTION("""COMPUTED_VALUE"""),"OCEAN")</f>
        <v/>
      </c>
      <c r="AE134" s="45">
        <f>IFERROR(__xludf.DUMMYFUNCTION("""COMPUTED_VALUE"""),"N")</f>
        <v/>
      </c>
      <c r="AF134" s="45" t="n"/>
      <c r="AG134" s="49">
        <f>IFERROR(__xludf.DUMMYFUNCTION("IFNA(vlookup(H134,IMPORTRANGE(""1vUGwO1n0QQGx9kKbO0_M5gmuhXZ6-LaxQxgrmJnzgP0"",""'TP# look up'!A:C""),3,0),"""")"),"")</f>
        <v/>
      </c>
      <c r="AH134" s="49">
        <f>LEFT(J134,2)</f>
        <v/>
      </c>
    </row>
    <row r="135" hidden="1" ht="12.75" customHeight="1">
      <c r="A135" s="45">
        <f>IFERROR(__xludf.DUMMYFUNCTION("""COMPUTED_VALUE"""),"Colombo")</f>
        <v/>
      </c>
      <c r="B135" s="45" t="n"/>
      <c r="C135" s="45">
        <f>IFERROR(__xludf.DUMMYFUNCTION("""COMPUTED_VALUE"""),3231485)</f>
        <v/>
      </c>
      <c r="D135" s="45" t="n"/>
      <c r="E135" s="45">
        <f>IFERROR(__xludf.DUMMYFUNCTION("""COMPUTED_VALUE"""),"CFS")</f>
        <v/>
      </c>
      <c r="F135" s="45">
        <f>IFERROR(__xludf.DUMMYFUNCTION("""COMPUTED_VALUE"""),"Bodyline Trading (Private) Limited")</f>
        <v/>
      </c>
      <c r="G135" s="45">
        <f>IFERROR(__xludf.DUMMYFUNCTION("""COMPUTED_VALUE"""),"Bodyline (Private) Limited")</f>
        <v/>
      </c>
      <c r="H135" s="43">
        <f>IFERROR(__xludf.DUMMYFUNCTION("""COMPUTED_VALUE"""),452663777570)</f>
        <v/>
      </c>
      <c r="I135" s="45">
        <f>IFERROR(__xludf.DUMMYFUNCTION("""COMPUTED_VALUE"""),19828551)</f>
        <v/>
      </c>
      <c r="J135" s="45">
        <f>IFERROR(__xludf.DUMMYFUNCTION("""COMPUTED_VALUE"""),"LW2DTJS")</f>
        <v/>
      </c>
      <c r="K135" s="45">
        <f>IFERROR(__xludf.DUMMYFUNCTION("""COMPUTED_VALUE"""),"LW2DTJS-035486")</f>
        <v/>
      </c>
      <c r="L135" s="45">
        <f>IFERROR(__xludf.DUMMYFUNCTION("""COMPUTED_VALUE"""),4)</f>
        <v/>
      </c>
      <c r="M135" s="45">
        <f>IFERROR(__xludf.DUMMYFUNCTION("""COMPUTED_VALUE"""),134)</f>
        <v/>
      </c>
      <c r="N135" s="45">
        <f>IFERROR(__xludf.DUMMYFUNCTION("""COMPUTED_VALUE"""),20.926)</f>
        <v/>
      </c>
      <c r="O135" s="45">
        <f>IFERROR(__xludf.DUMMYFUNCTION("""COMPUTED_VALUE"""),0.285)</f>
        <v/>
      </c>
      <c r="P135" s="45">
        <f>IFERROR(__xludf.DUMMYFUNCTION("""COMPUTED_VALUE"""),"Colombo, LK")</f>
        <v/>
      </c>
      <c r="Q135" s="45">
        <f>IFERROR(__xludf.DUMMYFUNCTION("""COMPUTED_VALUE"""),"Felixstowe, GB")</f>
        <v/>
      </c>
      <c r="R135" s="44">
        <f>IFERROR(__xludf.DUMMYFUNCTION("""COMPUTED_VALUE"""),45817)</f>
        <v/>
      </c>
      <c r="S135" s="44">
        <f>IFERROR(__xludf.DUMMYFUNCTION("""COMPUTED_VALUE"""),45876)</f>
        <v/>
      </c>
      <c r="T135" s="45">
        <f>IFERROR(__xludf.DUMMYFUNCTION("""COMPUTED_VALUE"""),"Birmingham, GB")</f>
        <v/>
      </c>
      <c r="U135" s="45" t="n"/>
      <c r="V135" s="45" t="n"/>
      <c r="W135" s="45" t="n"/>
      <c r="X135" s="45" t="n"/>
      <c r="Y135" s="46">
        <f>IFERROR(__xludf.DUMMYFUNCTION("""COMPUTED_VALUE"""),45826)</f>
        <v/>
      </c>
      <c r="Z135" s="46">
        <f>IFERROR(__xludf.DUMMYFUNCTION("""COMPUTED_VALUE"""),45850)</f>
        <v/>
      </c>
      <c r="AA135" s="46">
        <f>IFERROR(__xludf.DUMMYFUNCTION("""COMPUTED_VALUE"""),45857)</f>
        <v/>
      </c>
      <c r="AB135" s="45">
        <f>IFERROR(__xludf.DUMMYFUNCTION("""COMPUTED_VALUE"""),"10A Faraday Ave")</f>
        <v/>
      </c>
      <c r="AC135" s="45">
        <f>IFERROR(__xludf.DUMMYFUNCTION("""COMPUTED_VALUE"""),"Coleshill")</f>
        <v/>
      </c>
      <c r="AD135" s="45">
        <f>IFERROR(__xludf.DUMMYFUNCTION("""COMPUTED_VALUE"""),"OCEAN")</f>
        <v/>
      </c>
      <c r="AE135" s="45">
        <f>IFERROR(__xludf.DUMMYFUNCTION("""COMPUTED_VALUE"""),"N")</f>
        <v/>
      </c>
      <c r="AF135" s="45" t="n"/>
      <c r="AG135" s="49">
        <f>IFERROR(__xludf.DUMMYFUNCTION("IFNA(vlookup(H135,IMPORTRANGE(""1vUGwO1n0QQGx9kKbO0_M5gmuhXZ6-LaxQxgrmJnzgP0"",""'TP# look up'!A:C""),3,0),"""")"),"")</f>
        <v/>
      </c>
      <c r="AH135" s="49">
        <f>LEFT(J135,2)</f>
        <v/>
      </c>
    </row>
    <row r="136" hidden="1" ht="12.75" customHeight="1">
      <c r="A136" s="45">
        <f>IFERROR(__xludf.DUMMYFUNCTION("""COMPUTED_VALUE"""),"Colombo")</f>
        <v/>
      </c>
      <c r="B136" s="45" t="n"/>
      <c r="C136" s="45">
        <f>IFERROR(__xludf.DUMMYFUNCTION("""COMPUTED_VALUE"""),3231485)</f>
        <v/>
      </c>
      <c r="D136" s="45" t="n"/>
      <c r="E136" s="45">
        <f>IFERROR(__xludf.DUMMYFUNCTION("""COMPUTED_VALUE"""),"CFS")</f>
        <v/>
      </c>
      <c r="F136" s="45">
        <f>IFERROR(__xludf.DUMMYFUNCTION("""COMPUTED_VALUE"""),"Bodyline Trading (Private) Limited")</f>
        <v/>
      </c>
      <c r="G136" s="45">
        <f>IFERROR(__xludf.DUMMYFUNCTION("""COMPUTED_VALUE"""),"Bodyline (Private) Limited")</f>
        <v/>
      </c>
      <c r="H136" s="43">
        <f>IFERROR(__xludf.DUMMYFUNCTION("""COMPUTED_VALUE"""),452664530160)</f>
        <v/>
      </c>
      <c r="I136" s="45">
        <f>IFERROR(__xludf.DUMMYFUNCTION("""COMPUTED_VALUE"""),19828539)</f>
        <v/>
      </c>
      <c r="J136" s="45">
        <f>IFERROR(__xludf.DUMMYFUNCTION("""COMPUTED_VALUE"""),"LW2DTJS")</f>
        <v/>
      </c>
      <c r="K136" s="45">
        <f>IFERROR(__xludf.DUMMYFUNCTION("""COMPUTED_VALUE"""),"LW2DTJS-035486")</f>
        <v/>
      </c>
      <c r="L136" s="45">
        <f>IFERROR(__xludf.DUMMYFUNCTION("""COMPUTED_VALUE"""),2)</f>
        <v/>
      </c>
      <c r="M136" s="45">
        <f>IFERROR(__xludf.DUMMYFUNCTION("""COMPUTED_VALUE"""),76)</f>
        <v/>
      </c>
      <c r="N136" s="45">
        <f>IFERROR(__xludf.DUMMYFUNCTION("""COMPUTED_VALUE"""),11.097)</f>
        <v/>
      </c>
      <c r="O136" s="45">
        <f>IFERROR(__xludf.DUMMYFUNCTION("""COMPUTED_VALUE"""),0.124)</f>
        <v/>
      </c>
      <c r="P136" s="45">
        <f>IFERROR(__xludf.DUMMYFUNCTION("""COMPUTED_VALUE"""),"Colombo, LK")</f>
        <v/>
      </c>
      <c r="Q136" s="45">
        <f>IFERROR(__xludf.DUMMYFUNCTION("""COMPUTED_VALUE"""),"Felixstowe, GB")</f>
        <v/>
      </c>
      <c r="R136" s="44">
        <f>IFERROR(__xludf.DUMMYFUNCTION("""COMPUTED_VALUE"""),45817)</f>
        <v/>
      </c>
      <c r="S136" s="44">
        <f>IFERROR(__xludf.DUMMYFUNCTION("""COMPUTED_VALUE"""),45876)</f>
        <v/>
      </c>
      <c r="T136" s="45">
        <f>IFERROR(__xludf.DUMMYFUNCTION("""COMPUTED_VALUE"""),"Birmingham, GB")</f>
        <v/>
      </c>
      <c r="U136" s="45" t="n"/>
      <c r="V136" s="45" t="n"/>
      <c r="W136" s="45" t="n"/>
      <c r="X136" s="45" t="n"/>
      <c r="Y136" s="46">
        <f>IFERROR(__xludf.DUMMYFUNCTION("""COMPUTED_VALUE"""),45826)</f>
        <v/>
      </c>
      <c r="Z136" s="46">
        <f>IFERROR(__xludf.DUMMYFUNCTION("""COMPUTED_VALUE"""),45850)</f>
        <v/>
      </c>
      <c r="AA136" s="46">
        <f>IFERROR(__xludf.DUMMYFUNCTION("""COMPUTED_VALUE"""),45857)</f>
        <v/>
      </c>
      <c r="AB136" s="45">
        <f>IFERROR(__xludf.DUMMYFUNCTION("""COMPUTED_VALUE"""),"10A Faraday Ave")</f>
        <v/>
      </c>
      <c r="AC136" s="45">
        <f>IFERROR(__xludf.DUMMYFUNCTION("""COMPUTED_VALUE"""),"Coleshill")</f>
        <v/>
      </c>
      <c r="AD136" s="45">
        <f>IFERROR(__xludf.DUMMYFUNCTION("""COMPUTED_VALUE"""),"OCEAN")</f>
        <v/>
      </c>
      <c r="AE136" s="45">
        <f>IFERROR(__xludf.DUMMYFUNCTION("""COMPUTED_VALUE"""),"N")</f>
        <v/>
      </c>
      <c r="AF136" s="45" t="n"/>
      <c r="AG136" s="49">
        <f>IFERROR(__xludf.DUMMYFUNCTION("IFNA(vlookup(H136,IMPORTRANGE(""1vUGwO1n0QQGx9kKbO0_M5gmuhXZ6-LaxQxgrmJnzgP0"",""'TP# look up'!A:C""),3,0),"""")"),"")</f>
        <v/>
      </c>
      <c r="AH136" s="49">
        <f>LEFT(J136,2)</f>
        <v/>
      </c>
    </row>
    <row r="137" hidden="1" ht="12.75" customHeight="1">
      <c r="A137" s="45">
        <f>IFERROR(__xludf.DUMMYFUNCTION("""COMPUTED_VALUE"""),"Colombo")</f>
        <v/>
      </c>
      <c r="B137" s="45" t="n"/>
      <c r="C137" s="45">
        <f>IFERROR(__xludf.DUMMYFUNCTION("""COMPUTED_VALUE"""),3231485)</f>
        <v/>
      </c>
      <c r="D137" s="45" t="n"/>
      <c r="E137" s="45">
        <f>IFERROR(__xludf.DUMMYFUNCTION("""COMPUTED_VALUE"""),"CFS")</f>
        <v/>
      </c>
      <c r="F137" s="45">
        <f>IFERROR(__xludf.DUMMYFUNCTION("""COMPUTED_VALUE"""),"Inqube Global (PVT) Ltd")</f>
        <v/>
      </c>
      <c r="G137" s="45">
        <f>IFERROR(__xludf.DUMMYFUNCTION("""COMPUTED_VALUE"""),"Brandix Apparel Solutions Limited - Minuwangoda")</f>
        <v/>
      </c>
      <c r="H137" s="43">
        <f>IFERROR(__xludf.DUMMYFUNCTION("""COMPUTED_VALUE"""),450836203621)</f>
        <v/>
      </c>
      <c r="I137" s="45">
        <f>IFERROR(__xludf.DUMMYFUNCTION("""COMPUTED_VALUE"""),19854896)</f>
        <v/>
      </c>
      <c r="J137" s="45">
        <f>IFERROR(__xludf.DUMMYFUNCTION("""COMPUTED_VALUE"""),"LW3KASS")</f>
        <v/>
      </c>
      <c r="K137" s="45">
        <f>IFERROR(__xludf.DUMMYFUNCTION("""COMPUTED_VALUE"""),"LW3KASS-070108")</f>
        <v/>
      </c>
      <c r="L137" s="45">
        <f>IFERROR(__xludf.DUMMYFUNCTION("""COMPUTED_VALUE"""),6)</f>
        <v/>
      </c>
      <c r="M137" s="45">
        <f>IFERROR(__xludf.DUMMYFUNCTION("""COMPUTED_VALUE"""),109)</f>
        <v/>
      </c>
      <c r="N137" s="45">
        <f>IFERROR(__xludf.DUMMYFUNCTION("""COMPUTED_VALUE"""),35.585)</f>
        <v/>
      </c>
      <c r="O137" s="45">
        <f>IFERROR(__xludf.DUMMYFUNCTION("""COMPUTED_VALUE"""),0.471)</f>
        <v/>
      </c>
      <c r="P137" s="45">
        <f>IFERROR(__xludf.DUMMYFUNCTION("""COMPUTED_VALUE"""),"Colombo, LK")</f>
        <v/>
      </c>
      <c r="Q137" s="45">
        <f>IFERROR(__xludf.DUMMYFUNCTION("""COMPUTED_VALUE"""),"Felixstowe, GB")</f>
        <v/>
      </c>
      <c r="R137" s="44">
        <f>IFERROR(__xludf.DUMMYFUNCTION("""COMPUTED_VALUE"""),45817)</f>
        <v/>
      </c>
      <c r="S137" s="44">
        <f>IFERROR(__xludf.DUMMYFUNCTION("""COMPUTED_VALUE"""),45876)</f>
        <v/>
      </c>
      <c r="T137" s="45">
        <f>IFERROR(__xludf.DUMMYFUNCTION("""COMPUTED_VALUE"""),"Birmingham, GB")</f>
        <v/>
      </c>
      <c r="U137" s="45" t="n"/>
      <c r="V137" s="45" t="n"/>
      <c r="W137" s="45" t="n"/>
      <c r="X137" s="45" t="n"/>
      <c r="Y137" s="46">
        <f>IFERROR(__xludf.DUMMYFUNCTION("""COMPUTED_VALUE"""),45826)</f>
        <v/>
      </c>
      <c r="Z137" s="46">
        <f>IFERROR(__xludf.DUMMYFUNCTION("""COMPUTED_VALUE"""),45850)</f>
        <v/>
      </c>
      <c r="AA137" s="46">
        <f>IFERROR(__xludf.DUMMYFUNCTION("""COMPUTED_VALUE"""),45857)</f>
        <v/>
      </c>
      <c r="AB137" s="45">
        <f>IFERROR(__xludf.DUMMYFUNCTION("""COMPUTED_VALUE"""),"10A Faraday Ave")</f>
        <v/>
      </c>
      <c r="AC137" s="45">
        <f>IFERROR(__xludf.DUMMYFUNCTION("""COMPUTED_VALUE"""),"Coleshill")</f>
        <v/>
      </c>
      <c r="AD137" s="45">
        <f>IFERROR(__xludf.DUMMYFUNCTION("""COMPUTED_VALUE"""),"OCEAN")</f>
        <v/>
      </c>
      <c r="AE137" s="45">
        <f>IFERROR(__xludf.DUMMYFUNCTION("""COMPUTED_VALUE"""),"N")</f>
        <v/>
      </c>
      <c r="AF137" s="45" t="n"/>
      <c r="AG137" s="49">
        <f>IFERROR(__xludf.DUMMYFUNCTION("IFNA(vlookup(H137,IMPORTRANGE(""1vUGwO1n0QQGx9kKbO0_M5gmuhXZ6-LaxQxgrmJnzgP0"",""'TP# look up'!A:C""),3,0),"""")"),"")</f>
        <v/>
      </c>
      <c r="AH137" s="49">
        <f>LEFT(J137,2)</f>
        <v/>
      </c>
    </row>
    <row r="138" hidden="1" ht="12.75" customHeight="1">
      <c r="A138" s="45">
        <f>IFERROR(__xludf.DUMMYFUNCTION("""COMPUTED_VALUE"""),"Colombo")</f>
        <v/>
      </c>
      <c r="B138" s="45" t="n"/>
      <c r="C138" s="45">
        <f>IFERROR(__xludf.DUMMYFUNCTION("""COMPUTED_VALUE"""),3231490)</f>
        <v/>
      </c>
      <c r="D138" s="45" t="n"/>
      <c r="E138" s="45">
        <f>IFERROR(__xludf.DUMMYFUNCTION("""COMPUTED_VALUE"""),"CFS")</f>
        <v/>
      </c>
      <c r="F138" s="45">
        <f>IFERROR(__xludf.DUMMYFUNCTION("""COMPUTED_VALUE"""),"Inqube Global (PVT) Ltd")</f>
        <v/>
      </c>
      <c r="G138" s="45">
        <f>IFERROR(__xludf.DUMMYFUNCTION("""COMPUTED_VALUE"""),"BRANDIX APPAREL SOLUTION LTD - GIRITALE")</f>
        <v/>
      </c>
      <c r="H138" s="43">
        <f>IFERROR(__xludf.DUMMYFUNCTION("""COMPUTED_VALUE"""),450933746192)</f>
        <v/>
      </c>
      <c r="I138" s="45">
        <f>IFERROR(__xludf.DUMMYFUNCTION("""COMPUTED_VALUE"""),19807099)</f>
        <v/>
      </c>
      <c r="J138" s="45">
        <f>IFERROR(__xludf.DUMMYFUNCTION("""COMPUTED_VALUE"""),"LM5AO4S")</f>
        <v/>
      </c>
      <c r="K138" s="45">
        <f>IFERROR(__xludf.DUMMYFUNCTION("""COMPUTED_VALUE"""),"LM5AO4S-019222")</f>
        <v/>
      </c>
      <c r="L138" s="45">
        <f>IFERROR(__xludf.DUMMYFUNCTION("""COMPUTED_VALUE"""),8)</f>
        <v/>
      </c>
      <c r="M138" s="45">
        <f>IFERROR(__xludf.DUMMYFUNCTION("""COMPUTED_VALUE"""),275)</f>
        <v/>
      </c>
      <c r="N138" s="45">
        <f>IFERROR(__xludf.DUMMYFUNCTION("""COMPUTED_VALUE"""),121.3)</f>
        <v/>
      </c>
      <c r="O138" s="45">
        <f>IFERROR(__xludf.DUMMYFUNCTION("""COMPUTED_VALUE"""),0.58)</f>
        <v/>
      </c>
      <c r="P138" s="45">
        <f>IFERROR(__xludf.DUMMYFUNCTION("""COMPUTED_VALUE"""),"Colombo, LK")</f>
        <v/>
      </c>
      <c r="Q138" s="45">
        <f>IFERROR(__xludf.DUMMYFUNCTION("""COMPUTED_VALUE"""),"Rotterdam, NL")</f>
        <v/>
      </c>
      <c r="R138" s="44">
        <f>IFERROR(__xludf.DUMMYFUNCTION("""COMPUTED_VALUE"""),45817)</f>
        <v/>
      </c>
      <c r="S138" s="44">
        <f>IFERROR(__xludf.DUMMYFUNCTION("""COMPUTED_VALUE"""),45871)</f>
        <v/>
      </c>
      <c r="T138" s="45">
        <f>IFERROR(__xludf.DUMMYFUNCTION("""COMPUTED_VALUE"""),"Rotterdam, NL")</f>
        <v/>
      </c>
      <c r="U138" s="45" t="n"/>
      <c r="V138" s="45" t="n"/>
      <c r="W138" s="45" t="n"/>
      <c r="X138" s="45" t="n"/>
      <c r="Y138" s="46">
        <f>IFERROR(__xludf.DUMMYFUNCTION("""COMPUTED_VALUE"""),45825)</f>
        <v/>
      </c>
      <c r="Z138" s="46">
        <f>IFERROR(__xludf.DUMMYFUNCTION("""COMPUTED_VALUE"""),45854)</f>
        <v/>
      </c>
      <c r="AA138" s="46">
        <f>IFERROR(__xludf.DUMMYFUNCTION("""COMPUTED_VALUE"""),45861)</f>
        <v/>
      </c>
      <c r="AB138" s="45">
        <f>IFERROR(__xludf.DUMMYFUNCTION("""COMPUTED_VALUE"""),"Conradweg 26")</f>
        <v/>
      </c>
      <c r="AC138" s="45" t="n"/>
      <c r="AD138" s="45">
        <f>IFERROR(__xludf.DUMMYFUNCTION("""COMPUTED_VALUE"""),"OCEAN")</f>
        <v/>
      </c>
      <c r="AE138" s="45">
        <f>IFERROR(__xludf.DUMMYFUNCTION("""COMPUTED_VALUE"""),"N")</f>
        <v/>
      </c>
      <c r="AF138" s="45" t="n"/>
      <c r="AG138" s="49">
        <f>IFERROR(__xludf.DUMMYFUNCTION("IFNA(vlookup(H138,IMPORTRANGE(""1vUGwO1n0QQGx9kKbO0_M5gmuhXZ6-LaxQxgrmJnzgP0"",""'TP# look up'!A:C""),3,0),"""")"),"")</f>
        <v/>
      </c>
      <c r="AH138" s="49">
        <f>LEFT(J138,2)</f>
        <v/>
      </c>
    </row>
    <row r="139" hidden="1" ht="12.75" customHeight="1">
      <c r="A139" s="45">
        <f>IFERROR(__xludf.DUMMYFUNCTION("""COMPUTED_VALUE"""),"Colombo")</f>
        <v/>
      </c>
      <c r="B139" s="45" t="n"/>
      <c r="C139" s="45">
        <f>IFERROR(__xludf.DUMMYFUNCTION("""COMPUTED_VALUE"""),3231490)</f>
        <v/>
      </c>
      <c r="D139" s="45" t="n"/>
      <c r="E139" s="45">
        <f>IFERROR(__xludf.DUMMYFUNCTION("""COMPUTED_VALUE"""),"CFS")</f>
        <v/>
      </c>
      <c r="F139" s="45">
        <f>IFERROR(__xludf.DUMMYFUNCTION("""COMPUTED_VALUE"""),"Inqube Global (PVT) Ltd")</f>
        <v/>
      </c>
      <c r="G139" s="45">
        <f>IFERROR(__xludf.DUMMYFUNCTION("""COMPUTED_VALUE"""),"BRANDIX APPAREL SOLUTION LTD - GIRITALE")</f>
        <v/>
      </c>
      <c r="H139" s="43">
        <f>IFERROR(__xludf.DUMMYFUNCTION("""COMPUTED_VALUE"""),450935129430)</f>
        <v/>
      </c>
      <c r="I139" s="45">
        <f>IFERROR(__xludf.DUMMYFUNCTION("""COMPUTED_VALUE"""),19807105)</f>
        <v/>
      </c>
      <c r="J139" s="45">
        <f>IFERROR(__xludf.DUMMYFUNCTION("""COMPUTED_VALUE"""),"LM5AO4S")</f>
        <v/>
      </c>
      <c r="K139" s="45">
        <f>IFERROR(__xludf.DUMMYFUNCTION("""COMPUTED_VALUE"""),"LM5AO4S-019222")</f>
        <v/>
      </c>
      <c r="L139" s="45">
        <f>IFERROR(__xludf.DUMMYFUNCTION("""COMPUTED_VALUE"""),6)</f>
        <v/>
      </c>
      <c r="M139" s="45">
        <f>IFERROR(__xludf.DUMMYFUNCTION("""COMPUTED_VALUE"""),146)</f>
        <v/>
      </c>
      <c r="N139" s="45">
        <f>IFERROR(__xludf.DUMMYFUNCTION("""COMPUTED_VALUE"""),65.9)</f>
        <v/>
      </c>
      <c r="O139" s="45">
        <f>IFERROR(__xludf.DUMMYFUNCTION("""COMPUTED_VALUE"""),0.375)</f>
        <v/>
      </c>
      <c r="P139" s="45">
        <f>IFERROR(__xludf.DUMMYFUNCTION("""COMPUTED_VALUE"""),"Colombo, LK")</f>
        <v/>
      </c>
      <c r="Q139" s="45">
        <f>IFERROR(__xludf.DUMMYFUNCTION("""COMPUTED_VALUE"""),"Rotterdam, NL")</f>
        <v/>
      </c>
      <c r="R139" s="44">
        <f>IFERROR(__xludf.DUMMYFUNCTION("""COMPUTED_VALUE"""),45817)</f>
        <v/>
      </c>
      <c r="S139" s="44">
        <f>IFERROR(__xludf.DUMMYFUNCTION("""COMPUTED_VALUE"""),45871)</f>
        <v/>
      </c>
      <c r="T139" s="45">
        <f>IFERROR(__xludf.DUMMYFUNCTION("""COMPUTED_VALUE"""),"Rotterdam, NL")</f>
        <v/>
      </c>
      <c r="U139" s="45" t="n"/>
      <c r="V139" s="45" t="n"/>
      <c r="W139" s="45" t="n"/>
      <c r="X139" s="45" t="n"/>
      <c r="Y139" s="46">
        <f>IFERROR(__xludf.DUMMYFUNCTION("""COMPUTED_VALUE"""),45825)</f>
        <v/>
      </c>
      <c r="Z139" s="46">
        <f>IFERROR(__xludf.DUMMYFUNCTION("""COMPUTED_VALUE"""),45854)</f>
        <v/>
      </c>
      <c r="AA139" s="46">
        <f>IFERROR(__xludf.DUMMYFUNCTION("""COMPUTED_VALUE"""),45861)</f>
        <v/>
      </c>
      <c r="AB139" s="45">
        <f>IFERROR(__xludf.DUMMYFUNCTION("""COMPUTED_VALUE"""),"Conradweg 26")</f>
        <v/>
      </c>
      <c r="AC139" s="45" t="n"/>
      <c r="AD139" s="45">
        <f>IFERROR(__xludf.DUMMYFUNCTION("""COMPUTED_VALUE"""),"OCEAN")</f>
        <v/>
      </c>
      <c r="AE139" s="45">
        <f>IFERROR(__xludf.DUMMYFUNCTION("""COMPUTED_VALUE"""),"N")</f>
        <v/>
      </c>
      <c r="AF139" s="45" t="n"/>
      <c r="AG139" s="49">
        <f>IFERROR(__xludf.DUMMYFUNCTION("IFNA(vlookup(H139,IMPORTRANGE(""1vUGwO1n0QQGx9kKbO0_M5gmuhXZ6-LaxQxgrmJnzgP0"",""'TP# look up'!A:C""),3,0),"""")"),"")</f>
        <v/>
      </c>
      <c r="AH139" s="49">
        <f>LEFT(J139,2)</f>
        <v/>
      </c>
    </row>
    <row r="140" hidden="1" ht="12.75" customHeight="1">
      <c r="A140" s="45">
        <f>IFERROR(__xludf.DUMMYFUNCTION("""COMPUTED_VALUE"""),"Colombo")</f>
        <v/>
      </c>
      <c r="B140" s="45" t="n"/>
      <c r="C140" s="45">
        <f>IFERROR(__xludf.DUMMYFUNCTION("""COMPUTED_VALUE"""),3231490)</f>
        <v/>
      </c>
      <c r="D140" s="45" t="n"/>
      <c r="E140" s="45">
        <f>IFERROR(__xludf.DUMMYFUNCTION("""COMPUTED_VALUE"""),"CFS")</f>
        <v/>
      </c>
      <c r="F140" s="45">
        <f>IFERROR(__xludf.DUMMYFUNCTION("""COMPUTED_VALUE"""),"Bodyline Trading (Private) Limited")</f>
        <v/>
      </c>
      <c r="G140" s="45">
        <f>IFERROR(__xludf.DUMMYFUNCTION("""COMPUTED_VALUE"""),"Bodyline (Private) Limited")</f>
        <v/>
      </c>
      <c r="H140" s="43">
        <f>IFERROR(__xludf.DUMMYFUNCTION("""COMPUTED_VALUE"""),451166276038)</f>
        <v/>
      </c>
      <c r="I140" s="45">
        <f>IFERROR(__xludf.DUMMYFUNCTION("""COMPUTED_VALUE"""),19828427)</f>
        <v/>
      </c>
      <c r="J140" s="45">
        <f>IFERROR(__xludf.DUMMYFUNCTION("""COMPUTED_VALUE"""),"LW2DPOS")</f>
        <v/>
      </c>
      <c r="K140" s="45">
        <f>IFERROR(__xludf.DUMMYFUNCTION("""COMPUTED_VALUE"""),"LW2DPOS-0001")</f>
        <v/>
      </c>
      <c r="L140" s="45">
        <f>IFERROR(__xludf.DUMMYFUNCTION("""COMPUTED_VALUE"""),2)</f>
        <v/>
      </c>
      <c r="M140" s="45">
        <f>IFERROR(__xludf.DUMMYFUNCTION("""COMPUTED_VALUE"""),57)</f>
        <v/>
      </c>
      <c r="N140" s="45">
        <f>IFERROR(__xludf.DUMMYFUNCTION("""COMPUTED_VALUE"""),8.856)</f>
        <v/>
      </c>
      <c r="O140" s="45">
        <f>IFERROR(__xludf.DUMMYFUNCTION("""COMPUTED_VALUE"""),0.124)</f>
        <v/>
      </c>
      <c r="P140" s="45">
        <f>IFERROR(__xludf.DUMMYFUNCTION("""COMPUTED_VALUE"""),"Colombo, LK")</f>
        <v/>
      </c>
      <c r="Q140" s="45">
        <f>IFERROR(__xludf.DUMMYFUNCTION("""COMPUTED_VALUE"""),"Rotterdam, NL")</f>
        <v/>
      </c>
      <c r="R140" s="44">
        <f>IFERROR(__xludf.DUMMYFUNCTION("""COMPUTED_VALUE"""),45817)</f>
        <v/>
      </c>
      <c r="S140" s="44">
        <f>IFERROR(__xludf.DUMMYFUNCTION("""COMPUTED_VALUE"""),45871)</f>
        <v/>
      </c>
      <c r="T140" s="45">
        <f>IFERROR(__xludf.DUMMYFUNCTION("""COMPUTED_VALUE"""),"Rotterdam, NL")</f>
        <v/>
      </c>
      <c r="U140" s="45" t="n"/>
      <c r="V140" s="45" t="n"/>
      <c r="W140" s="45" t="n"/>
      <c r="X140" s="45" t="n"/>
      <c r="Y140" s="46">
        <f>IFERROR(__xludf.DUMMYFUNCTION("""COMPUTED_VALUE"""),45825)</f>
        <v/>
      </c>
      <c r="Z140" s="46">
        <f>IFERROR(__xludf.DUMMYFUNCTION("""COMPUTED_VALUE"""),45854)</f>
        <v/>
      </c>
      <c r="AA140" s="46">
        <f>IFERROR(__xludf.DUMMYFUNCTION("""COMPUTED_VALUE"""),45861)</f>
        <v/>
      </c>
      <c r="AB140" s="45">
        <f>IFERROR(__xludf.DUMMYFUNCTION("""COMPUTED_VALUE"""),"Conradweg 26")</f>
        <v/>
      </c>
      <c r="AC140" s="45" t="n"/>
      <c r="AD140" s="45">
        <f>IFERROR(__xludf.DUMMYFUNCTION("""COMPUTED_VALUE"""),"OCEAN")</f>
        <v/>
      </c>
      <c r="AE140" s="45">
        <f>IFERROR(__xludf.DUMMYFUNCTION("""COMPUTED_VALUE"""),"N")</f>
        <v/>
      </c>
      <c r="AF140" s="45" t="n"/>
      <c r="AG140" s="49">
        <f>IFERROR(__xludf.DUMMYFUNCTION("IFNA(vlookup(H140,IMPORTRANGE(""1vUGwO1n0QQGx9kKbO0_M5gmuhXZ6-LaxQxgrmJnzgP0"",""'TP# look up'!A:C""),3,0),"""")"),"")</f>
        <v/>
      </c>
      <c r="AH140" s="49">
        <f>LEFT(J140,2)</f>
        <v/>
      </c>
    </row>
    <row r="141" hidden="1" ht="12.75" customHeight="1">
      <c r="A141" s="45">
        <f>IFERROR(__xludf.DUMMYFUNCTION("""COMPUTED_VALUE"""),"Colombo")</f>
        <v/>
      </c>
      <c r="B141" s="45" t="n"/>
      <c r="C141" s="45">
        <f>IFERROR(__xludf.DUMMYFUNCTION("""COMPUTED_VALUE"""),3231490)</f>
        <v/>
      </c>
      <c r="D141" s="45" t="n"/>
      <c r="E141" s="45">
        <f>IFERROR(__xludf.DUMMYFUNCTION("""COMPUTED_VALUE"""),"CFS")</f>
        <v/>
      </c>
      <c r="F141" s="45">
        <f>IFERROR(__xludf.DUMMYFUNCTION("""COMPUTED_VALUE"""),"Bodyline Trading (Private) Limited")</f>
        <v/>
      </c>
      <c r="G141" s="45">
        <f>IFERROR(__xludf.DUMMYFUNCTION("""COMPUTED_VALUE"""),"Bodyline (Private) Limited")</f>
        <v/>
      </c>
      <c r="H141" s="43">
        <f>IFERROR(__xludf.DUMMYFUNCTION("""COMPUTED_VALUE"""),451166317800)</f>
        <v/>
      </c>
      <c r="I141" s="45">
        <f>IFERROR(__xludf.DUMMYFUNCTION("""COMPUTED_VALUE"""),19828429)</f>
        <v/>
      </c>
      <c r="J141" s="45">
        <f>IFERROR(__xludf.DUMMYFUNCTION("""COMPUTED_VALUE"""),"LW2DPOS")</f>
        <v/>
      </c>
      <c r="K141" s="45">
        <f>IFERROR(__xludf.DUMMYFUNCTION("""COMPUTED_VALUE"""),"LW2DPOS-0001")</f>
        <v/>
      </c>
      <c r="L141" s="45">
        <f>IFERROR(__xludf.DUMMYFUNCTION("""COMPUTED_VALUE"""),4)</f>
        <v/>
      </c>
      <c r="M141" s="45">
        <f>IFERROR(__xludf.DUMMYFUNCTION("""COMPUTED_VALUE"""),192)</f>
        <v/>
      </c>
      <c r="N141" s="45">
        <f>IFERROR(__xludf.DUMMYFUNCTION("""COMPUTED_VALUE"""),28.287)</f>
        <v/>
      </c>
      <c r="O141" s="45">
        <f>IFERROR(__xludf.DUMMYFUNCTION("""COMPUTED_VALUE"""),0.322)</f>
        <v/>
      </c>
      <c r="P141" s="45">
        <f>IFERROR(__xludf.DUMMYFUNCTION("""COMPUTED_VALUE"""),"Colombo, LK")</f>
        <v/>
      </c>
      <c r="Q141" s="45">
        <f>IFERROR(__xludf.DUMMYFUNCTION("""COMPUTED_VALUE"""),"Rotterdam, NL")</f>
        <v/>
      </c>
      <c r="R141" s="44">
        <f>IFERROR(__xludf.DUMMYFUNCTION("""COMPUTED_VALUE"""),45817)</f>
        <v/>
      </c>
      <c r="S141" s="44">
        <f>IFERROR(__xludf.DUMMYFUNCTION("""COMPUTED_VALUE"""),45871)</f>
        <v/>
      </c>
      <c r="T141" s="45">
        <f>IFERROR(__xludf.DUMMYFUNCTION("""COMPUTED_VALUE"""),"Rotterdam, NL")</f>
        <v/>
      </c>
      <c r="U141" s="45" t="n"/>
      <c r="V141" s="45" t="n"/>
      <c r="W141" s="45" t="n"/>
      <c r="X141" s="45" t="n"/>
      <c r="Y141" s="46">
        <f>IFERROR(__xludf.DUMMYFUNCTION("""COMPUTED_VALUE"""),45825)</f>
        <v/>
      </c>
      <c r="Z141" s="46">
        <f>IFERROR(__xludf.DUMMYFUNCTION("""COMPUTED_VALUE"""),45854)</f>
        <v/>
      </c>
      <c r="AA141" s="46">
        <f>IFERROR(__xludf.DUMMYFUNCTION("""COMPUTED_VALUE"""),45861)</f>
        <v/>
      </c>
      <c r="AB141" s="45">
        <f>IFERROR(__xludf.DUMMYFUNCTION("""COMPUTED_VALUE"""),"Conradweg 26")</f>
        <v/>
      </c>
      <c r="AC141" s="45" t="n"/>
      <c r="AD141" s="45">
        <f>IFERROR(__xludf.DUMMYFUNCTION("""COMPUTED_VALUE"""),"OCEAN")</f>
        <v/>
      </c>
      <c r="AE141" s="45">
        <f>IFERROR(__xludf.DUMMYFUNCTION("""COMPUTED_VALUE"""),"N")</f>
        <v/>
      </c>
      <c r="AF141" s="45" t="n"/>
      <c r="AG141" s="49">
        <f>IFERROR(__xludf.DUMMYFUNCTION("IFNA(vlookup(H141,IMPORTRANGE(""1vUGwO1n0QQGx9kKbO0_M5gmuhXZ6-LaxQxgrmJnzgP0"",""'TP# look up'!A:C""),3,0),"""")"),"")</f>
        <v/>
      </c>
      <c r="AH141" s="49">
        <f>LEFT(J141,2)</f>
        <v/>
      </c>
    </row>
    <row r="142" hidden="1" ht="12.75" customHeight="1">
      <c r="A142" s="45">
        <f>IFERROR(__xludf.DUMMYFUNCTION("""COMPUTED_VALUE"""),"Colombo")</f>
        <v/>
      </c>
      <c r="B142" s="45" t="n"/>
      <c r="C142" s="45">
        <f>IFERROR(__xludf.DUMMYFUNCTION("""COMPUTED_VALUE"""),3231490)</f>
        <v/>
      </c>
      <c r="D142" s="45" t="n"/>
      <c r="E142" s="45">
        <f>IFERROR(__xludf.DUMMYFUNCTION("""COMPUTED_VALUE"""),"CFS")</f>
        <v/>
      </c>
      <c r="F142" s="45">
        <f>IFERROR(__xludf.DUMMYFUNCTION("""COMPUTED_VALUE"""),"Inqube Global (PVT) Ltd")</f>
        <v/>
      </c>
      <c r="G142" s="45">
        <f>IFERROR(__xludf.DUMMYFUNCTION("""COMPUTED_VALUE"""),"Quantum Clothing Lanka (Pvt) Ltd")</f>
        <v/>
      </c>
      <c r="H142" s="43">
        <f>IFERROR(__xludf.DUMMYFUNCTION("""COMPUTED_VALUE"""),451351259163)</f>
        <v/>
      </c>
      <c r="I142" s="45">
        <f>IFERROR(__xludf.DUMMYFUNCTION("""COMPUTED_VALUE"""),19727215)</f>
        <v/>
      </c>
      <c r="J142" s="45">
        <f>IFERROR(__xludf.DUMMYFUNCTION("""COMPUTED_VALUE"""),"LW2E01S")</f>
        <v/>
      </c>
      <c r="K142" s="45">
        <f>IFERROR(__xludf.DUMMYFUNCTION("""COMPUTED_VALUE"""),"LW2E01S-031382")</f>
        <v/>
      </c>
      <c r="L142" s="45">
        <f>IFERROR(__xludf.DUMMYFUNCTION("""COMPUTED_VALUE"""),19)</f>
        <v/>
      </c>
      <c r="M142" s="45">
        <f>IFERROR(__xludf.DUMMYFUNCTION("""COMPUTED_VALUE"""),181)</f>
        <v/>
      </c>
      <c r="N142" s="45">
        <f>IFERROR(__xludf.DUMMYFUNCTION("""COMPUTED_VALUE"""),65.689)</f>
        <v/>
      </c>
      <c r="O142" s="45">
        <f>IFERROR(__xludf.DUMMYFUNCTION("""COMPUTED_VALUE"""),1.596)</f>
        <v/>
      </c>
      <c r="P142" s="45">
        <f>IFERROR(__xludf.DUMMYFUNCTION("""COMPUTED_VALUE"""),"Colombo, LK")</f>
        <v/>
      </c>
      <c r="Q142" s="45">
        <f>IFERROR(__xludf.DUMMYFUNCTION("""COMPUTED_VALUE"""),"Rotterdam, NL")</f>
        <v/>
      </c>
      <c r="R142" s="44">
        <f>IFERROR(__xludf.DUMMYFUNCTION("""COMPUTED_VALUE"""),45817)</f>
        <v/>
      </c>
      <c r="S142" s="44">
        <f>IFERROR(__xludf.DUMMYFUNCTION("""COMPUTED_VALUE"""),45871)</f>
        <v/>
      </c>
      <c r="T142" s="45">
        <f>IFERROR(__xludf.DUMMYFUNCTION("""COMPUTED_VALUE"""),"Rotterdam, NL")</f>
        <v/>
      </c>
      <c r="U142" s="45" t="n"/>
      <c r="V142" s="45" t="n"/>
      <c r="W142" s="45" t="n"/>
      <c r="X142" s="45" t="n"/>
      <c r="Y142" s="46">
        <f>IFERROR(__xludf.DUMMYFUNCTION("""COMPUTED_VALUE"""),45820)</f>
        <v/>
      </c>
      <c r="Z142" s="46">
        <f>IFERROR(__xludf.DUMMYFUNCTION("""COMPUTED_VALUE"""),45854)</f>
        <v/>
      </c>
      <c r="AA142" s="46">
        <f>IFERROR(__xludf.DUMMYFUNCTION("""COMPUTED_VALUE"""),45861)</f>
        <v/>
      </c>
      <c r="AB142" s="45">
        <f>IFERROR(__xludf.DUMMYFUNCTION("""COMPUTED_VALUE"""),"Conradweg 26")</f>
        <v/>
      </c>
      <c r="AC142" s="45" t="n"/>
      <c r="AD142" s="45">
        <f>IFERROR(__xludf.DUMMYFUNCTION("""COMPUTED_VALUE"""),"OCEAN")</f>
        <v/>
      </c>
      <c r="AE142" s="45">
        <f>IFERROR(__xludf.DUMMYFUNCTION("""COMPUTED_VALUE"""),"N")</f>
        <v/>
      </c>
      <c r="AF142" s="45">
        <f>IFERROR(__xludf.DUMMYFUNCTION("""COMPUTED_VALUE"""),"Qty changed from 191 to 181.0, Cartons changed from 20 to 19.0, Volume changed from 1.68 to 1.596, Gross Volume changed from 1.68 to 1.596, Weight changed from 69.199 to 65.689, Gross Weight changed from 69.199 to 65.689, Total PackUnits changed from 20 t"&amp;"o 19.0")</f>
        <v/>
      </c>
      <c r="AG142" s="49">
        <f>IFERROR(__xludf.DUMMYFUNCTION("IFNA(vlookup(H142,IMPORTRANGE(""1vUGwO1n0QQGx9kKbO0_M5gmuhXZ6-LaxQxgrmJnzgP0"",""'TP# look up'!A:C""),3,0),"""")"),"")</f>
        <v/>
      </c>
      <c r="AH142" s="49">
        <f>LEFT(J142,2)</f>
        <v/>
      </c>
    </row>
    <row r="143" hidden="1" ht="12.75" customHeight="1">
      <c r="A143" s="45">
        <f>IFERROR(__xludf.DUMMYFUNCTION("""COMPUTED_VALUE"""),"Colombo")</f>
        <v/>
      </c>
      <c r="B143" s="45" t="n"/>
      <c r="C143" s="45">
        <f>IFERROR(__xludf.DUMMYFUNCTION("""COMPUTED_VALUE"""),3231490)</f>
        <v/>
      </c>
      <c r="D143" s="45" t="n"/>
      <c r="E143" s="45">
        <f>IFERROR(__xludf.DUMMYFUNCTION("""COMPUTED_VALUE"""),"CFS")</f>
        <v/>
      </c>
      <c r="F143" s="45">
        <f>IFERROR(__xludf.DUMMYFUNCTION("""COMPUTED_VALUE"""),"Inqube Global (PVT) Ltd")</f>
        <v/>
      </c>
      <c r="G143" s="45">
        <f>IFERROR(__xludf.DUMMYFUNCTION("""COMPUTED_VALUE"""),"Quantum Clothing Lanka (Pvt) Ltd")</f>
        <v/>
      </c>
      <c r="H143" s="43">
        <f>IFERROR(__xludf.DUMMYFUNCTION("""COMPUTED_VALUE"""),451351770048)</f>
        <v/>
      </c>
      <c r="I143" s="45">
        <f>IFERROR(__xludf.DUMMYFUNCTION("""COMPUTED_VALUE"""),19727216)</f>
        <v/>
      </c>
      <c r="J143" s="45">
        <f>IFERROR(__xludf.DUMMYFUNCTION("""COMPUTED_VALUE"""),"LW2E01S")</f>
        <v/>
      </c>
      <c r="K143" s="45">
        <f>IFERROR(__xludf.DUMMYFUNCTION("""COMPUTED_VALUE"""),"LW2E01S-031382")</f>
        <v/>
      </c>
      <c r="L143" s="45">
        <f>IFERROR(__xludf.DUMMYFUNCTION("""COMPUTED_VALUE"""),21)</f>
        <v/>
      </c>
      <c r="M143" s="45">
        <f>IFERROR(__xludf.DUMMYFUNCTION("""COMPUTED_VALUE"""),203)</f>
        <v/>
      </c>
      <c r="N143" s="45">
        <f>IFERROR(__xludf.DUMMYFUNCTION("""COMPUTED_VALUE"""),73.037)</f>
        <v/>
      </c>
      <c r="O143" s="45">
        <f>IFERROR(__xludf.DUMMYFUNCTION("""COMPUTED_VALUE"""),1.764)</f>
        <v/>
      </c>
      <c r="P143" s="45">
        <f>IFERROR(__xludf.DUMMYFUNCTION("""COMPUTED_VALUE"""),"Colombo, LK")</f>
        <v/>
      </c>
      <c r="Q143" s="45">
        <f>IFERROR(__xludf.DUMMYFUNCTION("""COMPUTED_VALUE"""),"Rotterdam, NL")</f>
        <v/>
      </c>
      <c r="R143" s="44">
        <f>IFERROR(__xludf.DUMMYFUNCTION("""COMPUTED_VALUE"""),45817)</f>
        <v/>
      </c>
      <c r="S143" s="44">
        <f>IFERROR(__xludf.DUMMYFUNCTION("""COMPUTED_VALUE"""),45871)</f>
        <v/>
      </c>
      <c r="T143" s="45">
        <f>IFERROR(__xludf.DUMMYFUNCTION("""COMPUTED_VALUE"""),"Rotterdam, NL")</f>
        <v/>
      </c>
      <c r="U143" s="45" t="n"/>
      <c r="V143" s="45" t="n"/>
      <c r="W143" s="45" t="n"/>
      <c r="X143" s="45" t="n"/>
      <c r="Y143" s="46">
        <f>IFERROR(__xludf.DUMMYFUNCTION("""COMPUTED_VALUE"""),45825)</f>
        <v/>
      </c>
      <c r="Z143" s="46">
        <f>IFERROR(__xludf.DUMMYFUNCTION("""COMPUTED_VALUE"""),45854)</f>
        <v/>
      </c>
      <c r="AA143" s="46">
        <f>IFERROR(__xludf.DUMMYFUNCTION("""COMPUTED_VALUE"""),45861)</f>
        <v/>
      </c>
      <c r="AB143" s="45">
        <f>IFERROR(__xludf.DUMMYFUNCTION("""COMPUTED_VALUE"""),"Conradweg 26")</f>
        <v/>
      </c>
      <c r="AC143" s="45" t="n"/>
      <c r="AD143" s="45">
        <f>IFERROR(__xludf.DUMMYFUNCTION("""COMPUTED_VALUE"""),"OCEAN")</f>
        <v/>
      </c>
      <c r="AE143" s="45">
        <f>IFERROR(__xludf.DUMMYFUNCTION("""COMPUTED_VALUE"""),"N")</f>
        <v/>
      </c>
      <c r="AF143" s="45" t="n"/>
      <c r="AG143" s="49">
        <f>IFERROR(__xludf.DUMMYFUNCTION("IFNA(vlookup(H143,IMPORTRANGE(""1vUGwO1n0QQGx9kKbO0_M5gmuhXZ6-LaxQxgrmJnzgP0"",""'TP# look up'!A:C""),3,0),"""")"),"")</f>
        <v/>
      </c>
      <c r="AH143" s="49">
        <f>LEFT(J143,2)</f>
        <v/>
      </c>
    </row>
    <row r="144" hidden="1" ht="12.75" customHeight="1">
      <c r="A144" s="45">
        <f>IFERROR(__xludf.DUMMYFUNCTION("""COMPUTED_VALUE"""),"Colombo")</f>
        <v/>
      </c>
      <c r="B144" s="45" t="n"/>
      <c r="C144" s="45">
        <f>IFERROR(__xludf.DUMMYFUNCTION("""COMPUTED_VALUE"""),3231490)</f>
        <v/>
      </c>
      <c r="D144" s="45" t="n"/>
      <c r="E144" s="45">
        <f>IFERROR(__xludf.DUMMYFUNCTION("""COMPUTED_VALUE"""),"CFS")</f>
        <v/>
      </c>
      <c r="F144" s="45">
        <f>IFERROR(__xludf.DUMMYFUNCTION("""COMPUTED_VALUE"""),"Inqube Global (PVT) Ltd")</f>
        <v/>
      </c>
      <c r="G144" s="45">
        <f>IFERROR(__xludf.DUMMYFUNCTION("""COMPUTED_VALUE"""),"Quantum Clothing Lanka (Pvt) Ltd")</f>
        <v/>
      </c>
      <c r="H144" s="43">
        <f>IFERROR(__xludf.DUMMYFUNCTION("""COMPUTED_VALUE"""),451370208350)</f>
        <v/>
      </c>
      <c r="I144" s="45">
        <f>IFERROR(__xludf.DUMMYFUNCTION("""COMPUTED_VALUE"""),19757216)</f>
        <v/>
      </c>
      <c r="J144" s="45">
        <f>IFERROR(__xludf.DUMMYFUNCTION("""COMPUTED_VALUE"""),"LW2E01S")</f>
        <v/>
      </c>
      <c r="K144" s="45">
        <f>IFERROR(__xludf.DUMMYFUNCTION("""COMPUTED_VALUE"""),"LW2E01S-031382")</f>
        <v/>
      </c>
      <c r="L144" s="45">
        <f>IFERROR(__xludf.DUMMYFUNCTION("""COMPUTED_VALUE"""),6)</f>
        <v/>
      </c>
      <c r="M144" s="45">
        <f>IFERROR(__xludf.DUMMYFUNCTION("""COMPUTED_VALUE"""),48)</f>
        <v/>
      </c>
      <c r="N144" s="45">
        <f>IFERROR(__xludf.DUMMYFUNCTION("""COMPUTED_VALUE"""),18.2)</f>
        <v/>
      </c>
      <c r="O144" s="45">
        <f>IFERROR(__xludf.DUMMYFUNCTION("""COMPUTED_VALUE"""),0.462)</f>
        <v/>
      </c>
      <c r="P144" s="45">
        <f>IFERROR(__xludf.DUMMYFUNCTION("""COMPUTED_VALUE"""),"Colombo, LK")</f>
        <v/>
      </c>
      <c r="Q144" s="45">
        <f>IFERROR(__xludf.DUMMYFUNCTION("""COMPUTED_VALUE"""),"Rotterdam, NL")</f>
        <v/>
      </c>
      <c r="R144" s="44">
        <f>IFERROR(__xludf.DUMMYFUNCTION("""COMPUTED_VALUE"""),45817)</f>
        <v/>
      </c>
      <c r="S144" s="44">
        <f>IFERROR(__xludf.DUMMYFUNCTION("""COMPUTED_VALUE"""),45871)</f>
        <v/>
      </c>
      <c r="T144" s="45">
        <f>IFERROR(__xludf.DUMMYFUNCTION("""COMPUTED_VALUE"""),"Rotterdam, NL")</f>
        <v/>
      </c>
      <c r="U144" s="45" t="n"/>
      <c r="V144" s="45" t="n"/>
      <c r="W144" s="45" t="n"/>
      <c r="X144" s="45" t="n"/>
      <c r="Y144" s="46">
        <f>IFERROR(__xludf.DUMMYFUNCTION("""COMPUTED_VALUE"""),45825)</f>
        <v/>
      </c>
      <c r="Z144" s="46">
        <f>IFERROR(__xludf.DUMMYFUNCTION("""COMPUTED_VALUE"""),45854)</f>
        <v/>
      </c>
      <c r="AA144" s="46">
        <f>IFERROR(__xludf.DUMMYFUNCTION("""COMPUTED_VALUE"""),45861)</f>
        <v/>
      </c>
      <c r="AB144" s="45">
        <f>IFERROR(__xludf.DUMMYFUNCTION("""COMPUTED_VALUE"""),"Conradweg 26")</f>
        <v/>
      </c>
      <c r="AC144" s="45" t="n"/>
      <c r="AD144" s="45">
        <f>IFERROR(__xludf.DUMMYFUNCTION("""COMPUTED_VALUE"""),"OCEAN")</f>
        <v/>
      </c>
      <c r="AE144" s="45">
        <f>IFERROR(__xludf.DUMMYFUNCTION("""COMPUTED_VALUE"""),"N")</f>
        <v/>
      </c>
      <c r="AF144" s="45" t="n"/>
      <c r="AG144" s="49">
        <f>IFERROR(__xludf.DUMMYFUNCTION("IFNA(vlookup(H144,IMPORTRANGE(""1vUGwO1n0QQGx9kKbO0_M5gmuhXZ6-LaxQxgrmJnzgP0"",""'TP# look up'!A:C""),3,0),"""")"),"")</f>
        <v/>
      </c>
      <c r="AH144" s="49">
        <f>LEFT(J144,2)</f>
        <v/>
      </c>
    </row>
    <row r="145" hidden="1" ht="12.75" customHeight="1">
      <c r="A145" s="45">
        <f>IFERROR(__xludf.DUMMYFUNCTION("""COMPUTED_VALUE"""),"Colombo")</f>
        <v/>
      </c>
      <c r="B145" s="45" t="n"/>
      <c r="C145" s="45">
        <f>IFERROR(__xludf.DUMMYFUNCTION("""COMPUTED_VALUE"""),3231490)</f>
        <v/>
      </c>
      <c r="D145" s="45" t="n"/>
      <c r="E145" s="45">
        <f>IFERROR(__xludf.DUMMYFUNCTION("""COMPUTED_VALUE"""),"CFS")</f>
        <v/>
      </c>
      <c r="F145" s="45">
        <f>IFERROR(__xludf.DUMMYFUNCTION("""COMPUTED_VALUE"""),"Inqube Global (PVT) Ltd")</f>
        <v/>
      </c>
      <c r="G145" s="45">
        <f>IFERROR(__xludf.DUMMYFUNCTION("""COMPUTED_VALUE"""),"Quantum Clothing Lanka (Pvt) Ltd")</f>
        <v/>
      </c>
      <c r="H145" s="43">
        <f>IFERROR(__xludf.DUMMYFUNCTION("""COMPUTED_VALUE"""),451374089824)</f>
        <v/>
      </c>
      <c r="I145" s="45">
        <f>IFERROR(__xludf.DUMMYFUNCTION("""COMPUTED_VALUE"""),19855323)</f>
        <v/>
      </c>
      <c r="J145" s="45">
        <f>IFERROR(__xludf.DUMMYFUNCTION("""COMPUTED_VALUE"""),"LW2EDNS")</f>
        <v/>
      </c>
      <c r="K145" s="45">
        <f>IFERROR(__xludf.DUMMYFUNCTION("""COMPUTED_VALUE"""),"LW2EDNS-0001")</f>
        <v/>
      </c>
      <c r="L145" s="45">
        <f>IFERROR(__xludf.DUMMYFUNCTION("""COMPUTED_VALUE"""),1)</f>
        <v/>
      </c>
      <c r="M145" s="45">
        <f>IFERROR(__xludf.DUMMYFUNCTION("""COMPUTED_VALUE"""),49)</f>
        <v/>
      </c>
      <c r="N145" s="45">
        <f>IFERROR(__xludf.DUMMYFUNCTION("""COMPUTED_VALUE"""),4.51)</f>
        <v/>
      </c>
      <c r="O145" s="45">
        <f>IFERROR(__xludf.DUMMYFUNCTION("""COMPUTED_VALUE"""),0.04)</f>
        <v/>
      </c>
      <c r="P145" s="45">
        <f>IFERROR(__xludf.DUMMYFUNCTION("""COMPUTED_VALUE"""),"Colombo, LK")</f>
        <v/>
      </c>
      <c r="Q145" s="45">
        <f>IFERROR(__xludf.DUMMYFUNCTION("""COMPUTED_VALUE"""),"Rotterdam, NL")</f>
        <v/>
      </c>
      <c r="R145" s="44">
        <f>IFERROR(__xludf.DUMMYFUNCTION("""COMPUTED_VALUE"""),45817)</f>
        <v/>
      </c>
      <c r="S145" s="44">
        <f>IFERROR(__xludf.DUMMYFUNCTION("""COMPUTED_VALUE"""),45871)</f>
        <v/>
      </c>
      <c r="T145" s="45">
        <f>IFERROR(__xludf.DUMMYFUNCTION("""COMPUTED_VALUE"""),"Rotterdam, NL")</f>
        <v/>
      </c>
      <c r="U145" s="45" t="n"/>
      <c r="V145" s="45" t="n"/>
      <c r="W145" s="45" t="n"/>
      <c r="X145" s="45" t="n"/>
      <c r="Y145" s="46">
        <f>IFERROR(__xludf.DUMMYFUNCTION("""COMPUTED_VALUE"""),45825)</f>
        <v/>
      </c>
      <c r="Z145" s="46">
        <f>IFERROR(__xludf.DUMMYFUNCTION("""COMPUTED_VALUE"""),45854)</f>
        <v/>
      </c>
      <c r="AA145" s="46">
        <f>IFERROR(__xludf.DUMMYFUNCTION("""COMPUTED_VALUE"""),45861)</f>
        <v/>
      </c>
      <c r="AB145" s="45">
        <f>IFERROR(__xludf.DUMMYFUNCTION("""COMPUTED_VALUE"""),"Conradweg 26")</f>
        <v/>
      </c>
      <c r="AC145" s="45" t="n"/>
      <c r="AD145" s="45">
        <f>IFERROR(__xludf.DUMMYFUNCTION("""COMPUTED_VALUE"""),"OCEAN")</f>
        <v/>
      </c>
      <c r="AE145" s="45">
        <f>IFERROR(__xludf.DUMMYFUNCTION("""COMPUTED_VALUE"""),"N")</f>
        <v/>
      </c>
      <c r="AF145" s="45" t="n"/>
      <c r="AG145" s="49">
        <f>IFERROR(__xludf.DUMMYFUNCTION("IFNA(vlookup(H145,IMPORTRANGE(""1vUGwO1n0QQGx9kKbO0_M5gmuhXZ6-LaxQxgrmJnzgP0"",""'TP# look up'!A:C""),3,0),"""")"),"")</f>
        <v/>
      </c>
      <c r="AH145" s="49">
        <f>LEFT(J145,2)</f>
        <v/>
      </c>
    </row>
    <row r="146" hidden="1" ht="12.75" customHeight="1">
      <c r="A146" s="45">
        <f>IFERROR(__xludf.DUMMYFUNCTION("""COMPUTED_VALUE"""),"Colombo")</f>
        <v/>
      </c>
      <c r="B146" s="45" t="n"/>
      <c r="C146" s="45">
        <f>IFERROR(__xludf.DUMMYFUNCTION("""COMPUTED_VALUE"""),3231490)</f>
        <v/>
      </c>
      <c r="D146" s="45" t="n"/>
      <c r="E146" s="45">
        <f>IFERROR(__xludf.DUMMYFUNCTION("""COMPUTED_VALUE"""),"CFS")</f>
        <v/>
      </c>
      <c r="F146" s="45">
        <f>IFERROR(__xludf.DUMMYFUNCTION("""COMPUTED_VALUE"""),"Inqube Global (PVT) Ltd")</f>
        <v/>
      </c>
      <c r="G146" s="45">
        <f>IFERROR(__xludf.DUMMYFUNCTION("""COMPUTED_VALUE"""),"Quantum Clothing Lanka (Pvt) Ltd")</f>
        <v/>
      </c>
      <c r="H146" s="43">
        <f>IFERROR(__xludf.DUMMYFUNCTION("""COMPUTED_VALUE"""),451374461224)</f>
        <v/>
      </c>
      <c r="I146" s="45">
        <f>IFERROR(__xludf.DUMMYFUNCTION("""COMPUTED_VALUE"""),19855321)</f>
        <v/>
      </c>
      <c r="J146" s="45">
        <f>IFERROR(__xludf.DUMMYFUNCTION("""COMPUTED_VALUE"""),"LW2EDNS")</f>
        <v/>
      </c>
      <c r="K146" s="45">
        <f>IFERROR(__xludf.DUMMYFUNCTION("""COMPUTED_VALUE"""),"LW2EDNS-0001")</f>
        <v/>
      </c>
      <c r="L146" s="45">
        <f>IFERROR(__xludf.DUMMYFUNCTION("""COMPUTED_VALUE"""),1)</f>
        <v/>
      </c>
      <c r="M146" s="45">
        <f>IFERROR(__xludf.DUMMYFUNCTION("""COMPUTED_VALUE"""),176)</f>
        <v/>
      </c>
      <c r="N146" s="45">
        <f>IFERROR(__xludf.DUMMYFUNCTION("""COMPUTED_VALUE"""),14.535)</f>
        <v/>
      </c>
      <c r="O146" s="45">
        <f>IFERROR(__xludf.DUMMYFUNCTION("""COMPUTED_VALUE"""),0.084)</f>
        <v/>
      </c>
      <c r="P146" s="45">
        <f>IFERROR(__xludf.DUMMYFUNCTION("""COMPUTED_VALUE"""),"Colombo, LK")</f>
        <v/>
      </c>
      <c r="Q146" s="45">
        <f>IFERROR(__xludf.DUMMYFUNCTION("""COMPUTED_VALUE"""),"Rotterdam, NL")</f>
        <v/>
      </c>
      <c r="R146" s="44">
        <f>IFERROR(__xludf.DUMMYFUNCTION("""COMPUTED_VALUE"""),45817)</f>
        <v/>
      </c>
      <c r="S146" s="44">
        <f>IFERROR(__xludf.DUMMYFUNCTION("""COMPUTED_VALUE"""),45871)</f>
        <v/>
      </c>
      <c r="T146" s="45">
        <f>IFERROR(__xludf.DUMMYFUNCTION("""COMPUTED_VALUE"""),"Rotterdam, NL")</f>
        <v/>
      </c>
      <c r="U146" s="45" t="n"/>
      <c r="V146" s="45" t="n"/>
      <c r="W146" s="45" t="n"/>
      <c r="X146" s="45" t="n"/>
      <c r="Y146" s="46">
        <f>IFERROR(__xludf.DUMMYFUNCTION("""COMPUTED_VALUE"""),45825)</f>
        <v/>
      </c>
      <c r="Z146" s="46">
        <f>IFERROR(__xludf.DUMMYFUNCTION("""COMPUTED_VALUE"""),45854)</f>
        <v/>
      </c>
      <c r="AA146" s="46">
        <f>IFERROR(__xludf.DUMMYFUNCTION("""COMPUTED_VALUE"""),45861)</f>
        <v/>
      </c>
      <c r="AB146" s="45">
        <f>IFERROR(__xludf.DUMMYFUNCTION("""COMPUTED_VALUE"""),"Conradweg 26")</f>
        <v/>
      </c>
      <c r="AC146" s="45" t="n"/>
      <c r="AD146" s="45">
        <f>IFERROR(__xludf.DUMMYFUNCTION("""COMPUTED_VALUE"""),"OCEAN")</f>
        <v/>
      </c>
      <c r="AE146" s="45">
        <f>IFERROR(__xludf.DUMMYFUNCTION("""COMPUTED_VALUE"""),"N")</f>
        <v/>
      </c>
      <c r="AF146" s="45" t="n"/>
      <c r="AG146" s="49">
        <f>IFERROR(__xludf.DUMMYFUNCTION("IFNA(vlookup(H146,IMPORTRANGE(""1vUGwO1n0QQGx9kKbO0_M5gmuhXZ6-LaxQxgrmJnzgP0"",""'TP# look up'!A:C""),3,0),"""")"),"")</f>
        <v/>
      </c>
      <c r="AH146" s="49">
        <f>LEFT(J146,2)</f>
        <v/>
      </c>
    </row>
    <row r="147" hidden="1" ht="12.75" customHeight="1">
      <c r="A147" s="45">
        <f>IFERROR(__xludf.DUMMYFUNCTION("""COMPUTED_VALUE"""),"Colombo")</f>
        <v/>
      </c>
      <c r="B147" s="45" t="n"/>
      <c r="C147" s="45">
        <f>IFERROR(__xludf.DUMMYFUNCTION("""COMPUTED_VALUE"""),3231490)</f>
        <v/>
      </c>
      <c r="D147" s="45" t="n"/>
      <c r="E147" s="45">
        <f>IFERROR(__xludf.DUMMYFUNCTION("""COMPUTED_VALUE"""),"CFS")</f>
        <v/>
      </c>
      <c r="F147" s="45">
        <f>IFERROR(__xludf.DUMMYFUNCTION("""COMPUTED_VALUE"""),"Bodyline Trading (Private) Limited")</f>
        <v/>
      </c>
      <c r="G147" s="45">
        <f>IFERROR(__xludf.DUMMYFUNCTION("""COMPUTED_VALUE"""),"Bodyline (Private) Limited")</f>
        <v/>
      </c>
      <c r="H147" s="43">
        <f>IFERROR(__xludf.DUMMYFUNCTION("""COMPUTED_VALUE"""),451923409815)</f>
        <v/>
      </c>
      <c r="I147" s="45">
        <f>IFERROR(__xludf.DUMMYFUNCTION("""COMPUTED_VALUE"""),19828550)</f>
        <v/>
      </c>
      <c r="J147" s="45">
        <f>IFERROR(__xludf.DUMMYFUNCTION("""COMPUTED_VALUE"""),"LW2DTJS")</f>
        <v/>
      </c>
      <c r="K147" s="45">
        <f>IFERROR(__xludf.DUMMYFUNCTION("""COMPUTED_VALUE"""),"LW2DTJS-035486")</f>
        <v/>
      </c>
      <c r="L147" s="45">
        <f>IFERROR(__xludf.DUMMYFUNCTION("""COMPUTED_VALUE"""),5)</f>
        <v/>
      </c>
      <c r="M147" s="45">
        <f>IFERROR(__xludf.DUMMYFUNCTION("""COMPUTED_VALUE"""),222)</f>
        <v/>
      </c>
      <c r="N147" s="45">
        <f>IFERROR(__xludf.DUMMYFUNCTION("""COMPUTED_VALUE"""),33)</f>
        <v/>
      </c>
      <c r="O147" s="45">
        <f>IFERROR(__xludf.DUMMYFUNCTION("""COMPUTED_VALUE"""),0.366)</f>
        <v/>
      </c>
      <c r="P147" s="45">
        <f>IFERROR(__xludf.DUMMYFUNCTION("""COMPUTED_VALUE"""),"Colombo, LK")</f>
        <v/>
      </c>
      <c r="Q147" s="45">
        <f>IFERROR(__xludf.DUMMYFUNCTION("""COMPUTED_VALUE"""),"Rotterdam, NL")</f>
        <v/>
      </c>
      <c r="R147" s="44">
        <f>IFERROR(__xludf.DUMMYFUNCTION("""COMPUTED_VALUE"""),45817)</f>
        <v/>
      </c>
      <c r="S147" s="44">
        <f>IFERROR(__xludf.DUMMYFUNCTION("""COMPUTED_VALUE"""),45871)</f>
        <v/>
      </c>
      <c r="T147" s="45">
        <f>IFERROR(__xludf.DUMMYFUNCTION("""COMPUTED_VALUE"""),"Rotterdam, NL")</f>
        <v/>
      </c>
      <c r="U147" s="45" t="n"/>
      <c r="V147" s="45" t="n"/>
      <c r="W147" s="45" t="n"/>
      <c r="X147" s="45" t="n"/>
      <c r="Y147" s="46">
        <f>IFERROR(__xludf.DUMMYFUNCTION("""COMPUTED_VALUE"""),45825)</f>
        <v/>
      </c>
      <c r="Z147" s="46">
        <f>IFERROR(__xludf.DUMMYFUNCTION("""COMPUTED_VALUE"""),45854)</f>
        <v/>
      </c>
      <c r="AA147" s="46">
        <f>IFERROR(__xludf.DUMMYFUNCTION("""COMPUTED_VALUE"""),45861)</f>
        <v/>
      </c>
      <c r="AB147" s="45">
        <f>IFERROR(__xludf.DUMMYFUNCTION("""COMPUTED_VALUE"""),"Conradweg 26")</f>
        <v/>
      </c>
      <c r="AC147" s="45" t="n"/>
      <c r="AD147" s="45">
        <f>IFERROR(__xludf.DUMMYFUNCTION("""COMPUTED_VALUE"""),"OCEAN")</f>
        <v/>
      </c>
      <c r="AE147" s="45">
        <f>IFERROR(__xludf.DUMMYFUNCTION("""COMPUTED_VALUE"""),"N")</f>
        <v/>
      </c>
      <c r="AF147" s="45" t="n"/>
      <c r="AG147" s="49">
        <f>IFERROR(__xludf.DUMMYFUNCTION("IFNA(vlookup(H147,IMPORTRANGE(""1vUGwO1n0QQGx9kKbO0_M5gmuhXZ6-LaxQxgrmJnzgP0"",""'TP# look up'!A:C""),3,0),"""")"),"")</f>
        <v/>
      </c>
      <c r="AH147" s="49">
        <f>LEFT(J147,2)</f>
        <v/>
      </c>
    </row>
    <row r="148" hidden="1" ht="12.75" customHeight="1">
      <c r="A148" s="45">
        <f>IFERROR(__xludf.DUMMYFUNCTION("""COMPUTED_VALUE"""),"Colombo")</f>
        <v/>
      </c>
      <c r="B148" s="45" t="n"/>
      <c r="C148" s="45">
        <f>IFERROR(__xludf.DUMMYFUNCTION("""COMPUTED_VALUE"""),3231490)</f>
        <v/>
      </c>
      <c r="D148" s="45" t="n"/>
      <c r="E148" s="45">
        <f>IFERROR(__xludf.DUMMYFUNCTION("""COMPUTED_VALUE"""),"CFS")</f>
        <v/>
      </c>
      <c r="F148" s="45">
        <f>IFERROR(__xludf.DUMMYFUNCTION("""COMPUTED_VALUE"""),"MAS AMITY PTE LTD")</f>
        <v/>
      </c>
      <c r="G148" s="45">
        <f>IFERROR(__xludf.DUMMYFUNCTION("""COMPUTED_VALUE"""),"MAS Active(Pvt) Ltd – CONTOURLINE")</f>
        <v/>
      </c>
      <c r="H148" s="43">
        <f>IFERROR(__xludf.DUMMYFUNCTION("""COMPUTED_VALUE"""),452566081050)</f>
        <v/>
      </c>
      <c r="I148" s="45">
        <f>IFERROR(__xludf.DUMMYFUNCTION("""COMPUTED_VALUE"""),19925857)</f>
        <v/>
      </c>
      <c r="J148" s="45">
        <f>IFERROR(__xludf.DUMMYFUNCTION("""COMPUTED_VALUE"""),"LW5EPSS")</f>
        <v/>
      </c>
      <c r="K148" s="45">
        <f>IFERROR(__xludf.DUMMYFUNCTION("""COMPUTED_VALUE"""),"LW5EPSS-035487")</f>
        <v/>
      </c>
      <c r="L148" s="45">
        <f>IFERROR(__xludf.DUMMYFUNCTION("""COMPUTED_VALUE"""),7)</f>
        <v/>
      </c>
      <c r="M148" s="45">
        <f>IFERROR(__xludf.DUMMYFUNCTION("""COMPUTED_VALUE"""),315)</f>
        <v/>
      </c>
      <c r="N148" s="45">
        <f>IFERROR(__xludf.DUMMYFUNCTION("""COMPUTED_VALUE"""),71.243)</f>
        <v/>
      </c>
      <c r="O148" s="45">
        <f>IFERROR(__xludf.DUMMYFUNCTION("""COMPUTED_VALUE"""),0.395)</f>
        <v/>
      </c>
      <c r="P148" s="45">
        <f>IFERROR(__xludf.DUMMYFUNCTION("""COMPUTED_VALUE"""),"Colombo, LK")</f>
        <v/>
      </c>
      <c r="Q148" s="45">
        <f>IFERROR(__xludf.DUMMYFUNCTION("""COMPUTED_VALUE"""),"Rotterdam, NL")</f>
        <v/>
      </c>
      <c r="R148" s="44">
        <f>IFERROR(__xludf.DUMMYFUNCTION("""COMPUTED_VALUE"""),45817)</f>
        <v/>
      </c>
      <c r="S148" s="44">
        <f>IFERROR(__xludf.DUMMYFUNCTION("""COMPUTED_VALUE"""),45871)</f>
        <v/>
      </c>
      <c r="T148" s="45">
        <f>IFERROR(__xludf.DUMMYFUNCTION("""COMPUTED_VALUE"""),"Rotterdam, NL")</f>
        <v/>
      </c>
      <c r="U148" s="45" t="n"/>
      <c r="V148" s="45" t="n"/>
      <c r="W148" s="45" t="n"/>
      <c r="X148" s="45" t="n"/>
      <c r="Y148" s="46">
        <f>IFERROR(__xludf.DUMMYFUNCTION("""COMPUTED_VALUE"""),45825)</f>
        <v/>
      </c>
      <c r="Z148" s="46">
        <f>IFERROR(__xludf.DUMMYFUNCTION("""COMPUTED_VALUE"""),45854)</f>
        <v/>
      </c>
      <c r="AA148" s="46">
        <f>IFERROR(__xludf.DUMMYFUNCTION("""COMPUTED_VALUE"""),45861)</f>
        <v/>
      </c>
      <c r="AB148" s="45">
        <f>IFERROR(__xludf.DUMMYFUNCTION("""COMPUTED_VALUE"""),"Conradweg 26")</f>
        <v/>
      </c>
      <c r="AC148" s="45" t="n"/>
      <c r="AD148" s="45">
        <f>IFERROR(__xludf.DUMMYFUNCTION("""COMPUTED_VALUE"""),"OCEAN")</f>
        <v/>
      </c>
      <c r="AE148" s="45">
        <f>IFERROR(__xludf.DUMMYFUNCTION("""COMPUTED_VALUE"""),"N")</f>
        <v/>
      </c>
      <c r="AF148" s="45" t="n"/>
      <c r="AG148" s="49">
        <f>IFERROR(__xludf.DUMMYFUNCTION("IFNA(vlookup(H148,IMPORTRANGE(""1vUGwO1n0QQGx9kKbO0_M5gmuhXZ6-LaxQxgrmJnzgP0"",""'TP# look up'!A:C""),3,0),"""")"),"")</f>
        <v/>
      </c>
      <c r="AH148" s="49">
        <f>LEFT(J148,2)</f>
        <v/>
      </c>
    </row>
    <row r="149" ht="12.75" customHeight="1">
      <c r="A149" s="45">
        <f>IFERROR(__xludf.DUMMYFUNCTION("""COMPUTED_VALUE"""),"Colombo")</f>
        <v/>
      </c>
      <c r="B149" s="45" t="n"/>
      <c r="C149" s="45">
        <f>IFERROR(__xludf.DUMMYFUNCTION("""COMPUTED_VALUE"""),3231490)</f>
        <v/>
      </c>
      <c r="D149" s="45" t="n"/>
      <c r="E149" s="45">
        <f>IFERROR(__xludf.DUMMYFUNCTION("""COMPUTED_VALUE"""),"CFS")</f>
        <v/>
      </c>
      <c r="F149" s="45">
        <f>IFERROR(__xludf.DUMMYFUNCTION("""COMPUTED_VALUE"""),"MAS AMITY PTE LTD")</f>
        <v/>
      </c>
      <c r="G149" s="45">
        <f>IFERROR(__xludf.DUMMYFUNCTION("""COMPUTED_VALUE"""),"MAS Active(Pvt) Ltd – CONTOURLINE")</f>
        <v/>
      </c>
      <c r="H149" s="43">
        <f>IFERROR(__xludf.DUMMYFUNCTION("""COMPUTED_VALUE"""),452567468811)</f>
        <v/>
      </c>
      <c r="I149" s="45">
        <f>IFERROR(__xludf.DUMMYFUNCTION("""COMPUTED_VALUE"""),19925865)</f>
        <v/>
      </c>
      <c r="J149" s="45">
        <f>IFERROR(__xludf.DUMMYFUNCTION("""COMPUTED_VALUE"""),"LW5EPSS")</f>
        <v/>
      </c>
      <c r="K149" s="45">
        <f>IFERROR(__xludf.DUMMYFUNCTION("""COMPUTED_VALUE"""),"LW5EPSS-035487")</f>
        <v/>
      </c>
      <c r="L149" s="45">
        <f>IFERROR(__xludf.DUMMYFUNCTION("""COMPUTED_VALUE"""),1)</f>
        <v/>
      </c>
      <c r="M149" s="45">
        <f>IFERROR(__xludf.DUMMYFUNCTION("""COMPUTED_VALUE"""),57)</f>
        <v/>
      </c>
      <c r="N149" s="45">
        <f>IFERROR(__xludf.DUMMYFUNCTION("""COMPUTED_VALUE"""),12.778)</f>
        <v/>
      </c>
      <c r="O149" s="45">
        <f>IFERROR(__xludf.DUMMYFUNCTION("""COMPUTED_VALUE"""),0.079)</f>
        <v/>
      </c>
      <c r="P149" s="45">
        <f>IFERROR(__xludf.DUMMYFUNCTION("""COMPUTED_VALUE"""),"Colombo, LK")</f>
        <v/>
      </c>
      <c r="Q149" s="45">
        <f>IFERROR(__xludf.DUMMYFUNCTION("""COMPUTED_VALUE"""),"Rotterdam, NL")</f>
        <v/>
      </c>
      <c r="R149" s="44">
        <f>IFERROR(__xludf.DUMMYFUNCTION("""COMPUTED_VALUE"""),45817)</f>
        <v/>
      </c>
      <c r="S149" s="44">
        <f>IFERROR(__xludf.DUMMYFUNCTION("""COMPUTED_VALUE"""),45871)</f>
        <v/>
      </c>
      <c r="T149" s="45">
        <f>IFERROR(__xludf.DUMMYFUNCTION("""COMPUTED_VALUE"""),"Rotterdam, NL")</f>
        <v/>
      </c>
      <c r="U149" s="45" t="n"/>
      <c r="V149" s="45" t="n"/>
      <c r="W149" s="45" t="n"/>
      <c r="X149" s="45" t="n"/>
      <c r="Y149" s="46">
        <f>IFERROR(__xludf.DUMMYFUNCTION("""COMPUTED_VALUE"""),45825)</f>
        <v/>
      </c>
      <c r="Z149" s="46">
        <f>IFERROR(__xludf.DUMMYFUNCTION("""COMPUTED_VALUE"""),45854)</f>
        <v/>
      </c>
      <c r="AA149" s="46">
        <f>IFERROR(__xludf.DUMMYFUNCTION("""COMPUTED_VALUE"""),45861)</f>
        <v/>
      </c>
      <c r="AB149" s="45">
        <f>IFERROR(__xludf.DUMMYFUNCTION("""COMPUTED_VALUE"""),"Conradweg 26")</f>
        <v/>
      </c>
      <c r="AC149" s="45" t="n"/>
      <c r="AD149" s="45">
        <f>IFERROR(__xludf.DUMMYFUNCTION("""COMPUTED_VALUE"""),"OCEAN")</f>
        <v/>
      </c>
      <c r="AE149" s="45">
        <f>IFERROR(__xludf.DUMMYFUNCTION("""COMPUTED_VALUE"""),"N")</f>
        <v/>
      </c>
      <c r="AF149" s="45" t="n"/>
      <c r="AG149" s="49">
        <f>IFERROR(__xludf.DUMMYFUNCTION("IFNA(vlookup(H149,IMPORTRANGE(""1vUGwO1n0QQGx9kKbO0_M5gmuhXZ6-LaxQxgrmJnzgP0"",""'TP# look up'!A:C""),3,0),"""")"),"")</f>
        <v/>
      </c>
      <c r="AH149" s="49">
        <f>LEFT(J149,2)</f>
        <v/>
      </c>
    </row>
    <row r="150" hidden="1" ht="12.75" customHeight="1">
      <c r="A150" s="45">
        <f>IFERROR(__xludf.DUMMYFUNCTION("""COMPUTED_VALUE"""),"Colombo")</f>
        <v/>
      </c>
      <c r="B150" s="45" t="n"/>
      <c r="C150" s="45">
        <f>IFERROR(__xludf.DUMMYFUNCTION("""COMPUTED_VALUE"""),3231490)</f>
        <v/>
      </c>
      <c r="D150" s="45" t="n"/>
      <c r="E150" s="45">
        <f>IFERROR(__xludf.DUMMYFUNCTION("""COMPUTED_VALUE"""),"CFS")</f>
        <v/>
      </c>
      <c r="F150" s="45">
        <f>IFERROR(__xludf.DUMMYFUNCTION("""COMPUTED_VALUE"""),"MAS AMITY PTE LTD")</f>
        <v/>
      </c>
      <c r="G150" s="45">
        <f>IFERROR(__xludf.DUMMYFUNCTION("""COMPUTED_VALUE"""),"MAS Active(Pvt) Ltd – CONTOURLINE")</f>
        <v/>
      </c>
      <c r="H150" s="43">
        <f>IFERROR(__xludf.DUMMYFUNCTION("""COMPUTED_VALUE"""),452570967363)</f>
        <v/>
      </c>
      <c r="I150" s="45">
        <f>IFERROR(__xludf.DUMMYFUNCTION("""COMPUTED_VALUE"""),19921024)</f>
        <v/>
      </c>
      <c r="J150" s="45">
        <f>IFERROR(__xludf.DUMMYFUNCTION("""COMPUTED_VALUE"""),"LW2EB3S")</f>
        <v/>
      </c>
      <c r="K150" s="45">
        <f>IFERROR(__xludf.DUMMYFUNCTION("""COMPUTED_VALUE"""),"LW2EB3S-035486")</f>
        <v/>
      </c>
      <c r="L150" s="45">
        <f>IFERROR(__xludf.DUMMYFUNCTION("""COMPUTED_VALUE"""),3)</f>
        <v/>
      </c>
      <c r="M150" s="45">
        <f>IFERROR(__xludf.DUMMYFUNCTION("""COMPUTED_VALUE"""),248)</f>
        <v/>
      </c>
      <c r="N150" s="45">
        <f>IFERROR(__xludf.DUMMYFUNCTION("""COMPUTED_VALUE"""),30.906)</f>
        <v/>
      </c>
      <c r="O150" s="45">
        <f>IFERROR(__xludf.DUMMYFUNCTION("""COMPUTED_VALUE"""),0.237)</f>
        <v/>
      </c>
      <c r="P150" s="45">
        <f>IFERROR(__xludf.DUMMYFUNCTION("""COMPUTED_VALUE"""),"Colombo, LK")</f>
        <v/>
      </c>
      <c r="Q150" s="45">
        <f>IFERROR(__xludf.DUMMYFUNCTION("""COMPUTED_VALUE"""),"Rotterdam, NL")</f>
        <v/>
      </c>
      <c r="R150" s="44">
        <f>IFERROR(__xludf.DUMMYFUNCTION("""COMPUTED_VALUE"""),45817)</f>
        <v/>
      </c>
      <c r="S150" s="44">
        <f>IFERROR(__xludf.DUMMYFUNCTION("""COMPUTED_VALUE"""),45871)</f>
        <v/>
      </c>
      <c r="T150" s="45">
        <f>IFERROR(__xludf.DUMMYFUNCTION("""COMPUTED_VALUE"""),"Rotterdam, NL")</f>
        <v/>
      </c>
      <c r="U150" s="45" t="n"/>
      <c r="V150" s="45" t="n"/>
      <c r="W150" s="45" t="n"/>
      <c r="X150" s="45" t="n"/>
      <c r="Y150" s="46">
        <f>IFERROR(__xludf.DUMMYFUNCTION("""COMPUTED_VALUE"""),45825)</f>
        <v/>
      </c>
      <c r="Z150" s="46">
        <f>IFERROR(__xludf.DUMMYFUNCTION("""COMPUTED_VALUE"""),45854)</f>
        <v/>
      </c>
      <c r="AA150" s="46">
        <f>IFERROR(__xludf.DUMMYFUNCTION("""COMPUTED_VALUE"""),45861)</f>
        <v/>
      </c>
      <c r="AB150" s="45">
        <f>IFERROR(__xludf.DUMMYFUNCTION("""COMPUTED_VALUE"""),"Conradweg 26")</f>
        <v/>
      </c>
      <c r="AC150" s="45" t="n"/>
      <c r="AD150" s="45">
        <f>IFERROR(__xludf.DUMMYFUNCTION("""COMPUTED_VALUE"""),"OCEAN")</f>
        <v/>
      </c>
      <c r="AE150" s="45">
        <f>IFERROR(__xludf.DUMMYFUNCTION("""COMPUTED_VALUE"""),"N")</f>
        <v/>
      </c>
      <c r="AF150" s="45" t="n"/>
      <c r="AG150" s="49">
        <f>IFERROR(__xludf.DUMMYFUNCTION("IFNA(vlookup(H150,IMPORTRANGE(""1vUGwO1n0QQGx9kKbO0_M5gmuhXZ6-LaxQxgrmJnzgP0"",""'TP# look up'!A:C""),3,0),"""")"),"")</f>
        <v/>
      </c>
      <c r="AH150" s="49">
        <f>LEFT(J150,2)</f>
        <v/>
      </c>
    </row>
    <row r="151" hidden="1" ht="12.75" customHeight="1">
      <c r="A151" s="45">
        <f>IFERROR(__xludf.DUMMYFUNCTION("""COMPUTED_VALUE"""),"Colombo")</f>
        <v/>
      </c>
      <c r="B151" s="45" t="n"/>
      <c r="C151" s="45">
        <f>IFERROR(__xludf.DUMMYFUNCTION("""COMPUTED_VALUE"""),3231490)</f>
        <v/>
      </c>
      <c r="D151" s="45" t="n"/>
      <c r="E151" s="45">
        <f>IFERROR(__xludf.DUMMYFUNCTION("""COMPUTED_VALUE"""),"CFS")</f>
        <v/>
      </c>
      <c r="F151" s="45">
        <f>IFERROR(__xludf.DUMMYFUNCTION("""COMPUTED_VALUE"""),"MAS AMITY PTE LTD")</f>
        <v/>
      </c>
      <c r="G151" s="45">
        <f>IFERROR(__xludf.DUMMYFUNCTION("""COMPUTED_VALUE"""),"MAS Active(Pvt) Ltd – CONTOURLINE")</f>
        <v/>
      </c>
      <c r="H151" s="43">
        <f>IFERROR(__xludf.DUMMYFUNCTION("""COMPUTED_VALUE"""),452584298494)</f>
        <v/>
      </c>
      <c r="I151" s="45">
        <f>IFERROR(__xludf.DUMMYFUNCTION("""COMPUTED_VALUE"""),19925962)</f>
        <v/>
      </c>
      <c r="J151" s="45">
        <f>IFERROR(__xludf.DUMMYFUNCTION("""COMPUTED_VALUE"""),"LW5FARS")</f>
        <v/>
      </c>
      <c r="K151" s="45">
        <f>IFERROR(__xludf.DUMMYFUNCTION("""COMPUTED_VALUE"""),"LW5FARS-0001")</f>
        <v/>
      </c>
      <c r="L151" s="45">
        <f>IFERROR(__xludf.DUMMYFUNCTION("""COMPUTED_VALUE"""),6)</f>
        <v/>
      </c>
      <c r="M151" s="45">
        <f>IFERROR(__xludf.DUMMYFUNCTION("""COMPUTED_VALUE"""),315)</f>
        <v/>
      </c>
      <c r="N151" s="45">
        <f>IFERROR(__xludf.DUMMYFUNCTION("""COMPUTED_VALUE"""),66.613)</f>
        <v/>
      </c>
      <c r="O151" s="45">
        <f>IFERROR(__xludf.DUMMYFUNCTION("""COMPUTED_VALUE"""),0.395)</f>
        <v/>
      </c>
      <c r="P151" s="45">
        <f>IFERROR(__xludf.DUMMYFUNCTION("""COMPUTED_VALUE"""),"Colombo, LK")</f>
        <v/>
      </c>
      <c r="Q151" s="45">
        <f>IFERROR(__xludf.DUMMYFUNCTION("""COMPUTED_VALUE"""),"Rotterdam, NL")</f>
        <v/>
      </c>
      <c r="R151" s="44">
        <f>IFERROR(__xludf.DUMMYFUNCTION("""COMPUTED_VALUE"""),45817)</f>
        <v/>
      </c>
      <c r="S151" s="44">
        <f>IFERROR(__xludf.DUMMYFUNCTION("""COMPUTED_VALUE"""),45871)</f>
        <v/>
      </c>
      <c r="T151" s="45">
        <f>IFERROR(__xludf.DUMMYFUNCTION("""COMPUTED_VALUE"""),"Rotterdam, NL")</f>
        <v/>
      </c>
      <c r="U151" s="45" t="n"/>
      <c r="V151" s="45" t="n"/>
      <c r="W151" s="45" t="n"/>
      <c r="X151" s="45" t="n"/>
      <c r="Y151" s="46">
        <f>IFERROR(__xludf.DUMMYFUNCTION("""COMPUTED_VALUE"""),45825)</f>
        <v/>
      </c>
      <c r="Z151" s="46">
        <f>IFERROR(__xludf.DUMMYFUNCTION("""COMPUTED_VALUE"""),45854)</f>
        <v/>
      </c>
      <c r="AA151" s="46">
        <f>IFERROR(__xludf.DUMMYFUNCTION("""COMPUTED_VALUE"""),45861)</f>
        <v/>
      </c>
      <c r="AB151" s="45">
        <f>IFERROR(__xludf.DUMMYFUNCTION("""COMPUTED_VALUE"""),"Conradweg 26")</f>
        <v/>
      </c>
      <c r="AC151" s="45" t="n"/>
      <c r="AD151" s="45">
        <f>IFERROR(__xludf.DUMMYFUNCTION("""COMPUTED_VALUE"""),"OCEAN")</f>
        <v/>
      </c>
      <c r="AE151" s="45">
        <f>IFERROR(__xludf.DUMMYFUNCTION("""COMPUTED_VALUE"""),"N")</f>
        <v/>
      </c>
      <c r="AF151" s="45" t="n"/>
      <c r="AG151" s="49">
        <f>IFERROR(__xludf.DUMMYFUNCTION("IFNA(vlookup(H151,IMPORTRANGE(""1vUGwO1n0QQGx9kKbO0_M5gmuhXZ6-LaxQxgrmJnzgP0"",""'TP# look up'!A:C""),3,0),"""")"),"")</f>
        <v/>
      </c>
      <c r="AH151" s="49">
        <f>LEFT(J151,2)</f>
        <v/>
      </c>
    </row>
    <row r="152" ht="12.75" customHeight="1">
      <c r="A152" s="45">
        <f>IFERROR(__xludf.DUMMYFUNCTION("""COMPUTED_VALUE"""),"Colombo")</f>
        <v/>
      </c>
      <c r="B152" s="45" t="n"/>
      <c r="C152" s="45">
        <f>IFERROR(__xludf.DUMMYFUNCTION("""COMPUTED_VALUE"""),3231490)</f>
        <v/>
      </c>
      <c r="D152" s="45" t="n"/>
      <c r="E152" s="45">
        <f>IFERROR(__xludf.DUMMYFUNCTION("""COMPUTED_VALUE"""),"CFS")</f>
        <v/>
      </c>
      <c r="F152" s="45">
        <f>IFERROR(__xludf.DUMMYFUNCTION("""COMPUTED_VALUE"""),"MAS AMITY PTE LTD")</f>
        <v/>
      </c>
      <c r="G152" s="45">
        <f>IFERROR(__xludf.DUMMYFUNCTION("""COMPUTED_VALUE"""),"MAS Active(Pvt) Ltd – CONTOURLINE")</f>
        <v/>
      </c>
      <c r="H152" s="43">
        <f>IFERROR(__xludf.DUMMYFUNCTION("""COMPUTED_VALUE"""),452584495556)</f>
        <v/>
      </c>
      <c r="I152" s="45">
        <f>IFERROR(__xludf.DUMMYFUNCTION("""COMPUTED_VALUE"""),19803352)</f>
        <v/>
      </c>
      <c r="J152" s="45">
        <f>IFERROR(__xludf.DUMMYFUNCTION("""COMPUTED_VALUE"""),"LM3FGKS")</f>
        <v/>
      </c>
      <c r="K152" s="45">
        <f>IFERROR(__xludf.DUMMYFUNCTION("""COMPUTED_VALUE"""),"LM3FGKS-033454")</f>
        <v/>
      </c>
      <c r="L152" s="45">
        <f>IFERROR(__xludf.DUMMYFUNCTION("""COMPUTED_VALUE"""),3)</f>
        <v/>
      </c>
      <c r="M152" s="45">
        <f>IFERROR(__xludf.DUMMYFUNCTION("""COMPUTED_VALUE"""),122)</f>
        <v/>
      </c>
      <c r="N152" s="45">
        <f>IFERROR(__xludf.DUMMYFUNCTION("""COMPUTED_VALUE"""),28.644)</f>
        <v/>
      </c>
      <c r="O152" s="45">
        <f>IFERROR(__xludf.DUMMYFUNCTION("""COMPUTED_VALUE"""),0.237)</f>
        <v/>
      </c>
      <c r="P152" s="45">
        <f>IFERROR(__xludf.DUMMYFUNCTION("""COMPUTED_VALUE"""),"Colombo, LK")</f>
        <v/>
      </c>
      <c r="Q152" s="45">
        <f>IFERROR(__xludf.DUMMYFUNCTION("""COMPUTED_VALUE"""),"Rotterdam, NL")</f>
        <v/>
      </c>
      <c r="R152" s="44">
        <f>IFERROR(__xludf.DUMMYFUNCTION("""COMPUTED_VALUE"""),45817)</f>
        <v/>
      </c>
      <c r="S152" s="44">
        <f>IFERROR(__xludf.DUMMYFUNCTION("""COMPUTED_VALUE"""),45871)</f>
        <v/>
      </c>
      <c r="T152" s="45">
        <f>IFERROR(__xludf.DUMMYFUNCTION("""COMPUTED_VALUE"""),"Rotterdam, NL")</f>
        <v/>
      </c>
      <c r="U152" s="45" t="n"/>
      <c r="V152" s="45" t="n"/>
      <c r="W152" s="45" t="n"/>
      <c r="X152" s="45" t="n"/>
      <c r="Y152" s="46">
        <f>IFERROR(__xludf.DUMMYFUNCTION("""COMPUTED_VALUE"""),45825)</f>
        <v/>
      </c>
      <c r="Z152" s="46">
        <f>IFERROR(__xludf.DUMMYFUNCTION("""COMPUTED_VALUE"""),45854)</f>
        <v/>
      </c>
      <c r="AA152" s="46">
        <f>IFERROR(__xludf.DUMMYFUNCTION("""COMPUTED_VALUE"""),45861)</f>
        <v/>
      </c>
      <c r="AB152" s="45">
        <f>IFERROR(__xludf.DUMMYFUNCTION("""COMPUTED_VALUE"""),"Conradweg 26")</f>
        <v/>
      </c>
      <c r="AC152" s="45" t="n"/>
      <c r="AD152" s="45">
        <f>IFERROR(__xludf.DUMMYFUNCTION("""COMPUTED_VALUE"""),"OCEAN")</f>
        <v/>
      </c>
      <c r="AE152" s="45">
        <f>IFERROR(__xludf.DUMMYFUNCTION("""COMPUTED_VALUE"""),"N")</f>
        <v/>
      </c>
      <c r="AF152" s="45" t="n"/>
      <c r="AG152" s="49">
        <f>IFERROR(__xludf.DUMMYFUNCTION("IFNA(vlookup(H152,IMPORTRANGE(""1vUGwO1n0QQGx9kKbO0_M5gmuhXZ6-LaxQxgrmJnzgP0"",""'TP# look up'!A:C""),3,0),"""")"),"")</f>
        <v/>
      </c>
      <c r="AH152" s="49">
        <f>LEFT(J152,2)</f>
        <v/>
      </c>
    </row>
    <row r="153" hidden="1" ht="12.75" customHeight="1">
      <c r="A153" s="45">
        <f>IFERROR(__xludf.DUMMYFUNCTION("""COMPUTED_VALUE"""),"Colombo")</f>
        <v/>
      </c>
      <c r="B153" s="45" t="n"/>
      <c r="C153" s="45">
        <f>IFERROR(__xludf.DUMMYFUNCTION("""COMPUTED_VALUE"""),3231490)</f>
        <v/>
      </c>
      <c r="D153" s="45" t="n"/>
      <c r="E153" s="45">
        <f>IFERROR(__xludf.DUMMYFUNCTION("""COMPUTED_VALUE"""),"CFS")</f>
        <v/>
      </c>
      <c r="F153" s="45">
        <f>IFERROR(__xludf.DUMMYFUNCTION("""COMPUTED_VALUE"""),"MAS AMITY PTE LTD")</f>
        <v/>
      </c>
      <c r="G153" s="45">
        <f>IFERROR(__xludf.DUMMYFUNCTION("""COMPUTED_VALUE"""),"MAS Active(Pvt) Ltd – CONTOURLINE")</f>
        <v/>
      </c>
      <c r="H153" s="43">
        <f>IFERROR(__xludf.DUMMYFUNCTION("""COMPUTED_VALUE"""),452584670396)</f>
        <v/>
      </c>
      <c r="I153" s="45">
        <f>IFERROR(__xludf.DUMMYFUNCTION("""COMPUTED_VALUE"""),19803358)</f>
        <v/>
      </c>
      <c r="J153" s="45">
        <f>IFERROR(__xludf.DUMMYFUNCTION("""COMPUTED_VALUE"""),"LM3FGKS")</f>
        <v/>
      </c>
      <c r="K153" s="45">
        <f>IFERROR(__xludf.DUMMYFUNCTION("""COMPUTED_VALUE"""),"LM3FGKS-033454")</f>
        <v/>
      </c>
      <c r="L153" s="45">
        <f>IFERROR(__xludf.DUMMYFUNCTION("""COMPUTED_VALUE"""),1)</f>
        <v/>
      </c>
      <c r="M153" s="45">
        <f>IFERROR(__xludf.DUMMYFUNCTION("""COMPUTED_VALUE"""),58)</f>
        <v/>
      </c>
      <c r="N153" s="45">
        <f>IFERROR(__xludf.DUMMYFUNCTION("""COMPUTED_VALUE"""),13.596)</f>
        <v/>
      </c>
      <c r="O153" s="45">
        <f>IFERROR(__xludf.DUMMYFUNCTION("""COMPUTED_VALUE"""),0.079)</f>
        <v/>
      </c>
      <c r="P153" s="45">
        <f>IFERROR(__xludf.DUMMYFUNCTION("""COMPUTED_VALUE"""),"Colombo, LK")</f>
        <v/>
      </c>
      <c r="Q153" s="45">
        <f>IFERROR(__xludf.DUMMYFUNCTION("""COMPUTED_VALUE"""),"Rotterdam, NL")</f>
        <v/>
      </c>
      <c r="R153" s="44">
        <f>IFERROR(__xludf.DUMMYFUNCTION("""COMPUTED_VALUE"""),45817)</f>
        <v/>
      </c>
      <c r="S153" s="44">
        <f>IFERROR(__xludf.DUMMYFUNCTION("""COMPUTED_VALUE"""),45871)</f>
        <v/>
      </c>
      <c r="T153" s="45">
        <f>IFERROR(__xludf.DUMMYFUNCTION("""COMPUTED_VALUE"""),"Rotterdam, NL")</f>
        <v/>
      </c>
      <c r="U153" s="45" t="n"/>
      <c r="V153" s="45" t="n"/>
      <c r="W153" s="45" t="n"/>
      <c r="X153" s="45" t="n"/>
      <c r="Y153" s="46">
        <f>IFERROR(__xludf.DUMMYFUNCTION("""COMPUTED_VALUE"""),45825)</f>
        <v/>
      </c>
      <c r="Z153" s="46">
        <f>IFERROR(__xludf.DUMMYFUNCTION("""COMPUTED_VALUE"""),45854)</f>
        <v/>
      </c>
      <c r="AA153" s="46">
        <f>IFERROR(__xludf.DUMMYFUNCTION("""COMPUTED_VALUE"""),45861)</f>
        <v/>
      </c>
      <c r="AB153" s="45">
        <f>IFERROR(__xludf.DUMMYFUNCTION("""COMPUTED_VALUE"""),"Conradweg 26")</f>
        <v/>
      </c>
      <c r="AC153" s="45" t="n"/>
      <c r="AD153" s="45">
        <f>IFERROR(__xludf.DUMMYFUNCTION("""COMPUTED_VALUE"""),"OCEAN")</f>
        <v/>
      </c>
      <c r="AE153" s="45">
        <f>IFERROR(__xludf.DUMMYFUNCTION("""COMPUTED_VALUE"""),"N")</f>
        <v/>
      </c>
      <c r="AF153" s="45" t="n"/>
      <c r="AG153" s="49">
        <f>IFERROR(__xludf.DUMMYFUNCTION("IFNA(vlookup(H153,IMPORTRANGE(""1vUGwO1n0QQGx9kKbO0_M5gmuhXZ6-LaxQxgrmJnzgP0"",""'TP# look up'!A:C""),3,0),"""")"),"")</f>
        <v/>
      </c>
      <c r="AH153" s="49">
        <f>LEFT(J153,2)</f>
        <v/>
      </c>
    </row>
    <row r="154" hidden="1" ht="12.75" customHeight="1">
      <c r="A154" s="45">
        <f>IFERROR(__xludf.DUMMYFUNCTION("""COMPUTED_VALUE"""),"Colombo")</f>
        <v/>
      </c>
      <c r="B154" s="45" t="n"/>
      <c r="C154" s="45">
        <f>IFERROR(__xludf.DUMMYFUNCTION("""COMPUTED_VALUE"""),3231490)</f>
        <v/>
      </c>
      <c r="D154" s="45" t="n"/>
      <c r="E154" s="45">
        <f>IFERROR(__xludf.DUMMYFUNCTION("""COMPUTED_VALUE"""),"CFS")</f>
        <v/>
      </c>
      <c r="F154" s="45">
        <f>IFERROR(__xludf.DUMMYFUNCTION("""COMPUTED_VALUE"""),"MAS AMITY PTE LTD")</f>
        <v/>
      </c>
      <c r="G154" s="45">
        <f>IFERROR(__xludf.DUMMYFUNCTION("""COMPUTED_VALUE"""),"MAS Active(Pvt) Ltd – CONTOURLINE")</f>
        <v/>
      </c>
      <c r="H154" s="43">
        <f>IFERROR(__xludf.DUMMYFUNCTION("""COMPUTED_VALUE"""),452585440630)</f>
        <v/>
      </c>
      <c r="I154" s="45">
        <f>IFERROR(__xludf.DUMMYFUNCTION("""COMPUTED_VALUE"""),19921030)</f>
        <v/>
      </c>
      <c r="J154" s="45">
        <f>IFERROR(__xludf.DUMMYFUNCTION("""COMPUTED_VALUE"""),"LM7BCVS")</f>
        <v/>
      </c>
      <c r="K154" s="45">
        <f>IFERROR(__xludf.DUMMYFUNCTION("""COMPUTED_VALUE"""),"LM7BCVS-072148")</f>
        <v/>
      </c>
      <c r="L154" s="45">
        <f>IFERROR(__xludf.DUMMYFUNCTION("""COMPUTED_VALUE"""),1)</f>
        <v/>
      </c>
      <c r="M154" s="45">
        <f>IFERROR(__xludf.DUMMYFUNCTION("""COMPUTED_VALUE"""),31)</f>
        <v/>
      </c>
      <c r="N154" s="45">
        <f>IFERROR(__xludf.DUMMYFUNCTION("""COMPUTED_VALUE"""),5.84)</f>
        <v/>
      </c>
      <c r="O154" s="45">
        <f>IFERROR(__xludf.DUMMYFUNCTION("""COMPUTED_VALUE"""),0.079)</f>
        <v/>
      </c>
      <c r="P154" s="45">
        <f>IFERROR(__xludf.DUMMYFUNCTION("""COMPUTED_VALUE"""),"Colombo, LK")</f>
        <v/>
      </c>
      <c r="Q154" s="45">
        <f>IFERROR(__xludf.DUMMYFUNCTION("""COMPUTED_VALUE"""),"Rotterdam, NL")</f>
        <v/>
      </c>
      <c r="R154" s="44">
        <f>IFERROR(__xludf.DUMMYFUNCTION("""COMPUTED_VALUE"""),45817)</f>
        <v/>
      </c>
      <c r="S154" s="44">
        <f>IFERROR(__xludf.DUMMYFUNCTION("""COMPUTED_VALUE"""),45871)</f>
        <v/>
      </c>
      <c r="T154" s="45">
        <f>IFERROR(__xludf.DUMMYFUNCTION("""COMPUTED_VALUE"""),"Rotterdam, NL")</f>
        <v/>
      </c>
      <c r="U154" s="45" t="n"/>
      <c r="V154" s="45" t="n"/>
      <c r="W154" s="45" t="n"/>
      <c r="X154" s="45" t="n"/>
      <c r="Y154" s="46">
        <f>IFERROR(__xludf.DUMMYFUNCTION("""COMPUTED_VALUE"""),45825)</f>
        <v/>
      </c>
      <c r="Z154" s="46">
        <f>IFERROR(__xludf.DUMMYFUNCTION("""COMPUTED_VALUE"""),45854)</f>
        <v/>
      </c>
      <c r="AA154" s="46">
        <f>IFERROR(__xludf.DUMMYFUNCTION("""COMPUTED_VALUE"""),45861)</f>
        <v/>
      </c>
      <c r="AB154" s="45">
        <f>IFERROR(__xludf.DUMMYFUNCTION("""COMPUTED_VALUE"""),"Conradweg 26")</f>
        <v/>
      </c>
      <c r="AC154" s="45" t="n"/>
      <c r="AD154" s="45">
        <f>IFERROR(__xludf.DUMMYFUNCTION("""COMPUTED_VALUE"""),"OCEAN")</f>
        <v/>
      </c>
      <c r="AE154" s="45">
        <f>IFERROR(__xludf.DUMMYFUNCTION("""COMPUTED_VALUE"""),"N")</f>
        <v/>
      </c>
      <c r="AF154" s="45" t="n"/>
      <c r="AG154" s="49">
        <f>IFERROR(__xludf.DUMMYFUNCTION("IFNA(vlookup(H154,IMPORTRANGE(""1vUGwO1n0QQGx9kKbO0_M5gmuhXZ6-LaxQxgrmJnzgP0"",""'TP# look up'!A:C""),3,0),"""")"),"")</f>
        <v/>
      </c>
      <c r="AH154" s="49">
        <f>LEFT(J154,2)</f>
        <v/>
      </c>
    </row>
    <row r="155" hidden="1" ht="12.75" customHeight="1">
      <c r="A155" s="45">
        <f>IFERROR(__xludf.DUMMYFUNCTION("""COMPUTED_VALUE"""),"Colombo")</f>
        <v/>
      </c>
      <c r="B155" s="45" t="n"/>
      <c r="C155" s="45">
        <f>IFERROR(__xludf.DUMMYFUNCTION("""COMPUTED_VALUE"""),3231490)</f>
        <v/>
      </c>
      <c r="D155" s="45" t="n"/>
      <c r="E155" s="45">
        <f>IFERROR(__xludf.DUMMYFUNCTION("""COMPUTED_VALUE"""),"CFS")</f>
        <v/>
      </c>
      <c r="F155" s="45">
        <f>IFERROR(__xludf.DUMMYFUNCTION("""COMPUTED_VALUE"""),"MAS AMITY PTE LTD")</f>
        <v/>
      </c>
      <c r="G155" s="45">
        <f>IFERROR(__xludf.DUMMYFUNCTION("""COMPUTED_VALUE"""),"MAS Active(Pvt) Ltd – CONTOURLINE")</f>
        <v/>
      </c>
      <c r="H155" s="43">
        <f>IFERROR(__xludf.DUMMYFUNCTION("""COMPUTED_VALUE"""),452585669160)</f>
        <v/>
      </c>
      <c r="I155" s="45">
        <f>IFERROR(__xludf.DUMMYFUNCTION("""COMPUTED_VALUE"""),19939880)</f>
        <v/>
      </c>
      <c r="J155" s="45">
        <f>IFERROR(__xludf.DUMMYFUNCTION("""COMPUTED_VALUE"""),"LM7BI2S")</f>
        <v/>
      </c>
      <c r="K155" s="45">
        <f>IFERROR(__xludf.DUMMYFUNCTION("""COMPUTED_VALUE"""),"LM7BI2S-068578")</f>
        <v/>
      </c>
      <c r="L155" s="45">
        <f>IFERROR(__xludf.DUMMYFUNCTION("""COMPUTED_VALUE"""),1)</f>
        <v/>
      </c>
      <c r="M155" s="45">
        <f>IFERROR(__xludf.DUMMYFUNCTION("""COMPUTED_VALUE"""),12)</f>
        <v/>
      </c>
      <c r="N155" s="45">
        <f>IFERROR(__xludf.DUMMYFUNCTION("""COMPUTED_VALUE"""),3.346)</f>
        <v/>
      </c>
      <c r="O155" s="45">
        <f>IFERROR(__xludf.DUMMYFUNCTION("""COMPUTED_VALUE"""),0.039)</f>
        <v/>
      </c>
      <c r="P155" s="45">
        <f>IFERROR(__xludf.DUMMYFUNCTION("""COMPUTED_VALUE"""),"Colombo, LK")</f>
        <v/>
      </c>
      <c r="Q155" s="45">
        <f>IFERROR(__xludf.DUMMYFUNCTION("""COMPUTED_VALUE"""),"Rotterdam, NL")</f>
        <v/>
      </c>
      <c r="R155" s="44">
        <f>IFERROR(__xludf.DUMMYFUNCTION("""COMPUTED_VALUE"""),45817)</f>
        <v/>
      </c>
      <c r="S155" s="44">
        <f>IFERROR(__xludf.DUMMYFUNCTION("""COMPUTED_VALUE"""),45871)</f>
        <v/>
      </c>
      <c r="T155" s="45">
        <f>IFERROR(__xludf.DUMMYFUNCTION("""COMPUTED_VALUE"""),"Rotterdam, NL")</f>
        <v/>
      </c>
      <c r="U155" s="45" t="n"/>
      <c r="V155" s="45" t="n"/>
      <c r="W155" s="45" t="n"/>
      <c r="X155" s="45" t="n"/>
      <c r="Y155" s="46">
        <f>IFERROR(__xludf.DUMMYFUNCTION("""COMPUTED_VALUE"""),45825)</f>
        <v/>
      </c>
      <c r="Z155" s="46">
        <f>IFERROR(__xludf.DUMMYFUNCTION("""COMPUTED_VALUE"""),45854)</f>
        <v/>
      </c>
      <c r="AA155" s="46">
        <f>IFERROR(__xludf.DUMMYFUNCTION("""COMPUTED_VALUE"""),45861)</f>
        <v/>
      </c>
      <c r="AB155" s="45">
        <f>IFERROR(__xludf.DUMMYFUNCTION("""COMPUTED_VALUE"""),"Conradweg 26")</f>
        <v/>
      </c>
      <c r="AC155" s="45" t="n"/>
      <c r="AD155" s="45">
        <f>IFERROR(__xludf.DUMMYFUNCTION("""COMPUTED_VALUE"""),"OCEAN")</f>
        <v/>
      </c>
      <c r="AE155" s="45">
        <f>IFERROR(__xludf.DUMMYFUNCTION("""COMPUTED_VALUE"""),"N")</f>
        <v/>
      </c>
      <c r="AF155" s="45" t="n"/>
      <c r="AG155" s="49">
        <f>IFERROR(__xludf.DUMMYFUNCTION("IFNA(vlookup(H155,IMPORTRANGE(""1vUGwO1n0QQGx9kKbO0_M5gmuhXZ6-LaxQxgrmJnzgP0"",""'TP# look up'!A:C""),3,0),"""")"),"")</f>
        <v/>
      </c>
      <c r="AH155" s="49">
        <f>LEFT(J155,2)</f>
        <v/>
      </c>
    </row>
    <row r="156" ht="12.75" customHeight="1">
      <c r="A156" s="45">
        <f>IFERROR(__xludf.DUMMYFUNCTION("""COMPUTED_VALUE"""),"Colombo")</f>
        <v/>
      </c>
      <c r="B156" s="45" t="n"/>
      <c r="C156" s="45">
        <f>IFERROR(__xludf.DUMMYFUNCTION("""COMPUTED_VALUE"""),3231490)</f>
        <v/>
      </c>
      <c r="D156" s="45" t="n"/>
      <c r="E156" s="45">
        <f>IFERROR(__xludf.DUMMYFUNCTION("""COMPUTED_VALUE"""),"CFS")</f>
        <v/>
      </c>
      <c r="F156" s="45">
        <f>IFERROR(__xludf.DUMMYFUNCTION("""COMPUTED_VALUE"""),"MAS AMITY PTE LTD")</f>
        <v/>
      </c>
      <c r="G156" s="45">
        <f>IFERROR(__xludf.DUMMYFUNCTION("""COMPUTED_VALUE"""),"MAS Fabrics (Pvt) Ltd Intimo")</f>
        <v/>
      </c>
      <c r="H156" s="43">
        <f>IFERROR(__xludf.DUMMYFUNCTION("""COMPUTED_VALUE"""),452583058270)</f>
        <v/>
      </c>
      <c r="I156" s="45">
        <f>IFERROR(__xludf.DUMMYFUNCTION("""COMPUTED_VALUE"""),19820857)</f>
        <v/>
      </c>
      <c r="J156" s="45">
        <f>IFERROR(__xludf.DUMMYFUNCTION("""COMPUTED_VALUE"""),"LW3JE8S")</f>
        <v/>
      </c>
      <c r="K156" s="45">
        <f>IFERROR(__xludf.DUMMYFUNCTION("""COMPUTED_VALUE"""),"LW3JE8S-042836")</f>
        <v/>
      </c>
      <c r="L156" s="45">
        <f>IFERROR(__xludf.DUMMYFUNCTION("""COMPUTED_VALUE"""),8)</f>
        <v/>
      </c>
      <c r="M156" s="45">
        <f>IFERROR(__xludf.DUMMYFUNCTION("""COMPUTED_VALUE"""),317)</f>
        <v/>
      </c>
      <c r="N156" s="45">
        <f>IFERROR(__xludf.DUMMYFUNCTION("""COMPUTED_VALUE"""),59.605)</f>
        <v/>
      </c>
      <c r="O156" s="45">
        <f>IFERROR(__xludf.DUMMYFUNCTION("""COMPUTED_VALUE"""),0.434)</f>
        <v/>
      </c>
      <c r="P156" s="45">
        <f>IFERROR(__xludf.DUMMYFUNCTION("""COMPUTED_VALUE"""),"Colombo, LK")</f>
        <v/>
      </c>
      <c r="Q156" s="45">
        <f>IFERROR(__xludf.DUMMYFUNCTION("""COMPUTED_VALUE"""),"Rotterdam, NL")</f>
        <v/>
      </c>
      <c r="R156" s="44">
        <f>IFERROR(__xludf.DUMMYFUNCTION("""COMPUTED_VALUE"""),45817)</f>
        <v/>
      </c>
      <c r="S156" s="44">
        <f>IFERROR(__xludf.DUMMYFUNCTION("""COMPUTED_VALUE"""),45871)</f>
        <v/>
      </c>
      <c r="T156" s="45">
        <f>IFERROR(__xludf.DUMMYFUNCTION("""COMPUTED_VALUE"""),"Rotterdam, NL")</f>
        <v/>
      </c>
      <c r="U156" s="45" t="n"/>
      <c r="V156" s="45" t="n"/>
      <c r="W156" s="45" t="n"/>
      <c r="X156" s="45" t="n"/>
      <c r="Y156" s="46">
        <f>IFERROR(__xludf.DUMMYFUNCTION("""COMPUTED_VALUE"""),45825)</f>
        <v/>
      </c>
      <c r="Z156" s="46">
        <f>IFERROR(__xludf.DUMMYFUNCTION("""COMPUTED_VALUE"""),45854)</f>
        <v/>
      </c>
      <c r="AA156" s="46">
        <f>IFERROR(__xludf.DUMMYFUNCTION("""COMPUTED_VALUE"""),45861)</f>
        <v/>
      </c>
      <c r="AB156" s="45">
        <f>IFERROR(__xludf.DUMMYFUNCTION("""COMPUTED_VALUE"""),"Conradweg 26")</f>
        <v/>
      </c>
      <c r="AC156" s="45" t="n"/>
      <c r="AD156" s="45">
        <f>IFERROR(__xludf.DUMMYFUNCTION("""COMPUTED_VALUE"""),"OCEAN")</f>
        <v/>
      </c>
      <c r="AE156" s="45">
        <f>IFERROR(__xludf.DUMMYFUNCTION("""COMPUTED_VALUE"""),"N")</f>
        <v/>
      </c>
      <c r="AF156" s="45" t="n"/>
      <c r="AG156" s="49">
        <f>IFERROR(__xludf.DUMMYFUNCTION("IFNA(vlookup(H156,IMPORTRANGE(""1vUGwO1n0QQGx9kKbO0_M5gmuhXZ6-LaxQxgrmJnzgP0"",""'TP# look up'!A:C""),3,0),"""")"),"")</f>
        <v/>
      </c>
      <c r="AH156" s="49">
        <f>LEFT(J156,2)</f>
        <v/>
      </c>
    </row>
    <row r="157" ht="12.75" customHeight="1">
      <c r="A157" s="45">
        <f>IFERROR(__xludf.DUMMYFUNCTION("""COMPUTED_VALUE"""),"Colombo")</f>
        <v/>
      </c>
      <c r="B157" s="45" t="n"/>
      <c r="C157" s="45">
        <f>IFERROR(__xludf.DUMMYFUNCTION("""COMPUTED_VALUE"""),3231490)</f>
        <v/>
      </c>
      <c r="D157" s="45" t="n"/>
      <c r="E157" s="45">
        <f>IFERROR(__xludf.DUMMYFUNCTION("""COMPUTED_VALUE"""),"CFS")</f>
        <v/>
      </c>
      <c r="F157" s="45">
        <f>IFERROR(__xludf.DUMMYFUNCTION("""COMPUTED_VALUE"""),"MAS AMITY PTE LTD")</f>
        <v/>
      </c>
      <c r="G157" s="45">
        <f>IFERROR(__xludf.DUMMYFUNCTION("""COMPUTED_VALUE"""),"MAS Fabrics (Pvt) Ltd Intimo")</f>
        <v/>
      </c>
      <c r="H157" s="43">
        <f>IFERROR(__xludf.DUMMYFUNCTION("""COMPUTED_VALUE"""),452584497649)</f>
        <v/>
      </c>
      <c r="I157" s="45">
        <f>IFERROR(__xludf.DUMMYFUNCTION("""COMPUTED_VALUE"""),19820983)</f>
        <v/>
      </c>
      <c r="J157" s="45">
        <f>IFERROR(__xludf.DUMMYFUNCTION("""COMPUTED_VALUE"""),"LW3JSNS")</f>
        <v/>
      </c>
      <c r="K157" s="45">
        <f>IFERROR(__xludf.DUMMYFUNCTION("""COMPUTED_VALUE"""),"LW3JSNS-071208")</f>
        <v/>
      </c>
      <c r="L157" s="45">
        <f>IFERROR(__xludf.DUMMYFUNCTION("""COMPUTED_VALUE"""),2)</f>
        <v/>
      </c>
      <c r="M157" s="45">
        <f>IFERROR(__xludf.DUMMYFUNCTION("""COMPUTED_VALUE"""),97)</f>
        <v/>
      </c>
      <c r="N157" s="45">
        <f>IFERROR(__xludf.DUMMYFUNCTION("""COMPUTED_VALUE"""),11.064)</f>
        <v/>
      </c>
      <c r="O157" s="45">
        <f>IFERROR(__xludf.DUMMYFUNCTION("""COMPUTED_VALUE"""),0.118)</f>
        <v/>
      </c>
      <c r="P157" s="45">
        <f>IFERROR(__xludf.DUMMYFUNCTION("""COMPUTED_VALUE"""),"Colombo, LK")</f>
        <v/>
      </c>
      <c r="Q157" s="45">
        <f>IFERROR(__xludf.DUMMYFUNCTION("""COMPUTED_VALUE"""),"Rotterdam, NL")</f>
        <v/>
      </c>
      <c r="R157" s="44">
        <f>IFERROR(__xludf.DUMMYFUNCTION("""COMPUTED_VALUE"""),45817)</f>
        <v/>
      </c>
      <c r="S157" s="44">
        <f>IFERROR(__xludf.DUMMYFUNCTION("""COMPUTED_VALUE"""),45871)</f>
        <v/>
      </c>
      <c r="T157" s="45">
        <f>IFERROR(__xludf.DUMMYFUNCTION("""COMPUTED_VALUE"""),"Rotterdam, NL")</f>
        <v/>
      </c>
      <c r="U157" s="45" t="n"/>
      <c r="V157" s="45" t="n"/>
      <c r="W157" s="45" t="n"/>
      <c r="X157" s="45" t="n"/>
      <c r="Y157" s="46">
        <f>IFERROR(__xludf.DUMMYFUNCTION("""COMPUTED_VALUE"""),45825)</f>
        <v/>
      </c>
      <c r="Z157" s="46">
        <f>IFERROR(__xludf.DUMMYFUNCTION("""COMPUTED_VALUE"""),45854)</f>
        <v/>
      </c>
      <c r="AA157" s="46">
        <f>IFERROR(__xludf.DUMMYFUNCTION("""COMPUTED_VALUE"""),45861)</f>
        <v/>
      </c>
      <c r="AB157" s="45">
        <f>IFERROR(__xludf.DUMMYFUNCTION("""COMPUTED_VALUE"""),"Conradweg 26")</f>
        <v/>
      </c>
      <c r="AC157" s="45" t="n"/>
      <c r="AD157" s="45">
        <f>IFERROR(__xludf.DUMMYFUNCTION("""COMPUTED_VALUE"""),"OCEAN")</f>
        <v/>
      </c>
      <c r="AE157" s="45">
        <f>IFERROR(__xludf.DUMMYFUNCTION("""COMPUTED_VALUE"""),"N")</f>
        <v/>
      </c>
      <c r="AF157" s="45" t="n"/>
      <c r="AG157" s="49">
        <f>IFERROR(__xludf.DUMMYFUNCTION("IFNA(vlookup(H157,IMPORTRANGE(""1vUGwO1n0QQGx9kKbO0_M5gmuhXZ6-LaxQxgrmJnzgP0"",""'TP# look up'!A:C""),3,0),"""")"),"")</f>
        <v/>
      </c>
      <c r="AH157" s="49">
        <f>LEFT(J157,2)</f>
        <v/>
      </c>
    </row>
    <row r="158" ht="12.75" customHeight="1">
      <c r="A158" s="45">
        <f>IFERROR(__xludf.DUMMYFUNCTION("""COMPUTED_VALUE"""),"Colombo")</f>
        <v/>
      </c>
      <c r="B158" s="45" t="n"/>
      <c r="C158" s="45">
        <f>IFERROR(__xludf.DUMMYFUNCTION("""COMPUTED_VALUE"""),3231490)</f>
        <v/>
      </c>
      <c r="D158" s="45" t="n"/>
      <c r="E158" s="45">
        <f>IFERROR(__xludf.DUMMYFUNCTION("""COMPUTED_VALUE"""),"CFS")</f>
        <v/>
      </c>
      <c r="F158" s="45">
        <f>IFERROR(__xludf.DUMMYFUNCTION("""COMPUTED_VALUE"""),"MAS AMITY PTE LTD")</f>
        <v/>
      </c>
      <c r="G158" s="45">
        <f>IFERROR(__xludf.DUMMYFUNCTION("""COMPUTED_VALUE"""),"MAS Fabrics (Pvt) Ltd Intimo")</f>
        <v/>
      </c>
      <c r="H158" s="43">
        <f>IFERROR(__xludf.DUMMYFUNCTION("""COMPUTED_VALUE"""),452586691129)</f>
        <v/>
      </c>
      <c r="I158" s="45">
        <f>IFERROR(__xludf.DUMMYFUNCTION("""COMPUTED_VALUE"""),19820864)</f>
        <v/>
      </c>
      <c r="J158" s="45">
        <f>IFERROR(__xludf.DUMMYFUNCTION("""COMPUTED_VALUE"""),"LW3JE8S")</f>
        <v/>
      </c>
      <c r="K158" s="45">
        <f>IFERROR(__xludf.DUMMYFUNCTION("""COMPUTED_VALUE"""),"LW3JE8S-042836")</f>
        <v/>
      </c>
      <c r="L158" s="45">
        <f>IFERROR(__xludf.DUMMYFUNCTION("""COMPUTED_VALUE"""),4)</f>
        <v/>
      </c>
      <c r="M158" s="45">
        <f>IFERROR(__xludf.DUMMYFUNCTION("""COMPUTED_VALUE"""),144)</f>
        <v/>
      </c>
      <c r="N158" s="45">
        <f>IFERROR(__xludf.DUMMYFUNCTION("""COMPUTED_VALUE"""),28.042)</f>
        <v/>
      </c>
      <c r="O158" s="45">
        <f>IFERROR(__xludf.DUMMYFUNCTION("""COMPUTED_VALUE"""),0.276)</f>
        <v/>
      </c>
      <c r="P158" s="45">
        <f>IFERROR(__xludf.DUMMYFUNCTION("""COMPUTED_VALUE"""),"Colombo, LK")</f>
        <v/>
      </c>
      <c r="Q158" s="45">
        <f>IFERROR(__xludf.DUMMYFUNCTION("""COMPUTED_VALUE"""),"Rotterdam, NL")</f>
        <v/>
      </c>
      <c r="R158" s="44">
        <f>IFERROR(__xludf.DUMMYFUNCTION("""COMPUTED_VALUE"""),45817)</f>
        <v/>
      </c>
      <c r="S158" s="44">
        <f>IFERROR(__xludf.DUMMYFUNCTION("""COMPUTED_VALUE"""),45871)</f>
        <v/>
      </c>
      <c r="T158" s="45">
        <f>IFERROR(__xludf.DUMMYFUNCTION("""COMPUTED_VALUE"""),"Rotterdam, NL")</f>
        <v/>
      </c>
      <c r="U158" s="45" t="n"/>
      <c r="V158" s="45" t="n"/>
      <c r="W158" s="45" t="n"/>
      <c r="X158" s="45" t="n"/>
      <c r="Y158" s="46">
        <f>IFERROR(__xludf.DUMMYFUNCTION("""COMPUTED_VALUE"""),45825)</f>
        <v/>
      </c>
      <c r="Z158" s="46">
        <f>IFERROR(__xludf.DUMMYFUNCTION("""COMPUTED_VALUE"""),45854)</f>
        <v/>
      </c>
      <c r="AA158" s="46">
        <f>IFERROR(__xludf.DUMMYFUNCTION("""COMPUTED_VALUE"""),45861)</f>
        <v/>
      </c>
      <c r="AB158" s="45">
        <f>IFERROR(__xludf.DUMMYFUNCTION("""COMPUTED_VALUE"""),"Conradweg 26")</f>
        <v/>
      </c>
      <c r="AC158" s="45" t="n"/>
      <c r="AD158" s="45">
        <f>IFERROR(__xludf.DUMMYFUNCTION("""COMPUTED_VALUE"""),"OCEAN")</f>
        <v/>
      </c>
      <c r="AE158" s="45">
        <f>IFERROR(__xludf.DUMMYFUNCTION("""COMPUTED_VALUE"""),"N")</f>
        <v/>
      </c>
      <c r="AF158" s="45" t="n"/>
      <c r="AG158" s="49">
        <f>IFERROR(__xludf.DUMMYFUNCTION("IFNA(vlookup(H158,IMPORTRANGE(""1vUGwO1n0QQGx9kKbO0_M5gmuhXZ6-LaxQxgrmJnzgP0"",""'TP# look up'!A:C""),3,0),"""")"),"")</f>
        <v/>
      </c>
      <c r="AH158" s="49">
        <f>LEFT(J158,2)</f>
        <v/>
      </c>
    </row>
    <row r="159" hidden="1" ht="12.75" customHeight="1">
      <c r="A159" s="45">
        <f>IFERROR(__xludf.DUMMYFUNCTION("""COMPUTED_VALUE"""),"Colombo")</f>
        <v/>
      </c>
      <c r="B159" s="45" t="n"/>
      <c r="C159" s="45">
        <f>IFERROR(__xludf.DUMMYFUNCTION("""COMPUTED_VALUE"""),3231490)</f>
        <v/>
      </c>
      <c r="D159" s="45" t="n"/>
      <c r="E159" s="45">
        <f>IFERROR(__xludf.DUMMYFUNCTION("""COMPUTED_VALUE"""),"CFS")</f>
        <v/>
      </c>
      <c r="F159" s="45">
        <f>IFERROR(__xludf.DUMMYFUNCTION("""COMPUTED_VALUE"""),"MAS AMITY PTE LTD")</f>
        <v/>
      </c>
      <c r="G159" s="45">
        <f>IFERROR(__xludf.DUMMYFUNCTION("""COMPUTED_VALUE"""),"MAS Fabrics (Pvt) Ltd Intimo")</f>
        <v/>
      </c>
      <c r="H159" s="43">
        <f>IFERROR(__xludf.DUMMYFUNCTION("""COMPUTED_VALUE"""),452586691204)</f>
        <v/>
      </c>
      <c r="I159" s="45">
        <f>IFERROR(__xludf.DUMMYFUNCTION("""COMPUTED_VALUE"""),19820973)</f>
        <v/>
      </c>
      <c r="J159" s="45">
        <f>IFERROR(__xludf.DUMMYFUNCTION("""COMPUTED_VALUE"""),"LW3JSMS")</f>
        <v/>
      </c>
      <c r="K159" s="45">
        <f>IFERROR(__xludf.DUMMYFUNCTION("""COMPUTED_VALUE"""),"LW3JSMS-071210")</f>
        <v/>
      </c>
      <c r="L159" s="45">
        <f>IFERROR(__xludf.DUMMYFUNCTION("""COMPUTED_VALUE"""),3)</f>
        <v/>
      </c>
      <c r="M159" s="45">
        <f>IFERROR(__xludf.DUMMYFUNCTION("""COMPUTED_VALUE"""),136)</f>
        <v/>
      </c>
      <c r="N159" s="45">
        <f>IFERROR(__xludf.DUMMYFUNCTION("""COMPUTED_VALUE"""),18.601)</f>
        <v/>
      </c>
      <c r="O159" s="45">
        <f>IFERROR(__xludf.DUMMYFUNCTION("""COMPUTED_VALUE"""),0.158)</f>
        <v/>
      </c>
      <c r="P159" s="45">
        <f>IFERROR(__xludf.DUMMYFUNCTION("""COMPUTED_VALUE"""),"Colombo, LK")</f>
        <v/>
      </c>
      <c r="Q159" s="45">
        <f>IFERROR(__xludf.DUMMYFUNCTION("""COMPUTED_VALUE"""),"Rotterdam, NL")</f>
        <v/>
      </c>
      <c r="R159" s="44">
        <f>IFERROR(__xludf.DUMMYFUNCTION("""COMPUTED_VALUE"""),45817)</f>
        <v/>
      </c>
      <c r="S159" s="44">
        <f>IFERROR(__xludf.DUMMYFUNCTION("""COMPUTED_VALUE"""),45871)</f>
        <v/>
      </c>
      <c r="T159" s="45">
        <f>IFERROR(__xludf.DUMMYFUNCTION("""COMPUTED_VALUE"""),"Rotterdam, NL")</f>
        <v/>
      </c>
      <c r="U159" s="45" t="n"/>
      <c r="V159" s="45" t="n"/>
      <c r="W159" s="45" t="n"/>
      <c r="X159" s="45" t="n"/>
      <c r="Y159" s="46">
        <f>IFERROR(__xludf.DUMMYFUNCTION("""COMPUTED_VALUE"""),45825)</f>
        <v/>
      </c>
      <c r="Z159" s="46">
        <f>IFERROR(__xludf.DUMMYFUNCTION("""COMPUTED_VALUE"""),45854)</f>
        <v/>
      </c>
      <c r="AA159" s="46">
        <f>IFERROR(__xludf.DUMMYFUNCTION("""COMPUTED_VALUE"""),45861)</f>
        <v/>
      </c>
      <c r="AB159" s="45">
        <f>IFERROR(__xludf.DUMMYFUNCTION("""COMPUTED_VALUE"""),"Conradweg 26")</f>
        <v/>
      </c>
      <c r="AC159" s="45" t="n"/>
      <c r="AD159" s="45">
        <f>IFERROR(__xludf.DUMMYFUNCTION("""COMPUTED_VALUE"""),"OCEAN")</f>
        <v/>
      </c>
      <c r="AE159" s="45">
        <f>IFERROR(__xludf.DUMMYFUNCTION("""COMPUTED_VALUE"""),"N")</f>
        <v/>
      </c>
      <c r="AF159" s="45" t="n"/>
      <c r="AG159" s="49">
        <f>IFERROR(__xludf.DUMMYFUNCTION("IFNA(vlookup(H159,IMPORTRANGE(""1vUGwO1n0QQGx9kKbO0_M5gmuhXZ6-LaxQxgrmJnzgP0"",""'TP# look up'!A:C""),3,0),"""")"),"")</f>
        <v/>
      </c>
      <c r="AH159" s="49">
        <f>LEFT(J159,2)</f>
        <v/>
      </c>
    </row>
    <row r="160" hidden="1" ht="12.75" customHeight="1">
      <c r="A160" s="45">
        <f>IFERROR(__xludf.DUMMYFUNCTION("""COMPUTED_VALUE"""),"Colombo")</f>
        <v/>
      </c>
      <c r="B160" s="45" t="n"/>
      <c r="C160" s="45">
        <f>IFERROR(__xludf.DUMMYFUNCTION("""COMPUTED_VALUE"""),3231490)</f>
        <v/>
      </c>
      <c r="D160" s="45" t="n"/>
      <c r="E160" s="45">
        <f>IFERROR(__xludf.DUMMYFUNCTION("""COMPUTED_VALUE"""),"CFS")</f>
        <v/>
      </c>
      <c r="F160" s="45">
        <f>IFERROR(__xludf.DUMMYFUNCTION("""COMPUTED_VALUE"""),"Bodyline Trading (Private) Limited")</f>
        <v/>
      </c>
      <c r="G160" s="45">
        <f>IFERROR(__xludf.DUMMYFUNCTION("""COMPUTED_VALUE"""),"Bodyline (Private) Limited")</f>
        <v/>
      </c>
      <c r="H160" s="43">
        <f>IFERROR(__xludf.DUMMYFUNCTION("""COMPUTED_VALUE"""),452693349562)</f>
        <v/>
      </c>
      <c r="I160" s="45">
        <f>IFERROR(__xludf.DUMMYFUNCTION("""COMPUTED_VALUE"""),19828538)</f>
        <v/>
      </c>
      <c r="J160" s="45">
        <f>IFERROR(__xludf.DUMMYFUNCTION("""COMPUTED_VALUE"""),"LW2DTJS")</f>
        <v/>
      </c>
      <c r="K160" s="45">
        <f>IFERROR(__xludf.DUMMYFUNCTION("""COMPUTED_VALUE"""),"LW2DTJS-035486")</f>
        <v/>
      </c>
      <c r="L160" s="45">
        <f>IFERROR(__xludf.DUMMYFUNCTION("""COMPUTED_VALUE"""),4)</f>
        <v/>
      </c>
      <c r="M160" s="45">
        <f>IFERROR(__xludf.DUMMYFUNCTION("""COMPUTED_VALUE"""),167)</f>
        <v/>
      </c>
      <c r="N160" s="45">
        <f>IFERROR(__xludf.DUMMYFUNCTION("""COMPUTED_VALUE"""),24.457)</f>
        <v/>
      </c>
      <c r="O160" s="45">
        <f>IFERROR(__xludf.DUMMYFUNCTION("""COMPUTED_VALUE"""),0.322)</f>
        <v/>
      </c>
      <c r="P160" s="45">
        <f>IFERROR(__xludf.DUMMYFUNCTION("""COMPUTED_VALUE"""),"Colombo, LK")</f>
        <v/>
      </c>
      <c r="Q160" s="45">
        <f>IFERROR(__xludf.DUMMYFUNCTION("""COMPUTED_VALUE"""),"Rotterdam, NL")</f>
        <v/>
      </c>
      <c r="R160" s="44">
        <f>IFERROR(__xludf.DUMMYFUNCTION("""COMPUTED_VALUE"""),45817)</f>
        <v/>
      </c>
      <c r="S160" s="44">
        <f>IFERROR(__xludf.DUMMYFUNCTION("""COMPUTED_VALUE"""),45871)</f>
        <v/>
      </c>
      <c r="T160" s="45">
        <f>IFERROR(__xludf.DUMMYFUNCTION("""COMPUTED_VALUE"""),"Rotterdam, NL")</f>
        <v/>
      </c>
      <c r="U160" s="45" t="n"/>
      <c r="V160" s="45" t="n"/>
      <c r="W160" s="45" t="n"/>
      <c r="X160" s="45" t="n"/>
      <c r="Y160" s="46">
        <f>IFERROR(__xludf.DUMMYFUNCTION("""COMPUTED_VALUE"""),45825)</f>
        <v/>
      </c>
      <c r="Z160" s="46">
        <f>IFERROR(__xludf.DUMMYFUNCTION("""COMPUTED_VALUE"""),45854)</f>
        <v/>
      </c>
      <c r="AA160" s="46">
        <f>IFERROR(__xludf.DUMMYFUNCTION("""COMPUTED_VALUE"""),45861)</f>
        <v/>
      </c>
      <c r="AB160" s="45">
        <f>IFERROR(__xludf.DUMMYFUNCTION("""COMPUTED_VALUE"""),"Conradweg 26")</f>
        <v/>
      </c>
      <c r="AC160" s="45" t="n"/>
      <c r="AD160" s="45">
        <f>IFERROR(__xludf.DUMMYFUNCTION("""COMPUTED_VALUE"""),"OCEAN")</f>
        <v/>
      </c>
      <c r="AE160" s="45">
        <f>IFERROR(__xludf.DUMMYFUNCTION("""COMPUTED_VALUE"""),"N")</f>
        <v/>
      </c>
      <c r="AF160" s="45" t="n"/>
      <c r="AG160" s="49">
        <f>IFERROR(__xludf.DUMMYFUNCTION("IFNA(vlookup(H160,IMPORTRANGE(""1vUGwO1n0QQGx9kKbO0_M5gmuhXZ6-LaxQxgrmJnzgP0"",""'TP# look up'!A:C""),3,0),"""")"),"")</f>
        <v/>
      </c>
      <c r="AH160" s="49">
        <f>LEFT(J160,2)</f>
        <v/>
      </c>
    </row>
    <row r="161" hidden="1" ht="12.75" customHeight="1">
      <c r="A161" s="45">
        <f>IFERROR(__xludf.DUMMYFUNCTION("""COMPUTED_VALUE"""),"Colombo")</f>
        <v/>
      </c>
      <c r="B161" s="45" t="n"/>
      <c r="C161" s="45">
        <f>IFERROR(__xludf.DUMMYFUNCTION("""COMPUTED_VALUE"""),3231490)</f>
        <v/>
      </c>
      <c r="D161" s="45" t="n"/>
      <c r="E161" s="45">
        <f>IFERROR(__xludf.DUMMYFUNCTION("""COMPUTED_VALUE"""),"CFS")</f>
        <v/>
      </c>
      <c r="F161" s="45">
        <f>IFERROR(__xludf.DUMMYFUNCTION("""COMPUTED_VALUE"""),"MAS AMITY PTE LTD")</f>
        <v/>
      </c>
      <c r="G161" s="45">
        <f>IFERROR(__xludf.DUMMYFUNCTION("""COMPUTED_VALUE"""),"MAS Active(Pvt) Ltd – CONTOURLINE")</f>
        <v/>
      </c>
      <c r="H161" s="43">
        <f>IFERROR(__xludf.DUMMYFUNCTION("""COMPUTED_VALUE"""),452819751965)</f>
        <v/>
      </c>
      <c r="I161" s="45">
        <f>IFERROR(__xludf.DUMMYFUNCTION("""COMPUTED_VALUE"""),19920980)</f>
        <v/>
      </c>
      <c r="J161" s="45">
        <f>IFERROR(__xludf.DUMMYFUNCTION("""COMPUTED_VALUE"""),"LW5FODS")</f>
        <v/>
      </c>
      <c r="K161" s="45">
        <f>IFERROR(__xludf.DUMMYFUNCTION("""COMPUTED_VALUE"""),"LW5FODS-071300")</f>
        <v/>
      </c>
      <c r="L161" s="45">
        <f>IFERROR(__xludf.DUMMYFUNCTION("""COMPUTED_VALUE"""),1)</f>
        <v/>
      </c>
      <c r="M161" s="45">
        <f>IFERROR(__xludf.DUMMYFUNCTION("""COMPUTED_VALUE"""),63)</f>
        <v/>
      </c>
      <c r="N161" s="45">
        <f>IFERROR(__xludf.DUMMYFUNCTION("""COMPUTED_VALUE"""),13.175)</f>
        <v/>
      </c>
      <c r="O161" s="45">
        <f>IFERROR(__xludf.DUMMYFUNCTION("""COMPUTED_VALUE"""),0.079)</f>
        <v/>
      </c>
      <c r="P161" s="45">
        <f>IFERROR(__xludf.DUMMYFUNCTION("""COMPUTED_VALUE"""),"Colombo, LK")</f>
        <v/>
      </c>
      <c r="Q161" s="45">
        <f>IFERROR(__xludf.DUMMYFUNCTION("""COMPUTED_VALUE"""),"Rotterdam, NL")</f>
        <v/>
      </c>
      <c r="R161" s="44">
        <f>IFERROR(__xludf.DUMMYFUNCTION("""COMPUTED_VALUE"""),45817)</f>
        <v/>
      </c>
      <c r="S161" s="44">
        <f>IFERROR(__xludf.DUMMYFUNCTION("""COMPUTED_VALUE"""),45871)</f>
        <v/>
      </c>
      <c r="T161" s="45">
        <f>IFERROR(__xludf.DUMMYFUNCTION("""COMPUTED_VALUE"""),"Rotterdam, NL")</f>
        <v/>
      </c>
      <c r="U161" s="45" t="n"/>
      <c r="V161" s="45" t="n"/>
      <c r="W161" s="45" t="n"/>
      <c r="X161" s="45" t="n"/>
      <c r="Y161" s="46">
        <f>IFERROR(__xludf.DUMMYFUNCTION("""COMPUTED_VALUE"""),45825)</f>
        <v/>
      </c>
      <c r="Z161" s="46">
        <f>IFERROR(__xludf.DUMMYFUNCTION("""COMPUTED_VALUE"""),45854)</f>
        <v/>
      </c>
      <c r="AA161" s="46">
        <f>IFERROR(__xludf.DUMMYFUNCTION("""COMPUTED_VALUE"""),45861)</f>
        <v/>
      </c>
      <c r="AB161" s="45">
        <f>IFERROR(__xludf.DUMMYFUNCTION("""COMPUTED_VALUE"""),"Conradweg 26")</f>
        <v/>
      </c>
      <c r="AC161" s="45" t="n"/>
      <c r="AD161" s="45">
        <f>IFERROR(__xludf.DUMMYFUNCTION("""COMPUTED_VALUE"""),"OCEAN")</f>
        <v/>
      </c>
      <c r="AE161" s="45">
        <f>IFERROR(__xludf.DUMMYFUNCTION("""COMPUTED_VALUE"""),"N")</f>
        <v/>
      </c>
      <c r="AF161" s="45" t="n"/>
      <c r="AG161" s="49">
        <f>IFERROR(__xludf.DUMMYFUNCTION("IFNA(vlookup(H161,IMPORTRANGE(""1vUGwO1n0QQGx9kKbO0_M5gmuhXZ6-LaxQxgrmJnzgP0"",""'TP# look up'!A:C""),3,0),"""")"),"")</f>
        <v/>
      </c>
      <c r="AH161" s="49">
        <f>LEFT(J161,2)</f>
        <v/>
      </c>
    </row>
    <row r="162" hidden="1" ht="12.75" customHeight="1">
      <c r="A162" s="45">
        <f>IFERROR(__xludf.DUMMYFUNCTION("""COMPUTED_VALUE"""),"Colombo")</f>
        <v/>
      </c>
      <c r="B162" s="45" t="n"/>
      <c r="C162" s="45">
        <f>IFERROR(__xludf.DUMMYFUNCTION("""COMPUTED_VALUE"""),3231490)</f>
        <v/>
      </c>
      <c r="D162" s="45" t="n"/>
      <c r="E162" s="45">
        <f>IFERROR(__xludf.DUMMYFUNCTION("""COMPUTED_VALUE"""),"CFS")</f>
        <v/>
      </c>
      <c r="F162" s="45">
        <f>IFERROR(__xludf.DUMMYFUNCTION("""COMPUTED_VALUE"""),"Inqube Global (PVT) Ltd")</f>
        <v/>
      </c>
      <c r="G162" s="45">
        <f>IFERROR(__xludf.DUMMYFUNCTION("""COMPUTED_VALUE"""),"Brandix Apparel Solutions Limited - Minuwangoda")</f>
        <v/>
      </c>
      <c r="H162" s="43">
        <f>IFERROR(__xludf.DUMMYFUNCTION("""COMPUTED_VALUE"""),450837233705)</f>
        <v/>
      </c>
      <c r="I162" s="45">
        <f>IFERROR(__xludf.DUMMYFUNCTION("""COMPUTED_VALUE"""),19854895)</f>
        <v/>
      </c>
      <c r="J162" s="45">
        <f>IFERROR(__xludf.DUMMYFUNCTION("""COMPUTED_VALUE"""),"LW3KASS")</f>
        <v/>
      </c>
      <c r="K162" s="45">
        <f>IFERROR(__xludf.DUMMYFUNCTION("""COMPUTED_VALUE"""),"LW3KASS-070108")</f>
        <v/>
      </c>
      <c r="L162" s="45">
        <f>IFERROR(__xludf.DUMMYFUNCTION("""COMPUTED_VALUE"""),5)</f>
        <v/>
      </c>
      <c r="M162" s="45">
        <f>IFERROR(__xludf.DUMMYFUNCTION("""COMPUTED_VALUE"""),144)</f>
        <v/>
      </c>
      <c r="N162" s="45">
        <f>IFERROR(__xludf.DUMMYFUNCTION("""COMPUTED_VALUE"""),43.935)</f>
        <v/>
      </c>
      <c r="O162" s="45">
        <f>IFERROR(__xludf.DUMMYFUNCTION("""COMPUTED_VALUE"""),0.393)</f>
        <v/>
      </c>
      <c r="P162" s="45">
        <f>IFERROR(__xludf.DUMMYFUNCTION("""COMPUTED_VALUE"""),"Colombo, LK")</f>
        <v/>
      </c>
      <c r="Q162" s="45">
        <f>IFERROR(__xludf.DUMMYFUNCTION("""COMPUTED_VALUE"""),"Rotterdam, NL")</f>
        <v/>
      </c>
      <c r="R162" s="44">
        <f>IFERROR(__xludf.DUMMYFUNCTION("""COMPUTED_VALUE"""),45817)</f>
        <v/>
      </c>
      <c r="S162" s="44">
        <f>IFERROR(__xludf.DUMMYFUNCTION("""COMPUTED_VALUE"""),45871)</f>
        <v/>
      </c>
      <c r="T162" s="45">
        <f>IFERROR(__xludf.DUMMYFUNCTION("""COMPUTED_VALUE"""),"Rotterdam, NL")</f>
        <v/>
      </c>
      <c r="U162" s="45" t="n"/>
      <c r="V162" s="45" t="n"/>
      <c r="W162" s="45" t="n"/>
      <c r="X162" s="45" t="n"/>
      <c r="Y162" s="46">
        <f>IFERROR(__xludf.DUMMYFUNCTION("""COMPUTED_VALUE"""),45825)</f>
        <v/>
      </c>
      <c r="Z162" s="46">
        <f>IFERROR(__xludf.DUMMYFUNCTION("""COMPUTED_VALUE"""),45854)</f>
        <v/>
      </c>
      <c r="AA162" s="46">
        <f>IFERROR(__xludf.DUMMYFUNCTION("""COMPUTED_VALUE"""),45861)</f>
        <v/>
      </c>
      <c r="AB162" s="45">
        <f>IFERROR(__xludf.DUMMYFUNCTION("""COMPUTED_VALUE"""),"Conradweg 26")</f>
        <v/>
      </c>
      <c r="AC162" s="45" t="n"/>
      <c r="AD162" s="45">
        <f>IFERROR(__xludf.DUMMYFUNCTION("""COMPUTED_VALUE"""),"OCEAN")</f>
        <v/>
      </c>
      <c r="AE162" s="45">
        <f>IFERROR(__xludf.DUMMYFUNCTION("""COMPUTED_VALUE"""),"N")</f>
        <v/>
      </c>
      <c r="AF162" s="45" t="n"/>
      <c r="AG162" s="49">
        <f>IFERROR(__xludf.DUMMYFUNCTION("IFNA(vlookup(H162,IMPORTRANGE(""1vUGwO1n0QQGx9kKbO0_M5gmuhXZ6-LaxQxgrmJnzgP0"",""'TP# look up'!A:C""),3,0),"""")"),"")</f>
        <v/>
      </c>
      <c r="AH162" s="49">
        <f>LEFT(J162,2)</f>
        <v/>
      </c>
    </row>
    <row r="163" hidden="1" ht="12.75" customHeight="1">
      <c r="A163" s="45">
        <f>IFERROR(__xludf.DUMMYFUNCTION("""COMPUTED_VALUE"""),"Colombo")</f>
        <v/>
      </c>
      <c r="B163" s="45" t="n"/>
      <c r="C163" s="45">
        <f>IFERROR(__xludf.DUMMYFUNCTION("""COMPUTED_VALUE"""),3231490)</f>
        <v/>
      </c>
      <c r="D163" s="45" t="n"/>
      <c r="E163" s="45">
        <f>IFERROR(__xludf.DUMMYFUNCTION("""COMPUTED_VALUE"""),"CFS")</f>
        <v/>
      </c>
      <c r="F163" s="45">
        <f>IFERROR(__xludf.DUMMYFUNCTION("""COMPUTED_VALUE"""),"Inqube Global (PVT) Ltd")</f>
        <v/>
      </c>
      <c r="G163" s="45">
        <f>IFERROR(__xludf.DUMMYFUNCTION("""COMPUTED_VALUE"""),"Brandix Apparel Solutions Limited - Minuwangoda")</f>
        <v/>
      </c>
      <c r="H163" s="43">
        <f>IFERROR(__xludf.DUMMYFUNCTION("""COMPUTED_VALUE"""),450835976826)</f>
        <v/>
      </c>
      <c r="I163" s="45">
        <f>IFERROR(__xludf.DUMMYFUNCTION("""COMPUTED_VALUE"""),19854893)</f>
        <v/>
      </c>
      <c r="J163" s="45">
        <f>IFERROR(__xludf.DUMMYFUNCTION("""COMPUTED_VALUE"""),"LW3KASS")</f>
        <v/>
      </c>
      <c r="K163" s="45">
        <f>IFERROR(__xludf.DUMMYFUNCTION("""COMPUTED_VALUE"""),"LW3KASS-070108")</f>
        <v/>
      </c>
      <c r="L163" s="45">
        <f>IFERROR(__xludf.DUMMYFUNCTION("""COMPUTED_VALUE"""),9)</f>
        <v/>
      </c>
      <c r="M163" s="45">
        <f>IFERROR(__xludf.DUMMYFUNCTION("""COMPUTED_VALUE"""),215)</f>
        <v/>
      </c>
      <c r="N163" s="45">
        <f>IFERROR(__xludf.DUMMYFUNCTION("""COMPUTED_VALUE"""),67.185)</f>
        <v/>
      </c>
      <c r="O163" s="45">
        <f>IFERROR(__xludf.DUMMYFUNCTION("""COMPUTED_VALUE"""),0.707)</f>
        <v/>
      </c>
      <c r="P163" s="45">
        <f>IFERROR(__xludf.DUMMYFUNCTION("""COMPUTED_VALUE"""),"Colombo, LK")</f>
        <v/>
      </c>
      <c r="Q163" s="45">
        <f>IFERROR(__xludf.DUMMYFUNCTION("""COMPUTED_VALUE"""),"Rotterdam, NL")</f>
        <v/>
      </c>
      <c r="R163" s="44">
        <f>IFERROR(__xludf.DUMMYFUNCTION("""COMPUTED_VALUE"""),45817)</f>
        <v/>
      </c>
      <c r="S163" s="44">
        <f>IFERROR(__xludf.DUMMYFUNCTION("""COMPUTED_VALUE"""),45871)</f>
        <v/>
      </c>
      <c r="T163" s="45">
        <f>IFERROR(__xludf.DUMMYFUNCTION("""COMPUTED_VALUE"""),"Rotterdam, NL")</f>
        <v/>
      </c>
      <c r="U163" s="45" t="n"/>
      <c r="V163" s="45" t="n"/>
      <c r="W163" s="45" t="n"/>
      <c r="X163" s="45" t="n"/>
      <c r="Y163" s="46">
        <f>IFERROR(__xludf.DUMMYFUNCTION("""COMPUTED_VALUE"""),45825)</f>
        <v/>
      </c>
      <c r="Z163" s="46">
        <f>IFERROR(__xludf.DUMMYFUNCTION("""COMPUTED_VALUE"""),45854)</f>
        <v/>
      </c>
      <c r="AA163" s="46">
        <f>IFERROR(__xludf.DUMMYFUNCTION("""COMPUTED_VALUE"""),45861)</f>
        <v/>
      </c>
      <c r="AB163" s="45">
        <f>IFERROR(__xludf.DUMMYFUNCTION("""COMPUTED_VALUE"""),"Conradweg 26")</f>
        <v/>
      </c>
      <c r="AC163" s="45" t="n"/>
      <c r="AD163" s="45">
        <f>IFERROR(__xludf.DUMMYFUNCTION("""COMPUTED_VALUE"""),"OCEAN")</f>
        <v/>
      </c>
      <c r="AE163" s="45">
        <f>IFERROR(__xludf.DUMMYFUNCTION("""COMPUTED_VALUE"""),"N")</f>
        <v/>
      </c>
      <c r="AF163" s="45" t="n"/>
      <c r="AG163" s="49">
        <f>IFERROR(__xludf.DUMMYFUNCTION("IFNA(vlookup(H163,IMPORTRANGE(""1vUGwO1n0QQGx9kKbO0_M5gmuhXZ6-LaxQxgrmJnzgP0"",""'TP# look up'!A:C""),3,0),"""")"),"")</f>
        <v/>
      </c>
      <c r="AH163" s="49">
        <f>LEFT(J163,2)</f>
        <v/>
      </c>
    </row>
    <row r="164" hidden="1" ht="12.75" customHeight="1">
      <c r="A164" s="45">
        <f>IFERROR(__xludf.DUMMYFUNCTION("""COMPUTED_VALUE"""),"Colombo")</f>
        <v/>
      </c>
      <c r="B164" s="45" t="n"/>
      <c r="C164" s="45">
        <f>IFERROR(__xludf.DUMMYFUNCTION("""COMPUTED_VALUE"""),3231352)</f>
        <v/>
      </c>
      <c r="D164" s="45" t="n"/>
      <c r="E164" s="45">
        <f>IFERROR(__xludf.DUMMYFUNCTION("""COMPUTED_VALUE"""),"CFS")</f>
        <v/>
      </c>
      <c r="F164" s="45">
        <f>IFERROR(__xludf.DUMMYFUNCTION("""COMPUTED_VALUE"""),"MAS AMITY PTE LTD")</f>
        <v/>
      </c>
      <c r="G164" s="45">
        <f>IFERROR(__xludf.DUMMYFUNCTION("""COMPUTED_VALUE"""),"MAS Active(Pvt) Ltd – CONTOURLINE")</f>
        <v/>
      </c>
      <c r="H164" s="43">
        <f>IFERROR(__xludf.DUMMYFUNCTION("""COMPUTED_VALUE"""),450953461664)</f>
        <v/>
      </c>
      <c r="I164" s="45">
        <f>IFERROR(__xludf.DUMMYFUNCTION("""COMPUTED_VALUE"""),19925417)</f>
        <v/>
      </c>
      <c r="J164" s="45">
        <f>IFERROR(__xludf.DUMMYFUNCTION("""COMPUTED_VALUE"""),"LW5FARS")</f>
        <v/>
      </c>
      <c r="K164" s="45">
        <f>IFERROR(__xludf.DUMMYFUNCTION("""COMPUTED_VALUE"""),"LW5FARS-0001")</f>
        <v/>
      </c>
      <c r="L164" s="45">
        <f>IFERROR(__xludf.DUMMYFUNCTION("""COMPUTED_VALUE"""),1)</f>
        <v/>
      </c>
      <c r="M164" s="45">
        <f>IFERROR(__xludf.DUMMYFUNCTION("""COMPUTED_VALUE"""),2)</f>
        <v/>
      </c>
      <c r="N164" s="45">
        <f>IFERROR(__xludf.DUMMYFUNCTION("""COMPUTED_VALUE"""),1.359)</f>
        <v/>
      </c>
      <c r="O164" s="45">
        <f>IFERROR(__xludf.DUMMYFUNCTION("""COMPUTED_VALUE"""),0.039)</f>
        <v/>
      </c>
      <c r="P164" s="45">
        <f>IFERROR(__xludf.DUMMYFUNCTION("""COMPUTED_VALUE"""),"Colombo, LK")</f>
        <v/>
      </c>
      <c r="Q164" s="45">
        <f>IFERROR(__xludf.DUMMYFUNCTION("""COMPUTED_VALUE"""),"New York, NY, US")</f>
        <v/>
      </c>
      <c r="R164" s="44">
        <f>IFERROR(__xludf.DUMMYFUNCTION("""COMPUTED_VALUE"""),45817)</f>
        <v/>
      </c>
      <c r="S164" s="44">
        <f>IFERROR(__xludf.DUMMYFUNCTION("""COMPUTED_VALUE"""),45876)</f>
        <v/>
      </c>
      <c r="T164" s="45">
        <f>IFERROR(__xludf.DUMMYFUNCTION("""COMPUTED_VALUE"""),"Mississauga, ON, CA")</f>
        <v/>
      </c>
      <c r="U164" s="45" t="n"/>
      <c r="V164" s="45" t="n"/>
      <c r="W164" s="45" t="n"/>
      <c r="X164" s="45" t="n"/>
      <c r="Y164" s="46">
        <f>IFERROR(__xludf.DUMMYFUNCTION("""COMPUTED_VALUE"""),45825)</f>
        <v/>
      </c>
      <c r="Z164" s="46">
        <f>IFERROR(__xludf.DUMMYFUNCTION("""COMPUTED_VALUE"""),45854)</f>
        <v/>
      </c>
      <c r="AA164" s="46">
        <f>IFERROR(__xludf.DUMMYFUNCTION("""COMPUTED_VALUE"""),45867)</f>
        <v/>
      </c>
      <c r="AB164" s="45">
        <f>IFERROR(__xludf.DUMMYFUNCTION("""COMPUTED_VALUE"""),"3500 Argentia Road")</f>
        <v/>
      </c>
      <c r="AC164" s="45" t="n"/>
      <c r="AD164" s="45">
        <f>IFERROR(__xludf.DUMMYFUNCTION("""COMPUTED_VALUE"""),"OCEAN")</f>
        <v/>
      </c>
      <c r="AE164" s="45">
        <f>IFERROR(__xludf.DUMMYFUNCTION("""COMPUTED_VALUE"""),"N")</f>
        <v/>
      </c>
      <c r="AF164" s="45" t="n"/>
      <c r="AG164" s="49">
        <f>IFERROR(__xludf.DUMMYFUNCTION("IFNA(vlookup(H164,IMPORTRANGE(""1vUGwO1n0QQGx9kKbO0_M5gmuhXZ6-LaxQxgrmJnzgP0"",""'TP# look up'!A:C""),3,0),"""")"),"")</f>
        <v/>
      </c>
      <c r="AH164" s="49">
        <f>LEFT(J164,2)</f>
        <v/>
      </c>
    </row>
    <row r="165" hidden="1" ht="12.75" customHeight="1">
      <c r="A165" s="45">
        <f>IFERROR(__xludf.DUMMYFUNCTION("""COMPUTED_VALUE"""),"Colombo")</f>
        <v/>
      </c>
      <c r="B165" s="45" t="n"/>
      <c r="C165" s="45">
        <f>IFERROR(__xludf.DUMMYFUNCTION("""COMPUTED_VALUE"""),3254118)</f>
        <v/>
      </c>
      <c r="D165" s="45" t="n"/>
      <c r="E165" s="45">
        <f>IFERROR(__xludf.DUMMYFUNCTION("""COMPUTED_VALUE"""),"CFS")</f>
        <v/>
      </c>
      <c r="F165" s="45">
        <f>IFERROR(__xludf.DUMMYFUNCTION("""COMPUTED_VALUE"""),"Inqube Global (PVT) Ltd")</f>
        <v/>
      </c>
      <c r="G165" s="45">
        <f>IFERROR(__xludf.DUMMYFUNCTION("""COMPUTED_VALUE"""),"BRANDIX APPAREL SOLUTION LTD - GIRITALE")</f>
        <v/>
      </c>
      <c r="H165" s="43">
        <f>IFERROR(__xludf.DUMMYFUNCTION("""COMPUTED_VALUE"""),452503025214)</f>
        <v/>
      </c>
      <c r="I165" s="45">
        <f>IFERROR(__xludf.DUMMYFUNCTION("""COMPUTED_VALUE"""),19807145)</f>
        <v/>
      </c>
      <c r="J165" s="45">
        <f>IFERROR(__xludf.DUMMYFUNCTION("""COMPUTED_VALUE"""),"LM5BKOS")</f>
        <v/>
      </c>
      <c r="K165" s="45">
        <f>IFERROR(__xludf.DUMMYFUNCTION("""COMPUTED_VALUE"""),"LM5BKOS-031382")</f>
        <v/>
      </c>
      <c r="L165" s="45">
        <f>IFERROR(__xludf.DUMMYFUNCTION("""COMPUTED_VALUE"""),6)</f>
        <v/>
      </c>
      <c r="M165" s="45">
        <f>IFERROR(__xludf.DUMMYFUNCTION("""COMPUTED_VALUE"""),215)</f>
        <v/>
      </c>
      <c r="N165" s="45">
        <f>IFERROR(__xludf.DUMMYFUNCTION("""COMPUTED_VALUE"""),85.4)</f>
        <v/>
      </c>
      <c r="O165" s="45">
        <f>IFERROR(__xludf.DUMMYFUNCTION("""COMPUTED_VALUE"""),0.495)</f>
        <v/>
      </c>
      <c r="P165" s="45">
        <f>IFERROR(__xludf.DUMMYFUNCTION("""COMPUTED_VALUE"""),"Colombo, LK")</f>
        <v/>
      </c>
      <c r="Q165" s="45">
        <f>IFERROR(__xludf.DUMMYFUNCTION("""COMPUTED_VALUE"""),"Felixstowe, GB")</f>
        <v/>
      </c>
      <c r="R165" s="44">
        <f>IFERROR(__xludf.DUMMYFUNCTION("""COMPUTED_VALUE"""),45824)</f>
        <v/>
      </c>
      <c r="S165" s="44">
        <f>IFERROR(__xludf.DUMMYFUNCTION("""COMPUTED_VALUE"""),45883)</f>
        <v/>
      </c>
      <c r="T165" s="45">
        <f>IFERROR(__xludf.DUMMYFUNCTION("""COMPUTED_VALUE"""),"Birmingham, GB")</f>
        <v/>
      </c>
      <c r="U165" s="45" t="n"/>
      <c r="V165" s="45" t="n"/>
      <c r="W165" s="45" t="n"/>
      <c r="X165" s="45" t="n"/>
      <c r="Y165" s="46">
        <f>IFERROR(__xludf.DUMMYFUNCTION("""COMPUTED_VALUE"""),45824)</f>
        <v/>
      </c>
      <c r="Z165" s="46">
        <f>IFERROR(__xludf.DUMMYFUNCTION("""COMPUTED_VALUE"""),45852)</f>
        <v/>
      </c>
      <c r="AA165" s="46">
        <f>IFERROR(__xludf.DUMMYFUNCTION("""COMPUTED_VALUE"""),45859)</f>
        <v/>
      </c>
      <c r="AB165" s="45">
        <f>IFERROR(__xludf.DUMMYFUNCTION("""COMPUTED_VALUE"""),"10A Faraday Ave")</f>
        <v/>
      </c>
      <c r="AC165" s="45">
        <f>IFERROR(__xludf.DUMMYFUNCTION("""COMPUTED_VALUE"""),"Coleshill")</f>
        <v/>
      </c>
      <c r="AD165" s="45">
        <f>IFERROR(__xludf.DUMMYFUNCTION("""COMPUTED_VALUE"""),"OCEAN")</f>
        <v/>
      </c>
      <c r="AE165" s="45">
        <f>IFERROR(__xludf.DUMMYFUNCTION("""COMPUTED_VALUE"""),"N")</f>
        <v/>
      </c>
      <c r="AF165" s="45" t="n"/>
      <c r="AG165" s="49">
        <f>IFERROR(__xludf.DUMMYFUNCTION("IFNA(vlookup(H165,IMPORTRANGE(""1vUGwO1n0QQGx9kKbO0_M5gmuhXZ6-LaxQxgrmJnzgP0"",""'TP# look up'!A:C""),3,0),"""")"),"")</f>
        <v/>
      </c>
      <c r="AH165" s="49">
        <f>LEFT(J165,2)</f>
        <v/>
      </c>
    </row>
    <row r="166" hidden="1" ht="12.75" customHeight="1">
      <c r="A166" s="45">
        <f>IFERROR(__xludf.DUMMYFUNCTION("""COMPUTED_VALUE"""),"Colombo")</f>
        <v/>
      </c>
      <c r="B166" s="45" t="n"/>
      <c r="C166" s="45">
        <f>IFERROR(__xludf.DUMMYFUNCTION("""COMPUTED_VALUE"""),3254118)</f>
        <v/>
      </c>
      <c r="D166" s="45" t="n"/>
      <c r="E166" s="45">
        <f>IFERROR(__xludf.DUMMYFUNCTION("""COMPUTED_VALUE"""),"CFS")</f>
        <v/>
      </c>
      <c r="F166" s="45">
        <f>IFERROR(__xludf.DUMMYFUNCTION("""COMPUTED_VALUE"""),"Inqube Global (PVT) Ltd")</f>
        <v/>
      </c>
      <c r="G166" s="45">
        <f>IFERROR(__xludf.DUMMYFUNCTION("""COMPUTED_VALUE"""),"BRANDIX APPAREL SOLUTION LTD - GIRITALE")</f>
        <v/>
      </c>
      <c r="H166" s="43">
        <f>IFERROR(__xludf.DUMMYFUNCTION("""COMPUTED_VALUE"""),452503031243)</f>
        <v/>
      </c>
      <c r="I166" s="45">
        <f>IFERROR(__xludf.DUMMYFUNCTION("""COMPUTED_VALUE"""),19807150)</f>
        <v/>
      </c>
      <c r="J166" s="45">
        <f>IFERROR(__xludf.DUMMYFUNCTION("""COMPUTED_VALUE"""),"LM5BKOS")</f>
        <v/>
      </c>
      <c r="K166" s="45">
        <f>IFERROR(__xludf.DUMMYFUNCTION("""COMPUTED_VALUE"""),"LM5BKOS-031382")</f>
        <v/>
      </c>
      <c r="L166" s="45">
        <f>IFERROR(__xludf.DUMMYFUNCTION("""COMPUTED_VALUE"""),5)</f>
        <v/>
      </c>
      <c r="M166" s="45">
        <f>IFERROR(__xludf.DUMMYFUNCTION("""COMPUTED_VALUE"""),169)</f>
        <v/>
      </c>
      <c r="N166" s="45">
        <f>IFERROR(__xludf.DUMMYFUNCTION("""COMPUTED_VALUE"""),67.46)</f>
        <v/>
      </c>
      <c r="O166" s="45">
        <f>IFERROR(__xludf.DUMMYFUNCTION("""COMPUTED_VALUE"""),0.373)</f>
        <v/>
      </c>
      <c r="P166" s="45">
        <f>IFERROR(__xludf.DUMMYFUNCTION("""COMPUTED_VALUE"""),"Colombo, LK")</f>
        <v/>
      </c>
      <c r="Q166" s="45">
        <f>IFERROR(__xludf.DUMMYFUNCTION("""COMPUTED_VALUE"""),"Felixstowe, GB")</f>
        <v/>
      </c>
      <c r="R166" s="44">
        <f>IFERROR(__xludf.DUMMYFUNCTION("""COMPUTED_VALUE"""),45824)</f>
        <v/>
      </c>
      <c r="S166" s="44">
        <f>IFERROR(__xludf.DUMMYFUNCTION("""COMPUTED_VALUE"""),45883)</f>
        <v/>
      </c>
      <c r="T166" s="45">
        <f>IFERROR(__xludf.DUMMYFUNCTION("""COMPUTED_VALUE"""),"Birmingham, GB")</f>
        <v/>
      </c>
      <c r="U166" s="45" t="n"/>
      <c r="V166" s="45" t="n"/>
      <c r="W166" s="45" t="n"/>
      <c r="X166" s="45" t="n"/>
      <c r="Y166" s="46">
        <f>IFERROR(__xludf.DUMMYFUNCTION("""COMPUTED_VALUE"""),45824)</f>
        <v/>
      </c>
      <c r="Z166" s="46">
        <f>IFERROR(__xludf.DUMMYFUNCTION("""COMPUTED_VALUE"""),45852)</f>
        <v/>
      </c>
      <c r="AA166" s="46">
        <f>IFERROR(__xludf.DUMMYFUNCTION("""COMPUTED_VALUE"""),45859)</f>
        <v/>
      </c>
      <c r="AB166" s="45">
        <f>IFERROR(__xludf.DUMMYFUNCTION("""COMPUTED_VALUE"""),"10A Faraday Ave")</f>
        <v/>
      </c>
      <c r="AC166" s="45">
        <f>IFERROR(__xludf.DUMMYFUNCTION("""COMPUTED_VALUE"""),"Coleshill")</f>
        <v/>
      </c>
      <c r="AD166" s="45">
        <f>IFERROR(__xludf.DUMMYFUNCTION("""COMPUTED_VALUE"""),"OCEAN")</f>
        <v/>
      </c>
      <c r="AE166" s="45">
        <f>IFERROR(__xludf.DUMMYFUNCTION("""COMPUTED_VALUE"""),"N")</f>
        <v/>
      </c>
      <c r="AF166" s="45" t="n"/>
      <c r="AG166" s="49">
        <f>IFERROR(__xludf.DUMMYFUNCTION("IFNA(vlookup(H166,IMPORTRANGE(""1vUGwO1n0QQGx9kKbO0_M5gmuhXZ6-LaxQxgrmJnzgP0"",""'TP# look up'!A:C""),3,0),"""")"),"")</f>
        <v/>
      </c>
      <c r="AH166" s="49">
        <f>LEFT(J166,2)</f>
        <v/>
      </c>
    </row>
    <row r="167" hidden="1" ht="12.75" customHeight="1">
      <c r="A167" s="45">
        <f>IFERROR(__xludf.DUMMYFUNCTION("""COMPUTED_VALUE"""),"Colombo")</f>
        <v/>
      </c>
      <c r="B167" s="45" t="n"/>
      <c r="C167" s="45">
        <f>IFERROR(__xludf.DUMMYFUNCTION("""COMPUTED_VALUE"""),3254118)</f>
        <v/>
      </c>
      <c r="D167" s="45" t="n"/>
      <c r="E167" s="45">
        <f>IFERROR(__xludf.DUMMYFUNCTION("""COMPUTED_VALUE"""),"CFS")</f>
        <v/>
      </c>
      <c r="F167" s="45">
        <f>IFERROR(__xludf.DUMMYFUNCTION("""COMPUTED_VALUE"""),"Inqube Global (PVT) Ltd")</f>
        <v/>
      </c>
      <c r="G167" s="45">
        <f>IFERROR(__xludf.DUMMYFUNCTION("""COMPUTED_VALUE"""),"BRANDIX APPAREL SOLUTION LTD - GIRITALE")</f>
        <v/>
      </c>
      <c r="H167" s="43">
        <f>IFERROR(__xludf.DUMMYFUNCTION("""COMPUTED_VALUE"""),452503041065)</f>
        <v/>
      </c>
      <c r="I167" s="45">
        <f>IFERROR(__xludf.DUMMYFUNCTION("""COMPUTED_VALUE"""),19807140)</f>
        <v/>
      </c>
      <c r="J167" s="45">
        <f>IFERROR(__xludf.DUMMYFUNCTION("""COMPUTED_VALUE"""),"LM5BKOS")</f>
        <v/>
      </c>
      <c r="K167" s="45">
        <f>IFERROR(__xludf.DUMMYFUNCTION("""COMPUTED_VALUE"""),"LM5BKOS-0001")</f>
        <v/>
      </c>
      <c r="L167" s="45">
        <f>IFERROR(__xludf.DUMMYFUNCTION("""COMPUTED_VALUE"""),8)</f>
        <v/>
      </c>
      <c r="M167" s="45">
        <f>IFERROR(__xludf.DUMMYFUNCTION("""COMPUTED_VALUE"""),275)</f>
        <v/>
      </c>
      <c r="N167" s="45">
        <f>IFERROR(__xludf.DUMMYFUNCTION("""COMPUTED_VALUE"""),109.2)</f>
        <v/>
      </c>
      <c r="O167" s="45">
        <f>IFERROR(__xludf.DUMMYFUNCTION("""COMPUTED_VALUE"""),0.58)</f>
        <v/>
      </c>
      <c r="P167" s="45">
        <f>IFERROR(__xludf.DUMMYFUNCTION("""COMPUTED_VALUE"""),"Colombo, LK")</f>
        <v/>
      </c>
      <c r="Q167" s="45">
        <f>IFERROR(__xludf.DUMMYFUNCTION("""COMPUTED_VALUE"""),"Felixstowe, GB")</f>
        <v/>
      </c>
      <c r="R167" s="44">
        <f>IFERROR(__xludf.DUMMYFUNCTION("""COMPUTED_VALUE"""),45824)</f>
        <v/>
      </c>
      <c r="S167" s="44">
        <f>IFERROR(__xludf.DUMMYFUNCTION("""COMPUTED_VALUE"""),45883)</f>
        <v/>
      </c>
      <c r="T167" s="45">
        <f>IFERROR(__xludf.DUMMYFUNCTION("""COMPUTED_VALUE"""),"Birmingham, GB")</f>
        <v/>
      </c>
      <c r="U167" s="45" t="n"/>
      <c r="V167" s="45" t="n"/>
      <c r="W167" s="45" t="n"/>
      <c r="X167" s="45" t="n"/>
      <c r="Y167" s="46">
        <f>IFERROR(__xludf.DUMMYFUNCTION("""COMPUTED_VALUE"""),45824)</f>
        <v/>
      </c>
      <c r="Z167" s="46">
        <f>IFERROR(__xludf.DUMMYFUNCTION("""COMPUTED_VALUE"""),45852)</f>
        <v/>
      </c>
      <c r="AA167" s="46">
        <f>IFERROR(__xludf.DUMMYFUNCTION("""COMPUTED_VALUE"""),45859)</f>
        <v/>
      </c>
      <c r="AB167" s="45">
        <f>IFERROR(__xludf.DUMMYFUNCTION("""COMPUTED_VALUE"""),"10A Faraday Ave")</f>
        <v/>
      </c>
      <c r="AC167" s="45">
        <f>IFERROR(__xludf.DUMMYFUNCTION("""COMPUTED_VALUE"""),"Coleshill")</f>
        <v/>
      </c>
      <c r="AD167" s="45">
        <f>IFERROR(__xludf.DUMMYFUNCTION("""COMPUTED_VALUE"""),"OCEAN")</f>
        <v/>
      </c>
      <c r="AE167" s="45">
        <f>IFERROR(__xludf.DUMMYFUNCTION("""COMPUTED_VALUE"""),"N")</f>
        <v/>
      </c>
      <c r="AF167" s="45" t="n"/>
      <c r="AG167" s="49">
        <f>IFERROR(__xludf.DUMMYFUNCTION("IFNA(vlookup(H167,IMPORTRANGE(""1vUGwO1n0QQGx9kKbO0_M5gmuhXZ6-LaxQxgrmJnzgP0"",""'TP# look up'!A:C""),3,0),"""")"),"")</f>
        <v/>
      </c>
      <c r="AH167" s="49">
        <f>LEFT(J167,2)</f>
        <v/>
      </c>
    </row>
    <row r="168" hidden="1" ht="12.75" customHeight="1">
      <c r="A168" s="45">
        <f>IFERROR(__xludf.DUMMYFUNCTION("""COMPUTED_VALUE"""),"Colombo")</f>
        <v/>
      </c>
      <c r="B168" s="45" t="n"/>
      <c r="C168" s="45">
        <f>IFERROR(__xludf.DUMMYFUNCTION("""COMPUTED_VALUE"""),3254118)</f>
        <v/>
      </c>
      <c r="D168" s="45" t="n"/>
      <c r="E168" s="45">
        <f>IFERROR(__xludf.DUMMYFUNCTION("""COMPUTED_VALUE"""),"CFS")</f>
        <v/>
      </c>
      <c r="F168" s="45">
        <f>IFERROR(__xludf.DUMMYFUNCTION("""COMPUTED_VALUE"""),"Inqube Global (PVT) Ltd")</f>
        <v/>
      </c>
      <c r="G168" s="45">
        <f>IFERROR(__xludf.DUMMYFUNCTION("""COMPUTED_VALUE"""),"BRANDIX APPAREL SOLUTION LTD - GIRITALE")</f>
        <v/>
      </c>
      <c r="H168" s="43">
        <f>IFERROR(__xludf.DUMMYFUNCTION("""COMPUTED_VALUE"""),452503345762)</f>
        <v/>
      </c>
      <c r="I168" s="45">
        <f>IFERROR(__xludf.DUMMYFUNCTION("""COMPUTED_VALUE"""),19807152)</f>
        <v/>
      </c>
      <c r="J168" s="45">
        <f>IFERROR(__xludf.DUMMYFUNCTION("""COMPUTED_VALUE"""),"LM5BL3S")</f>
        <v/>
      </c>
      <c r="K168" s="45">
        <f>IFERROR(__xludf.DUMMYFUNCTION("""COMPUTED_VALUE"""),"LM5BL3S-045739")</f>
        <v/>
      </c>
      <c r="L168" s="45">
        <f>IFERROR(__xludf.DUMMYFUNCTION("""COMPUTED_VALUE"""),1)</f>
        <v/>
      </c>
      <c r="M168" s="45">
        <f>IFERROR(__xludf.DUMMYFUNCTION("""COMPUTED_VALUE"""),23)</f>
        <v/>
      </c>
      <c r="N168" s="45">
        <f>IFERROR(__xludf.DUMMYFUNCTION("""COMPUTED_VALUE"""),9.33)</f>
        <v/>
      </c>
      <c r="O168" s="45">
        <f>IFERROR(__xludf.DUMMYFUNCTION("""COMPUTED_VALUE"""),0.083)</f>
        <v/>
      </c>
      <c r="P168" s="45">
        <f>IFERROR(__xludf.DUMMYFUNCTION("""COMPUTED_VALUE"""),"Colombo, LK")</f>
        <v/>
      </c>
      <c r="Q168" s="45">
        <f>IFERROR(__xludf.DUMMYFUNCTION("""COMPUTED_VALUE"""),"Felixstowe, GB")</f>
        <v/>
      </c>
      <c r="R168" s="44">
        <f>IFERROR(__xludf.DUMMYFUNCTION("""COMPUTED_VALUE"""),45824)</f>
        <v/>
      </c>
      <c r="S168" s="44">
        <f>IFERROR(__xludf.DUMMYFUNCTION("""COMPUTED_VALUE"""),45883)</f>
        <v/>
      </c>
      <c r="T168" s="45">
        <f>IFERROR(__xludf.DUMMYFUNCTION("""COMPUTED_VALUE"""),"Birmingham, GB")</f>
        <v/>
      </c>
      <c r="U168" s="45" t="n"/>
      <c r="V168" s="45" t="n"/>
      <c r="W168" s="45" t="n"/>
      <c r="X168" s="45" t="n"/>
      <c r="Y168" s="46">
        <f>IFERROR(__xludf.DUMMYFUNCTION("""COMPUTED_VALUE"""),45824)</f>
        <v/>
      </c>
      <c r="Z168" s="46">
        <f>IFERROR(__xludf.DUMMYFUNCTION("""COMPUTED_VALUE"""),45852)</f>
        <v/>
      </c>
      <c r="AA168" s="46">
        <f>IFERROR(__xludf.DUMMYFUNCTION("""COMPUTED_VALUE"""),45859)</f>
        <v/>
      </c>
      <c r="AB168" s="45">
        <f>IFERROR(__xludf.DUMMYFUNCTION("""COMPUTED_VALUE"""),"10A Faraday Ave")</f>
        <v/>
      </c>
      <c r="AC168" s="45">
        <f>IFERROR(__xludf.DUMMYFUNCTION("""COMPUTED_VALUE"""),"Coleshill")</f>
        <v/>
      </c>
      <c r="AD168" s="45">
        <f>IFERROR(__xludf.DUMMYFUNCTION("""COMPUTED_VALUE"""),"OCEAN")</f>
        <v/>
      </c>
      <c r="AE168" s="45">
        <f>IFERROR(__xludf.DUMMYFUNCTION("""COMPUTED_VALUE"""),"N")</f>
        <v/>
      </c>
      <c r="AF168" s="45" t="n"/>
      <c r="AG168" s="49">
        <f>IFERROR(__xludf.DUMMYFUNCTION("IFNA(vlookup(H168,IMPORTRANGE(""1vUGwO1n0QQGx9kKbO0_M5gmuhXZ6-LaxQxgrmJnzgP0"",""'TP# look up'!A:C""),3,0),"""")"),"")</f>
        <v/>
      </c>
      <c r="AH168" s="49">
        <f>LEFT(J168,2)</f>
        <v/>
      </c>
    </row>
    <row r="169" hidden="1" ht="12.75" customHeight="1">
      <c r="A169" s="45">
        <f>IFERROR(__xludf.DUMMYFUNCTION("""COMPUTED_VALUE"""),"Colombo")</f>
        <v/>
      </c>
      <c r="B169" s="45" t="n"/>
      <c r="C169" s="45">
        <f>IFERROR(__xludf.DUMMYFUNCTION("""COMPUTED_VALUE"""),3254118)</f>
        <v/>
      </c>
      <c r="D169" s="45" t="n"/>
      <c r="E169" s="45">
        <f>IFERROR(__xludf.DUMMYFUNCTION("""COMPUTED_VALUE"""),"CFS")</f>
        <v/>
      </c>
      <c r="F169" s="45">
        <f>IFERROR(__xludf.DUMMYFUNCTION("""COMPUTED_VALUE"""),"Inqube Global (PVT) Ltd")</f>
        <v/>
      </c>
      <c r="G169" s="45">
        <f>IFERROR(__xludf.DUMMYFUNCTION("""COMPUTED_VALUE"""),"BRANDIX APPAREL SOLUTION LTD - GIRITALE")</f>
        <v/>
      </c>
      <c r="H169" s="43">
        <f>IFERROR(__xludf.DUMMYFUNCTION("""COMPUTED_VALUE"""),452504206989)</f>
        <v/>
      </c>
      <c r="I169" s="45">
        <f>IFERROR(__xludf.DUMMYFUNCTION("""COMPUTED_VALUE"""),19807156)</f>
        <v/>
      </c>
      <c r="J169" s="45">
        <f>IFERROR(__xludf.DUMMYFUNCTION("""COMPUTED_VALUE"""),"LM5BL3S")</f>
        <v/>
      </c>
      <c r="K169" s="45">
        <f>IFERROR(__xludf.DUMMYFUNCTION("""COMPUTED_VALUE"""),"LM5BL3S-070108")</f>
        <v/>
      </c>
      <c r="L169" s="45">
        <f>IFERROR(__xludf.DUMMYFUNCTION("""COMPUTED_VALUE"""),1)</f>
        <v/>
      </c>
      <c r="M169" s="45">
        <f>IFERROR(__xludf.DUMMYFUNCTION("""COMPUTED_VALUE"""),29)</f>
        <v/>
      </c>
      <c r="N169" s="45">
        <f>IFERROR(__xludf.DUMMYFUNCTION("""COMPUTED_VALUE"""),11.51)</f>
        <v/>
      </c>
      <c r="O169" s="45">
        <f>IFERROR(__xludf.DUMMYFUNCTION("""COMPUTED_VALUE"""),0.083)</f>
        <v/>
      </c>
      <c r="P169" s="45">
        <f>IFERROR(__xludf.DUMMYFUNCTION("""COMPUTED_VALUE"""),"Colombo, LK")</f>
        <v/>
      </c>
      <c r="Q169" s="45">
        <f>IFERROR(__xludf.DUMMYFUNCTION("""COMPUTED_VALUE"""),"Felixstowe, GB")</f>
        <v/>
      </c>
      <c r="R169" s="44">
        <f>IFERROR(__xludf.DUMMYFUNCTION("""COMPUTED_VALUE"""),45824)</f>
        <v/>
      </c>
      <c r="S169" s="44">
        <f>IFERROR(__xludf.DUMMYFUNCTION("""COMPUTED_VALUE"""),45883)</f>
        <v/>
      </c>
      <c r="T169" s="45">
        <f>IFERROR(__xludf.DUMMYFUNCTION("""COMPUTED_VALUE"""),"Birmingham, GB")</f>
        <v/>
      </c>
      <c r="U169" s="45" t="n"/>
      <c r="V169" s="45" t="n"/>
      <c r="W169" s="45" t="n"/>
      <c r="X169" s="45" t="n"/>
      <c r="Y169" s="46">
        <f>IFERROR(__xludf.DUMMYFUNCTION("""COMPUTED_VALUE"""),45824)</f>
        <v/>
      </c>
      <c r="Z169" s="46">
        <f>IFERROR(__xludf.DUMMYFUNCTION("""COMPUTED_VALUE"""),45852)</f>
        <v/>
      </c>
      <c r="AA169" s="46">
        <f>IFERROR(__xludf.DUMMYFUNCTION("""COMPUTED_VALUE"""),45859)</f>
        <v/>
      </c>
      <c r="AB169" s="45">
        <f>IFERROR(__xludf.DUMMYFUNCTION("""COMPUTED_VALUE"""),"10A Faraday Ave")</f>
        <v/>
      </c>
      <c r="AC169" s="45">
        <f>IFERROR(__xludf.DUMMYFUNCTION("""COMPUTED_VALUE"""),"Coleshill")</f>
        <v/>
      </c>
      <c r="AD169" s="45">
        <f>IFERROR(__xludf.DUMMYFUNCTION("""COMPUTED_VALUE"""),"OCEAN")</f>
        <v/>
      </c>
      <c r="AE169" s="45">
        <f>IFERROR(__xludf.DUMMYFUNCTION("""COMPUTED_VALUE"""),"N")</f>
        <v/>
      </c>
      <c r="AF169" s="45" t="n"/>
      <c r="AG169" s="49">
        <f>IFERROR(__xludf.DUMMYFUNCTION("IFNA(vlookup(H169,IMPORTRANGE(""1vUGwO1n0QQGx9kKbO0_M5gmuhXZ6-LaxQxgrmJnzgP0"",""'TP# look up'!A:C""),3,0),"""")"),"")</f>
        <v/>
      </c>
      <c r="AH169" s="49">
        <f>LEFT(J169,2)</f>
        <v/>
      </c>
    </row>
    <row r="170" hidden="1" ht="12.75" customHeight="1">
      <c r="A170" s="45">
        <f>IFERROR(__xludf.DUMMYFUNCTION("""COMPUTED_VALUE"""),"Colombo")</f>
        <v/>
      </c>
      <c r="B170" s="45" t="n"/>
      <c r="C170" s="45">
        <f>IFERROR(__xludf.DUMMYFUNCTION("""COMPUTED_VALUE"""),3254118)</f>
        <v/>
      </c>
      <c r="D170" s="45" t="n"/>
      <c r="E170" s="45">
        <f>IFERROR(__xludf.DUMMYFUNCTION("""COMPUTED_VALUE"""),"CFS")</f>
        <v/>
      </c>
      <c r="F170" s="45">
        <f>IFERROR(__xludf.DUMMYFUNCTION("""COMPUTED_VALUE"""),"Inqube Global (PVT) Ltd")</f>
        <v/>
      </c>
      <c r="G170" s="45">
        <f>IFERROR(__xludf.DUMMYFUNCTION("""COMPUTED_VALUE"""),"BRANDIX APPAREL SOLUTION LTD - GIRITALE")</f>
        <v/>
      </c>
      <c r="H170" s="43">
        <f>IFERROR(__xludf.DUMMYFUNCTION("""COMPUTED_VALUE"""),452517861652)</f>
        <v/>
      </c>
      <c r="I170" s="45">
        <f>IFERROR(__xludf.DUMMYFUNCTION("""COMPUTED_VALUE"""),19849783)</f>
        <v/>
      </c>
      <c r="J170" s="45">
        <f>IFERROR(__xludf.DUMMYFUNCTION("""COMPUTED_VALUE"""),"LM5BL3S")</f>
        <v/>
      </c>
      <c r="K170" s="45">
        <f>IFERROR(__xludf.DUMMYFUNCTION("""COMPUTED_VALUE"""),"LM5BL3S-045739")</f>
        <v/>
      </c>
      <c r="L170" s="45">
        <f>IFERROR(__xludf.DUMMYFUNCTION("""COMPUTED_VALUE"""),3)</f>
        <v/>
      </c>
      <c r="M170" s="45">
        <f>IFERROR(__xludf.DUMMYFUNCTION("""COMPUTED_VALUE"""),34)</f>
        <v/>
      </c>
      <c r="N170" s="45">
        <f>IFERROR(__xludf.DUMMYFUNCTION("""COMPUTED_VALUE"""),14.89)</f>
        <v/>
      </c>
      <c r="O170" s="45">
        <f>IFERROR(__xludf.DUMMYFUNCTION("""COMPUTED_VALUE"""),0.168)</f>
        <v/>
      </c>
      <c r="P170" s="45">
        <f>IFERROR(__xludf.DUMMYFUNCTION("""COMPUTED_VALUE"""),"Colombo, LK")</f>
        <v/>
      </c>
      <c r="Q170" s="45">
        <f>IFERROR(__xludf.DUMMYFUNCTION("""COMPUTED_VALUE"""),"Felixstowe, GB")</f>
        <v/>
      </c>
      <c r="R170" s="44">
        <f>IFERROR(__xludf.DUMMYFUNCTION("""COMPUTED_VALUE"""),45824)</f>
        <v/>
      </c>
      <c r="S170" s="44">
        <f>IFERROR(__xludf.DUMMYFUNCTION("""COMPUTED_VALUE"""),45883)</f>
        <v/>
      </c>
      <c r="T170" s="45">
        <f>IFERROR(__xludf.DUMMYFUNCTION("""COMPUTED_VALUE"""),"Birmingham, GB")</f>
        <v/>
      </c>
      <c r="U170" s="45" t="n"/>
      <c r="V170" s="45" t="n"/>
      <c r="W170" s="45" t="n"/>
      <c r="X170" s="45" t="n"/>
      <c r="Y170" s="46">
        <f>IFERROR(__xludf.DUMMYFUNCTION("""COMPUTED_VALUE"""),45824)</f>
        <v/>
      </c>
      <c r="Z170" s="46">
        <f>IFERROR(__xludf.DUMMYFUNCTION("""COMPUTED_VALUE"""),45852)</f>
        <v/>
      </c>
      <c r="AA170" s="46">
        <f>IFERROR(__xludf.DUMMYFUNCTION("""COMPUTED_VALUE"""),45859)</f>
        <v/>
      </c>
      <c r="AB170" s="45">
        <f>IFERROR(__xludf.DUMMYFUNCTION("""COMPUTED_VALUE"""),"10A Faraday Ave")</f>
        <v/>
      </c>
      <c r="AC170" s="45">
        <f>IFERROR(__xludf.DUMMYFUNCTION("""COMPUTED_VALUE"""),"Coleshill")</f>
        <v/>
      </c>
      <c r="AD170" s="45">
        <f>IFERROR(__xludf.DUMMYFUNCTION("""COMPUTED_VALUE"""),"OCEAN")</f>
        <v/>
      </c>
      <c r="AE170" s="45">
        <f>IFERROR(__xludf.DUMMYFUNCTION("""COMPUTED_VALUE"""),"N")</f>
        <v/>
      </c>
      <c r="AF170" s="45" t="n"/>
      <c r="AG170" s="49">
        <f>IFERROR(__xludf.DUMMYFUNCTION("IFNA(vlookup(H170,IMPORTRANGE(""1vUGwO1n0QQGx9kKbO0_M5gmuhXZ6-LaxQxgrmJnzgP0"",""'TP# look up'!A:C""),3,0),"""")"),"")</f>
        <v/>
      </c>
      <c r="AH170" s="49">
        <f>LEFT(J170,2)</f>
        <v/>
      </c>
    </row>
    <row r="171" hidden="1" ht="12.75" customHeight="1">
      <c r="A171" s="45">
        <f>IFERROR(__xludf.DUMMYFUNCTION("""COMPUTED_VALUE"""),"Colombo")</f>
        <v/>
      </c>
      <c r="B171" s="45" t="n"/>
      <c r="C171" s="45">
        <f>IFERROR(__xludf.DUMMYFUNCTION("""COMPUTED_VALUE"""),3254118)</f>
        <v/>
      </c>
      <c r="D171" s="45" t="n"/>
      <c r="E171" s="45">
        <f>IFERROR(__xludf.DUMMYFUNCTION("""COMPUTED_VALUE"""),"CFS")</f>
        <v/>
      </c>
      <c r="F171" s="45">
        <f>IFERROR(__xludf.DUMMYFUNCTION("""COMPUTED_VALUE"""),"Inqube Global (PVT) Ltd")</f>
        <v/>
      </c>
      <c r="G171" s="45">
        <f>IFERROR(__xludf.DUMMYFUNCTION("""COMPUTED_VALUE"""),"BRANDIX APPAREL SOLUTION LTD - GIRITALE")</f>
        <v/>
      </c>
      <c r="H171" s="43">
        <f>IFERROR(__xludf.DUMMYFUNCTION("""COMPUTED_VALUE"""),452518317022)</f>
        <v/>
      </c>
      <c r="I171" s="45">
        <f>IFERROR(__xludf.DUMMYFUNCTION("""COMPUTED_VALUE"""),19849781)</f>
        <v/>
      </c>
      <c r="J171" s="45">
        <f>IFERROR(__xludf.DUMMYFUNCTION("""COMPUTED_VALUE"""),"LM5BL3S")</f>
        <v/>
      </c>
      <c r="K171" s="45">
        <f>IFERROR(__xludf.DUMMYFUNCTION("""COMPUTED_VALUE"""),"LM5BL3S-070108")</f>
        <v/>
      </c>
      <c r="L171" s="45">
        <f>IFERROR(__xludf.DUMMYFUNCTION("""COMPUTED_VALUE"""),2)</f>
        <v/>
      </c>
      <c r="M171" s="45">
        <f>IFERROR(__xludf.DUMMYFUNCTION("""COMPUTED_VALUE"""),39)</f>
        <v/>
      </c>
      <c r="N171" s="45">
        <f>IFERROR(__xludf.DUMMYFUNCTION("""COMPUTED_VALUE"""),15.96)</f>
        <v/>
      </c>
      <c r="O171" s="45">
        <f>IFERROR(__xludf.DUMMYFUNCTION("""COMPUTED_VALUE"""),0.125)</f>
        <v/>
      </c>
      <c r="P171" s="45">
        <f>IFERROR(__xludf.DUMMYFUNCTION("""COMPUTED_VALUE"""),"Colombo, LK")</f>
        <v/>
      </c>
      <c r="Q171" s="45">
        <f>IFERROR(__xludf.DUMMYFUNCTION("""COMPUTED_VALUE"""),"Felixstowe, GB")</f>
        <v/>
      </c>
      <c r="R171" s="44">
        <f>IFERROR(__xludf.DUMMYFUNCTION("""COMPUTED_VALUE"""),45824)</f>
        <v/>
      </c>
      <c r="S171" s="44">
        <f>IFERROR(__xludf.DUMMYFUNCTION("""COMPUTED_VALUE"""),45883)</f>
        <v/>
      </c>
      <c r="T171" s="45">
        <f>IFERROR(__xludf.DUMMYFUNCTION("""COMPUTED_VALUE"""),"Birmingham, GB")</f>
        <v/>
      </c>
      <c r="U171" s="45" t="n"/>
      <c r="V171" s="45" t="n"/>
      <c r="W171" s="45" t="n"/>
      <c r="X171" s="45" t="n"/>
      <c r="Y171" s="46">
        <f>IFERROR(__xludf.DUMMYFUNCTION("""COMPUTED_VALUE"""),45824)</f>
        <v/>
      </c>
      <c r="Z171" s="46">
        <f>IFERROR(__xludf.DUMMYFUNCTION("""COMPUTED_VALUE"""),45852)</f>
        <v/>
      </c>
      <c r="AA171" s="46">
        <f>IFERROR(__xludf.DUMMYFUNCTION("""COMPUTED_VALUE"""),45859)</f>
        <v/>
      </c>
      <c r="AB171" s="45">
        <f>IFERROR(__xludf.DUMMYFUNCTION("""COMPUTED_VALUE"""),"10A Faraday Ave")</f>
        <v/>
      </c>
      <c r="AC171" s="45">
        <f>IFERROR(__xludf.DUMMYFUNCTION("""COMPUTED_VALUE"""),"Coleshill")</f>
        <v/>
      </c>
      <c r="AD171" s="45">
        <f>IFERROR(__xludf.DUMMYFUNCTION("""COMPUTED_VALUE"""),"OCEAN")</f>
        <v/>
      </c>
      <c r="AE171" s="45">
        <f>IFERROR(__xludf.DUMMYFUNCTION("""COMPUTED_VALUE"""),"N")</f>
        <v/>
      </c>
      <c r="AF171" s="45" t="n"/>
      <c r="AG171" s="49">
        <f>IFERROR(__xludf.DUMMYFUNCTION("IFNA(vlookup(H171,IMPORTRANGE(""1vUGwO1n0QQGx9kKbO0_M5gmuhXZ6-LaxQxgrmJnzgP0"",""'TP# look up'!A:C""),3,0),"""")"),"")</f>
        <v/>
      </c>
      <c r="AH171" s="49">
        <f>LEFT(J171,2)</f>
        <v/>
      </c>
    </row>
    <row r="172" hidden="1" ht="12.75" customHeight="1">
      <c r="A172" s="45">
        <f>IFERROR(__xludf.DUMMYFUNCTION("""COMPUTED_VALUE"""),"Colombo")</f>
        <v/>
      </c>
      <c r="B172" s="45" t="n"/>
      <c r="C172" s="45">
        <f>IFERROR(__xludf.DUMMYFUNCTION("""COMPUTED_VALUE"""),3254118)</f>
        <v/>
      </c>
      <c r="D172" s="45" t="n"/>
      <c r="E172" s="45">
        <f>IFERROR(__xludf.DUMMYFUNCTION("""COMPUTED_VALUE"""),"CFS")</f>
        <v/>
      </c>
      <c r="F172" s="45">
        <f>IFERROR(__xludf.DUMMYFUNCTION("""COMPUTED_VALUE"""),"Inqube Global (PVT) Ltd")</f>
        <v/>
      </c>
      <c r="G172" s="45">
        <f>IFERROR(__xludf.DUMMYFUNCTION("""COMPUTED_VALUE"""),"Brandix Apparel Solutions Limited - Minuwangoda")</f>
        <v/>
      </c>
      <c r="H172" s="43">
        <f>IFERROR(__xludf.DUMMYFUNCTION("""COMPUTED_VALUE"""),452015221240)</f>
        <v/>
      </c>
      <c r="I172" s="45">
        <f>IFERROR(__xludf.DUMMYFUNCTION("""COMPUTED_VALUE"""),19854988)</f>
        <v/>
      </c>
      <c r="J172" s="45">
        <f>IFERROR(__xludf.DUMMYFUNCTION("""COMPUTED_VALUE"""),"LW5GLNS")</f>
        <v/>
      </c>
      <c r="K172" s="45">
        <f>IFERROR(__xludf.DUMMYFUNCTION("""COMPUTED_VALUE"""),"LW5GLNS-062214")</f>
        <v/>
      </c>
      <c r="L172" s="45">
        <f>IFERROR(__xludf.DUMMYFUNCTION("""COMPUTED_VALUE"""),1)</f>
        <v/>
      </c>
      <c r="M172" s="45">
        <f>IFERROR(__xludf.DUMMYFUNCTION("""COMPUTED_VALUE"""),18)</f>
        <v/>
      </c>
      <c r="N172" s="45">
        <f>IFERROR(__xludf.DUMMYFUNCTION("""COMPUTED_VALUE"""),9.47)</f>
        <v/>
      </c>
      <c r="O172" s="45">
        <f>IFERROR(__xludf.DUMMYFUNCTION("""COMPUTED_VALUE"""),0.079)</f>
        <v/>
      </c>
      <c r="P172" s="45">
        <f>IFERROR(__xludf.DUMMYFUNCTION("""COMPUTED_VALUE"""),"Colombo, LK")</f>
        <v/>
      </c>
      <c r="Q172" s="45">
        <f>IFERROR(__xludf.DUMMYFUNCTION("""COMPUTED_VALUE"""),"Felixstowe, GB")</f>
        <v/>
      </c>
      <c r="R172" s="44">
        <f>IFERROR(__xludf.DUMMYFUNCTION("""COMPUTED_VALUE"""),45824)</f>
        <v/>
      </c>
      <c r="S172" s="44">
        <f>IFERROR(__xludf.DUMMYFUNCTION("""COMPUTED_VALUE"""),45883)</f>
        <v/>
      </c>
      <c r="T172" s="45">
        <f>IFERROR(__xludf.DUMMYFUNCTION("""COMPUTED_VALUE"""),"Birmingham, GB")</f>
        <v/>
      </c>
      <c r="U172" s="45" t="n"/>
      <c r="V172" s="45" t="n"/>
      <c r="W172" s="45" t="n"/>
      <c r="X172" s="45" t="n"/>
      <c r="Y172" s="46">
        <f>IFERROR(__xludf.DUMMYFUNCTION("""COMPUTED_VALUE"""),45842)</f>
        <v/>
      </c>
      <c r="Z172" s="46">
        <f>IFERROR(__xludf.DUMMYFUNCTION("""COMPUTED_VALUE"""),45858)</f>
        <v/>
      </c>
      <c r="AA172" s="46">
        <f>IFERROR(__xludf.DUMMYFUNCTION("""COMPUTED_VALUE"""),45865)</f>
        <v/>
      </c>
      <c r="AB172" s="45">
        <f>IFERROR(__xludf.DUMMYFUNCTION("""COMPUTED_VALUE"""),"10A Faraday Ave")</f>
        <v/>
      </c>
      <c r="AC172" s="45">
        <f>IFERROR(__xludf.DUMMYFUNCTION("""COMPUTED_VALUE"""),"Coleshill")</f>
        <v/>
      </c>
      <c r="AD172" s="45">
        <f>IFERROR(__xludf.DUMMYFUNCTION("""COMPUTED_VALUE"""),"OCEAN")</f>
        <v/>
      </c>
      <c r="AE172" s="45">
        <f>IFERROR(__xludf.DUMMYFUNCTION("""COMPUTED_VALUE"""),"N")</f>
        <v/>
      </c>
      <c r="AF172" s="45" t="n"/>
      <c r="AG172" s="49">
        <f>IFERROR(__xludf.DUMMYFUNCTION("IFNA(vlookup(H172,IMPORTRANGE(""1vUGwO1n0QQGx9kKbO0_M5gmuhXZ6-LaxQxgrmJnzgP0"",""'TP# look up'!A:C""),3,0),"""")"),"")</f>
        <v/>
      </c>
      <c r="AH172" s="49">
        <f>LEFT(J172,2)</f>
        <v/>
      </c>
    </row>
    <row r="173" hidden="1" ht="12.75" customHeight="1">
      <c r="A173" s="45">
        <f>IFERROR(__xludf.DUMMYFUNCTION("""COMPUTED_VALUE"""),"Colombo")</f>
        <v/>
      </c>
      <c r="B173" s="45" t="n"/>
      <c r="C173" s="45">
        <f>IFERROR(__xludf.DUMMYFUNCTION("""COMPUTED_VALUE"""),3254118)</f>
        <v/>
      </c>
      <c r="D173" s="45" t="n"/>
      <c r="E173" s="45">
        <f>IFERROR(__xludf.DUMMYFUNCTION("""COMPUTED_VALUE"""),"CFS")</f>
        <v/>
      </c>
      <c r="F173" s="45">
        <f>IFERROR(__xludf.DUMMYFUNCTION("""COMPUTED_VALUE"""),"MAS AMITY PTE LTD")</f>
        <v/>
      </c>
      <c r="G173" s="45">
        <f>IFERROR(__xludf.DUMMYFUNCTION("""COMPUTED_VALUE"""),"MAS Active (Pvt) Ltd - Linea Intimo")</f>
        <v/>
      </c>
      <c r="H173" s="43">
        <f>IFERROR(__xludf.DUMMYFUNCTION("""COMPUTED_VALUE"""),454722903594)</f>
        <v/>
      </c>
      <c r="I173" s="45">
        <f>IFERROR(__xludf.DUMMYFUNCTION("""COMPUTED_VALUE"""),91018423)</f>
        <v/>
      </c>
      <c r="J173" s="45">
        <f>IFERROR(__xludf.DUMMYFUNCTION("""COMPUTED_VALUE"""),"LW1CHSS")</f>
        <v/>
      </c>
      <c r="K173" s="45">
        <f>IFERROR(__xludf.DUMMYFUNCTION("""COMPUTED_VALUE"""),"LW1CHSS-012826")</f>
        <v/>
      </c>
      <c r="L173" s="45">
        <f>IFERROR(__xludf.DUMMYFUNCTION("""COMPUTED_VALUE"""),2)</f>
        <v/>
      </c>
      <c r="M173" s="45">
        <f>IFERROR(__xludf.DUMMYFUNCTION("""COMPUTED_VALUE"""),97)</f>
        <v/>
      </c>
      <c r="N173" s="45">
        <f>IFERROR(__xludf.DUMMYFUNCTION("""COMPUTED_VALUE"""),10.33)</f>
        <v/>
      </c>
      <c r="O173" s="45">
        <f>IFERROR(__xludf.DUMMYFUNCTION("""COMPUTED_VALUE"""),0.119)</f>
        <v/>
      </c>
      <c r="P173" s="45">
        <f>IFERROR(__xludf.DUMMYFUNCTION("""COMPUTED_VALUE"""),"Colombo, LK")</f>
        <v/>
      </c>
      <c r="Q173" s="45">
        <f>IFERROR(__xludf.DUMMYFUNCTION("""COMPUTED_VALUE"""),"Felixstowe, GB")</f>
        <v/>
      </c>
      <c r="R173" s="44">
        <f>IFERROR(__xludf.DUMMYFUNCTION("""COMPUTED_VALUE"""),45824)</f>
        <v/>
      </c>
      <c r="S173" s="44">
        <f>IFERROR(__xludf.DUMMYFUNCTION("""COMPUTED_VALUE"""),45883)</f>
        <v/>
      </c>
      <c r="T173" s="45">
        <f>IFERROR(__xludf.DUMMYFUNCTION("""COMPUTED_VALUE"""),"Birmingham, GB")</f>
        <v/>
      </c>
      <c r="U173" s="45" t="n"/>
      <c r="V173" s="45" t="n"/>
      <c r="W173" s="45" t="n"/>
      <c r="X173" s="45" t="n"/>
      <c r="Y173" s="46">
        <f>IFERROR(__xludf.DUMMYFUNCTION("""COMPUTED_VALUE"""),45842)</f>
        <v/>
      </c>
      <c r="Z173" s="46">
        <f>IFERROR(__xludf.DUMMYFUNCTION("""COMPUTED_VALUE"""),45858)</f>
        <v/>
      </c>
      <c r="AA173" s="46">
        <f>IFERROR(__xludf.DUMMYFUNCTION("""COMPUTED_VALUE"""),45865)</f>
        <v/>
      </c>
      <c r="AB173" s="45">
        <f>IFERROR(__xludf.DUMMYFUNCTION("""COMPUTED_VALUE"""),"10A Faraday Ave")</f>
        <v/>
      </c>
      <c r="AC173" s="45">
        <f>IFERROR(__xludf.DUMMYFUNCTION("""COMPUTED_VALUE"""),"Coleshill")</f>
        <v/>
      </c>
      <c r="AD173" s="45">
        <f>IFERROR(__xludf.DUMMYFUNCTION("""COMPUTED_VALUE"""),"OCEAN")</f>
        <v/>
      </c>
      <c r="AE173" s="45">
        <f>IFERROR(__xludf.DUMMYFUNCTION("""COMPUTED_VALUE"""),"N")</f>
        <v/>
      </c>
      <c r="AF173" s="45" t="n"/>
      <c r="AG173" s="49">
        <f>IFERROR(__xludf.DUMMYFUNCTION("IFNA(vlookup(H173,IMPORTRANGE(""1vUGwO1n0QQGx9kKbO0_M5gmuhXZ6-LaxQxgrmJnzgP0"",""'TP# look up'!A:C""),3,0),"""")"),"")</f>
        <v/>
      </c>
      <c r="AH173" s="49">
        <f>LEFT(J173,2)</f>
        <v/>
      </c>
    </row>
    <row r="174" hidden="1" ht="12.75" customHeight="1">
      <c r="A174" s="45">
        <f>IFERROR(__xludf.DUMMYFUNCTION("""COMPUTED_VALUE"""),"Colombo")</f>
        <v/>
      </c>
      <c r="B174" s="45" t="n"/>
      <c r="C174" s="45">
        <f>IFERROR(__xludf.DUMMYFUNCTION("""COMPUTED_VALUE"""),3254118)</f>
        <v/>
      </c>
      <c r="D174" s="45" t="n"/>
      <c r="E174" s="45">
        <f>IFERROR(__xludf.DUMMYFUNCTION("""COMPUTED_VALUE"""),"CFS")</f>
        <v/>
      </c>
      <c r="F174" s="45">
        <f>IFERROR(__xludf.DUMMYFUNCTION("""COMPUTED_VALUE"""),"MAS AMITY PTE LTD")</f>
        <v/>
      </c>
      <c r="G174" s="45">
        <f>IFERROR(__xludf.DUMMYFUNCTION("""COMPUTED_VALUE"""),"MAS Active(Pvt) Ltd – CONTOURLINE")</f>
        <v/>
      </c>
      <c r="H174" s="43">
        <f>IFERROR(__xludf.DUMMYFUNCTION("""COMPUTED_VALUE"""),454770290213)</f>
        <v/>
      </c>
      <c r="I174" s="45">
        <f>IFERROR(__xludf.DUMMYFUNCTION("""COMPUTED_VALUE"""),19920979)</f>
        <v/>
      </c>
      <c r="J174" s="45">
        <f>IFERROR(__xludf.DUMMYFUNCTION("""COMPUTED_VALUE"""),"LW5FARS")</f>
        <v/>
      </c>
      <c r="K174" s="45">
        <f>IFERROR(__xludf.DUMMYFUNCTION("""COMPUTED_VALUE"""),"LW5FARS-049106")</f>
        <v/>
      </c>
      <c r="L174" s="45">
        <f>IFERROR(__xludf.DUMMYFUNCTION("""COMPUTED_VALUE"""),6)</f>
        <v/>
      </c>
      <c r="M174" s="45">
        <f>IFERROR(__xludf.DUMMYFUNCTION("""COMPUTED_VALUE"""),289)</f>
        <v/>
      </c>
      <c r="N174" s="45">
        <f>IFERROR(__xludf.DUMMYFUNCTION("""COMPUTED_VALUE"""),60.822)</f>
        <v/>
      </c>
      <c r="O174" s="45">
        <f>IFERROR(__xludf.DUMMYFUNCTION("""COMPUTED_VALUE"""),0.395)</f>
        <v/>
      </c>
      <c r="P174" s="45">
        <f>IFERROR(__xludf.DUMMYFUNCTION("""COMPUTED_VALUE"""),"Colombo, LK")</f>
        <v/>
      </c>
      <c r="Q174" s="45">
        <f>IFERROR(__xludf.DUMMYFUNCTION("""COMPUTED_VALUE"""),"Felixstowe, GB")</f>
        <v/>
      </c>
      <c r="R174" s="44">
        <f>IFERROR(__xludf.DUMMYFUNCTION("""COMPUTED_VALUE"""),45824)</f>
        <v/>
      </c>
      <c r="S174" s="44">
        <f>IFERROR(__xludf.DUMMYFUNCTION("""COMPUTED_VALUE"""),45883)</f>
        <v/>
      </c>
      <c r="T174" s="45">
        <f>IFERROR(__xludf.DUMMYFUNCTION("""COMPUTED_VALUE"""),"Birmingham, GB")</f>
        <v/>
      </c>
      <c r="U174" s="45" t="n"/>
      <c r="V174" s="45" t="n"/>
      <c r="W174" s="45" t="n"/>
      <c r="X174" s="45" t="n"/>
      <c r="Y174" s="46">
        <f>IFERROR(__xludf.DUMMYFUNCTION("""COMPUTED_VALUE"""),45842)</f>
        <v/>
      </c>
      <c r="Z174" s="46">
        <f>IFERROR(__xludf.DUMMYFUNCTION("""COMPUTED_VALUE"""),45858)</f>
        <v/>
      </c>
      <c r="AA174" s="46">
        <f>IFERROR(__xludf.DUMMYFUNCTION("""COMPUTED_VALUE"""),45865)</f>
        <v/>
      </c>
      <c r="AB174" s="45">
        <f>IFERROR(__xludf.DUMMYFUNCTION("""COMPUTED_VALUE"""),"10A Faraday Ave")</f>
        <v/>
      </c>
      <c r="AC174" s="45">
        <f>IFERROR(__xludf.DUMMYFUNCTION("""COMPUTED_VALUE"""),"Coleshill")</f>
        <v/>
      </c>
      <c r="AD174" s="45">
        <f>IFERROR(__xludf.DUMMYFUNCTION("""COMPUTED_VALUE"""),"OCEAN")</f>
        <v/>
      </c>
      <c r="AE174" s="45">
        <f>IFERROR(__xludf.DUMMYFUNCTION("""COMPUTED_VALUE"""),"N")</f>
        <v/>
      </c>
      <c r="AF174" s="45" t="n"/>
      <c r="AG174" s="49">
        <f>IFERROR(__xludf.DUMMYFUNCTION("IFNA(vlookup(H174,IMPORTRANGE(""1vUGwO1n0QQGx9kKbO0_M5gmuhXZ6-LaxQxgrmJnzgP0"",""'TP# look up'!A:C""),3,0),"""")"),"")</f>
        <v/>
      </c>
      <c r="AH174" s="49">
        <f>LEFT(J174,2)</f>
        <v/>
      </c>
    </row>
    <row r="175" hidden="1" ht="12.75" customHeight="1">
      <c r="A175" s="45">
        <f>IFERROR(__xludf.DUMMYFUNCTION("""COMPUTED_VALUE"""),"Colombo")</f>
        <v/>
      </c>
      <c r="B175" s="45" t="n"/>
      <c r="C175" s="45">
        <f>IFERROR(__xludf.DUMMYFUNCTION("""COMPUTED_VALUE"""),3254118)</f>
        <v/>
      </c>
      <c r="D175" s="45" t="n"/>
      <c r="E175" s="45">
        <f>IFERROR(__xludf.DUMMYFUNCTION("""COMPUTED_VALUE"""),"CFS")</f>
        <v/>
      </c>
      <c r="F175" s="45">
        <f>IFERROR(__xludf.DUMMYFUNCTION("""COMPUTED_VALUE"""),"MAS AMITY PTE LTD")</f>
        <v/>
      </c>
      <c r="G175" s="45">
        <f>IFERROR(__xludf.DUMMYFUNCTION("""COMPUTED_VALUE"""),"MAS Active(Pvt) Ltd – CONTOURLINE")</f>
        <v/>
      </c>
      <c r="H175" s="43">
        <f>IFERROR(__xludf.DUMMYFUNCTION("""COMPUTED_VALUE"""),454772994403)</f>
        <v/>
      </c>
      <c r="I175" s="45">
        <f>IFERROR(__xludf.DUMMYFUNCTION("""COMPUTED_VALUE"""),19921003)</f>
        <v/>
      </c>
      <c r="J175" s="45">
        <f>IFERROR(__xludf.DUMMYFUNCTION("""COMPUTED_VALUE"""),"LW6CLQS")</f>
        <v/>
      </c>
      <c r="K175" s="45">
        <f>IFERROR(__xludf.DUMMYFUNCTION("""COMPUTED_VALUE"""),"LW6CLQS-049106")</f>
        <v/>
      </c>
      <c r="L175" s="45">
        <f>IFERROR(__xludf.DUMMYFUNCTION("""COMPUTED_VALUE"""),1)</f>
        <v/>
      </c>
      <c r="M175" s="45">
        <f>IFERROR(__xludf.DUMMYFUNCTION("""COMPUTED_VALUE"""),26)</f>
        <v/>
      </c>
      <c r="N175" s="45">
        <f>IFERROR(__xludf.DUMMYFUNCTION("""COMPUTED_VALUE"""),5.991)</f>
        <v/>
      </c>
      <c r="O175" s="45">
        <f>IFERROR(__xludf.DUMMYFUNCTION("""COMPUTED_VALUE"""),0.039)</f>
        <v/>
      </c>
      <c r="P175" s="45">
        <f>IFERROR(__xludf.DUMMYFUNCTION("""COMPUTED_VALUE"""),"Colombo, LK")</f>
        <v/>
      </c>
      <c r="Q175" s="45">
        <f>IFERROR(__xludf.DUMMYFUNCTION("""COMPUTED_VALUE"""),"Felixstowe, GB")</f>
        <v/>
      </c>
      <c r="R175" s="44">
        <f>IFERROR(__xludf.DUMMYFUNCTION("""COMPUTED_VALUE"""),45824)</f>
        <v/>
      </c>
      <c r="S175" s="44">
        <f>IFERROR(__xludf.DUMMYFUNCTION("""COMPUTED_VALUE"""),45883)</f>
        <v/>
      </c>
      <c r="T175" s="45">
        <f>IFERROR(__xludf.DUMMYFUNCTION("""COMPUTED_VALUE"""),"Birmingham, GB")</f>
        <v/>
      </c>
      <c r="U175" s="45" t="n"/>
      <c r="V175" s="45" t="n"/>
      <c r="W175" s="45" t="n"/>
      <c r="X175" s="45" t="n"/>
      <c r="Y175" s="46">
        <f>IFERROR(__xludf.DUMMYFUNCTION("""COMPUTED_VALUE"""),45842)</f>
        <v/>
      </c>
      <c r="Z175" s="46">
        <f>IFERROR(__xludf.DUMMYFUNCTION("""COMPUTED_VALUE"""),45858)</f>
        <v/>
      </c>
      <c r="AA175" s="46">
        <f>IFERROR(__xludf.DUMMYFUNCTION("""COMPUTED_VALUE"""),45865)</f>
        <v/>
      </c>
      <c r="AB175" s="45">
        <f>IFERROR(__xludf.DUMMYFUNCTION("""COMPUTED_VALUE"""),"10A Faraday Ave")</f>
        <v/>
      </c>
      <c r="AC175" s="45">
        <f>IFERROR(__xludf.DUMMYFUNCTION("""COMPUTED_VALUE"""),"Coleshill")</f>
        <v/>
      </c>
      <c r="AD175" s="45">
        <f>IFERROR(__xludf.DUMMYFUNCTION("""COMPUTED_VALUE"""),"OCEAN")</f>
        <v/>
      </c>
      <c r="AE175" s="45">
        <f>IFERROR(__xludf.DUMMYFUNCTION("""COMPUTED_VALUE"""),"N")</f>
        <v/>
      </c>
      <c r="AF175" s="45" t="n"/>
      <c r="AG175" s="49">
        <f>IFERROR(__xludf.DUMMYFUNCTION("IFNA(vlookup(H175,IMPORTRANGE(""1vUGwO1n0QQGx9kKbO0_M5gmuhXZ6-LaxQxgrmJnzgP0"",""'TP# look up'!A:C""),3,0),"""")"),"")</f>
        <v/>
      </c>
      <c r="AH175" s="49">
        <f>LEFT(J175,2)</f>
        <v/>
      </c>
    </row>
    <row r="176" hidden="1" ht="12.75" customHeight="1">
      <c r="A176" s="45">
        <f>IFERROR(__xludf.DUMMYFUNCTION("""COMPUTED_VALUE"""),"Colombo")</f>
        <v/>
      </c>
      <c r="B176" s="45" t="n"/>
      <c r="C176" s="45">
        <f>IFERROR(__xludf.DUMMYFUNCTION("""COMPUTED_VALUE"""),3254118)</f>
        <v/>
      </c>
      <c r="D176" s="45" t="n"/>
      <c r="E176" s="45">
        <f>IFERROR(__xludf.DUMMYFUNCTION("""COMPUTED_VALUE"""),"CFS")</f>
        <v/>
      </c>
      <c r="F176" s="45">
        <f>IFERROR(__xludf.DUMMYFUNCTION("""COMPUTED_VALUE"""),"MAS AMITY PTE LTD")</f>
        <v/>
      </c>
      <c r="G176" s="45">
        <f>IFERROR(__xludf.DUMMYFUNCTION("""COMPUTED_VALUE"""),"MAS Active(Pvt) Ltd – CONTOURLINE")</f>
        <v/>
      </c>
      <c r="H176" s="43">
        <f>IFERROR(__xludf.DUMMYFUNCTION("""COMPUTED_VALUE"""),454772994540)</f>
        <v/>
      </c>
      <c r="I176" s="45">
        <f>IFERROR(__xludf.DUMMYFUNCTION("""COMPUTED_VALUE"""),19925973)</f>
        <v/>
      </c>
      <c r="J176" s="45">
        <f>IFERROR(__xludf.DUMMYFUNCTION("""COMPUTED_VALUE"""),"LW5FARS")</f>
        <v/>
      </c>
      <c r="K176" s="45">
        <f>IFERROR(__xludf.DUMMYFUNCTION("""COMPUTED_VALUE"""),"LW5FARS-049106")</f>
        <v/>
      </c>
      <c r="L176" s="45">
        <f>IFERROR(__xludf.DUMMYFUNCTION("""COMPUTED_VALUE"""),3)</f>
        <v/>
      </c>
      <c r="M176" s="45">
        <f>IFERROR(__xludf.DUMMYFUNCTION("""COMPUTED_VALUE"""),130)</f>
        <v/>
      </c>
      <c r="N176" s="45">
        <f>IFERROR(__xludf.DUMMYFUNCTION("""COMPUTED_VALUE"""),27.967)</f>
        <v/>
      </c>
      <c r="O176" s="45">
        <f>IFERROR(__xludf.DUMMYFUNCTION("""COMPUTED_VALUE"""),0.197)</f>
        <v/>
      </c>
      <c r="P176" s="45">
        <f>IFERROR(__xludf.DUMMYFUNCTION("""COMPUTED_VALUE"""),"Colombo, LK")</f>
        <v/>
      </c>
      <c r="Q176" s="45">
        <f>IFERROR(__xludf.DUMMYFUNCTION("""COMPUTED_VALUE"""),"Felixstowe, GB")</f>
        <v/>
      </c>
      <c r="R176" s="44">
        <f>IFERROR(__xludf.DUMMYFUNCTION("""COMPUTED_VALUE"""),45824)</f>
        <v/>
      </c>
      <c r="S176" s="44">
        <f>IFERROR(__xludf.DUMMYFUNCTION("""COMPUTED_VALUE"""),45883)</f>
        <v/>
      </c>
      <c r="T176" s="45">
        <f>IFERROR(__xludf.DUMMYFUNCTION("""COMPUTED_VALUE"""),"Birmingham, GB")</f>
        <v/>
      </c>
      <c r="U176" s="45" t="n"/>
      <c r="V176" s="45" t="n"/>
      <c r="W176" s="45" t="n"/>
      <c r="X176" s="45" t="n"/>
      <c r="Y176" s="46">
        <f>IFERROR(__xludf.DUMMYFUNCTION("""COMPUTED_VALUE"""),45842)</f>
        <v/>
      </c>
      <c r="Z176" s="46">
        <f>IFERROR(__xludf.DUMMYFUNCTION("""COMPUTED_VALUE"""),45858)</f>
        <v/>
      </c>
      <c r="AA176" s="46">
        <f>IFERROR(__xludf.DUMMYFUNCTION("""COMPUTED_VALUE"""),45865)</f>
        <v/>
      </c>
      <c r="AB176" s="45">
        <f>IFERROR(__xludf.DUMMYFUNCTION("""COMPUTED_VALUE"""),"10A Faraday Ave")</f>
        <v/>
      </c>
      <c r="AC176" s="45">
        <f>IFERROR(__xludf.DUMMYFUNCTION("""COMPUTED_VALUE"""),"Coleshill")</f>
        <v/>
      </c>
      <c r="AD176" s="45">
        <f>IFERROR(__xludf.DUMMYFUNCTION("""COMPUTED_VALUE"""),"OCEAN")</f>
        <v/>
      </c>
      <c r="AE176" s="45">
        <f>IFERROR(__xludf.DUMMYFUNCTION("""COMPUTED_VALUE"""),"N")</f>
        <v/>
      </c>
      <c r="AF176" s="45" t="n"/>
      <c r="AG176" s="49">
        <f>IFERROR(__xludf.DUMMYFUNCTION("IFNA(vlookup(H176,IMPORTRANGE(""1vUGwO1n0QQGx9kKbO0_M5gmuhXZ6-LaxQxgrmJnzgP0"",""'TP# look up'!A:C""),3,0),"""")"),"")</f>
        <v/>
      </c>
      <c r="AH176" s="49">
        <f>LEFT(J176,2)</f>
        <v/>
      </c>
    </row>
    <row r="177" hidden="1" ht="12.75" customHeight="1">
      <c r="A177" s="45">
        <f>IFERROR(__xludf.DUMMYFUNCTION("""COMPUTED_VALUE"""),"Colombo")</f>
        <v/>
      </c>
      <c r="B177" s="45" t="n"/>
      <c r="C177" s="45">
        <f>IFERROR(__xludf.DUMMYFUNCTION("""COMPUTED_VALUE"""),3254118)</f>
        <v/>
      </c>
      <c r="D177" s="45" t="n"/>
      <c r="E177" s="45">
        <f>IFERROR(__xludf.DUMMYFUNCTION("""COMPUTED_VALUE"""),"CFS")</f>
        <v/>
      </c>
      <c r="F177" s="45">
        <f>IFERROR(__xludf.DUMMYFUNCTION("""COMPUTED_VALUE"""),"MAS AMITY PTE LTD")</f>
        <v/>
      </c>
      <c r="G177" s="45">
        <f>IFERROR(__xludf.DUMMYFUNCTION("""COMPUTED_VALUE"""),"MAS Active(Pvt) Ltd – CONTOURLINE")</f>
        <v/>
      </c>
      <c r="H177" s="43">
        <f>IFERROR(__xludf.DUMMYFUNCTION("""COMPUTED_VALUE"""),454773467353)</f>
        <v/>
      </c>
      <c r="I177" s="45">
        <f>IFERROR(__xludf.DUMMYFUNCTION("""COMPUTED_VALUE"""),19921005)</f>
        <v/>
      </c>
      <c r="J177" s="45">
        <f>IFERROR(__xludf.DUMMYFUNCTION("""COMPUTED_VALUE"""),"LW6CLQS")</f>
        <v/>
      </c>
      <c r="K177" s="45">
        <f>IFERROR(__xludf.DUMMYFUNCTION("""COMPUTED_VALUE"""),"LW6CLQS-049106")</f>
        <v/>
      </c>
      <c r="L177" s="45">
        <f>IFERROR(__xludf.DUMMYFUNCTION("""COMPUTED_VALUE"""),1)</f>
        <v/>
      </c>
      <c r="M177" s="45">
        <f>IFERROR(__xludf.DUMMYFUNCTION("""COMPUTED_VALUE"""),35)</f>
        <v/>
      </c>
      <c r="N177" s="45">
        <f>IFERROR(__xludf.DUMMYFUNCTION("""COMPUTED_VALUE"""),7.846)</f>
        <v/>
      </c>
      <c r="O177" s="45">
        <f>IFERROR(__xludf.DUMMYFUNCTION("""COMPUTED_VALUE"""),0.039)</f>
        <v/>
      </c>
      <c r="P177" s="45">
        <f>IFERROR(__xludf.DUMMYFUNCTION("""COMPUTED_VALUE"""),"Colombo, LK")</f>
        <v/>
      </c>
      <c r="Q177" s="45">
        <f>IFERROR(__xludf.DUMMYFUNCTION("""COMPUTED_VALUE"""),"Felixstowe, GB")</f>
        <v/>
      </c>
      <c r="R177" s="44">
        <f>IFERROR(__xludf.DUMMYFUNCTION("""COMPUTED_VALUE"""),45824)</f>
        <v/>
      </c>
      <c r="S177" s="44">
        <f>IFERROR(__xludf.DUMMYFUNCTION("""COMPUTED_VALUE"""),45883)</f>
        <v/>
      </c>
      <c r="T177" s="45">
        <f>IFERROR(__xludf.DUMMYFUNCTION("""COMPUTED_VALUE"""),"Birmingham, GB")</f>
        <v/>
      </c>
      <c r="U177" s="45" t="n"/>
      <c r="V177" s="45" t="n"/>
      <c r="W177" s="45" t="n"/>
      <c r="X177" s="45" t="n"/>
      <c r="Y177" s="46">
        <f>IFERROR(__xludf.DUMMYFUNCTION("""COMPUTED_VALUE"""),45842)</f>
        <v/>
      </c>
      <c r="Z177" s="46">
        <f>IFERROR(__xludf.DUMMYFUNCTION("""COMPUTED_VALUE"""),45858)</f>
        <v/>
      </c>
      <c r="AA177" s="46">
        <f>IFERROR(__xludf.DUMMYFUNCTION("""COMPUTED_VALUE"""),45865)</f>
        <v/>
      </c>
      <c r="AB177" s="45">
        <f>IFERROR(__xludf.DUMMYFUNCTION("""COMPUTED_VALUE"""),"10A Faraday Ave")</f>
        <v/>
      </c>
      <c r="AC177" s="45">
        <f>IFERROR(__xludf.DUMMYFUNCTION("""COMPUTED_VALUE"""),"Coleshill")</f>
        <v/>
      </c>
      <c r="AD177" s="45">
        <f>IFERROR(__xludf.DUMMYFUNCTION("""COMPUTED_VALUE"""),"OCEAN")</f>
        <v/>
      </c>
      <c r="AE177" s="45">
        <f>IFERROR(__xludf.DUMMYFUNCTION("""COMPUTED_VALUE"""),"N")</f>
        <v/>
      </c>
      <c r="AF177" s="45" t="n"/>
      <c r="AG177" s="49">
        <f>IFERROR(__xludf.DUMMYFUNCTION("IFNA(vlookup(H177,IMPORTRANGE(""1vUGwO1n0QQGx9kKbO0_M5gmuhXZ6-LaxQxgrmJnzgP0"",""'TP# look up'!A:C""),3,0),"""")"),"")</f>
        <v/>
      </c>
      <c r="AH177" s="49">
        <f>LEFT(J177,2)</f>
        <v/>
      </c>
    </row>
    <row r="178" hidden="1" ht="12.75" customHeight="1">
      <c r="A178" s="45">
        <f>IFERROR(__xludf.DUMMYFUNCTION("""COMPUTED_VALUE"""),"Colombo")</f>
        <v/>
      </c>
      <c r="B178" s="45" t="n"/>
      <c r="C178" s="45">
        <f>IFERROR(__xludf.DUMMYFUNCTION("""COMPUTED_VALUE"""),3254118)</f>
        <v/>
      </c>
      <c r="D178" s="45" t="n"/>
      <c r="E178" s="45">
        <f>IFERROR(__xludf.DUMMYFUNCTION("""COMPUTED_VALUE"""),"CFS")</f>
        <v/>
      </c>
      <c r="F178" s="45">
        <f>IFERROR(__xludf.DUMMYFUNCTION("""COMPUTED_VALUE"""),"MAS AMITY PTE LTD")</f>
        <v/>
      </c>
      <c r="G178" s="45">
        <f>IFERROR(__xludf.DUMMYFUNCTION("""COMPUTED_VALUE"""),"MAS Active(Pvt) Ltd – CONTOURLINE")</f>
        <v/>
      </c>
      <c r="H178" s="43">
        <f>IFERROR(__xludf.DUMMYFUNCTION("""COMPUTED_VALUE"""),454773467586)</f>
        <v/>
      </c>
      <c r="I178" s="45">
        <f>IFERROR(__xludf.DUMMYFUNCTION("""COMPUTED_VALUE"""),19926203)</f>
        <v/>
      </c>
      <c r="J178" s="45">
        <f>IFERROR(__xludf.DUMMYFUNCTION("""COMPUTED_VALUE"""),"LW7CPPS")</f>
        <v/>
      </c>
      <c r="K178" s="45">
        <f>IFERROR(__xludf.DUMMYFUNCTION("""COMPUTED_VALUE"""),"LW7CPPS-070108")</f>
        <v/>
      </c>
      <c r="L178" s="45">
        <f>IFERROR(__xludf.DUMMYFUNCTION("""COMPUTED_VALUE"""),1)</f>
        <v/>
      </c>
      <c r="M178" s="45">
        <f>IFERROR(__xludf.DUMMYFUNCTION("""COMPUTED_VALUE"""),55)</f>
        <v/>
      </c>
      <c r="N178" s="45">
        <f>IFERROR(__xludf.DUMMYFUNCTION("""COMPUTED_VALUE"""),8.701)</f>
        <v/>
      </c>
      <c r="O178" s="45">
        <f>IFERROR(__xludf.DUMMYFUNCTION("""COMPUTED_VALUE"""),0.079)</f>
        <v/>
      </c>
      <c r="P178" s="45">
        <f>IFERROR(__xludf.DUMMYFUNCTION("""COMPUTED_VALUE"""),"Colombo, LK")</f>
        <v/>
      </c>
      <c r="Q178" s="45">
        <f>IFERROR(__xludf.DUMMYFUNCTION("""COMPUTED_VALUE"""),"Felixstowe, GB")</f>
        <v/>
      </c>
      <c r="R178" s="44">
        <f>IFERROR(__xludf.DUMMYFUNCTION("""COMPUTED_VALUE"""),45824)</f>
        <v/>
      </c>
      <c r="S178" s="44">
        <f>IFERROR(__xludf.DUMMYFUNCTION("""COMPUTED_VALUE"""),45849)</f>
        <v/>
      </c>
      <c r="T178" s="45">
        <f>IFERROR(__xludf.DUMMYFUNCTION("""COMPUTED_VALUE"""),"Birmingham, GB")</f>
        <v/>
      </c>
      <c r="U178" s="45" t="n"/>
      <c r="V178" s="45" t="n"/>
      <c r="W178" s="45" t="n"/>
      <c r="X178" s="45" t="n"/>
      <c r="Y178" s="46">
        <f>IFERROR(__xludf.DUMMYFUNCTION("""COMPUTED_VALUE"""),45842)</f>
        <v/>
      </c>
      <c r="Z178" s="46">
        <f>IFERROR(__xludf.DUMMYFUNCTION("""COMPUTED_VALUE"""),45858)</f>
        <v/>
      </c>
      <c r="AA178" s="46">
        <f>IFERROR(__xludf.DUMMYFUNCTION("""COMPUTED_VALUE"""),45865)</f>
        <v/>
      </c>
      <c r="AB178" s="45">
        <f>IFERROR(__xludf.DUMMYFUNCTION("""COMPUTED_VALUE"""),"10A Faraday Ave")</f>
        <v/>
      </c>
      <c r="AC178" s="45">
        <f>IFERROR(__xludf.DUMMYFUNCTION("""COMPUTED_VALUE"""),"Coleshill")</f>
        <v/>
      </c>
      <c r="AD178" s="45">
        <f>IFERROR(__xludf.DUMMYFUNCTION("""COMPUTED_VALUE"""),"FAF")</f>
        <v/>
      </c>
      <c r="AE178" s="45">
        <f>IFERROR(__xludf.DUMMYFUNCTION("""COMPUTED_VALUE"""),"N")</f>
        <v/>
      </c>
      <c r="AF178" s="45">
        <f>IFERROR(__xludf.DUMMYFUNCTION("""COMPUTED_VALUE"""),"Checking the Mode")</f>
        <v/>
      </c>
      <c r="AG178" s="49">
        <f>IFERROR(__xludf.DUMMYFUNCTION("IFNA(vlookup(H178,IMPORTRANGE(""1vUGwO1n0QQGx9kKbO0_M5gmuhXZ6-LaxQxgrmJnzgP0"",""'TP# look up'!A:C""),3,0),"""")"),"")</f>
        <v/>
      </c>
      <c r="AH178" s="49">
        <f>LEFT(J178,2)</f>
        <v/>
      </c>
    </row>
    <row r="179" hidden="1" ht="12.75" customHeight="1">
      <c r="A179" s="45">
        <f>IFERROR(__xludf.DUMMYFUNCTION("""COMPUTED_VALUE"""),"Colombo")</f>
        <v/>
      </c>
      <c r="B179" s="45" t="n"/>
      <c r="C179" s="45">
        <f>IFERROR(__xludf.DUMMYFUNCTION("""COMPUTED_VALUE"""),3254118)</f>
        <v/>
      </c>
      <c r="D179" s="45" t="n"/>
      <c r="E179" s="45">
        <f>IFERROR(__xludf.DUMMYFUNCTION("""COMPUTED_VALUE"""),"CFS")</f>
        <v/>
      </c>
      <c r="F179" s="45">
        <f>IFERROR(__xludf.DUMMYFUNCTION("""COMPUTED_VALUE"""),"MAS AMITY PTE LTD")</f>
        <v/>
      </c>
      <c r="G179" s="45">
        <f>IFERROR(__xludf.DUMMYFUNCTION("""COMPUTED_VALUE"""),"MAS Active(Pvt) Ltd – CONTOURLINE")</f>
        <v/>
      </c>
      <c r="H179" s="43">
        <f>IFERROR(__xludf.DUMMYFUNCTION("""COMPUTED_VALUE"""),454774312210)</f>
        <v/>
      </c>
      <c r="I179" s="45">
        <f>IFERROR(__xludf.DUMMYFUNCTION("""COMPUTED_VALUE"""),19920957)</f>
        <v/>
      </c>
      <c r="J179" s="45">
        <f>IFERROR(__xludf.DUMMYFUNCTION("""COMPUTED_VALUE"""),"LW5EYKS")</f>
        <v/>
      </c>
      <c r="K179" s="45">
        <f>IFERROR(__xludf.DUMMYFUNCTION("""COMPUTED_VALUE"""),"LW5EYKS-043635")</f>
        <v/>
      </c>
      <c r="L179" s="45">
        <f>IFERROR(__xludf.DUMMYFUNCTION("""COMPUTED_VALUE"""),6)</f>
        <v/>
      </c>
      <c r="M179" s="45">
        <f>IFERROR(__xludf.DUMMYFUNCTION("""COMPUTED_VALUE"""),253)</f>
        <v/>
      </c>
      <c r="N179" s="45">
        <f>IFERROR(__xludf.DUMMYFUNCTION("""COMPUTED_VALUE"""),59.486)</f>
        <v/>
      </c>
      <c r="O179" s="45">
        <f>IFERROR(__xludf.DUMMYFUNCTION("""COMPUTED_VALUE"""),0.395)</f>
        <v/>
      </c>
      <c r="P179" s="45">
        <f>IFERROR(__xludf.DUMMYFUNCTION("""COMPUTED_VALUE"""),"Colombo, LK")</f>
        <v/>
      </c>
      <c r="Q179" s="45">
        <f>IFERROR(__xludf.DUMMYFUNCTION("""COMPUTED_VALUE"""),"Felixstowe, GB")</f>
        <v/>
      </c>
      <c r="R179" s="44">
        <f>IFERROR(__xludf.DUMMYFUNCTION("""COMPUTED_VALUE"""),45824)</f>
        <v/>
      </c>
      <c r="S179" s="44">
        <f>IFERROR(__xludf.DUMMYFUNCTION("""COMPUTED_VALUE"""),45883)</f>
        <v/>
      </c>
      <c r="T179" s="45">
        <f>IFERROR(__xludf.DUMMYFUNCTION("""COMPUTED_VALUE"""),"Birmingham, GB")</f>
        <v/>
      </c>
      <c r="U179" s="45" t="n"/>
      <c r="V179" s="45" t="n"/>
      <c r="W179" s="45" t="n"/>
      <c r="X179" s="45" t="n"/>
      <c r="Y179" s="46">
        <f>IFERROR(__xludf.DUMMYFUNCTION("""COMPUTED_VALUE"""),45842)</f>
        <v/>
      </c>
      <c r="Z179" s="46">
        <f>IFERROR(__xludf.DUMMYFUNCTION("""COMPUTED_VALUE"""),45858)</f>
        <v/>
      </c>
      <c r="AA179" s="46">
        <f>IFERROR(__xludf.DUMMYFUNCTION("""COMPUTED_VALUE"""),45865)</f>
        <v/>
      </c>
      <c r="AB179" s="45">
        <f>IFERROR(__xludf.DUMMYFUNCTION("""COMPUTED_VALUE"""),"10A Faraday Ave")</f>
        <v/>
      </c>
      <c r="AC179" s="45">
        <f>IFERROR(__xludf.DUMMYFUNCTION("""COMPUTED_VALUE"""),"Coleshill")</f>
        <v/>
      </c>
      <c r="AD179" s="45">
        <f>IFERROR(__xludf.DUMMYFUNCTION("""COMPUTED_VALUE"""),"OCEAN")</f>
        <v/>
      </c>
      <c r="AE179" s="45">
        <f>IFERROR(__xludf.DUMMYFUNCTION("""COMPUTED_VALUE"""),"N")</f>
        <v/>
      </c>
      <c r="AF179" s="45" t="n"/>
      <c r="AG179" s="49">
        <f>IFERROR(__xludf.DUMMYFUNCTION("IFNA(vlookup(H179,IMPORTRANGE(""1vUGwO1n0QQGx9kKbO0_M5gmuhXZ6-LaxQxgrmJnzgP0"",""'TP# look up'!A:C""),3,0),"""")"),"")</f>
        <v/>
      </c>
      <c r="AH179" s="49">
        <f>LEFT(J179,2)</f>
        <v/>
      </c>
    </row>
    <row r="180" hidden="1" ht="12.75" customHeight="1">
      <c r="A180" s="45">
        <f>IFERROR(__xludf.DUMMYFUNCTION("""COMPUTED_VALUE"""),"Colombo")</f>
        <v/>
      </c>
      <c r="B180" s="45" t="n"/>
      <c r="C180" s="45">
        <f>IFERROR(__xludf.DUMMYFUNCTION("""COMPUTED_VALUE"""),3254118)</f>
        <v/>
      </c>
      <c r="D180" s="45" t="n"/>
      <c r="E180" s="45">
        <f>IFERROR(__xludf.DUMMYFUNCTION("""COMPUTED_VALUE"""),"CFS")</f>
        <v/>
      </c>
      <c r="F180" s="45">
        <f>IFERROR(__xludf.DUMMYFUNCTION("""COMPUTED_VALUE"""),"MAS AMITY PTE LTD")</f>
        <v/>
      </c>
      <c r="G180" s="45">
        <f>IFERROR(__xludf.DUMMYFUNCTION("""COMPUTED_VALUE"""),"MAS Active(Pvt) Ltd – CONTOURLINE")</f>
        <v/>
      </c>
      <c r="H180" s="43">
        <f>IFERROR(__xludf.DUMMYFUNCTION("""COMPUTED_VALUE"""),454774400970)</f>
        <v/>
      </c>
      <c r="I180" s="45">
        <f>IFERROR(__xludf.DUMMYFUNCTION("""COMPUTED_VALUE"""),19920968)</f>
        <v/>
      </c>
      <c r="J180" s="45">
        <f>IFERROR(__xludf.DUMMYFUNCTION("""COMPUTED_VALUE"""),"LW5FARS")</f>
        <v/>
      </c>
      <c r="K180" s="45">
        <f>IFERROR(__xludf.DUMMYFUNCTION("""COMPUTED_VALUE"""),"LW5FARS-019746")</f>
        <v/>
      </c>
      <c r="L180" s="45">
        <f>IFERROR(__xludf.DUMMYFUNCTION("""COMPUTED_VALUE"""),3)</f>
        <v/>
      </c>
      <c r="M180" s="45">
        <f>IFERROR(__xludf.DUMMYFUNCTION("""COMPUTED_VALUE"""),152)</f>
        <v/>
      </c>
      <c r="N180" s="45">
        <f>IFERROR(__xludf.DUMMYFUNCTION("""COMPUTED_VALUE"""),32.147)</f>
        <v/>
      </c>
      <c r="O180" s="45">
        <f>IFERROR(__xludf.DUMMYFUNCTION("""COMPUTED_VALUE"""),0.197)</f>
        <v/>
      </c>
      <c r="P180" s="45">
        <f>IFERROR(__xludf.DUMMYFUNCTION("""COMPUTED_VALUE"""),"Colombo, LK")</f>
        <v/>
      </c>
      <c r="Q180" s="45">
        <f>IFERROR(__xludf.DUMMYFUNCTION("""COMPUTED_VALUE"""),"Felixstowe, GB")</f>
        <v/>
      </c>
      <c r="R180" s="44">
        <f>IFERROR(__xludf.DUMMYFUNCTION("""COMPUTED_VALUE"""),45824)</f>
        <v/>
      </c>
      <c r="S180" s="44">
        <f>IFERROR(__xludf.DUMMYFUNCTION("""COMPUTED_VALUE"""),45883)</f>
        <v/>
      </c>
      <c r="T180" s="45">
        <f>IFERROR(__xludf.DUMMYFUNCTION("""COMPUTED_VALUE"""),"Birmingham, GB")</f>
        <v/>
      </c>
      <c r="U180" s="45" t="n"/>
      <c r="V180" s="45" t="n"/>
      <c r="W180" s="45" t="n"/>
      <c r="X180" s="45" t="n"/>
      <c r="Y180" s="46">
        <f>IFERROR(__xludf.DUMMYFUNCTION("""COMPUTED_VALUE"""),45842)</f>
        <v/>
      </c>
      <c r="Z180" s="46">
        <f>IFERROR(__xludf.DUMMYFUNCTION("""COMPUTED_VALUE"""),45858)</f>
        <v/>
      </c>
      <c r="AA180" s="46">
        <f>IFERROR(__xludf.DUMMYFUNCTION("""COMPUTED_VALUE"""),45865)</f>
        <v/>
      </c>
      <c r="AB180" s="45">
        <f>IFERROR(__xludf.DUMMYFUNCTION("""COMPUTED_VALUE"""),"10A Faraday Ave")</f>
        <v/>
      </c>
      <c r="AC180" s="45">
        <f>IFERROR(__xludf.DUMMYFUNCTION("""COMPUTED_VALUE"""),"Coleshill")</f>
        <v/>
      </c>
      <c r="AD180" s="45">
        <f>IFERROR(__xludf.DUMMYFUNCTION("""COMPUTED_VALUE"""),"OCEAN")</f>
        <v/>
      </c>
      <c r="AE180" s="45">
        <f>IFERROR(__xludf.DUMMYFUNCTION("""COMPUTED_VALUE"""),"N")</f>
        <v/>
      </c>
      <c r="AF180" s="45" t="n"/>
      <c r="AG180" s="49">
        <f>IFERROR(__xludf.DUMMYFUNCTION("IFNA(vlookup(H180,IMPORTRANGE(""1vUGwO1n0QQGx9kKbO0_M5gmuhXZ6-LaxQxgrmJnzgP0"",""'TP# look up'!A:C""),3,0),"""")"),"")</f>
        <v/>
      </c>
      <c r="AH180" s="49">
        <f>LEFT(J180,2)</f>
        <v/>
      </c>
    </row>
    <row r="181" hidden="1" ht="12.75" customHeight="1">
      <c r="A181" s="45">
        <f>IFERROR(__xludf.DUMMYFUNCTION("""COMPUTED_VALUE"""),"Colombo")</f>
        <v/>
      </c>
      <c r="B181" s="45" t="n"/>
      <c r="C181" s="45">
        <f>IFERROR(__xludf.DUMMYFUNCTION("""COMPUTED_VALUE"""),3254118)</f>
        <v/>
      </c>
      <c r="D181" s="45" t="n"/>
      <c r="E181" s="45">
        <f>IFERROR(__xludf.DUMMYFUNCTION("""COMPUTED_VALUE"""),"CFS")</f>
        <v/>
      </c>
      <c r="F181" s="45">
        <f>IFERROR(__xludf.DUMMYFUNCTION("""COMPUTED_VALUE"""),"MAS AMITY PTE LTD")</f>
        <v/>
      </c>
      <c r="G181" s="45">
        <f>IFERROR(__xludf.DUMMYFUNCTION("""COMPUTED_VALUE"""),"MAS Active(Pvt) Ltd – CONTOURLINE")</f>
        <v/>
      </c>
      <c r="H181" s="43">
        <f>IFERROR(__xludf.DUMMYFUNCTION("""COMPUTED_VALUE"""),454774401369)</f>
        <v/>
      </c>
      <c r="I181" s="45">
        <f>IFERROR(__xludf.DUMMYFUNCTION("""COMPUTED_VALUE"""),19926263)</f>
        <v/>
      </c>
      <c r="J181" s="45">
        <f>IFERROR(__xludf.DUMMYFUNCTION("""COMPUTED_VALUE"""),"LW2EB3S")</f>
        <v/>
      </c>
      <c r="K181" s="45">
        <f>IFERROR(__xludf.DUMMYFUNCTION("""COMPUTED_VALUE"""),"LW2EB3S-071200")</f>
        <v/>
      </c>
      <c r="L181" s="45">
        <f>IFERROR(__xludf.DUMMYFUNCTION("""COMPUTED_VALUE"""),1)</f>
        <v/>
      </c>
      <c r="M181" s="45">
        <f>IFERROR(__xludf.DUMMYFUNCTION("""COMPUTED_VALUE"""),37)</f>
        <v/>
      </c>
      <c r="N181" s="45">
        <f>IFERROR(__xludf.DUMMYFUNCTION("""COMPUTED_VALUE"""),4.926)</f>
        <v/>
      </c>
      <c r="O181" s="45">
        <f>IFERROR(__xludf.DUMMYFUNCTION("""COMPUTED_VALUE"""),0.039)</f>
        <v/>
      </c>
      <c r="P181" s="45">
        <f>IFERROR(__xludf.DUMMYFUNCTION("""COMPUTED_VALUE"""),"Colombo, LK")</f>
        <v/>
      </c>
      <c r="Q181" s="45">
        <f>IFERROR(__xludf.DUMMYFUNCTION("""COMPUTED_VALUE"""),"Felixstowe, GB")</f>
        <v/>
      </c>
      <c r="R181" s="44">
        <f>IFERROR(__xludf.DUMMYFUNCTION("""COMPUTED_VALUE"""),45824)</f>
        <v/>
      </c>
      <c r="S181" s="44">
        <f>IFERROR(__xludf.DUMMYFUNCTION("""COMPUTED_VALUE"""),45883)</f>
        <v/>
      </c>
      <c r="T181" s="45">
        <f>IFERROR(__xludf.DUMMYFUNCTION("""COMPUTED_VALUE"""),"Birmingham, GB")</f>
        <v/>
      </c>
      <c r="U181" s="45" t="n"/>
      <c r="V181" s="45" t="n"/>
      <c r="W181" s="45" t="n"/>
      <c r="X181" s="45" t="n"/>
      <c r="Y181" s="46">
        <f>IFERROR(__xludf.DUMMYFUNCTION("""COMPUTED_VALUE"""),45842)</f>
        <v/>
      </c>
      <c r="Z181" s="46">
        <f>IFERROR(__xludf.DUMMYFUNCTION("""COMPUTED_VALUE"""),45858)</f>
        <v/>
      </c>
      <c r="AA181" s="46">
        <f>IFERROR(__xludf.DUMMYFUNCTION("""COMPUTED_VALUE"""),45865)</f>
        <v/>
      </c>
      <c r="AB181" s="45">
        <f>IFERROR(__xludf.DUMMYFUNCTION("""COMPUTED_VALUE"""),"10A Faraday Ave")</f>
        <v/>
      </c>
      <c r="AC181" s="45">
        <f>IFERROR(__xludf.DUMMYFUNCTION("""COMPUTED_VALUE"""),"Coleshill")</f>
        <v/>
      </c>
      <c r="AD181" s="45">
        <f>IFERROR(__xludf.DUMMYFUNCTION("""COMPUTED_VALUE"""),"OCEAN")</f>
        <v/>
      </c>
      <c r="AE181" s="45">
        <f>IFERROR(__xludf.DUMMYFUNCTION("""COMPUTED_VALUE"""),"N")</f>
        <v/>
      </c>
      <c r="AF181" s="45" t="n"/>
      <c r="AG181" s="49">
        <f>IFERROR(__xludf.DUMMYFUNCTION("IFNA(vlookup(H181,IMPORTRANGE(""1vUGwO1n0QQGx9kKbO0_M5gmuhXZ6-LaxQxgrmJnzgP0"",""'TP# look up'!A:C""),3,0),"""")"),"")</f>
        <v/>
      </c>
      <c r="AH181" s="49">
        <f>LEFT(J181,2)</f>
        <v/>
      </c>
    </row>
    <row r="182" hidden="1" ht="12.75" customHeight="1">
      <c r="A182" s="45">
        <f>IFERROR(__xludf.DUMMYFUNCTION("""COMPUTED_VALUE"""),"Colombo")</f>
        <v/>
      </c>
      <c r="B182" s="45" t="n"/>
      <c r="C182" s="45">
        <f>IFERROR(__xludf.DUMMYFUNCTION("""COMPUTED_VALUE"""),3254118)</f>
        <v/>
      </c>
      <c r="D182" s="45" t="n"/>
      <c r="E182" s="45">
        <f>IFERROR(__xludf.DUMMYFUNCTION("""COMPUTED_VALUE"""),"CFS")</f>
        <v/>
      </c>
      <c r="F182" s="45">
        <f>IFERROR(__xludf.DUMMYFUNCTION("""COMPUTED_VALUE"""),"MAS AMITY PTE LTD")</f>
        <v/>
      </c>
      <c r="G182" s="45">
        <f>IFERROR(__xludf.DUMMYFUNCTION("""COMPUTED_VALUE"""),"MAS Active(Pvt) Ltd – CONTOURLINE")</f>
        <v/>
      </c>
      <c r="H182" s="43">
        <f>IFERROR(__xludf.DUMMYFUNCTION("""COMPUTED_VALUE"""),454774676885)</f>
        <v/>
      </c>
      <c r="I182" s="45">
        <f>IFERROR(__xludf.DUMMYFUNCTION("""COMPUTED_VALUE"""),19920975)</f>
        <v/>
      </c>
      <c r="J182" s="45">
        <f>IFERROR(__xludf.DUMMYFUNCTION("""COMPUTED_VALUE"""),"LW5FARS")</f>
        <v/>
      </c>
      <c r="K182" s="45">
        <f>IFERROR(__xludf.DUMMYFUNCTION("""COMPUTED_VALUE"""),"LW5FARS-031382")</f>
        <v/>
      </c>
      <c r="L182" s="45">
        <f>IFERROR(__xludf.DUMMYFUNCTION("""COMPUTED_VALUE"""),2)</f>
        <v/>
      </c>
      <c r="M182" s="45">
        <f>IFERROR(__xludf.DUMMYFUNCTION("""COMPUTED_VALUE"""),84)</f>
        <v/>
      </c>
      <c r="N182" s="45">
        <f>IFERROR(__xludf.DUMMYFUNCTION("""COMPUTED_VALUE"""),18.042)</f>
        <v/>
      </c>
      <c r="O182" s="45">
        <f>IFERROR(__xludf.DUMMYFUNCTION("""COMPUTED_VALUE"""),0.118)</f>
        <v/>
      </c>
      <c r="P182" s="45">
        <f>IFERROR(__xludf.DUMMYFUNCTION("""COMPUTED_VALUE"""),"Colombo, LK")</f>
        <v/>
      </c>
      <c r="Q182" s="45">
        <f>IFERROR(__xludf.DUMMYFUNCTION("""COMPUTED_VALUE"""),"Felixstowe, GB")</f>
        <v/>
      </c>
      <c r="R182" s="44">
        <f>IFERROR(__xludf.DUMMYFUNCTION("""COMPUTED_VALUE"""),45824)</f>
        <v/>
      </c>
      <c r="S182" s="44">
        <f>IFERROR(__xludf.DUMMYFUNCTION("""COMPUTED_VALUE"""),45883)</f>
        <v/>
      </c>
      <c r="T182" s="45">
        <f>IFERROR(__xludf.DUMMYFUNCTION("""COMPUTED_VALUE"""),"Birmingham, GB")</f>
        <v/>
      </c>
      <c r="U182" s="45" t="n"/>
      <c r="V182" s="45" t="n"/>
      <c r="W182" s="45" t="n"/>
      <c r="X182" s="45" t="n"/>
      <c r="Y182" s="46">
        <f>IFERROR(__xludf.DUMMYFUNCTION("""COMPUTED_VALUE"""),45842)</f>
        <v/>
      </c>
      <c r="Z182" s="46">
        <f>IFERROR(__xludf.DUMMYFUNCTION("""COMPUTED_VALUE"""),45858)</f>
        <v/>
      </c>
      <c r="AA182" s="46">
        <f>IFERROR(__xludf.DUMMYFUNCTION("""COMPUTED_VALUE"""),45865)</f>
        <v/>
      </c>
      <c r="AB182" s="45">
        <f>IFERROR(__xludf.DUMMYFUNCTION("""COMPUTED_VALUE"""),"10A Faraday Ave")</f>
        <v/>
      </c>
      <c r="AC182" s="45">
        <f>IFERROR(__xludf.DUMMYFUNCTION("""COMPUTED_VALUE"""),"Coleshill")</f>
        <v/>
      </c>
      <c r="AD182" s="45">
        <f>IFERROR(__xludf.DUMMYFUNCTION("""COMPUTED_VALUE"""),"OCEAN")</f>
        <v/>
      </c>
      <c r="AE182" s="45">
        <f>IFERROR(__xludf.DUMMYFUNCTION("""COMPUTED_VALUE"""),"N")</f>
        <v/>
      </c>
      <c r="AF182" s="45" t="n"/>
      <c r="AG182" s="49">
        <f>IFERROR(__xludf.DUMMYFUNCTION("IFNA(vlookup(H182,IMPORTRANGE(""1vUGwO1n0QQGx9kKbO0_M5gmuhXZ6-LaxQxgrmJnzgP0"",""'TP# look up'!A:C""),3,0),"""")"),"")</f>
        <v/>
      </c>
      <c r="AH182" s="49">
        <f>LEFT(J182,2)</f>
        <v/>
      </c>
    </row>
    <row r="183" hidden="1" ht="12.75" customHeight="1">
      <c r="A183" s="45">
        <f>IFERROR(__xludf.DUMMYFUNCTION("""COMPUTED_VALUE"""),"Colombo")</f>
        <v/>
      </c>
      <c r="B183" s="45" t="n"/>
      <c r="C183" s="45">
        <f>IFERROR(__xludf.DUMMYFUNCTION("""COMPUTED_VALUE"""),3254118)</f>
        <v/>
      </c>
      <c r="D183" s="45" t="n"/>
      <c r="E183" s="45">
        <f>IFERROR(__xludf.DUMMYFUNCTION("""COMPUTED_VALUE"""),"CFS")</f>
        <v/>
      </c>
      <c r="F183" s="45">
        <f>IFERROR(__xludf.DUMMYFUNCTION("""COMPUTED_VALUE"""),"MAS AMITY PTE LTD")</f>
        <v/>
      </c>
      <c r="G183" s="45">
        <f>IFERROR(__xludf.DUMMYFUNCTION("""COMPUTED_VALUE"""),"MAS Active(Pvt) Ltd – CONTOURLINE")</f>
        <v/>
      </c>
      <c r="H183" s="43">
        <f>IFERROR(__xludf.DUMMYFUNCTION("""COMPUTED_VALUE"""),454774766099)</f>
        <v/>
      </c>
      <c r="I183" s="45">
        <f>IFERROR(__xludf.DUMMYFUNCTION("""COMPUTED_VALUE"""),19920959)</f>
        <v/>
      </c>
      <c r="J183" s="45">
        <f>IFERROR(__xludf.DUMMYFUNCTION("""COMPUTED_VALUE"""),"LW5EYKS")</f>
        <v/>
      </c>
      <c r="K183" s="45">
        <f>IFERROR(__xludf.DUMMYFUNCTION("""COMPUTED_VALUE"""),"LW5EYKS-043635")</f>
        <v/>
      </c>
      <c r="L183" s="45">
        <f>IFERROR(__xludf.DUMMYFUNCTION("""COMPUTED_VALUE"""),1)</f>
        <v/>
      </c>
      <c r="M183" s="45">
        <f>IFERROR(__xludf.DUMMYFUNCTION("""COMPUTED_VALUE"""),27)</f>
        <v/>
      </c>
      <c r="N183" s="45">
        <f>IFERROR(__xludf.DUMMYFUNCTION("""COMPUTED_VALUE"""),6.583)</f>
        <v/>
      </c>
      <c r="O183" s="45">
        <f>IFERROR(__xludf.DUMMYFUNCTION("""COMPUTED_VALUE"""),0.039)</f>
        <v/>
      </c>
      <c r="P183" s="45">
        <f>IFERROR(__xludf.DUMMYFUNCTION("""COMPUTED_VALUE"""),"Colombo, LK")</f>
        <v/>
      </c>
      <c r="Q183" s="45">
        <f>IFERROR(__xludf.DUMMYFUNCTION("""COMPUTED_VALUE"""),"Felixstowe, GB")</f>
        <v/>
      </c>
      <c r="R183" s="44">
        <f>IFERROR(__xludf.DUMMYFUNCTION("""COMPUTED_VALUE"""),45824)</f>
        <v/>
      </c>
      <c r="S183" s="44">
        <f>IFERROR(__xludf.DUMMYFUNCTION("""COMPUTED_VALUE"""),45883)</f>
        <v/>
      </c>
      <c r="T183" s="45">
        <f>IFERROR(__xludf.DUMMYFUNCTION("""COMPUTED_VALUE"""),"Birmingham, GB")</f>
        <v/>
      </c>
      <c r="U183" s="45" t="n"/>
      <c r="V183" s="45" t="n"/>
      <c r="W183" s="45" t="n"/>
      <c r="X183" s="45" t="n"/>
      <c r="Y183" s="46">
        <f>IFERROR(__xludf.DUMMYFUNCTION("""COMPUTED_VALUE"""),45842)</f>
        <v/>
      </c>
      <c r="Z183" s="46">
        <f>IFERROR(__xludf.DUMMYFUNCTION("""COMPUTED_VALUE"""),45858)</f>
        <v/>
      </c>
      <c r="AA183" s="46">
        <f>IFERROR(__xludf.DUMMYFUNCTION("""COMPUTED_VALUE"""),45865)</f>
        <v/>
      </c>
      <c r="AB183" s="45">
        <f>IFERROR(__xludf.DUMMYFUNCTION("""COMPUTED_VALUE"""),"10A Faraday Ave")</f>
        <v/>
      </c>
      <c r="AC183" s="45">
        <f>IFERROR(__xludf.DUMMYFUNCTION("""COMPUTED_VALUE"""),"Coleshill")</f>
        <v/>
      </c>
      <c r="AD183" s="45">
        <f>IFERROR(__xludf.DUMMYFUNCTION("""COMPUTED_VALUE"""),"OCEAN")</f>
        <v/>
      </c>
      <c r="AE183" s="45">
        <f>IFERROR(__xludf.DUMMYFUNCTION("""COMPUTED_VALUE"""),"N")</f>
        <v/>
      </c>
      <c r="AF183" s="45" t="n"/>
      <c r="AG183" s="49">
        <f>IFERROR(__xludf.DUMMYFUNCTION("IFNA(vlookup(H183,IMPORTRANGE(""1vUGwO1n0QQGx9kKbO0_M5gmuhXZ6-LaxQxgrmJnzgP0"",""'TP# look up'!A:C""),3,0),"""")"),"")</f>
        <v/>
      </c>
      <c r="AH183" s="49">
        <f>LEFT(J183,2)</f>
        <v/>
      </c>
    </row>
    <row r="184" hidden="1" ht="12.75" customHeight="1">
      <c r="A184" s="45">
        <f>IFERROR(__xludf.DUMMYFUNCTION("""COMPUTED_VALUE"""),"Colombo")</f>
        <v/>
      </c>
      <c r="B184" s="45" t="n"/>
      <c r="C184" s="45">
        <f>IFERROR(__xludf.DUMMYFUNCTION("""COMPUTED_VALUE"""),3254118)</f>
        <v/>
      </c>
      <c r="D184" s="45" t="n"/>
      <c r="E184" s="45">
        <f>IFERROR(__xludf.DUMMYFUNCTION("""COMPUTED_VALUE"""),"CFS")</f>
        <v/>
      </c>
      <c r="F184" s="45">
        <f>IFERROR(__xludf.DUMMYFUNCTION("""COMPUTED_VALUE"""),"MAS AMITY PTE LTD")</f>
        <v/>
      </c>
      <c r="G184" s="45">
        <f>IFERROR(__xludf.DUMMYFUNCTION("""COMPUTED_VALUE"""),"MAS Active(Pvt) Ltd – CONTOURLINE")</f>
        <v/>
      </c>
      <c r="H184" s="43">
        <f>IFERROR(__xludf.DUMMYFUNCTION("""COMPUTED_VALUE"""),454775187235)</f>
        <v/>
      </c>
      <c r="I184" s="45">
        <f>IFERROR(__xludf.DUMMYFUNCTION("""COMPUTED_VALUE"""),19921009)</f>
        <v/>
      </c>
      <c r="J184" s="45">
        <f>IFERROR(__xludf.DUMMYFUNCTION("""COMPUTED_VALUE"""),"LW7CPPS")</f>
        <v/>
      </c>
      <c r="K184" s="45">
        <f>IFERROR(__xludf.DUMMYFUNCTION("""COMPUTED_VALUE"""),"LW7CPPS-031382")</f>
        <v/>
      </c>
      <c r="L184" s="45">
        <f>IFERROR(__xludf.DUMMYFUNCTION("""COMPUTED_VALUE"""),4)</f>
        <v/>
      </c>
      <c r="M184" s="45">
        <f>IFERROR(__xludf.DUMMYFUNCTION("""COMPUTED_VALUE"""),194)</f>
        <v/>
      </c>
      <c r="N184" s="45">
        <f>IFERROR(__xludf.DUMMYFUNCTION("""COMPUTED_VALUE"""),31.343)</f>
        <v/>
      </c>
      <c r="O184" s="45">
        <f>IFERROR(__xludf.DUMMYFUNCTION("""COMPUTED_VALUE"""),0.237)</f>
        <v/>
      </c>
      <c r="P184" s="45">
        <f>IFERROR(__xludf.DUMMYFUNCTION("""COMPUTED_VALUE"""),"Colombo, LK")</f>
        <v/>
      </c>
      <c r="Q184" s="45">
        <f>IFERROR(__xludf.DUMMYFUNCTION("""COMPUTED_VALUE"""),"Felixstowe, GB")</f>
        <v/>
      </c>
      <c r="R184" s="44">
        <f>IFERROR(__xludf.DUMMYFUNCTION("""COMPUTED_VALUE"""),45824)</f>
        <v/>
      </c>
      <c r="S184" s="44">
        <f>IFERROR(__xludf.DUMMYFUNCTION("""COMPUTED_VALUE"""),45883)</f>
        <v/>
      </c>
      <c r="T184" s="45">
        <f>IFERROR(__xludf.DUMMYFUNCTION("""COMPUTED_VALUE"""),"Birmingham, GB")</f>
        <v/>
      </c>
      <c r="U184" s="45" t="n"/>
      <c r="V184" s="45" t="n"/>
      <c r="W184" s="45" t="n"/>
      <c r="X184" s="45" t="n"/>
      <c r="Y184" s="46">
        <f>IFERROR(__xludf.DUMMYFUNCTION("""COMPUTED_VALUE"""),45842)</f>
        <v/>
      </c>
      <c r="Z184" s="46">
        <f>IFERROR(__xludf.DUMMYFUNCTION("""COMPUTED_VALUE"""),45858)</f>
        <v/>
      </c>
      <c r="AA184" s="46">
        <f>IFERROR(__xludf.DUMMYFUNCTION("""COMPUTED_VALUE"""),45865)</f>
        <v/>
      </c>
      <c r="AB184" s="45">
        <f>IFERROR(__xludf.DUMMYFUNCTION("""COMPUTED_VALUE"""),"10A Faraday Ave")</f>
        <v/>
      </c>
      <c r="AC184" s="45">
        <f>IFERROR(__xludf.DUMMYFUNCTION("""COMPUTED_VALUE"""),"Coleshill")</f>
        <v/>
      </c>
      <c r="AD184" s="45">
        <f>IFERROR(__xludf.DUMMYFUNCTION("""COMPUTED_VALUE"""),"OCEAN")</f>
        <v/>
      </c>
      <c r="AE184" s="45">
        <f>IFERROR(__xludf.DUMMYFUNCTION("""COMPUTED_VALUE"""),"N")</f>
        <v/>
      </c>
      <c r="AF184" s="45" t="n"/>
      <c r="AG184" s="49">
        <f>IFERROR(__xludf.DUMMYFUNCTION("IFNA(vlookup(H184,IMPORTRANGE(""1vUGwO1n0QQGx9kKbO0_M5gmuhXZ6-LaxQxgrmJnzgP0"",""'TP# look up'!A:C""),3,0),"""")"),"")</f>
        <v/>
      </c>
      <c r="AH184" s="49">
        <f>LEFT(J184,2)</f>
        <v/>
      </c>
    </row>
    <row r="185" hidden="1" ht="12.75" customHeight="1">
      <c r="A185" s="45">
        <f>IFERROR(__xludf.DUMMYFUNCTION("""COMPUTED_VALUE"""),"Colombo")</f>
        <v/>
      </c>
      <c r="B185" s="45" t="n"/>
      <c r="C185" s="45">
        <f>IFERROR(__xludf.DUMMYFUNCTION("""COMPUTED_VALUE"""),3254118)</f>
        <v/>
      </c>
      <c r="D185" s="45" t="n"/>
      <c r="E185" s="45">
        <f>IFERROR(__xludf.DUMMYFUNCTION("""COMPUTED_VALUE"""),"CFS")</f>
        <v/>
      </c>
      <c r="F185" s="45">
        <f>IFERROR(__xludf.DUMMYFUNCTION("""COMPUTED_VALUE"""),"MAS AMITY PTE LTD")</f>
        <v/>
      </c>
      <c r="G185" s="45">
        <f>IFERROR(__xludf.DUMMYFUNCTION("""COMPUTED_VALUE"""),"MAS Active(Pvt) Ltd – CONTOURLINE")</f>
        <v/>
      </c>
      <c r="H185" s="43">
        <f>IFERROR(__xludf.DUMMYFUNCTION("""COMPUTED_VALUE"""),454775192886)</f>
        <v/>
      </c>
      <c r="I185" s="45">
        <f>IFERROR(__xludf.DUMMYFUNCTION("""COMPUTED_VALUE"""),19926260)</f>
        <v/>
      </c>
      <c r="J185" s="45">
        <f>IFERROR(__xludf.DUMMYFUNCTION("""COMPUTED_VALUE"""),"LW2EB3S")</f>
        <v/>
      </c>
      <c r="K185" s="45">
        <f>IFERROR(__xludf.DUMMYFUNCTION("""COMPUTED_VALUE"""),"LW2EB3S-071200")</f>
        <v/>
      </c>
      <c r="L185" s="45">
        <f>IFERROR(__xludf.DUMMYFUNCTION("""COMPUTED_VALUE"""),4)</f>
        <v/>
      </c>
      <c r="M185" s="45">
        <f>IFERROR(__xludf.DUMMYFUNCTION("""COMPUTED_VALUE"""),291)</f>
        <v/>
      </c>
      <c r="N185" s="45">
        <f>IFERROR(__xludf.DUMMYFUNCTION("""COMPUTED_VALUE"""),36.461)</f>
        <v/>
      </c>
      <c r="O185" s="45">
        <f>IFERROR(__xludf.DUMMYFUNCTION("""COMPUTED_VALUE"""),0.316)</f>
        <v/>
      </c>
      <c r="P185" s="45">
        <f>IFERROR(__xludf.DUMMYFUNCTION("""COMPUTED_VALUE"""),"Colombo, LK")</f>
        <v/>
      </c>
      <c r="Q185" s="45">
        <f>IFERROR(__xludf.DUMMYFUNCTION("""COMPUTED_VALUE"""),"Felixstowe, GB")</f>
        <v/>
      </c>
      <c r="R185" s="44">
        <f>IFERROR(__xludf.DUMMYFUNCTION("""COMPUTED_VALUE"""),45824)</f>
        <v/>
      </c>
      <c r="S185" s="44">
        <f>IFERROR(__xludf.DUMMYFUNCTION("""COMPUTED_VALUE"""),45883)</f>
        <v/>
      </c>
      <c r="T185" s="45">
        <f>IFERROR(__xludf.DUMMYFUNCTION("""COMPUTED_VALUE"""),"Birmingham, GB")</f>
        <v/>
      </c>
      <c r="U185" s="45" t="n"/>
      <c r="V185" s="45" t="n"/>
      <c r="W185" s="45" t="n"/>
      <c r="X185" s="45" t="n"/>
      <c r="Y185" s="46">
        <f>IFERROR(__xludf.DUMMYFUNCTION("""COMPUTED_VALUE"""),45842)</f>
        <v/>
      </c>
      <c r="Z185" s="46">
        <f>IFERROR(__xludf.DUMMYFUNCTION("""COMPUTED_VALUE"""),45858)</f>
        <v/>
      </c>
      <c r="AA185" s="46">
        <f>IFERROR(__xludf.DUMMYFUNCTION("""COMPUTED_VALUE"""),45865)</f>
        <v/>
      </c>
      <c r="AB185" s="45">
        <f>IFERROR(__xludf.DUMMYFUNCTION("""COMPUTED_VALUE"""),"10A Faraday Ave")</f>
        <v/>
      </c>
      <c r="AC185" s="45">
        <f>IFERROR(__xludf.DUMMYFUNCTION("""COMPUTED_VALUE"""),"Coleshill")</f>
        <v/>
      </c>
      <c r="AD185" s="45">
        <f>IFERROR(__xludf.DUMMYFUNCTION("""COMPUTED_VALUE"""),"OCEAN")</f>
        <v/>
      </c>
      <c r="AE185" s="45">
        <f>IFERROR(__xludf.DUMMYFUNCTION("""COMPUTED_VALUE"""),"N")</f>
        <v/>
      </c>
      <c r="AF185" s="45" t="n"/>
      <c r="AG185" s="49">
        <f>IFERROR(__xludf.DUMMYFUNCTION("IFNA(vlookup(H185,IMPORTRANGE(""1vUGwO1n0QQGx9kKbO0_M5gmuhXZ6-LaxQxgrmJnzgP0"",""'TP# look up'!A:C""),3,0),"""")"),"")</f>
        <v/>
      </c>
      <c r="AH185" s="49">
        <f>LEFT(J185,2)</f>
        <v/>
      </c>
    </row>
    <row r="186" hidden="1" ht="12.75" customHeight="1">
      <c r="A186" s="45">
        <f>IFERROR(__xludf.DUMMYFUNCTION("""COMPUTED_VALUE"""),"Colombo")</f>
        <v/>
      </c>
      <c r="B186" s="45" t="n"/>
      <c r="C186" s="45">
        <f>IFERROR(__xludf.DUMMYFUNCTION("""COMPUTED_VALUE"""),3254118)</f>
        <v/>
      </c>
      <c r="D186" s="45" t="n"/>
      <c r="E186" s="45">
        <f>IFERROR(__xludf.DUMMYFUNCTION("""COMPUTED_VALUE"""),"CFS")</f>
        <v/>
      </c>
      <c r="F186" s="45">
        <f>IFERROR(__xludf.DUMMYFUNCTION("""COMPUTED_VALUE"""),"MAS AMITY PTE LTD")</f>
        <v/>
      </c>
      <c r="G186" s="45">
        <f>IFERROR(__xludf.DUMMYFUNCTION("""COMPUTED_VALUE"""),"MAS Active(Pvt) Ltd – CONTOURLINE")</f>
        <v/>
      </c>
      <c r="H186" s="43">
        <f>IFERROR(__xludf.DUMMYFUNCTION("""COMPUTED_VALUE"""),454775252856)</f>
        <v/>
      </c>
      <c r="I186" s="45">
        <f>IFERROR(__xludf.DUMMYFUNCTION("""COMPUTED_VALUE"""),19925895)</f>
        <v/>
      </c>
      <c r="J186" s="45">
        <f>IFERROR(__xludf.DUMMYFUNCTION("""COMPUTED_VALUE"""),"LW5EPSS")</f>
        <v/>
      </c>
      <c r="K186" s="45">
        <f>IFERROR(__xludf.DUMMYFUNCTION("""COMPUTED_VALUE"""),"LW5EPSS-049106")</f>
        <v/>
      </c>
      <c r="L186" s="45">
        <f>IFERROR(__xludf.DUMMYFUNCTION("""COMPUTED_VALUE"""),2)</f>
        <v/>
      </c>
      <c r="M186" s="45">
        <f>IFERROR(__xludf.DUMMYFUNCTION("""COMPUTED_VALUE"""),89)</f>
        <v/>
      </c>
      <c r="N186" s="45">
        <f>IFERROR(__xludf.DUMMYFUNCTION("""COMPUTED_VALUE"""),20.416)</f>
        <v/>
      </c>
      <c r="O186" s="45">
        <f>IFERROR(__xludf.DUMMYFUNCTION("""COMPUTED_VALUE"""),0.118)</f>
        <v/>
      </c>
      <c r="P186" s="45">
        <f>IFERROR(__xludf.DUMMYFUNCTION("""COMPUTED_VALUE"""),"Colombo, LK")</f>
        <v/>
      </c>
      <c r="Q186" s="45">
        <f>IFERROR(__xludf.DUMMYFUNCTION("""COMPUTED_VALUE"""),"Felixstowe, GB")</f>
        <v/>
      </c>
      <c r="R186" s="44">
        <f>IFERROR(__xludf.DUMMYFUNCTION("""COMPUTED_VALUE"""),45824)</f>
        <v/>
      </c>
      <c r="S186" s="44">
        <f>IFERROR(__xludf.DUMMYFUNCTION("""COMPUTED_VALUE"""),45883)</f>
        <v/>
      </c>
      <c r="T186" s="45">
        <f>IFERROR(__xludf.DUMMYFUNCTION("""COMPUTED_VALUE"""),"Birmingham, GB")</f>
        <v/>
      </c>
      <c r="U186" s="45" t="n"/>
      <c r="V186" s="45" t="n"/>
      <c r="W186" s="45" t="n"/>
      <c r="X186" s="45" t="n"/>
      <c r="Y186" s="46">
        <f>IFERROR(__xludf.DUMMYFUNCTION("""COMPUTED_VALUE"""),45842)</f>
        <v/>
      </c>
      <c r="Z186" s="46">
        <f>IFERROR(__xludf.DUMMYFUNCTION("""COMPUTED_VALUE"""),45858)</f>
        <v/>
      </c>
      <c r="AA186" s="46">
        <f>IFERROR(__xludf.DUMMYFUNCTION("""COMPUTED_VALUE"""),45865)</f>
        <v/>
      </c>
      <c r="AB186" s="45">
        <f>IFERROR(__xludf.DUMMYFUNCTION("""COMPUTED_VALUE"""),"10A Faraday Ave")</f>
        <v/>
      </c>
      <c r="AC186" s="45">
        <f>IFERROR(__xludf.DUMMYFUNCTION("""COMPUTED_VALUE"""),"Coleshill")</f>
        <v/>
      </c>
      <c r="AD186" s="45">
        <f>IFERROR(__xludf.DUMMYFUNCTION("""COMPUTED_VALUE"""),"OCEAN")</f>
        <v/>
      </c>
      <c r="AE186" s="45">
        <f>IFERROR(__xludf.DUMMYFUNCTION("""COMPUTED_VALUE"""),"N")</f>
        <v/>
      </c>
      <c r="AF186" s="45" t="n"/>
      <c r="AG186" s="49">
        <f>IFERROR(__xludf.DUMMYFUNCTION("IFNA(vlookup(H186,IMPORTRANGE(""1vUGwO1n0QQGx9kKbO0_M5gmuhXZ6-LaxQxgrmJnzgP0"",""'TP# look up'!A:C""),3,0),"""")"),"")</f>
        <v/>
      </c>
      <c r="AH186" s="49">
        <f>LEFT(J186,2)</f>
        <v/>
      </c>
    </row>
    <row r="187" hidden="1" ht="12.75" customHeight="1">
      <c r="A187" s="45">
        <f>IFERROR(__xludf.DUMMYFUNCTION("""COMPUTED_VALUE"""),"Colombo")</f>
        <v/>
      </c>
      <c r="B187" s="45" t="n"/>
      <c r="C187" s="45">
        <f>IFERROR(__xludf.DUMMYFUNCTION("""COMPUTED_VALUE"""),3254118)</f>
        <v/>
      </c>
      <c r="D187" s="45" t="n"/>
      <c r="E187" s="45">
        <f>IFERROR(__xludf.DUMMYFUNCTION("""COMPUTED_VALUE"""),"CFS")</f>
        <v/>
      </c>
      <c r="F187" s="45">
        <f>IFERROR(__xludf.DUMMYFUNCTION("""COMPUTED_VALUE"""),"MAS AMITY PTE LTD")</f>
        <v/>
      </c>
      <c r="G187" s="45">
        <f>IFERROR(__xludf.DUMMYFUNCTION("""COMPUTED_VALUE"""),"MAS Active(Pvt) Ltd – CONTOURLINE")</f>
        <v/>
      </c>
      <c r="H187" s="43">
        <f>IFERROR(__xludf.DUMMYFUNCTION("""COMPUTED_VALUE"""),454775599438)</f>
        <v/>
      </c>
      <c r="I187" s="45">
        <f>IFERROR(__xludf.DUMMYFUNCTION("""COMPUTED_VALUE"""),19925872)</f>
        <v/>
      </c>
      <c r="J187" s="45">
        <f>IFERROR(__xludf.DUMMYFUNCTION("""COMPUTED_VALUE"""),"LW5EPSS")</f>
        <v/>
      </c>
      <c r="K187" s="45">
        <f>IFERROR(__xludf.DUMMYFUNCTION("""COMPUTED_VALUE"""),"LW5EPSS-049106")</f>
        <v/>
      </c>
      <c r="L187" s="45">
        <f>IFERROR(__xludf.DUMMYFUNCTION("""COMPUTED_VALUE"""),7)</f>
        <v/>
      </c>
      <c r="M187" s="45">
        <f>IFERROR(__xludf.DUMMYFUNCTION("""COMPUTED_VALUE"""),277)</f>
        <v/>
      </c>
      <c r="N187" s="45">
        <f>IFERROR(__xludf.DUMMYFUNCTION("""COMPUTED_VALUE"""),61.082)</f>
        <v/>
      </c>
      <c r="O187" s="45">
        <f>IFERROR(__xludf.DUMMYFUNCTION("""COMPUTED_VALUE"""),0.434)</f>
        <v/>
      </c>
      <c r="P187" s="45">
        <f>IFERROR(__xludf.DUMMYFUNCTION("""COMPUTED_VALUE"""),"Colombo, LK")</f>
        <v/>
      </c>
      <c r="Q187" s="45">
        <f>IFERROR(__xludf.DUMMYFUNCTION("""COMPUTED_VALUE"""),"Felixstowe, GB")</f>
        <v/>
      </c>
      <c r="R187" s="44">
        <f>IFERROR(__xludf.DUMMYFUNCTION("""COMPUTED_VALUE"""),45824)</f>
        <v/>
      </c>
      <c r="S187" s="44">
        <f>IFERROR(__xludf.DUMMYFUNCTION("""COMPUTED_VALUE"""),45883)</f>
        <v/>
      </c>
      <c r="T187" s="45">
        <f>IFERROR(__xludf.DUMMYFUNCTION("""COMPUTED_VALUE"""),"Birmingham, GB")</f>
        <v/>
      </c>
      <c r="U187" s="45" t="n"/>
      <c r="V187" s="45" t="n"/>
      <c r="W187" s="45" t="n"/>
      <c r="X187" s="45" t="n"/>
      <c r="Y187" s="46">
        <f>IFERROR(__xludf.DUMMYFUNCTION("""COMPUTED_VALUE"""),45842)</f>
        <v/>
      </c>
      <c r="Z187" s="46">
        <f>IFERROR(__xludf.DUMMYFUNCTION("""COMPUTED_VALUE"""),45858)</f>
        <v/>
      </c>
      <c r="AA187" s="46">
        <f>IFERROR(__xludf.DUMMYFUNCTION("""COMPUTED_VALUE"""),45865)</f>
        <v/>
      </c>
      <c r="AB187" s="45">
        <f>IFERROR(__xludf.DUMMYFUNCTION("""COMPUTED_VALUE"""),"10A Faraday Ave")</f>
        <v/>
      </c>
      <c r="AC187" s="45">
        <f>IFERROR(__xludf.DUMMYFUNCTION("""COMPUTED_VALUE"""),"Coleshill")</f>
        <v/>
      </c>
      <c r="AD187" s="45">
        <f>IFERROR(__xludf.DUMMYFUNCTION("""COMPUTED_VALUE"""),"OCEAN")</f>
        <v/>
      </c>
      <c r="AE187" s="45">
        <f>IFERROR(__xludf.DUMMYFUNCTION("""COMPUTED_VALUE"""),"N")</f>
        <v/>
      </c>
      <c r="AF187" s="45" t="n"/>
      <c r="AG187" s="49">
        <f>IFERROR(__xludf.DUMMYFUNCTION("IFNA(vlookup(H187,IMPORTRANGE(""1vUGwO1n0QQGx9kKbO0_M5gmuhXZ6-LaxQxgrmJnzgP0"",""'TP# look up'!A:C""),3,0),"""")"),"")</f>
        <v/>
      </c>
      <c r="AH187" s="49">
        <f>LEFT(J187,2)</f>
        <v/>
      </c>
    </row>
    <row r="188" hidden="1" ht="12.75" customHeight="1">
      <c r="A188" s="45">
        <f>IFERROR(__xludf.DUMMYFUNCTION("""COMPUTED_VALUE"""),"Colombo")</f>
        <v/>
      </c>
      <c r="B188" s="45" t="n"/>
      <c r="C188" s="45">
        <f>IFERROR(__xludf.DUMMYFUNCTION("""COMPUTED_VALUE"""),3254118)</f>
        <v/>
      </c>
      <c r="D188" s="45" t="n"/>
      <c r="E188" s="45">
        <f>IFERROR(__xludf.DUMMYFUNCTION("""COMPUTED_VALUE"""),"CFS")</f>
        <v/>
      </c>
      <c r="F188" s="45">
        <f>IFERROR(__xludf.DUMMYFUNCTION("""COMPUTED_VALUE"""),"MAS AMITY PTE LTD")</f>
        <v/>
      </c>
      <c r="G188" s="45">
        <f>IFERROR(__xludf.DUMMYFUNCTION("""COMPUTED_VALUE"""),"MAS Active (Pvt) Ltd – Shadowline")</f>
        <v/>
      </c>
      <c r="H188" s="43">
        <f>IFERROR(__xludf.DUMMYFUNCTION("""COMPUTED_VALUE"""),454864010774)</f>
        <v/>
      </c>
      <c r="I188" s="45">
        <f>IFERROR(__xludf.DUMMYFUNCTION("""COMPUTED_VALUE"""),19808326)</f>
        <v/>
      </c>
      <c r="J188" s="45">
        <f>IFERROR(__xludf.DUMMYFUNCTION("""COMPUTED_VALUE"""),"LM1366S")</f>
        <v/>
      </c>
      <c r="K188" s="45">
        <f>IFERROR(__xludf.DUMMYFUNCTION("""COMPUTED_VALUE"""),"LM1366S-062214")</f>
        <v/>
      </c>
      <c r="L188" s="45">
        <f>IFERROR(__xludf.DUMMYFUNCTION("""COMPUTED_VALUE"""),1)</f>
        <v/>
      </c>
      <c r="M188" s="45">
        <f>IFERROR(__xludf.DUMMYFUNCTION("""COMPUTED_VALUE"""),82)</f>
        <v/>
      </c>
      <c r="N188" s="45">
        <f>IFERROR(__xludf.DUMMYFUNCTION("""COMPUTED_VALUE"""),7.996)</f>
        <v/>
      </c>
      <c r="O188" s="45">
        <f>IFERROR(__xludf.DUMMYFUNCTION("""COMPUTED_VALUE"""),0.079)</f>
        <v/>
      </c>
      <c r="P188" s="45">
        <f>IFERROR(__xludf.DUMMYFUNCTION("""COMPUTED_VALUE"""),"Colombo, LK")</f>
        <v/>
      </c>
      <c r="Q188" s="45">
        <f>IFERROR(__xludf.DUMMYFUNCTION("""COMPUTED_VALUE"""),"Felixstowe, GB")</f>
        <v/>
      </c>
      <c r="R188" s="44">
        <f>IFERROR(__xludf.DUMMYFUNCTION("""COMPUTED_VALUE"""),45824)</f>
        <v/>
      </c>
      <c r="S188" s="44">
        <f>IFERROR(__xludf.DUMMYFUNCTION("""COMPUTED_VALUE"""),45883)</f>
        <v/>
      </c>
      <c r="T188" s="45">
        <f>IFERROR(__xludf.DUMMYFUNCTION("""COMPUTED_VALUE"""),"Birmingham, GB")</f>
        <v/>
      </c>
      <c r="U188" s="45" t="n"/>
      <c r="V188" s="45" t="n"/>
      <c r="W188" s="45" t="n"/>
      <c r="X188" s="45" t="n"/>
      <c r="Y188" s="46">
        <f>IFERROR(__xludf.DUMMYFUNCTION("""COMPUTED_VALUE"""),45842)</f>
        <v/>
      </c>
      <c r="Z188" s="46">
        <f>IFERROR(__xludf.DUMMYFUNCTION("""COMPUTED_VALUE"""),45858)</f>
        <v/>
      </c>
      <c r="AA188" s="46">
        <f>IFERROR(__xludf.DUMMYFUNCTION("""COMPUTED_VALUE"""),45865)</f>
        <v/>
      </c>
      <c r="AB188" s="45">
        <f>IFERROR(__xludf.DUMMYFUNCTION("""COMPUTED_VALUE"""),"10A Faraday Ave")</f>
        <v/>
      </c>
      <c r="AC188" s="45">
        <f>IFERROR(__xludf.DUMMYFUNCTION("""COMPUTED_VALUE"""),"Coleshill")</f>
        <v/>
      </c>
      <c r="AD188" s="45">
        <f>IFERROR(__xludf.DUMMYFUNCTION("""COMPUTED_VALUE"""),"OCEAN")</f>
        <v/>
      </c>
      <c r="AE188" s="45">
        <f>IFERROR(__xludf.DUMMYFUNCTION("""COMPUTED_VALUE"""),"N")</f>
        <v/>
      </c>
      <c r="AF188" s="45" t="n"/>
      <c r="AG188" s="49">
        <f>IFERROR(__xludf.DUMMYFUNCTION("IFNA(vlookup(H188,IMPORTRANGE(""1vUGwO1n0QQGx9kKbO0_M5gmuhXZ6-LaxQxgrmJnzgP0"",""'TP# look up'!A:C""),3,0),"""")"),"")</f>
        <v/>
      </c>
      <c r="AH188" s="49">
        <f>LEFT(J188,2)</f>
        <v/>
      </c>
    </row>
    <row r="189" hidden="1" ht="12.75" customHeight="1">
      <c r="A189" s="45">
        <f>IFERROR(__xludf.DUMMYFUNCTION("""COMPUTED_VALUE"""),"Colombo")</f>
        <v/>
      </c>
      <c r="B189" s="45" t="n"/>
      <c r="C189" s="45">
        <f>IFERROR(__xludf.DUMMYFUNCTION("""COMPUTED_VALUE"""),3254118)</f>
        <v/>
      </c>
      <c r="D189" s="45" t="n"/>
      <c r="E189" s="45">
        <f>IFERROR(__xludf.DUMMYFUNCTION("""COMPUTED_VALUE"""),"CFS")</f>
        <v/>
      </c>
      <c r="F189" s="45">
        <f>IFERROR(__xludf.DUMMYFUNCTION("""COMPUTED_VALUE"""),"MAS AMITY PTE LTD")</f>
        <v/>
      </c>
      <c r="G189" s="45">
        <f>IFERROR(__xludf.DUMMYFUNCTION("""COMPUTED_VALUE"""),"MAS Active(Pvt) Ltd – CONTOURLINE")</f>
        <v/>
      </c>
      <c r="H189" s="43">
        <f>IFERROR(__xludf.DUMMYFUNCTION("""COMPUTED_VALUE"""),454858069214)</f>
        <v/>
      </c>
      <c r="I189" s="45">
        <f>IFERROR(__xludf.DUMMYFUNCTION("""COMPUTED_VALUE"""),19920976)</f>
        <v/>
      </c>
      <c r="J189" s="45">
        <f>IFERROR(__xludf.DUMMYFUNCTION("""COMPUTED_VALUE"""),"LW5FARS")</f>
        <v/>
      </c>
      <c r="K189" s="45">
        <f>IFERROR(__xludf.DUMMYFUNCTION("""COMPUTED_VALUE"""),"LW5FARS-031382")</f>
        <v/>
      </c>
      <c r="L189" s="45">
        <f>IFERROR(__xludf.DUMMYFUNCTION("""COMPUTED_VALUE"""),4)</f>
        <v/>
      </c>
      <c r="M189" s="45">
        <f>IFERROR(__xludf.DUMMYFUNCTION("""COMPUTED_VALUE"""),206)</f>
        <v/>
      </c>
      <c r="N189" s="45">
        <f>IFERROR(__xludf.DUMMYFUNCTION("""COMPUTED_VALUE"""),44.051)</f>
        <v/>
      </c>
      <c r="O189" s="45">
        <f>IFERROR(__xludf.DUMMYFUNCTION("""COMPUTED_VALUE"""),0.316)</f>
        <v/>
      </c>
      <c r="P189" s="45">
        <f>IFERROR(__xludf.DUMMYFUNCTION("""COMPUTED_VALUE"""),"Colombo, LK")</f>
        <v/>
      </c>
      <c r="Q189" s="45">
        <f>IFERROR(__xludf.DUMMYFUNCTION("""COMPUTED_VALUE"""),"Felixstowe, GB")</f>
        <v/>
      </c>
      <c r="R189" s="44">
        <f>IFERROR(__xludf.DUMMYFUNCTION("""COMPUTED_VALUE"""),45824)</f>
        <v/>
      </c>
      <c r="S189" s="44">
        <f>IFERROR(__xludf.DUMMYFUNCTION("""COMPUTED_VALUE"""),45883)</f>
        <v/>
      </c>
      <c r="T189" s="45">
        <f>IFERROR(__xludf.DUMMYFUNCTION("""COMPUTED_VALUE"""),"Birmingham, GB")</f>
        <v/>
      </c>
      <c r="U189" s="45" t="n"/>
      <c r="V189" s="45" t="n"/>
      <c r="W189" s="45" t="n"/>
      <c r="X189" s="45" t="n"/>
      <c r="Y189" s="46">
        <f>IFERROR(__xludf.DUMMYFUNCTION("""COMPUTED_VALUE"""),45842)</f>
        <v/>
      </c>
      <c r="Z189" s="46">
        <f>IFERROR(__xludf.DUMMYFUNCTION("""COMPUTED_VALUE"""),45858)</f>
        <v/>
      </c>
      <c r="AA189" s="46">
        <f>IFERROR(__xludf.DUMMYFUNCTION("""COMPUTED_VALUE"""),45865)</f>
        <v/>
      </c>
      <c r="AB189" s="45">
        <f>IFERROR(__xludf.DUMMYFUNCTION("""COMPUTED_VALUE"""),"10A Faraday Ave")</f>
        <v/>
      </c>
      <c r="AC189" s="45">
        <f>IFERROR(__xludf.DUMMYFUNCTION("""COMPUTED_VALUE"""),"Coleshill")</f>
        <v/>
      </c>
      <c r="AD189" s="45">
        <f>IFERROR(__xludf.DUMMYFUNCTION("""COMPUTED_VALUE"""),"OCEAN")</f>
        <v/>
      </c>
      <c r="AE189" s="45">
        <f>IFERROR(__xludf.DUMMYFUNCTION("""COMPUTED_VALUE"""),"N")</f>
        <v/>
      </c>
      <c r="AF189" s="45" t="n"/>
      <c r="AG189" s="49">
        <f>IFERROR(__xludf.DUMMYFUNCTION("IFNA(vlookup(H189,IMPORTRANGE(""1vUGwO1n0QQGx9kKbO0_M5gmuhXZ6-LaxQxgrmJnzgP0"",""'TP# look up'!A:C""),3,0),"""")"),"")</f>
        <v/>
      </c>
      <c r="AH189" s="49">
        <f>LEFT(J189,2)</f>
        <v/>
      </c>
    </row>
    <row r="190" hidden="1" ht="12.75" customHeight="1">
      <c r="A190" s="45">
        <f>IFERROR(__xludf.DUMMYFUNCTION("""COMPUTED_VALUE"""),"Colombo")</f>
        <v/>
      </c>
      <c r="B190" s="45" t="n"/>
      <c r="C190" s="45">
        <f>IFERROR(__xludf.DUMMYFUNCTION("""COMPUTED_VALUE"""),3254118)</f>
        <v/>
      </c>
      <c r="D190" s="45" t="n"/>
      <c r="E190" s="45">
        <f>IFERROR(__xludf.DUMMYFUNCTION("""COMPUTED_VALUE"""),"CFS")</f>
        <v/>
      </c>
      <c r="F190" s="45">
        <f>IFERROR(__xludf.DUMMYFUNCTION("""COMPUTED_VALUE"""),"MAS AMITY PTE LTD")</f>
        <v/>
      </c>
      <c r="G190" s="45">
        <f>IFERROR(__xludf.DUMMYFUNCTION("""COMPUTED_VALUE"""),"MAS Active (Pvt) Ltd – Shadowline")</f>
        <v/>
      </c>
      <c r="H190" s="43">
        <f>IFERROR(__xludf.DUMMYFUNCTION("""COMPUTED_VALUE"""),454893040591)</f>
        <v/>
      </c>
      <c r="I190" s="45">
        <f>IFERROR(__xludf.DUMMYFUNCTION("""COMPUTED_VALUE"""),19814191)</f>
        <v/>
      </c>
      <c r="J190" s="45">
        <f>IFERROR(__xludf.DUMMYFUNCTION("""COMPUTED_VALUE"""),"LW1DUDS")</f>
        <v/>
      </c>
      <c r="K190" s="45">
        <f>IFERROR(__xludf.DUMMYFUNCTION("""COMPUTED_VALUE"""),"LW1DUDS-0002")</f>
        <v/>
      </c>
      <c r="L190" s="45">
        <f>IFERROR(__xludf.DUMMYFUNCTION("""COMPUTED_VALUE"""),19)</f>
        <v/>
      </c>
      <c r="M190" s="45">
        <f>IFERROR(__xludf.DUMMYFUNCTION("""COMPUTED_VALUE"""),1144)</f>
        <v/>
      </c>
      <c r="N190" s="45">
        <f>IFERROR(__xludf.DUMMYFUNCTION("""COMPUTED_VALUE"""),174.115)</f>
        <v/>
      </c>
      <c r="O190" s="45">
        <f>IFERROR(__xludf.DUMMYFUNCTION("""COMPUTED_VALUE"""),1.382)</f>
        <v/>
      </c>
      <c r="P190" s="45">
        <f>IFERROR(__xludf.DUMMYFUNCTION("""COMPUTED_VALUE"""),"Colombo, LK")</f>
        <v/>
      </c>
      <c r="Q190" s="45">
        <f>IFERROR(__xludf.DUMMYFUNCTION("""COMPUTED_VALUE"""),"Rotterdam, NL")</f>
        <v/>
      </c>
      <c r="R190" s="44">
        <f>IFERROR(__xludf.DUMMYFUNCTION("""COMPUTED_VALUE"""),45824)</f>
        <v/>
      </c>
      <c r="S190" s="44">
        <f>IFERROR(__xludf.DUMMYFUNCTION("""COMPUTED_VALUE"""),45883)</f>
        <v/>
      </c>
      <c r="T190" s="45">
        <f>IFERROR(__xludf.DUMMYFUNCTION("""COMPUTED_VALUE"""),"Birmingham, GB")</f>
        <v/>
      </c>
      <c r="U190" s="45" t="n"/>
      <c r="V190" s="45" t="n"/>
      <c r="W190" s="45" t="n"/>
      <c r="X190" s="45" t="n"/>
      <c r="Y190" s="46">
        <f>IFERROR(__xludf.DUMMYFUNCTION("""COMPUTED_VALUE"""),45831)</f>
        <v/>
      </c>
      <c r="Z190" s="46">
        <f>IFERROR(__xludf.DUMMYFUNCTION("""COMPUTED_VALUE"""),45852)</f>
        <v/>
      </c>
      <c r="AA190" s="46">
        <f>IFERROR(__xludf.DUMMYFUNCTION("""COMPUTED_VALUE"""),45859)</f>
        <v/>
      </c>
      <c r="AB190" s="45">
        <f>IFERROR(__xludf.DUMMYFUNCTION("""COMPUTED_VALUE"""),"10A Faraday Ave")</f>
        <v/>
      </c>
      <c r="AC190" s="45">
        <f>IFERROR(__xludf.DUMMYFUNCTION("""COMPUTED_VALUE"""),"Coleshill")</f>
        <v/>
      </c>
      <c r="AD190" s="45">
        <f>IFERROR(__xludf.DUMMYFUNCTION("""COMPUTED_VALUE"""),"OCEAN")</f>
        <v/>
      </c>
      <c r="AE190" s="45">
        <f>IFERROR(__xludf.DUMMYFUNCTION("""COMPUTED_VALUE"""),"N")</f>
        <v/>
      </c>
      <c r="AF190" s="45" t="n"/>
      <c r="AG190" s="49">
        <f>IFERROR(__xludf.DUMMYFUNCTION("IFNA(vlookup(H190,IMPORTRANGE(""1vUGwO1n0QQGx9kKbO0_M5gmuhXZ6-LaxQxgrmJnzgP0"",""'TP# look up'!A:C""),3,0),"""")"),"")</f>
        <v/>
      </c>
      <c r="AH190" s="49">
        <f>LEFT(J190,2)</f>
        <v/>
      </c>
    </row>
    <row r="191" hidden="1" ht="12.75" customHeight="1">
      <c r="A191" s="45">
        <f>IFERROR(__xludf.DUMMYFUNCTION("""COMPUTED_VALUE"""),"Colombo")</f>
        <v/>
      </c>
      <c r="B191" s="45" t="n"/>
      <c r="C191" s="45">
        <f>IFERROR(__xludf.DUMMYFUNCTION("""COMPUTED_VALUE"""),3254118)</f>
        <v/>
      </c>
      <c r="D191" s="45" t="n"/>
      <c r="E191" s="45">
        <f>IFERROR(__xludf.DUMMYFUNCTION("""COMPUTED_VALUE"""),"CFS")</f>
        <v/>
      </c>
      <c r="F191" s="45">
        <f>IFERROR(__xludf.DUMMYFUNCTION("""COMPUTED_VALUE"""),"MAS AMITY PTE LTD")</f>
        <v/>
      </c>
      <c r="G191" s="45">
        <f>IFERROR(__xludf.DUMMYFUNCTION("""COMPUTED_VALUE"""),"MAS Active (Pvt) Ltd – Shadowline")</f>
        <v/>
      </c>
      <c r="H191" s="43">
        <f>IFERROR(__xludf.DUMMYFUNCTION("""COMPUTED_VALUE"""),454893442911)</f>
        <v/>
      </c>
      <c r="I191" s="45">
        <f>IFERROR(__xludf.DUMMYFUNCTION("""COMPUTED_VALUE"""),19814204)</f>
        <v/>
      </c>
      <c r="J191" s="45">
        <f>IFERROR(__xludf.DUMMYFUNCTION("""COMPUTED_VALUE"""),"LW1DUDS")</f>
        <v/>
      </c>
      <c r="K191" s="45">
        <f>IFERROR(__xludf.DUMMYFUNCTION("""COMPUTED_VALUE"""),"LW1DUDS-020392")</f>
        <v/>
      </c>
      <c r="L191" s="45">
        <f>IFERROR(__xludf.DUMMYFUNCTION("""COMPUTED_VALUE"""),2)</f>
        <v/>
      </c>
      <c r="M191" s="45">
        <f>IFERROR(__xludf.DUMMYFUNCTION("""COMPUTED_VALUE"""),59)</f>
        <v/>
      </c>
      <c r="N191" s="45">
        <f>IFERROR(__xludf.DUMMYFUNCTION("""COMPUTED_VALUE"""),9.895)</f>
        <v/>
      </c>
      <c r="O191" s="45">
        <f>IFERROR(__xludf.DUMMYFUNCTION("""COMPUTED_VALUE"""),0.118)</f>
        <v/>
      </c>
      <c r="P191" s="45">
        <f>IFERROR(__xludf.DUMMYFUNCTION("""COMPUTED_VALUE"""),"Colombo, LK")</f>
        <v/>
      </c>
      <c r="Q191" s="45">
        <f>IFERROR(__xludf.DUMMYFUNCTION("""COMPUTED_VALUE"""),"Rotterdam, NL")</f>
        <v/>
      </c>
      <c r="R191" s="44">
        <f>IFERROR(__xludf.DUMMYFUNCTION("""COMPUTED_VALUE"""),45824)</f>
        <v/>
      </c>
      <c r="S191" s="44">
        <f>IFERROR(__xludf.DUMMYFUNCTION("""COMPUTED_VALUE"""),45883)</f>
        <v/>
      </c>
      <c r="T191" s="45">
        <f>IFERROR(__xludf.DUMMYFUNCTION("""COMPUTED_VALUE"""),"Birmingham, GB")</f>
        <v/>
      </c>
      <c r="U191" s="45" t="n"/>
      <c r="V191" s="45" t="n"/>
      <c r="W191" s="45" t="n"/>
      <c r="X191" s="45" t="n"/>
      <c r="Y191" s="46">
        <f>IFERROR(__xludf.DUMMYFUNCTION("""COMPUTED_VALUE"""),45831)</f>
        <v/>
      </c>
      <c r="Z191" s="46">
        <f>IFERROR(__xludf.DUMMYFUNCTION("""COMPUTED_VALUE"""),45852)</f>
        <v/>
      </c>
      <c r="AA191" s="46">
        <f>IFERROR(__xludf.DUMMYFUNCTION("""COMPUTED_VALUE"""),45859)</f>
        <v/>
      </c>
      <c r="AB191" s="45">
        <f>IFERROR(__xludf.DUMMYFUNCTION("""COMPUTED_VALUE"""),"10A Faraday Ave")</f>
        <v/>
      </c>
      <c r="AC191" s="45">
        <f>IFERROR(__xludf.DUMMYFUNCTION("""COMPUTED_VALUE"""),"Coleshill")</f>
        <v/>
      </c>
      <c r="AD191" s="45">
        <f>IFERROR(__xludf.DUMMYFUNCTION("""COMPUTED_VALUE"""),"OCEAN")</f>
        <v/>
      </c>
      <c r="AE191" s="45">
        <f>IFERROR(__xludf.DUMMYFUNCTION("""COMPUTED_VALUE"""),"N")</f>
        <v/>
      </c>
      <c r="AF191" s="45" t="n"/>
      <c r="AG191" s="49">
        <f>IFERROR(__xludf.DUMMYFUNCTION("IFNA(vlookup(H191,IMPORTRANGE(""1vUGwO1n0QQGx9kKbO0_M5gmuhXZ6-LaxQxgrmJnzgP0"",""'TP# look up'!A:C""),3,0),"""")"),"")</f>
        <v/>
      </c>
      <c r="AH191" s="49">
        <f>LEFT(J191,2)</f>
        <v/>
      </c>
    </row>
    <row r="192" hidden="1" ht="12.75" customHeight="1">
      <c r="A192" s="45">
        <f>IFERROR(__xludf.DUMMYFUNCTION("""COMPUTED_VALUE"""),"Colombo")</f>
        <v/>
      </c>
      <c r="B192" s="45" t="n"/>
      <c r="C192" s="45">
        <f>IFERROR(__xludf.DUMMYFUNCTION("""COMPUTED_VALUE"""),3254118)</f>
        <v/>
      </c>
      <c r="D192" s="45" t="n"/>
      <c r="E192" s="45">
        <f>IFERROR(__xludf.DUMMYFUNCTION("""COMPUTED_VALUE"""),"CFS")</f>
        <v/>
      </c>
      <c r="F192" s="45">
        <f>IFERROR(__xludf.DUMMYFUNCTION("""COMPUTED_VALUE"""),"Inqube Global (PVT) Ltd")</f>
        <v/>
      </c>
      <c r="G192" s="45">
        <f>IFERROR(__xludf.DUMMYFUNCTION("""COMPUTED_VALUE"""),"Quantum Clothing Lanka (Pvt) Ltd")</f>
        <v/>
      </c>
      <c r="H192" s="43">
        <f>IFERROR(__xludf.DUMMYFUNCTION("""COMPUTED_VALUE"""),452031503449)</f>
        <v/>
      </c>
      <c r="I192" s="45">
        <f>IFERROR(__xludf.DUMMYFUNCTION("""COMPUTED_VALUE"""),19727217)</f>
        <v/>
      </c>
      <c r="J192" s="45">
        <f>IFERROR(__xludf.DUMMYFUNCTION("""COMPUTED_VALUE"""),"LW2E01S")</f>
        <v/>
      </c>
      <c r="K192" s="45">
        <f>IFERROR(__xludf.DUMMYFUNCTION("""COMPUTED_VALUE"""),"LW2E01S-031382")</f>
        <v/>
      </c>
      <c r="L192" s="45">
        <f>IFERROR(__xludf.DUMMYFUNCTION("""COMPUTED_VALUE"""),49)</f>
        <v/>
      </c>
      <c r="M192" s="45">
        <f>IFERROR(__xludf.DUMMYFUNCTION("""COMPUTED_VALUE"""),478)</f>
        <v/>
      </c>
      <c r="N192" s="45">
        <f>IFERROR(__xludf.DUMMYFUNCTION("""COMPUTED_VALUE"""),171.102)</f>
        <v/>
      </c>
      <c r="O192" s="45">
        <f>IFERROR(__xludf.DUMMYFUNCTION("""COMPUTED_VALUE"""),4.116)</f>
        <v/>
      </c>
      <c r="P192" s="45">
        <f>IFERROR(__xludf.DUMMYFUNCTION("""COMPUTED_VALUE"""),"Colombo, LK")</f>
        <v/>
      </c>
      <c r="Q192" s="45">
        <f>IFERROR(__xludf.DUMMYFUNCTION("""COMPUTED_VALUE"""),"Felixstowe, GB")</f>
        <v/>
      </c>
      <c r="R192" s="44">
        <f>IFERROR(__xludf.DUMMYFUNCTION("""COMPUTED_VALUE"""),45824)</f>
        <v/>
      </c>
      <c r="S192" s="44">
        <f>IFERROR(__xludf.DUMMYFUNCTION("""COMPUTED_VALUE"""),45883)</f>
        <v/>
      </c>
      <c r="T192" s="45">
        <f>IFERROR(__xludf.DUMMYFUNCTION("""COMPUTED_VALUE"""),"Birmingham, GB")</f>
        <v/>
      </c>
      <c r="U192" s="45" t="n"/>
      <c r="V192" s="45" t="n"/>
      <c r="W192" s="45" t="n"/>
      <c r="X192" s="45" t="n"/>
      <c r="Y192" s="46">
        <f>IFERROR(__xludf.DUMMYFUNCTION("""COMPUTED_VALUE"""),45842)</f>
        <v/>
      </c>
      <c r="Z192" s="46">
        <f>IFERROR(__xludf.DUMMYFUNCTION("""COMPUTED_VALUE"""),45858)</f>
        <v/>
      </c>
      <c r="AA192" s="46">
        <f>IFERROR(__xludf.DUMMYFUNCTION("""COMPUTED_VALUE"""),45865)</f>
        <v/>
      </c>
      <c r="AB192" s="45">
        <f>IFERROR(__xludf.DUMMYFUNCTION("""COMPUTED_VALUE"""),"10A Faraday Ave")</f>
        <v/>
      </c>
      <c r="AC192" s="45">
        <f>IFERROR(__xludf.DUMMYFUNCTION("""COMPUTED_VALUE"""),"Coleshill")</f>
        <v/>
      </c>
      <c r="AD192" s="45">
        <f>IFERROR(__xludf.DUMMYFUNCTION("""COMPUTED_VALUE"""),"OCEAN")</f>
        <v/>
      </c>
      <c r="AE192" s="45">
        <f>IFERROR(__xludf.DUMMYFUNCTION("""COMPUTED_VALUE"""),"N")</f>
        <v/>
      </c>
      <c r="AF192" s="45" t="n"/>
      <c r="AG192" s="49">
        <f>IFERROR(__xludf.DUMMYFUNCTION("IFNA(vlookup(H192,IMPORTRANGE(""1vUGwO1n0QQGx9kKbO0_M5gmuhXZ6-LaxQxgrmJnzgP0"",""'TP# look up'!A:C""),3,0),"""")"),"")</f>
        <v/>
      </c>
      <c r="AH192" s="49">
        <f>LEFT(J192,2)</f>
        <v/>
      </c>
    </row>
    <row r="193" hidden="1" ht="12.75" customHeight="1">
      <c r="A193" s="45">
        <f>IFERROR(__xludf.DUMMYFUNCTION("""COMPUTED_VALUE"""),"Colombo")</f>
        <v/>
      </c>
      <c r="B193" s="45" t="n"/>
      <c r="C193" s="45">
        <f>IFERROR(__xludf.DUMMYFUNCTION("""COMPUTED_VALUE"""),3254118)</f>
        <v/>
      </c>
      <c r="D193" s="45" t="n"/>
      <c r="E193" s="45">
        <f>IFERROR(__xludf.DUMMYFUNCTION("""COMPUTED_VALUE"""),"CFS")</f>
        <v/>
      </c>
      <c r="F193" s="45">
        <f>IFERROR(__xludf.DUMMYFUNCTION("""COMPUTED_VALUE"""),"Inqube Global (PVT) Ltd")</f>
        <v/>
      </c>
      <c r="G193" s="45">
        <f>IFERROR(__xludf.DUMMYFUNCTION("""COMPUTED_VALUE"""),"Quantum Clothing Lanka (Pvt) Ltd")</f>
        <v/>
      </c>
      <c r="H193" s="43">
        <f>IFERROR(__xludf.DUMMYFUNCTION("""COMPUTED_VALUE"""),452092648789)</f>
        <v/>
      </c>
      <c r="I193" s="45">
        <f>IFERROR(__xludf.DUMMYFUNCTION("""COMPUTED_VALUE"""),19855238)</f>
        <v/>
      </c>
      <c r="J193" s="45">
        <f>IFERROR(__xludf.DUMMYFUNCTION("""COMPUTED_VALUE"""),"LW9FMPS")</f>
        <v/>
      </c>
      <c r="K193" s="45">
        <f>IFERROR(__xludf.DUMMYFUNCTION("""COMPUTED_VALUE"""),"LW9FMPS-0001")</f>
        <v/>
      </c>
      <c r="L193" s="45">
        <f>IFERROR(__xludf.DUMMYFUNCTION("""COMPUTED_VALUE"""),1)</f>
        <v/>
      </c>
      <c r="M193" s="45">
        <f>IFERROR(__xludf.DUMMYFUNCTION("""COMPUTED_VALUE"""),145)</f>
        <v/>
      </c>
      <c r="N193" s="45">
        <f>IFERROR(__xludf.DUMMYFUNCTION("""COMPUTED_VALUE"""),6.084)</f>
        <v/>
      </c>
      <c r="O193" s="45">
        <f>IFERROR(__xludf.DUMMYFUNCTION("""COMPUTED_VALUE"""),0.04)</f>
        <v/>
      </c>
      <c r="P193" s="45">
        <f>IFERROR(__xludf.DUMMYFUNCTION("""COMPUTED_VALUE"""),"Colombo, LK")</f>
        <v/>
      </c>
      <c r="Q193" s="45">
        <f>IFERROR(__xludf.DUMMYFUNCTION("""COMPUTED_VALUE"""),"Felixstowe, GB")</f>
        <v/>
      </c>
      <c r="R193" s="44">
        <f>IFERROR(__xludf.DUMMYFUNCTION("""COMPUTED_VALUE"""),45824)</f>
        <v/>
      </c>
      <c r="S193" s="44">
        <f>IFERROR(__xludf.DUMMYFUNCTION("""COMPUTED_VALUE"""),45883)</f>
        <v/>
      </c>
      <c r="T193" s="45">
        <f>IFERROR(__xludf.DUMMYFUNCTION("""COMPUTED_VALUE"""),"Birmingham, GB")</f>
        <v/>
      </c>
      <c r="U193" s="45" t="n"/>
      <c r="V193" s="45" t="n"/>
      <c r="W193" s="45" t="n"/>
      <c r="X193" s="45" t="n"/>
      <c r="Y193" s="46">
        <f>IFERROR(__xludf.DUMMYFUNCTION("""COMPUTED_VALUE"""),45842)</f>
        <v/>
      </c>
      <c r="Z193" s="46">
        <f>IFERROR(__xludf.DUMMYFUNCTION("""COMPUTED_VALUE"""),45858)</f>
        <v/>
      </c>
      <c r="AA193" s="46">
        <f>IFERROR(__xludf.DUMMYFUNCTION("""COMPUTED_VALUE"""),45865)</f>
        <v/>
      </c>
      <c r="AB193" s="45">
        <f>IFERROR(__xludf.DUMMYFUNCTION("""COMPUTED_VALUE"""),"10A Faraday Ave")</f>
        <v/>
      </c>
      <c r="AC193" s="45">
        <f>IFERROR(__xludf.DUMMYFUNCTION("""COMPUTED_VALUE"""),"Coleshill")</f>
        <v/>
      </c>
      <c r="AD193" s="45">
        <f>IFERROR(__xludf.DUMMYFUNCTION("""COMPUTED_VALUE"""),"OCEAN")</f>
        <v/>
      </c>
      <c r="AE193" s="45">
        <f>IFERROR(__xludf.DUMMYFUNCTION("""COMPUTED_VALUE"""),"N")</f>
        <v/>
      </c>
      <c r="AF193" s="45" t="n"/>
      <c r="AG193" s="49">
        <f>IFERROR(__xludf.DUMMYFUNCTION("IFNA(vlookup(H193,IMPORTRANGE(""1vUGwO1n0QQGx9kKbO0_M5gmuhXZ6-LaxQxgrmJnzgP0"",""'TP# look up'!A:C""),3,0),"""")"),"")</f>
        <v/>
      </c>
      <c r="AH193" s="49">
        <f>LEFT(J193,2)</f>
        <v/>
      </c>
    </row>
    <row r="194" hidden="1" ht="12.75" customHeight="1">
      <c r="A194" s="45">
        <f>IFERROR(__xludf.DUMMYFUNCTION("""COMPUTED_VALUE"""),"Colombo")</f>
        <v/>
      </c>
      <c r="B194" s="45" t="n"/>
      <c r="C194" s="45">
        <f>IFERROR(__xludf.DUMMYFUNCTION("""COMPUTED_VALUE"""),3254120)</f>
        <v/>
      </c>
      <c r="D194" s="45" t="n"/>
      <c r="E194" s="45">
        <f>IFERROR(__xludf.DUMMYFUNCTION("""COMPUTED_VALUE"""),"CFS")</f>
        <v/>
      </c>
      <c r="F194" s="45">
        <f>IFERROR(__xludf.DUMMYFUNCTION("""COMPUTED_VALUE"""),"Inqube Global (PVT) Ltd")</f>
        <v/>
      </c>
      <c r="G194" s="45">
        <f>IFERROR(__xludf.DUMMYFUNCTION("""COMPUTED_VALUE"""),"BRANDIX APPAREL SOLUTION LTD - GIRITALE")</f>
        <v/>
      </c>
      <c r="H194" s="43">
        <f>IFERROR(__xludf.DUMMYFUNCTION("""COMPUTED_VALUE"""),452517869906)</f>
        <v/>
      </c>
      <c r="I194" s="45">
        <f>IFERROR(__xludf.DUMMYFUNCTION("""COMPUTED_VALUE"""),19849782)</f>
        <v/>
      </c>
      <c r="J194" s="45">
        <f>IFERROR(__xludf.DUMMYFUNCTION("""COMPUTED_VALUE"""),"LM5BL3S")</f>
        <v/>
      </c>
      <c r="K194" s="45">
        <f>IFERROR(__xludf.DUMMYFUNCTION("""COMPUTED_VALUE"""),"LM5BL3S-045739")</f>
        <v/>
      </c>
      <c r="L194" s="45">
        <f>IFERROR(__xludf.DUMMYFUNCTION("""COMPUTED_VALUE"""),1)</f>
        <v/>
      </c>
      <c r="M194" s="45">
        <f>IFERROR(__xludf.DUMMYFUNCTION("""COMPUTED_VALUE"""),27)</f>
        <v/>
      </c>
      <c r="N194" s="45">
        <f>IFERROR(__xludf.DUMMYFUNCTION("""COMPUTED_VALUE"""),10.52)</f>
        <v/>
      </c>
      <c r="O194" s="45">
        <f>IFERROR(__xludf.DUMMYFUNCTION("""COMPUTED_VALUE"""),0.043)</f>
        <v/>
      </c>
      <c r="P194" s="45">
        <f>IFERROR(__xludf.DUMMYFUNCTION("""COMPUTED_VALUE"""),"Colombo, LK")</f>
        <v/>
      </c>
      <c r="Q194" s="45">
        <f>IFERROR(__xludf.DUMMYFUNCTION("""COMPUTED_VALUE"""),"Felixstowe, GB")</f>
        <v/>
      </c>
      <c r="R194" s="44">
        <f>IFERROR(__xludf.DUMMYFUNCTION("""COMPUTED_VALUE"""),45824)</f>
        <v/>
      </c>
      <c r="S194" s="44">
        <f>IFERROR(__xludf.DUMMYFUNCTION("""COMPUTED_VALUE"""),45878)</f>
        <v/>
      </c>
      <c r="T194" s="45">
        <f>IFERROR(__xludf.DUMMYFUNCTION("""COMPUTED_VALUE"""),"Rotterdam, NL")</f>
        <v/>
      </c>
      <c r="U194" s="45" t="n"/>
      <c r="V194" s="45" t="n"/>
      <c r="W194" s="45" t="n"/>
      <c r="X194" s="45" t="n"/>
      <c r="Y194" s="46">
        <f>IFERROR(__xludf.DUMMYFUNCTION("""COMPUTED_VALUE"""),45824)</f>
        <v/>
      </c>
      <c r="Z194" s="46">
        <f>IFERROR(__xludf.DUMMYFUNCTION("""COMPUTED_VALUE"""),45852)</f>
        <v/>
      </c>
      <c r="AA194" s="46">
        <f>IFERROR(__xludf.DUMMYFUNCTION("""COMPUTED_VALUE"""),45859)</f>
        <v/>
      </c>
      <c r="AB194" s="45">
        <f>IFERROR(__xludf.DUMMYFUNCTION("""COMPUTED_VALUE"""),"Conradweg 26")</f>
        <v/>
      </c>
      <c r="AC194" s="45" t="n"/>
      <c r="AD194" s="45">
        <f>IFERROR(__xludf.DUMMYFUNCTION("""COMPUTED_VALUE"""),"OCEAN")</f>
        <v/>
      </c>
      <c r="AE194" s="45">
        <f>IFERROR(__xludf.DUMMYFUNCTION("""COMPUTED_VALUE"""),"N")</f>
        <v/>
      </c>
      <c r="AF194" s="45" t="n"/>
      <c r="AG194" s="49">
        <f>IFERROR(__xludf.DUMMYFUNCTION("IFNA(vlookup(H194,IMPORTRANGE(""1vUGwO1n0QQGx9kKbO0_M5gmuhXZ6-LaxQxgrmJnzgP0"",""'TP# look up'!A:C""),3,0),"""")"),"")</f>
        <v/>
      </c>
      <c r="AH194" s="49">
        <f>LEFT(J194,2)</f>
        <v/>
      </c>
    </row>
    <row r="195" hidden="1" ht="12.75" customHeight="1">
      <c r="A195" s="45">
        <f>IFERROR(__xludf.DUMMYFUNCTION("""COMPUTED_VALUE"""),"Colombo")</f>
        <v/>
      </c>
      <c r="B195" s="45" t="n"/>
      <c r="C195" s="45">
        <f>IFERROR(__xludf.DUMMYFUNCTION("""COMPUTED_VALUE"""),3254120)</f>
        <v/>
      </c>
      <c r="D195" s="45" t="n"/>
      <c r="E195" s="45">
        <f>IFERROR(__xludf.DUMMYFUNCTION("""COMPUTED_VALUE"""),"CFS")</f>
        <v/>
      </c>
      <c r="F195" s="45">
        <f>IFERROR(__xludf.DUMMYFUNCTION("""COMPUTED_VALUE"""),"Inqube Global (PVT) Ltd")</f>
        <v/>
      </c>
      <c r="G195" s="45">
        <f>IFERROR(__xludf.DUMMYFUNCTION("""COMPUTED_VALUE"""),"BRANDIX APPAREL SOLUTION LTD - GIRITALE")</f>
        <v/>
      </c>
      <c r="H195" s="43">
        <f>IFERROR(__xludf.DUMMYFUNCTION("""COMPUTED_VALUE"""),452502648506)</f>
        <v/>
      </c>
      <c r="I195" s="45">
        <f>IFERROR(__xludf.DUMMYFUNCTION("""COMPUTED_VALUE"""),19807139)</f>
        <v/>
      </c>
      <c r="J195" s="45">
        <f>IFERROR(__xludf.DUMMYFUNCTION("""COMPUTED_VALUE"""),"LM5BKOS")</f>
        <v/>
      </c>
      <c r="K195" s="45">
        <f>IFERROR(__xludf.DUMMYFUNCTION("""COMPUTED_VALUE"""),"LM5BKOS-0001")</f>
        <v/>
      </c>
      <c r="L195" s="45">
        <f>IFERROR(__xludf.DUMMYFUNCTION("""COMPUTED_VALUE"""),8)</f>
        <v/>
      </c>
      <c r="M195" s="45">
        <f>IFERROR(__xludf.DUMMYFUNCTION("""COMPUTED_VALUE"""),346)</f>
        <v/>
      </c>
      <c r="N195" s="45">
        <f>IFERROR(__xludf.DUMMYFUNCTION("""COMPUTED_VALUE"""),135.78)</f>
        <v/>
      </c>
      <c r="O195" s="45">
        <f>IFERROR(__xludf.DUMMYFUNCTION("""COMPUTED_VALUE"""),0.66)</f>
        <v/>
      </c>
      <c r="P195" s="45">
        <f>IFERROR(__xludf.DUMMYFUNCTION("""COMPUTED_VALUE"""),"Colombo, LK")</f>
        <v/>
      </c>
      <c r="Q195" s="45">
        <f>IFERROR(__xludf.DUMMYFUNCTION("""COMPUTED_VALUE"""),"Rotterdam, NL")</f>
        <v/>
      </c>
      <c r="R195" s="44">
        <f>IFERROR(__xludf.DUMMYFUNCTION("""COMPUTED_VALUE"""),45824)</f>
        <v/>
      </c>
      <c r="S195" s="44">
        <f>IFERROR(__xludf.DUMMYFUNCTION("""COMPUTED_VALUE"""),45878)</f>
        <v/>
      </c>
      <c r="T195" s="45">
        <f>IFERROR(__xludf.DUMMYFUNCTION("""COMPUTED_VALUE"""),"Rotterdam, NL")</f>
        <v/>
      </c>
      <c r="U195" s="45" t="n"/>
      <c r="V195" s="45" t="n"/>
      <c r="W195" s="45" t="n"/>
      <c r="X195" s="45" t="n"/>
      <c r="Y195" s="46">
        <f>IFERROR(__xludf.DUMMYFUNCTION("""COMPUTED_VALUE"""),45831)</f>
        <v/>
      </c>
      <c r="Z195" s="46">
        <f>IFERROR(__xludf.DUMMYFUNCTION("""COMPUTED_VALUE"""),45852)</f>
        <v/>
      </c>
      <c r="AA195" s="46">
        <f>IFERROR(__xludf.DUMMYFUNCTION("""COMPUTED_VALUE"""),45859)</f>
        <v/>
      </c>
      <c r="AB195" s="45">
        <f>IFERROR(__xludf.DUMMYFUNCTION("""COMPUTED_VALUE"""),"Conradweg 26")</f>
        <v/>
      </c>
      <c r="AC195" s="45" t="n"/>
      <c r="AD195" s="45">
        <f>IFERROR(__xludf.DUMMYFUNCTION("""COMPUTED_VALUE"""),"OCEAN")</f>
        <v/>
      </c>
      <c r="AE195" s="45">
        <f>IFERROR(__xludf.DUMMYFUNCTION("""COMPUTED_VALUE"""),"N")</f>
        <v/>
      </c>
      <c r="AF195" s="45" t="n"/>
      <c r="AG195" s="49">
        <f>IFERROR(__xludf.DUMMYFUNCTION("IFNA(vlookup(H195,IMPORTRANGE(""1vUGwO1n0QQGx9kKbO0_M5gmuhXZ6-LaxQxgrmJnzgP0"",""'TP# look up'!A:C""),3,0),"""")"),"")</f>
        <v/>
      </c>
      <c r="AH195" s="49">
        <f>LEFT(J195,2)</f>
        <v/>
      </c>
    </row>
    <row r="196" hidden="1" ht="12.75" customHeight="1">
      <c r="A196" s="45">
        <f>IFERROR(__xludf.DUMMYFUNCTION("""COMPUTED_VALUE"""),"Colombo")</f>
        <v/>
      </c>
      <c r="B196" s="45" t="n"/>
      <c r="C196" s="45">
        <f>IFERROR(__xludf.DUMMYFUNCTION("""COMPUTED_VALUE"""),3254120)</f>
        <v/>
      </c>
      <c r="D196" s="45" t="n"/>
      <c r="E196" s="45">
        <f>IFERROR(__xludf.DUMMYFUNCTION("""COMPUTED_VALUE"""),"CFS")</f>
        <v/>
      </c>
      <c r="F196" s="45">
        <f>IFERROR(__xludf.DUMMYFUNCTION("""COMPUTED_VALUE"""),"MAS AMITY PTE LTD")</f>
        <v/>
      </c>
      <c r="G196" s="45">
        <f>IFERROR(__xludf.DUMMYFUNCTION("""COMPUTED_VALUE"""),"MAS Active (Pvt) Ltd – Shadowline")</f>
        <v/>
      </c>
      <c r="H196" s="43">
        <f>IFERROR(__xludf.DUMMYFUNCTION("""COMPUTED_VALUE"""),454863244190)</f>
        <v/>
      </c>
      <c r="I196" s="45">
        <f>IFERROR(__xludf.DUMMYFUNCTION("""COMPUTED_VALUE"""),19808325)</f>
        <v/>
      </c>
      <c r="J196" s="45">
        <f>IFERROR(__xludf.DUMMYFUNCTION("""COMPUTED_VALUE"""),"LM1366S")</f>
        <v/>
      </c>
      <c r="K196" s="45">
        <f>IFERROR(__xludf.DUMMYFUNCTION("""COMPUTED_VALUE"""),"LM1366S-062214")</f>
        <v/>
      </c>
      <c r="L196" s="45">
        <f>IFERROR(__xludf.DUMMYFUNCTION("""COMPUTED_VALUE"""),1)</f>
        <v/>
      </c>
      <c r="M196" s="45">
        <f>IFERROR(__xludf.DUMMYFUNCTION("""COMPUTED_VALUE"""),67)</f>
        <v/>
      </c>
      <c r="N196" s="45">
        <f>IFERROR(__xludf.DUMMYFUNCTION("""COMPUTED_VALUE"""),6.728)</f>
        <v/>
      </c>
      <c r="O196" s="45">
        <f>IFERROR(__xludf.DUMMYFUNCTION("""COMPUTED_VALUE"""),0.079)</f>
        <v/>
      </c>
      <c r="P196" s="45">
        <f>IFERROR(__xludf.DUMMYFUNCTION("""COMPUTED_VALUE"""),"Colombo, LK")</f>
        <v/>
      </c>
      <c r="Q196" s="45">
        <f>IFERROR(__xludf.DUMMYFUNCTION("""COMPUTED_VALUE"""),"Rotterdam, NL")</f>
        <v/>
      </c>
      <c r="R196" s="44">
        <f>IFERROR(__xludf.DUMMYFUNCTION("""COMPUTED_VALUE"""),45824)</f>
        <v/>
      </c>
      <c r="S196" s="44">
        <f>IFERROR(__xludf.DUMMYFUNCTION("""COMPUTED_VALUE"""),45878)</f>
        <v/>
      </c>
      <c r="T196" s="45">
        <f>IFERROR(__xludf.DUMMYFUNCTION("""COMPUTED_VALUE"""),"Rotterdam, NL")</f>
        <v/>
      </c>
      <c r="U196" s="45" t="n"/>
      <c r="V196" s="45" t="n"/>
      <c r="W196" s="45" t="n"/>
      <c r="X196" s="45" t="n"/>
      <c r="Y196" s="46">
        <f>IFERROR(__xludf.DUMMYFUNCTION("""COMPUTED_VALUE"""),45831)</f>
        <v/>
      </c>
      <c r="Z196" s="46">
        <f>IFERROR(__xludf.DUMMYFUNCTION("""COMPUTED_VALUE"""),45852)</f>
        <v/>
      </c>
      <c r="AA196" s="46">
        <f>IFERROR(__xludf.DUMMYFUNCTION("""COMPUTED_VALUE"""),45859)</f>
        <v/>
      </c>
      <c r="AB196" s="45">
        <f>IFERROR(__xludf.DUMMYFUNCTION("""COMPUTED_VALUE"""),"Conradweg 26")</f>
        <v/>
      </c>
      <c r="AC196" s="45" t="n"/>
      <c r="AD196" s="45">
        <f>IFERROR(__xludf.DUMMYFUNCTION("""COMPUTED_VALUE"""),"OCEAN")</f>
        <v/>
      </c>
      <c r="AE196" s="45">
        <f>IFERROR(__xludf.DUMMYFUNCTION("""COMPUTED_VALUE"""),"N")</f>
        <v/>
      </c>
      <c r="AF196" s="45" t="n"/>
      <c r="AG196" s="49">
        <f>IFERROR(__xludf.DUMMYFUNCTION("IFNA(vlookup(H196,IMPORTRANGE(""1vUGwO1n0QQGx9kKbO0_M5gmuhXZ6-LaxQxgrmJnzgP0"",""'TP# look up'!A:C""),3,0),"""")"),"")</f>
        <v/>
      </c>
      <c r="AH196" s="49">
        <f>LEFT(J196,2)</f>
        <v/>
      </c>
    </row>
    <row r="197" hidden="1" ht="12.75" customHeight="1">
      <c r="A197" s="45">
        <f>IFERROR(__xludf.DUMMYFUNCTION("""COMPUTED_VALUE"""),"Colombo")</f>
        <v/>
      </c>
      <c r="B197" s="45" t="n"/>
      <c r="C197" s="45">
        <f>IFERROR(__xludf.DUMMYFUNCTION("""COMPUTED_VALUE"""),3254120)</f>
        <v/>
      </c>
      <c r="D197" s="45" t="n"/>
      <c r="E197" s="45">
        <f>IFERROR(__xludf.DUMMYFUNCTION("""COMPUTED_VALUE"""),"CFS")</f>
        <v/>
      </c>
      <c r="F197" s="45">
        <f>IFERROR(__xludf.DUMMYFUNCTION("""COMPUTED_VALUE"""),"MAS AMITY PTE LTD")</f>
        <v/>
      </c>
      <c r="G197" s="45">
        <f>IFERROR(__xludf.DUMMYFUNCTION("""COMPUTED_VALUE"""),"MAS Active (Pvt) Ltd – Shadowline")</f>
        <v/>
      </c>
      <c r="H197" s="43">
        <f>IFERROR(__xludf.DUMMYFUNCTION("""COMPUTED_VALUE"""),454865164288)</f>
        <v/>
      </c>
      <c r="I197" s="45">
        <f>IFERROR(__xludf.DUMMYFUNCTION("""COMPUTED_VALUE"""),19814189)</f>
        <v/>
      </c>
      <c r="J197" s="45">
        <f>IFERROR(__xludf.DUMMYFUNCTION("""COMPUTED_VALUE"""),"LW1DUDS")</f>
        <v/>
      </c>
      <c r="K197" s="45">
        <f>IFERROR(__xludf.DUMMYFUNCTION("""COMPUTED_VALUE"""),"LW1DUDS-0002")</f>
        <v/>
      </c>
      <c r="L197" s="45">
        <f>IFERROR(__xludf.DUMMYFUNCTION("""COMPUTED_VALUE"""),21)</f>
        <v/>
      </c>
      <c r="M197" s="45">
        <f>IFERROR(__xludf.DUMMYFUNCTION("""COMPUTED_VALUE"""),1399)</f>
        <v/>
      </c>
      <c r="N197" s="45">
        <f>IFERROR(__xludf.DUMMYFUNCTION("""COMPUTED_VALUE"""),211.674)</f>
        <v/>
      </c>
      <c r="O197" s="45">
        <f>IFERROR(__xludf.DUMMYFUNCTION("""COMPUTED_VALUE"""),1.659)</f>
        <v/>
      </c>
      <c r="P197" s="45">
        <f>IFERROR(__xludf.DUMMYFUNCTION("""COMPUTED_VALUE"""),"Colombo, LK")</f>
        <v/>
      </c>
      <c r="Q197" s="45">
        <f>IFERROR(__xludf.DUMMYFUNCTION("""COMPUTED_VALUE"""),"Rotterdam, NL")</f>
        <v/>
      </c>
      <c r="R197" s="44">
        <f>IFERROR(__xludf.DUMMYFUNCTION("""COMPUTED_VALUE"""),45824)</f>
        <v/>
      </c>
      <c r="S197" s="44">
        <f>IFERROR(__xludf.DUMMYFUNCTION("""COMPUTED_VALUE"""),45878)</f>
        <v/>
      </c>
      <c r="T197" s="45">
        <f>IFERROR(__xludf.DUMMYFUNCTION("""COMPUTED_VALUE"""),"Rotterdam, NL")</f>
        <v/>
      </c>
      <c r="U197" s="45" t="n"/>
      <c r="V197" s="45" t="n"/>
      <c r="W197" s="45" t="n"/>
      <c r="X197" s="45" t="n"/>
      <c r="Y197" s="46">
        <f>IFERROR(__xludf.DUMMYFUNCTION("""COMPUTED_VALUE"""),45831)</f>
        <v/>
      </c>
      <c r="Z197" s="46">
        <f>IFERROR(__xludf.DUMMYFUNCTION("""COMPUTED_VALUE"""),45852)</f>
        <v/>
      </c>
      <c r="AA197" s="46">
        <f>IFERROR(__xludf.DUMMYFUNCTION("""COMPUTED_VALUE"""),45859)</f>
        <v/>
      </c>
      <c r="AB197" s="45">
        <f>IFERROR(__xludf.DUMMYFUNCTION("""COMPUTED_VALUE"""),"Conradweg 26")</f>
        <v/>
      </c>
      <c r="AC197" s="45" t="n"/>
      <c r="AD197" s="45">
        <f>IFERROR(__xludf.DUMMYFUNCTION("""COMPUTED_VALUE"""),"OCEAN")</f>
        <v/>
      </c>
      <c r="AE197" s="45">
        <f>IFERROR(__xludf.DUMMYFUNCTION("""COMPUTED_VALUE"""),"N")</f>
        <v/>
      </c>
      <c r="AF197" s="45" t="n"/>
      <c r="AG197" s="49">
        <f>IFERROR(__xludf.DUMMYFUNCTION("IFNA(vlookup(H197,IMPORTRANGE(""1vUGwO1n0QQGx9kKbO0_M5gmuhXZ6-LaxQxgrmJnzgP0"",""'TP# look up'!A:C""),3,0),"""")"),"")</f>
        <v/>
      </c>
      <c r="AH197" s="49">
        <f>LEFT(J197,2)</f>
        <v/>
      </c>
    </row>
    <row r="198" hidden="1" ht="12.75" customHeight="1">
      <c r="A198" s="45">
        <f>IFERROR(__xludf.DUMMYFUNCTION("""COMPUTED_VALUE"""),"Colombo")</f>
        <v/>
      </c>
      <c r="B198" s="45" t="n"/>
      <c r="C198" s="45">
        <f>IFERROR(__xludf.DUMMYFUNCTION("""COMPUTED_VALUE"""),3254120)</f>
        <v/>
      </c>
      <c r="D198" s="45" t="n"/>
      <c r="E198" s="45">
        <f>IFERROR(__xludf.DUMMYFUNCTION("""COMPUTED_VALUE"""),"CFS")</f>
        <v/>
      </c>
      <c r="F198" s="45">
        <f>IFERROR(__xludf.DUMMYFUNCTION("""COMPUTED_VALUE"""),"MAS AMITY PTE LTD")</f>
        <v/>
      </c>
      <c r="G198" s="45">
        <f>IFERROR(__xludf.DUMMYFUNCTION("""COMPUTED_VALUE"""),"MAS Active (Pvt) Ltd – Shadowline")</f>
        <v/>
      </c>
      <c r="H198" s="43">
        <f>IFERROR(__xludf.DUMMYFUNCTION("""COMPUTED_VALUE"""),454893038716)</f>
        <v/>
      </c>
      <c r="I198" s="45">
        <f>IFERROR(__xludf.DUMMYFUNCTION("""COMPUTED_VALUE"""),19814203)</f>
        <v/>
      </c>
      <c r="J198" s="45">
        <f>IFERROR(__xludf.DUMMYFUNCTION("""COMPUTED_VALUE"""),"LW1DUDS")</f>
        <v/>
      </c>
      <c r="K198" s="45">
        <f>IFERROR(__xludf.DUMMYFUNCTION("""COMPUTED_VALUE"""),"LW1DUDS-020392")</f>
        <v/>
      </c>
      <c r="L198" s="45">
        <f>IFERROR(__xludf.DUMMYFUNCTION("""COMPUTED_VALUE"""),4)</f>
        <v/>
      </c>
      <c r="M198" s="45">
        <f>IFERROR(__xludf.DUMMYFUNCTION("""COMPUTED_VALUE"""),83)</f>
        <v/>
      </c>
      <c r="N198" s="45">
        <f>IFERROR(__xludf.DUMMYFUNCTION("""COMPUTED_VALUE"""),14.648)</f>
        <v/>
      </c>
      <c r="O198" s="45">
        <f>IFERROR(__xludf.DUMMYFUNCTION("""COMPUTED_VALUE"""),0.158)</f>
        <v/>
      </c>
      <c r="P198" s="45">
        <f>IFERROR(__xludf.DUMMYFUNCTION("""COMPUTED_VALUE"""),"Colombo, LK")</f>
        <v/>
      </c>
      <c r="Q198" s="45">
        <f>IFERROR(__xludf.DUMMYFUNCTION("""COMPUTED_VALUE"""),"Rotterdam, NL")</f>
        <v/>
      </c>
      <c r="R198" s="44">
        <f>IFERROR(__xludf.DUMMYFUNCTION("""COMPUTED_VALUE"""),45824)</f>
        <v/>
      </c>
      <c r="S198" s="44">
        <f>IFERROR(__xludf.DUMMYFUNCTION("""COMPUTED_VALUE"""),45878)</f>
        <v/>
      </c>
      <c r="T198" s="45">
        <f>IFERROR(__xludf.DUMMYFUNCTION("""COMPUTED_VALUE"""),"Rotterdam, NL")</f>
        <v/>
      </c>
      <c r="U198" s="45" t="n"/>
      <c r="V198" s="45" t="n"/>
      <c r="W198" s="45" t="n"/>
      <c r="X198" s="45" t="n"/>
      <c r="Y198" s="46">
        <f>IFERROR(__xludf.DUMMYFUNCTION("""COMPUTED_VALUE"""),45831)</f>
        <v/>
      </c>
      <c r="Z198" s="46">
        <f>IFERROR(__xludf.DUMMYFUNCTION("""COMPUTED_VALUE"""),45852)</f>
        <v/>
      </c>
      <c r="AA198" s="46">
        <f>IFERROR(__xludf.DUMMYFUNCTION("""COMPUTED_VALUE"""),45859)</f>
        <v/>
      </c>
      <c r="AB198" s="45">
        <f>IFERROR(__xludf.DUMMYFUNCTION("""COMPUTED_VALUE"""),"Conradweg 26")</f>
        <v/>
      </c>
      <c r="AC198" s="45" t="n"/>
      <c r="AD198" s="45">
        <f>IFERROR(__xludf.DUMMYFUNCTION("""COMPUTED_VALUE"""),"OCEAN")</f>
        <v/>
      </c>
      <c r="AE198" s="45">
        <f>IFERROR(__xludf.DUMMYFUNCTION("""COMPUTED_VALUE"""),"N")</f>
        <v/>
      </c>
      <c r="AF198" s="45" t="n"/>
      <c r="AG198" s="49">
        <f>IFERROR(__xludf.DUMMYFUNCTION("IFNA(vlookup(H198,IMPORTRANGE(""1vUGwO1n0QQGx9kKbO0_M5gmuhXZ6-LaxQxgrmJnzgP0"",""'TP# look up'!A:C""),3,0),"""")"),"")</f>
        <v/>
      </c>
      <c r="AH198" s="49">
        <f>LEFT(J198,2)</f>
        <v/>
      </c>
    </row>
    <row r="199" hidden="1" ht="12.75" customHeight="1">
      <c r="A199" s="45">
        <f>IFERROR(__xludf.DUMMYFUNCTION("""COMPUTED_VALUE"""),"Colombo")</f>
        <v/>
      </c>
      <c r="B199" s="45" t="n"/>
      <c r="C199" s="45">
        <f>IFERROR(__xludf.DUMMYFUNCTION("""COMPUTED_VALUE"""),3254120)</f>
        <v/>
      </c>
      <c r="D199" s="45" t="n"/>
      <c r="E199" s="45">
        <f>IFERROR(__xludf.DUMMYFUNCTION("""COMPUTED_VALUE"""),"CFS")</f>
        <v/>
      </c>
      <c r="F199" s="45">
        <f>IFERROR(__xludf.DUMMYFUNCTION("""COMPUTED_VALUE"""),"Inqube Global (PVT) Ltd")</f>
        <v/>
      </c>
      <c r="G199" s="45">
        <f>IFERROR(__xludf.DUMMYFUNCTION("""COMPUTED_VALUE"""),"BRANDIX APPAREL SOLUTION LTD - GIRITALE")</f>
        <v/>
      </c>
      <c r="H199" s="43">
        <f>IFERROR(__xludf.DUMMYFUNCTION("""COMPUTED_VALUE"""),452503031553)</f>
        <v/>
      </c>
      <c r="I199" s="45">
        <f>IFERROR(__xludf.DUMMYFUNCTION("""COMPUTED_VALUE"""),19807149)</f>
        <v/>
      </c>
      <c r="J199" s="45">
        <f>IFERROR(__xludf.DUMMYFUNCTION("""COMPUTED_VALUE"""),"LM5BKOS")</f>
        <v/>
      </c>
      <c r="K199" s="45">
        <f>IFERROR(__xludf.DUMMYFUNCTION("""COMPUTED_VALUE"""),"LM5BKOS-031382")</f>
        <v/>
      </c>
      <c r="L199" s="45">
        <f>IFERROR(__xludf.DUMMYFUNCTION("""COMPUTED_VALUE"""),4)</f>
        <v/>
      </c>
      <c r="M199" s="45">
        <f>IFERROR(__xludf.DUMMYFUNCTION("""COMPUTED_VALUE"""),154)</f>
        <v/>
      </c>
      <c r="N199" s="45">
        <f>IFERROR(__xludf.DUMMYFUNCTION("""COMPUTED_VALUE"""),60.89)</f>
        <v/>
      </c>
      <c r="O199" s="45">
        <f>IFERROR(__xludf.DUMMYFUNCTION("""COMPUTED_VALUE"""),0.29)</f>
        <v/>
      </c>
      <c r="P199" s="45">
        <f>IFERROR(__xludf.DUMMYFUNCTION("""COMPUTED_VALUE"""),"Colombo, LK")</f>
        <v/>
      </c>
      <c r="Q199" s="45">
        <f>IFERROR(__xludf.DUMMYFUNCTION("""COMPUTED_VALUE"""),"Rotterdam, NL")</f>
        <v/>
      </c>
      <c r="R199" s="44">
        <f>IFERROR(__xludf.DUMMYFUNCTION("""COMPUTED_VALUE"""),45824)</f>
        <v/>
      </c>
      <c r="S199" s="44">
        <f>IFERROR(__xludf.DUMMYFUNCTION("""COMPUTED_VALUE"""),45878)</f>
        <v/>
      </c>
      <c r="T199" s="45">
        <f>IFERROR(__xludf.DUMMYFUNCTION("""COMPUTED_VALUE"""),"Rotterdam, NL")</f>
        <v/>
      </c>
      <c r="U199" s="45" t="n"/>
      <c r="V199" s="45" t="n"/>
      <c r="W199" s="45" t="n"/>
      <c r="X199" s="45" t="n"/>
      <c r="Y199" s="46">
        <f>IFERROR(__xludf.DUMMYFUNCTION("""COMPUTED_VALUE"""),45831)</f>
        <v/>
      </c>
      <c r="Z199" s="46">
        <f>IFERROR(__xludf.DUMMYFUNCTION("""COMPUTED_VALUE"""),45852)</f>
        <v/>
      </c>
      <c r="AA199" s="46">
        <f>IFERROR(__xludf.DUMMYFUNCTION("""COMPUTED_VALUE"""),45859)</f>
        <v/>
      </c>
      <c r="AB199" s="45">
        <f>IFERROR(__xludf.DUMMYFUNCTION("""COMPUTED_VALUE"""),"Conradweg 26")</f>
        <v/>
      </c>
      <c r="AC199" s="45" t="n"/>
      <c r="AD199" s="45">
        <f>IFERROR(__xludf.DUMMYFUNCTION("""COMPUTED_VALUE"""),"OCEAN")</f>
        <v/>
      </c>
      <c r="AE199" s="45">
        <f>IFERROR(__xludf.DUMMYFUNCTION("""COMPUTED_VALUE"""),"N")</f>
        <v/>
      </c>
      <c r="AF199" s="45" t="n"/>
      <c r="AG199" s="49">
        <f>IFERROR(__xludf.DUMMYFUNCTION("IFNA(vlookup(H199,IMPORTRANGE(""1vUGwO1n0QQGx9kKbO0_M5gmuhXZ6-LaxQxgrmJnzgP0"",""'TP# look up'!A:C""),3,0),"""")"),"")</f>
        <v/>
      </c>
      <c r="AH199" s="49">
        <f>LEFT(J199,2)</f>
        <v/>
      </c>
    </row>
    <row r="200" hidden="1" ht="12.75" customHeight="1">
      <c r="A200" s="45">
        <f>IFERROR(__xludf.DUMMYFUNCTION("""COMPUTED_VALUE"""),"Colombo")</f>
        <v/>
      </c>
      <c r="B200" s="45" t="n"/>
      <c r="C200" s="45">
        <f>IFERROR(__xludf.DUMMYFUNCTION("""COMPUTED_VALUE"""),3254120)</f>
        <v/>
      </c>
      <c r="D200" s="45" t="n"/>
      <c r="E200" s="45">
        <f>IFERROR(__xludf.DUMMYFUNCTION("""COMPUTED_VALUE"""),"CFS")</f>
        <v/>
      </c>
      <c r="F200" s="45">
        <f>IFERROR(__xludf.DUMMYFUNCTION("""COMPUTED_VALUE"""),"Inqube Global (PVT) Ltd")</f>
        <v/>
      </c>
      <c r="G200" s="45">
        <f>IFERROR(__xludf.DUMMYFUNCTION("""COMPUTED_VALUE"""),"BRANDIX APPAREL SOLUTION LTD - GIRITALE")</f>
        <v/>
      </c>
      <c r="H200" s="43">
        <f>IFERROR(__xludf.DUMMYFUNCTION("""COMPUTED_VALUE"""),452503337572)</f>
        <v/>
      </c>
      <c r="I200" s="45">
        <f>IFERROR(__xludf.DUMMYFUNCTION("""COMPUTED_VALUE"""),19807143)</f>
        <v/>
      </c>
      <c r="J200" s="45">
        <f>IFERROR(__xludf.DUMMYFUNCTION("""COMPUTED_VALUE"""),"LM5BKOS")</f>
        <v/>
      </c>
      <c r="K200" s="45">
        <f>IFERROR(__xludf.DUMMYFUNCTION("""COMPUTED_VALUE"""),"LM5BKOS-031382")</f>
        <v/>
      </c>
      <c r="L200" s="45">
        <f>IFERROR(__xludf.DUMMYFUNCTION("""COMPUTED_VALUE"""),8)</f>
        <v/>
      </c>
      <c r="M200" s="45">
        <f>IFERROR(__xludf.DUMMYFUNCTION("""COMPUTED_VALUE"""),277)</f>
        <v/>
      </c>
      <c r="N200" s="45">
        <f>IFERROR(__xludf.DUMMYFUNCTION("""COMPUTED_VALUE"""),109.8)</f>
        <v/>
      </c>
      <c r="O200" s="45">
        <f>IFERROR(__xludf.DUMMYFUNCTION("""COMPUTED_VALUE"""),0.58)</f>
        <v/>
      </c>
      <c r="P200" s="45">
        <f>IFERROR(__xludf.DUMMYFUNCTION("""COMPUTED_VALUE"""),"Colombo, LK")</f>
        <v/>
      </c>
      <c r="Q200" s="45">
        <f>IFERROR(__xludf.DUMMYFUNCTION("""COMPUTED_VALUE"""),"Rotterdam, NL")</f>
        <v/>
      </c>
      <c r="R200" s="44">
        <f>IFERROR(__xludf.DUMMYFUNCTION("""COMPUTED_VALUE"""),45824)</f>
        <v/>
      </c>
      <c r="S200" s="44">
        <f>IFERROR(__xludf.DUMMYFUNCTION("""COMPUTED_VALUE"""),45878)</f>
        <v/>
      </c>
      <c r="T200" s="45">
        <f>IFERROR(__xludf.DUMMYFUNCTION("""COMPUTED_VALUE"""),"Rotterdam, NL")</f>
        <v/>
      </c>
      <c r="U200" s="45" t="n"/>
      <c r="V200" s="45" t="n"/>
      <c r="W200" s="45" t="n"/>
      <c r="X200" s="45" t="n"/>
      <c r="Y200" s="46">
        <f>IFERROR(__xludf.DUMMYFUNCTION("""COMPUTED_VALUE"""),45831)</f>
        <v/>
      </c>
      <c r="Z200" s="46">
        <f>IFERROR(__xludf.DUMMYFUNCTION("""COMPUTED_VALUE"""),45852)</f>
        <v/>
      </c>
      <c r="AA200" s="46">
        <f>IFERROR(__xludf.DUMMYFUNCTION("""COMPUTED_VALUE"""),45859)</f>
        <v/>
      </c>
      <c r="AB200" s="45">
        <f>IFERROR(__xludf.DUMMYFUNCTION("""COMPUTED_VALUE"""),"Conradweg 26")</f>
        <v/>
      </c>
      <c r="AC200" s="45" t="n"/>
      <c r="AD200" s="45">
        <f>IFERROR(__xludf.DUMMYFUNCTION("""COMPUTED_VALUE"""),"OCEAN")</f>
        <v/>
      </c>
      <c r="AE200" s="45">
        <f>IFERROR(__xludf.DUMMYFUNCTION("""COMPUTED_VALUE"""),"N")</f>
        <v/>
      </c>
      <c r="AF200" s="45" t="n"/>
      <c r="AG200" s="49">
        <f>IFERROR(__xludf.DUMMYFUNCTION("IFNA(vlookup(H200,IMPORTRANGE(""1vUGwO1n0QQGx9kKbO0_M5gmuhXZ6-LaxQxgrmJnzgP0"",""'TP# look up'!A:C""),3,0),"""")"),"")</f>
        <v/>
      </c>
      <c r="AH200" s="49">
        <f>LEFT(J200,2)</f>
        <v/>
      </c>
    </row>
    <row r="201" hidden="1" ht="12.75" customHeight="1">
      <c r="A201" s="45">
        <f>IFERROR(__xludf.DUMMYFUNCTION("""COMPUTED_VALUE"""),"Colombo")</f>
        <v/>
      </c>
      <c r="B201" s="45" t="n"/>
      <c r="C201" s="45">
        <f>IFERROR(__xludf.DUMMYFUNCTION("""COMPUTED_VALUE"""),3254120)</f>
        <v/>
      </c>
      <c r="D201" s="45" t="n"/>
      <c r="E201" s="45">
        <f>IFERROR(__xludf.DUMMYFUNCTION("""COMPUTED_VALUE"""),"CFS")</f>
        <v/>
      </c>
      <c r="F201" s="45">
        <f>IFERROR(__xludf.DUMMYFUNCTION("""COMPUTED_VALUE"""),"Inqube Global (PVT) Ltd")</f>
        <v/>
      </c>
      <c r="G201" s="45">
        <f>IFERROR(__xludf.DUMMYFUNCTION("""COMPUTED_VALUE"""),"BRANDIX APPAREL SOLUTION LTD - GIRITALE")</f>
        <v/>
      </c>
      <c r="H201" s="43">
        <f>IFERROR(__xludf.DUMMYFUNCTION("""COMPUTED_VALUE"""),452503346259)</f>
        <v/>
      </c>
      <c r="I201" s="45">
        <f>IFERROR(__xludf.DUMMYFUNCTION("""COMPUTED_VALUE"""),19807151)</f>
        <v/>
      </c>
      <c r="J201" s="45">
        <f>IFERROR(__xludf.DUMMYFUNCTION("""COMPUTED_VALUE"""),"LM5BL3S")</f>
        <v/>
      </c>
      <c r="K201" s="45">
        <f>IFERROR(__xludf.DUMMYFUNCTION("""COMPUTED_VALUE"""),"LM5BL3S-045739")</f>
        <v/>
      </c>
      <c r="L201" s="45">
        <f>IFERROR(__xludf.DUMMYFUNCTION("""COMPUTED_VALUE"""),1)</f>
        <v/>
      </c>
      <c r="M201" s="45">
        <f>IFERROR(__xludf.DUMMYFUNCTION("""COMPUTED_VALUE"""),17)</f>
        <v/>
      </c>
      <c r="N201" s="45">
        <f>IFERROR(__xludf.DUMMYFUNCTION("""COMPUTED_VALUE"""),6.96)</f>
        <v/>
      </c>
      <c r="O201" s="45">
        <f>IFERROR(__xludf.DUMMYFUNCTION("""COMPUTED_VALUE"""),0.043)</f>
        <v/>
      </c>
      <c r="P201" s="45">
        <f>IFERROR(__xludf.DUMMYFUNCTION("""COMPUTED_VALUE"""),"Colombo, LK")</f>
        <v/>
      </c>
      <c r="Q201" s="45">
        <f>IFERROR(__xludf.DUMMYFUNCTION("""COMPUTED_VALUE"""),"Rotterdam, NL")</f>
        <v/>
      </c>
      <c r="R201" s="44">
        <f>IFERROR(__xludf.DUMMYFUNCTION("""COMPUTED_VALUE"""),45824)</f>
        <v/>
      </c>
      <c r="S201" s="44">
        <f>IFERROR(__xludf.DUMMYFUNCTION("""COMPUTED_VALUE"""),45878)</f>
        <v/>
      </c>
      <c r="T201" s="45">
        <f>IFERROR(__xludf.DUMMYFUNCTION("""COMPUTED_VALUE"""),"Rotterdam, NL")</f>
        <v/>
      </c>
      <c r="U201" s="45" t="n"/>
      <c r="V201" s="45" t="n"/>
      <c r="W201" s="45" t="n"/>
      <c r="X201" s="45" t="n"/>
      <c r="Y201" s="46">
        <f>IFERROR(__xludf.DUMMYFUNCTION("""COMPUTED_VALUE"""),45831)</f>
        <v/>
      </c>
      <c r="Z201" s="46">
        <f>IFERROR(__xludf.DUMMYFUNCTION("""COMPUTED_VALUE"""),45852)</f>
        <v/>
      </c>
      <c r="AA201" s="46">
        <f>IFERROR(__xludf.DUMMYFUNCTION("""COMPUTED_VALUE"""),45859)</f>
        <v/>
      </c>
      <c r="AB201" s="45">
        <f>IFERROR(__xludf.DUMMYFUNCTION("""COMPUTED_VALUE"""),"Conradweg 26")</f>
        <v/>
      </c>
      <c r="AC201" s="45" t="n"/>
      <c r="AD201" s="45">
        <f>IFERROR(__xludf.DUMMYFUNCTION("""COMPUTED_VALUE"""),"OCEAN")</f>
        <v/>
      </c>
      <c r="AE201" s="45">
        <f>IFERROR(__xludf.DUMMYFUNCTION("""COMPUTED_VALUE"""),"N")</f>
        <v/>
      </c>
      <c r="AF201" s="45" t="n"/>
      <c r="AG201" s="49">
        <f>IFERROR(__xludf.DUMMYFUNCTION("IFNA(vlookup(H201,IMPORTRANGE(""1vUGwO1n0QQGx9kKbO0_M5gmuhXZ6-LaxQxgrmJnzgP0"",""'TP# look up'!A:C""),3,0),"""")"),"")</f>
        <v/>
      </c>
      <c r="AH201" s="49">
        <f>LEFT(J201,2)</f>
        <v/>
      </c>
    </row>
    <row r="202" hidden="1" ht="12.75" customHeight="1">
      <c r="A202" s="45">
        <f>IFERROR(__xludf.DUMMYFUNCTION("""COMPUTED_VALUE"""),"Colombo")</f>
        <v/>
      </c>
      <c r="B202" s="45" t="n"/>
      <c r="C202" s="45">
        <f>IFERROR(__xludf.DUMMYFUNCTION("""COMPUTED_VALUE"""),3254120)</f>
        <v/>
      </c>
      <c r="D202" s="45" t="n"/>
      <c r="E202" s="45">
        <f>IFERROR(__xludf.DUMMYFUNCTION("""COMPUTED_VALUE"""),"CFS")</f>
        <v/>
      </c>
      <c r="F202" s="45">
        <f>IFERROR(__xludf.DUMMYFUNCTION("""COMPUTED_VALUE"""),"Inqube Global (PVT) Ltd")</f>
        <v/>
      </c>
      <c r="G202" s="45">
        <f>IFERROR(__xludf.DUMMYFUNCTION("""COMPUTED_VALUE"""),"BRANDIX APPAREL SOLUTION LTD - GIRITALE")</f>
        <v/>
      </c>
      <c r="H202" s="43">
        <f>IFERROR(__xludf.DUMMYFUNCTION("""COMPUTED_VALUE"""),452517307998)</f>
        <v/>
      </c>
      <c r="I202" s="45">
        <f>IFERROR(__xludf.DUMMYFUNCTION("""COMPUTED_VALUE"""),19856636)</f>
        <v/>
      </c>
      <c r="J202" s="45">
        <f>IFERROR(__xludf.DUMMYFUNCTION("""COMPUTED_VALUE"""),"LM5BKOS")</f>
        <v/>
      </c>
      <c r="K202" s="45">
        <f>IFERROR(__xludf.DUMMYFUNCTION("""COMPUTED_VALUE"""),"LM5BKOS-0001")</f>
        <v/>
      </c>
      <c r="L202" s="45">
        <f>IFERROR(__xludf.DUMMYFUNCTION("""COMPUTED_VALUE"""),7)</f>
        <v/>
      </c>
      <c r="M202" s="45">
        <f>IFERROR(__xludf.DUMMYFUNCTION("""COMPUTED_VALUE"""),255)</f>
        <v/>
      </c>
      <c r="N202" s="45">
        <f>IFERROR(__xludf.DUMMYFUNCTION("""COMPUTED_VALUE"""),101.39)</f>
        <v/>
      </c>
      <c r="O202" s="45">
        <f>IFERROR(__xludf.DUMMYFUNCTION("""COMPUTED_VALUE"""),0.498)</f>
        <v/>
      </c>
      <c r="P202" s="45">
        <f>IFERROR(__xludf.DUMMYFUNCTION("""COMPUTED_VALUE"""),"Colombo, LK")</f>
        <v/>
      </c>
      <c r="Q202" s="45">
        <f>IFERROR(__xludf.DUMMYFUNCTION("""COMPUTED_VALUE"""),"Rotterdam, NL")</f>
        <v/>
      </c>
      <c r="R202" s="44">
        <f>IFERROR(__xludf.DUMMYFUNCTION("""COMPUTED_VALUE"""),45824)</f>
        <v/>
      </c>
      <c r="S202" s="44">
        <f>IFERROR(__xludf.DUMMYFUNCTION("""COMPUTED_VALUE"""),45878)</f>
        <v/>
      </c>
      <c r="T202" s="45">
        <f>IFERROR(__xludf.DUMMYFUNCTION("""COMPUTED_VALUE"""),"Rotterdam, NL")</f>
        <v/>
      </c>
      <c r="U202" s="45" t="n"/>
      <c r="V202" s="45" t="n"/>
      <c r="W202" s="45" t="n"/>
      <c r="X202" s="45" t="n"/>
      <c r="Y202" s="46">
        <f>IFERROR(__xludf.DUMMYFUNCTION("""COMPUTED_VALUE"""),45831)</f>
        <v/>
      </c>
      <c r="Z202" s="46">
        <f>IFERROR(__xludf.DUMMYFUNCTION("""COMPUTED_VALUE"""),45852)</f>
        <v/>
      </c>
      <c r="AA202" s="46">
        <f>IFERROR(__xludf.DUMMYFUNCTION("""COMPUTED_VALUE"""),45859)</f>
        <v/>
      </c>
      <c r="AB202" s="45">
        <f>IFERROR(__xludf.DUMMYFUNCTION("""COMPUTED_VALUE"""),"Conradweg 26")</f>
        <v/>
      </c>
      <c r="AC202" s="45" t="n"/>
      <c r="AD202" s="45">
        <f>IFERROR(__xludf.DUMMYFUNCTION("""COMPUTED_VALUE"""),"OCEAN")</f>
        <v/>
      </c>
      <c r="AE202" s="45">
        <f>IFERROR(__xludf.DUMMYFUNCTION("""COMPUTED_VALUE"""),"N")</f>
        <v/>
      </c>
      <c r="AF202" s="45" t="n"/>
      <c r="AG202" s="49">
        <f>IFERROR(__xludf.DUMMYFUNCTION("IFNA(vlookup(H202,IMPORTRANGE(""1vUGwO1n0QQGx9kKbO0_M5gmuhXZ6-LaxQxgrmJnzgP0"",""'TP# look up'!A:C""),3,0),"""")"),"")</f>
        <v/>
      </c>
      <c r="AH202" s="49">
        <f>LEFT(J202,2)</f>
        <v/>
      </c>
    </row>
    <row r="203" hidden="1" ht="12.75" customHeight="1">
      <c r="A203" s="45">
        <f>IFERROR(__xludf.DUMMYFUNCTION("""COMPUTED_VALUE"""),"Colombo")</f>
        <v/>
      </c>
      <c r="B203" s="45" t="n"/>
      <c r="C203" s="45">
        <f>IFERROR(__xludf.DUMMYFUNCTION("""COMPUTED_VALUE"""),3254120)</f>
        <v/>
      </c>
      <c r="D203" s="45" t="n"/>
      <c r="E203" s="45">
        <f>IFERROR(__xludf.DUMMYFUNCTION("""COMPUTED_VALUE"""),"CFS")</f>
        <v/>
      </c>
      <c r="F203" s="45">
        <f>IFERROR(__xludf.DUMMYFUNCTION("""COMPUTED_VALUE"""),"Inqube Global (PVT) Ltd")</f>
        <v/>
      </c>
      <c r="G203" s="45">
        <f>IFERROR(__xludf.DUMMYFUNCTION("""COMPUTED_VALUE"""),"BRANDIX APPAREL SOLUTION LTD - GIRITALE")</f>
        <v/>
      </c>
      <c r="H203" s="43">
        <f>IFERROR(__xludf.DUMMYFUNCTION("""COMPUTED_VALUE"""),452517688487)</f>
        <v/>
      </c>
      <c r="I203" s="45">
        <f>IFERROR(__xludf.DUMMYFUNCTION("""COMPUTED_VALUE"""),19856637)</f>
        <v/>
      </c>
      <c r="J203" s="45">
        <f>IFERROR(__xludf.DUMMYFUNCTION("""COMPUTED_VALUE"""),"LM5BKOS")</f>
        <v/>
      </c>
      <c r="K203" s="45">
        <f>IFERROR(__xludf.DUMMYFUNCTION("""COMPUTED_VALUE"""),"LM5BKOS-031382")</f>
        <v/>
      </c>
      <c r="L203" s="45">
        <f>IFERROR(__xludf.DUMMYFUNCTION("""COMPUTED_VALUE"""),3)</f>
        <v/>
      </c>
      <c r="M203" s="45">
        <f>IFERROR(__xludf.DUMMYFUNCTION("""COMPUTED_VALUE"""),115)</f>
        <v/>
      </c>
      <c r="N203" s="45">
        <f>IFERROR(__xludf.DUMMYFUNCTION("""COMPUTED_VALUE"""),45.67)</f>
        <v/>
      </c>
      <c r="O203" s="45">
        <f>IFERROR(__xludf.DUMMYFUNCTION("""COMPUTED_VALUE"""),0.248)</f>
        <v/>
      </c>
      <c r="P203" s="45">
        <f>IFERROR(__xludf.DUMMYFUNCTION("""COMPUTED_VALUE"""),"Colombo, LK")</f>
        <v/>
      </c>
      <c r="Q203" s="45">
        <f>IFERROR(__xludf.DUMMYFUNCTION("""COMPUTED_VALUE"""),"Rotterdam, NL")</f>
        <v/>
      </c>
      <c r="R203" s="44">
        <f>IFERROR(__xludf.DUMMYFUNCTION("""COMPUTED_VALUE"""),45824)</f>
        <v/>
      </c>
      <c r="S203" s="44">
        <f>IFERROR(__xludf.DUMMYFUNCTION("""COMPUTED_VALUE"""),45878)</f>
        <v/>
      </c>
      <c r="T203" s="45">
        <f>IFERROR(__xludf.DUMMYFUNCTION("""COMPUTED_VALUE"""),"Rotterdam, NL")</f>
        <v/>
      </c>
      <c r="U203" s="45" t="n"/>
      <c r="V203" s="45" t="n"/>
      <c r="W203" s="45" t="n"/>
      <c r="X203" s="45" t="n"/>
      <c r="Y203" s="46">
        <f>IFERROR(__xludf.DUMMYFUNCTION("""COMPUTED_VALUE"""),45831)</f>
        <v/>
      </c>
      <c r="Z203" s="46">
        <f>IFERROR(__xludf.DUMMYFUNCTION("""COMPUTED_VALUE"""),45852)</f>
        <v/>
      </c>
      <c r="AA203" s="46">
        <f>IFERROR(__xludf.DUMMYFUNCTION("""COMPUTED_VALUE"""),45859)</f>
        <v/>
      </c>
      <c r="AB203" s="45">
        <f>IFERROR(__xludf.DUMMYFUNCTION("""COMPUTED_VALUE"""),"Conradweg 26")</f>
        <v/>
      </c>
      <c r="AC203" s="45" t="n"/>
      <c r="AD203" s="45">
        <f>IFERROR(__xludf.DUMMYFUNCTION("""COMPUTED_VALUE"""),"OCEAN")</f>
        <v/>
      </c>
      <c r="AE203" s="45">
        <f>IFERROR(__xludf.DUMMYFUNCTION("""COMPUTED_VALUE"""),"N")</f>
        <v/>
      </c>
      <c r="AF203" s="45" t="n"/>
      <c r="AG203" s="49">
        <f>IFERROR(__xludf.DUMMYFUNCTION("IFNA(vlookup(H203,IMPORTRANGE(""1vUGwO1n0QQGx9kKbO0_M5gmuhXZ6-LaxQxgrmJnzgP0"",""'TP# look up'!A:C""),3,0),"""")"),"")</f>
        <v/>
      </c>
      <c r="AH203" s="49">
        <f>LEFT(J203,2)</f>
        <v/>
      </c>
    </row>
    <row r="204" hidden="1" ht="12.75" customHeight="1">
      <c r="A204" s="45">
        <f>IFERROR(__xludf.DUMMYFUNCTION("""COMPUTED_VALUE"""),"Colombo")</f>
        <v/>
      </c>
      <c r="B204" s="45" t="n"/>
      <c r="C204" s="45">
        <f>IFERROR(__xludf.DUMMYFUNCTION("""COMPUTED_VALUE"""),3254120)</f>
        <v/>
      </c>
      <c r="D204" s="45" t="n"/>
      <c r="E204" s="45">
        <f>IFERROR(__xludf.DUMMYFUNCTION("""COMPUTED_VALUE"""),"CFS")</f>
        <v/>
      </c>
      <c r="F204" s="45">
        <f>IFERROR(__xludf.DUMMYFUNCTION("""COMPUTED_VALUE"""),"Inqube Global (PVT) Ltd")</f>
        <v/>
      </c>
      <c r="G204" s="45">
        <f>IFERROR(__xludf.DUMMYFUNCTION("""COMPUTED_VALUE"""),"BRANDIX APPAREL SOLUTION LTD - GIRITALE")</f>
        <v/>
      </c>
      <c r="H204" s="43">
        <f>IFERROR(__xludf.DUMMYFUNCTION("""COMPUTED_VALUE"""),452518357641)</f>
        <v/>
      </c>
      <c r="I204" s="45">
        <f>IFERROR(__xludf.DUMMYFUNCTION("""COMPUTED_VALUE"""),19849780)</f>
        <v/>
      </c>
      <c r="J204" s="45">
        <f>IFERROR(__xludf.DUMMYFUNCTION("""COMPUTED_VALUE"""),"LM5BL3S")</f>
        <v/>
      </c>
      <c r="K204" s="45">
        <f>IFERROR(__xludf.DUMMYFUNCTION("""COMPUTED_VALUE"""),"LM5BL3S-070108")</f>
        <v/>
      </c>
      <c r="L204" s="45">
        <f>IFERROR(__xludf.DUMMYFUNCTION("""COMPUTED_VALUE"""),1)</f>
        <v/>
      </c>
      <c r="M204" s="45">
        <f>IFERROR(__xludf.DUMMYFUNCTION("""COMPUTED_VALUE"""),32)</f>
        <v/>
      </c>
      <c r="N204" s="45">
        <f>IFERROR(__xludf.DUMMYFUNCTION("""COMPUTED_VALUE"""),12.59)</f>
        <v/>
      </c>
      <c r="O204" s="45">
        <f>IFERROR(__xludf.DUMMYFUNCTION("""COMPUTED_VALUE"""),0.083)</f>
        <v/>
      </c>
      <c r="P204" s="45">
        <f>IFERROR(__xludf.DUMMYFUNCTION("""COMPUTED_VALUE"""),"Colombo, LK")</f>
        <v/>
      </c>
      <c r="Q204" s="45">
        <f>IFERROR(__xludf.DUMMYFUNCTION("""COMPUTED_VALUE"""),"Rotterdam, NL")</f>
        <v/>
      </c>
      <c r="R204" s="44">
        <f>IFERROR(__xludf.DUMMYFUNCTION("""COMPUTED_VALUE"""),45824)</f>
        <v/>
      </c>
      <c r="S204" s="44">
        <f>IFERROR(__xludf.DUMMYFUNCTION("""COMPUTED_VALUE"""),45878)</f>
        <v/>
      </c>
      <c r="T204" s="45">
        <f>IFERROR(__xludf.DUMMYFUNCTION("""COMPUTED_VALUE"""),"Rotterdam, NL")</f>
        <v/>
      </c>
      <c r="U204" s="45" t="n"/>
      <c r="V204" s="45" t="n"/>
      <c r="W204" s="45" t="n"/>
      <c r="X204" s="45" t="n"/>
      <c r="Y204" s="46">
        <f>IFERROR(__xludf.DUMMYFUNCTION("""COMPUTED_VALUE"""),45831)</f>
        <v/>
      </c>
      <c r="Z204" s="46">
        <f>IFERROR(__xludf.DUMMYFUNCTION("""COMPUTED_VALUE"""),45852)</f>
        <v/>
      </c>
      <c r="AA204" s="46">
        <f>IFERROR(__xludf.DUMMYFUNCTION("""COMPUTED_VALUE"""),45859)</f>
        <v/>
      </c>
      <c r="AB204" s="45">
        <f>IFERROR(__xludf.DUMMYFUNCTION("""COMPUTED_VALUE"""),"Conradweg 26")</f>
        <v/>
      </c>
      <c r="AC204" s="45" t="n"/>
      <c r="AD204" s="45">
        <f>IFERROR(__xludf.DUMMYFUNCTION("""COMPUTED_VALUE"""),"OCEAN")</f>
        <v/>
      </c>
      <c r="AE204" s="45">
        <f>IFERROR(__xludf.DUMMYFUNCTION("""COMPUTED_VALUE"""),"N")</f>
        <v/>
      </c>
      <c r="AF204" s="45" t="n"/>
      <c r="AG204" s="49">
        <f>IFERROR(__xludf.DUMMYFUNCTION("IFNA(vlookup(H204,IMPORTRANGE(""1vUGwO1n0QQGx9kKbO0_M5gmuhXZ6-LaxQxgrmJnzgP0"",""'TP# look up'!A:C""),3,0),"""")"),"")</f>
        <v/>
      </c>
      <c r="AH204" s="49">
        <f>LEFT(J204,2)</f>
        <v/>
      </c>
    </row>
    <row r="205" hidden="1" ht="12.75" customHeight="1">
      <c r="A205" s="45">
        <f>IFERROR(__xludf.DUMMYFUNCTION("""COMPUTED_VALUE"""),"Colombo")</f>
        <v/>
      </c>
      <c r="B205" s="45" t="n"/>
      <c r="C205" s="45">
        <f>IFERROR(__xludf.DUMMYFUNCTION("""COMPUTED_VALUE"""),3254120)</f>
        <v/>
      </c>
      <c r="D205" s="45" t="n"/>
      <c r="E205" s="45">
        <f>IFERROR(__xludf.DUMMYFUNCTION("""COMPUTED_VALUE"""),"CFS")</f>
        <v/>
      </c>
      <c r="F205" s="45">
        <f>IFERROR(__xludf.DUMMYFUNCTION("""COMPUTED_VALUE"""),"Inqube Global (PVT) Ltd")</f>
        <v/>
      </c>
      <c r="G205" s="45">
        <f>IFERROR(__xludf.DUMMYFUNCTION("""COMPUTED_VALUE"""),"Brandix Apparel Solutions Limited - Minuwangoda")</f>
        <v/>
      </c>
      <c r="H205" s="43">
        <f>IFERROR(__xludf.DUMMYFUNCTION("""COMPUTED_VALUE"""),452015706494)</f>
        <v/>
      </c>
      <c r="I205" s="45">
        <f>IFERROR(__xludf.DUMMYFUNCTION("""COMPUTED_VALUE"""),19854987)</f>
        <v/>
      </c>
      <c r="J205" s="45">
        <f>IFERROR(__xludf.DUMMYFUNCTION("""COMPUTED_VALUE"""),"LW5GLNS")</f>
        <v/>
      </c>
      <c r="K205" s="45">
        <f>IFERROR(__xludf.DUMMYFUNCTION("""COMPUTED_VALUE"""),"LW5GLNS-062214")</f>
        <v/>
      </c>
      <c r="L205" s="45">
        <f>IFERROR(__xludf.DUMMYFUNCTION("""COMPUTED_VALUE"""),3)</f>
        <v/>
      </c>
      <c r="M205" s="45">
        <f>IFERROR(__xludf.DUMMYFUNCTION("""COMPUTED_VALUE"""),32)</f>
        <v/>
      </c>
      <c r="N205" s="45">
        <f>IFERROR(__xludf.DUMMYFUNCTION("""COMPUTED_VALUE"""),17.9)</f>
        <v/>
      </c>
      <c r="O205" s="45">
        <f>IFERROR(__xludf.DUMMYFUNCTION("""COMPUTED_VALUE"""),0.236)</f>
        <v/>
      </c>
      <c r="P205" s="45">
        <f>IFERROR(__xludf.DUMMYFUNCTION("""COMPUTED_VALUE"""),"Colombo, LK")</f>
        <v/>
      </c>
      <c r="Q205" s="45">
        <f>IFERROR(__xludf.DUMMYFUNCTION("""COMPUTED_VALUE"""),"Rotterdam, NL")</f>
        <v/>
      </c>
      <c r="R205" s="44">
        <f>IFERROR(__xludf.DUMMYFUNCTION("""COMPUTED_VALUE"""),45824)</f>
        <v/>
      </c>
      <c r="S205" s="44">
        <f>IFERROR(__xludf.DUMMYFUNCTION("""COMPUTED_VALUE"""),45878)</f>
        <v/>
      </c>
      <c r="T205" s="45">
        <f>IFERROR(__xludf.DUMMYFUNCTION("""COMPUTED_VALUE"""),"Rotterdam, NL")</f>
        <v/>
      </c>
      <c r="U205" s="45" t="n"/>
      <c r="V205" s="45" t="n"/>
      <c r="W205" s="45" t="n"/>
      <c r="X205" s="45" t="n"/>
      <c r="Y205" s="46">
        <f>IFERROR(__xludf.DUMMYFUNCTION("""COMPUTED_VALUE"""),45831)</f>
        <v/>
      </c>
      <c r="Z205" s="46">
        <f>IFERROR(__xludf.DUMMYFUNCTION("""COMPUTED_VALUE"""),45852)</f>
        <v/>
      </c>
      <c r="AA205" s="46">
        <f>IFERROR(__xludf.DUMMYFUNCTION("""COMPUTED_VALUE"""),45859)</f>
        <v/>
      </c>
      <c r="AB205" s="45">
        <f>IFERROR(__xludf.DUMMYFUNCTION("""COMPUTED_VALUE"""),"Conradweg 26")</f>
        <v/>
      </c>
      <c r="AC205" s="45" t="n"/>
      <c r="AD205" s="45">
        <f>IFERROR(__xludf.DUMMYFUNCTION("""COMPUTED_VALUE"""),"OCEAN")</f>
        <v/>
      </c>
      <c r="AE205" s="45">
        <f>IFERROR(__xludf.DUMMYFUNCTION("""COMPUTED_VALUE"""),"N")</f>
        <v/>
      </c>
      <c r="AF205" s="45" t="n"/>
      <c r="AG205" s="49">
        <f>IFERROR(__xludf.DUMMYFUNCTION("IFNA(vlookup(H205,IMPORTRANGE(""1vUGwO1n0QQGx9kKbO0_M5gmuhXZ6-LaxQxgrmJnzgP0"",""'TP# look up'!A:C""),3,0),"""")"),"")</f>
        <v/>
      </c>
      <c r="AH205" s="49">
        <f>LEFT(J205,2)</f>
        <v/>
      </c>
    </row>
    <row r="206" ht="12.75" customHeight="1">
      <c r="A206" s="45">
        <f>IFERROR(__xludf.DUMMYFUNCTION("""COMPUTED_VALUE"""),"Colombo")</f>
        <v/>
      </c>
      <c r="B206" s="45" t="n"/>
      <c r="C206" s="45">
        <f>IFERROR(__xludf.DUMMYFUNCTION("""COMPUTED_VALUE"""),3254120)</f>
        <v/>
      </c>
      <c r="D206" s="45" t="n"/>
      <c r="E206" s="45">
        <f>IFERROR(__xludf.DUMMYFUNCTION("""COMPUTED_VALUE"""),"CFS")</f>
        <v/>
      </c>
      <c r="F206" s="45">
        <f>IFERROR(__xludf.DUMMYFUNCTION("""COMPUTED_VALUE"""),"Inqube Global (PVT) Ltd")</f>
        <v/>
      </c>
      <c r="G206" s="45">
        <f>IFERROR(__xludf.DUMMYFUNCTION("""COMPUTED_VALUE"""),"Quantum Clothing Lanka (Pvt) Ltd")</f>
        <v/>
      </c>
      <c r="H206" s="43">
        <f>IFERROR(__xludf.DUMMYFUNCTION("""COMPUTED_VALUE"""),452032527956)</f>
        <v/>
      </c>
      <c r="I206" s="45">
        <f>IFERROR(__xludf.DUMMYFUNCTION("""COMPUTED_VALUE"""),19727214)</f>
        <v/>
      </c>
      <c r="J206" s="45">
        <f>IFERROR(__xludf.DUMMYFUNCTION("""COMPUTED_VALUE"""),"LW2E01S")</f>
        <v/>
      </c>
      <c r="K206" s="45">
        <f>IFERROR(__xludf.DUMMYFUNCTION("""COMPUTED_VALUE"""),"LW2E01S-031382")</f>
        <v/>
      </c>
      <c r="L206" s="45">
        <f>IFERROR(__xludf.DUMMYFUNCTION("""COMPUTED_VALUE"""),65)</f>
        <v/>
      </c>
      <c r="M206" s="45">
        <f>IFERROR(__xludf.DUMMYFUNCTION("""COMPUTED_VALUE"""),636)</f>
        <v/>
      </c>
      <c r="N206" s="45">
        <f>IFERROR(__xludf.DUMMYFUNCTION("""COMPUTED_VALUE"""),226.036)</f>
        <v/>
      </c>
      <c r="O206" s="45">
        <f>IFERROR(__xludf.DUMMYFUNCTION("""COMPUTED_VALUE"""),5.418)</f>
        <v/>
      </c>
      <c r="P206" s="45">
        <f>IFERROR(__xludf.DUMMYFUNCTION("""COMPUTED_VALUE"""),"Colombo, LK")</f>
        <v/>
      </c>
      <c r="Q206" s="45">
        <f>IFERROR(__xludf.DUMMYFUNCTION("""COMPUTED_VALUE"""),"Rotterdam, NL")</f>
        <v/>
      </c>
      <c r="R206" s="44">
        <f>IFERROR(__xludf.DUMMYFUNCTION("""COMPUTED_VALUE"""),45824)</f>
        <v/>
      </c>
      <c r="S206" s="44">
        <f>IFERROR(__xludf.DUMMYFUNCTION("""COMPUTED_VALUE"""),45878)</f>
        <v/>
      </c>
      <c r="T206" s="45">
        <f>IFERROR(__xludf.DUMMYFUNCTION("""COMPUTED_VALUE"""),"Rotterdam, NL")</f>
        <v/>
      </c>
      <c r="U206" s="45" t="n"/>
      <c r="V206" s="45" t="n"/>
      <c r="W206" s="45" t="n"/>
      <c r="X206" s="45" t="n"/>
      <c r="Y206" s="46">
        <f>IFERROR(__xludf.DUMMYFUNCTION("""COMPUTED_VALUE"""),45831)</f>
        <v/>
      </c>
      <c r="Z206" s="46">
        <f>IFERROR(__xludf.DUMMYFUNCTION("""COMPUTED_VALUE"""),45852)</f>
        <v/>
      </c>
      <c r="AA206" s="46">
        <f>IFERROR(__xludf.DUMMYFUNCTION("""COMPUTED_VALUE"""),45859)</f>
        <v/>
      </c>
      <c r="AB206" s="45">
        <f>IFERROR(__xludf.DUMMYFUNCTION("""COMPUTED_VALUE"""),"Conradweg 26")</f>
        <v/>
      </c>
      <c r="AC206" s="45" t="n"/>
      <c r="AD206" s="45">
        <f>IFERROR(__xludf.DUMMYFUNCTION("""COMPUTED_VALUE"""),"OCEAN")</f>
        <v/>
      </c>
      <c r="AE206" s="45">
        <f>IFERROR(__xludf.DUMMYFUNCTION("""COMPUTED_VALUE"""),"N")</f>
        <v/>
      </c>
      <c r="AF206" s="45" t="n"/>
      <c r="AG206" s="49">
        <f>IFERROR(__xludf.DUMMYFUNCTION("IFNA(vlookup(H206,IMPORTRANGE(""1vUGwO1n0QQGx9kKbO0_M5gmuhXZ6-LaxQxgrmJnzgP0"",""'TP# look up'!A:C""),3,0),"""")"),"")</f>
        <v/>
      </c>
      <c r="AH206" s="49">
        <f>LEFT(J206,2)</f>
        <v/>
      </c>
    </row>
    <row r="207" ht="12.75" customHeight="1">
      <c r="A207" s="45">
        <f>IFERROR(__xludf.DUMMYFUNCTION("""COMPUTED_VALUE"""),"Colombo")</f>
        <v/>
      </c>
      <c r="B207" s="45" t="n"/>
      <c r="C207" s="45">
        <f>IFERROR(__xludf.DUMMYFUNCTION("""COMPUTED_VALUE"""),3254120)</f>
        <v/>
      </c>
      <c r="D207" s="45" t="n"/>
      <c r="E207" s="45">
        <f>IFERROR(__xludf.DUMMYFUNCTION("""COMPUTED_VALUE"""),"CFS")</f>
        <v/>
      </c>
      <c r="F207" s="45">
        <f>IFERROR(__xludf.DUMMYFUNCTION("""COMPUTED_VALUE"""),"MAS AMITY PTE LTD")</f>
        <v/>
      </c>
      <c r="G207" s="45">
        <f>IFERROR(__xludf.DUMMYFUNCTION("""COMPUTED_VALUE"""),"MAS Active(Pvt) Ltd – CONTOURLINE")</f>
        <v/>
      </c>
      <c r="H207" s="43">
        <f>IFERROR(__xludf.DUMMYFUNCTION("""COMPUTED_VALUE"""),454770290651)</f>
        <v/>
      </c>
      <c r="I207" s="45">
        <f>IFERROR(__xludf.DUMMYFUNCTION("""COMPUTED_VALUE"""),19925894)</f>
        <v/>
      </c>
      <c r="J207" s="45">
        <f>IFERROR(__xludf.DUMMYFUNCTION("""COMPUTED_VALUE"""),"LW5EPSS")</f>
        <v/>
      </c>
      <c r="K207" s="45">
        <f>IFERROR(__xludf.DUMMYFUNCTION("""COMPUTED_VALUE"""),"LW5EPSS-049106")</f>
        <v/>
      </c>
      <c r="L207" s="45">
        <f>IFERROR(__xludf.DUMMYFUNCTION("""COMPUTED_VALUE"""),4)</f>
        <v/>
      </c>
      <c r="M207" s="45">
        <f>IFERROR(__xludf.DUMMYFUNCTION("""COMPUTED_VALUE"""),143)</f>
        <v/>
      </c>
      <c r="N207" s="45">
        <f>IFERROR(__xludf.DUMMYFUNCTION("""COMPUTED_VALUE"""),33.539)</f>
        <v/>
      </c>
      <c r="O207" s="45">
        <f>IFERROR(__xludf.DUMMYFUNCTION("""COMPUTED_VALUE"""),0.237)</f>
        <v/>
      </c>
      <c r="P207" s="45">
        <f>IFERROR(__xludf.DUMMYFUNCTION("""COMPUTED_VALUE"""),"Colombo, LK")</f>
        <v/>
      </c>
      <c r="Q207" s="45">
        <f>IFERROR(__xludf.DUMMYFUNCTION("""COMPUTED_VALUE"""),"Rotterdam, NL")</f>
        <v/>
      </c>
      <c r="R207" s="44">
        <f>IFERROR(__xludf.DUMMYFUNCTION("""COMPUTED_VALUE"""),45824)</f>
        <v/>
      </c>
      <c r="S207" s="44">
        <f>IFERROR(__xludf.DUMMYFUNCTION("""COMPUTED_VALUE"""),45878)</f>
        <v/>
      </c>
      <c r="T207" s="45">
        <f>IFERROR(__xludf.DUMMYFUNCTION("""COMPUTED_VALUE"""),"Rotterdam, NL")</f>
        <v/>
      </c>
      <c r="U207" s="45" t="n"/>
      <c r="V207" s="45" t="n"/>
      <c r="W207" s="45" t="n"/>
      <c r="X207" s="45" t="n"/>
      <c r="Y207" s="46">
        <f>IFERROR(__xludf.DUMMYFUNCTION("""COMPUTED_VALUE"""),45831)</f>
        <v/>
      </c>
      <c r="Z207" s="46">
        <f>IFERROR(__xludf.DUMMYFUNCTION("""COMPUTED_VALUE"""),45852)</f>
        <v/>
      </c>
      <c r="AA207" s="46">
        <f>IFERROR(__xludf.DUMMYFUNCTION("""COMPUTED_VALUE"""),45859)</f>
        <v/>
      </c>
      <c r="AB207" s="45">
        <f>IFERROR(__xludf.DUMMYFUNCTION("""COMPUTED_VALUE"""),"Conradweg 26")</f>
        <v/>
      </c>
      <c r="AC207" s="45" t="n"/>
      <c r="AD207" s="45">
        <f>IFERROR(__xludf.DUMMYFUNCTION("""COMPUTED_VALUE"""),"OCEAN")</f>
        <v/>
      </c>
      <c r="AE207" s="45">
        <f>IFERROR(__xludf.DUMMYFUNCTION("""COMPUTED_VALUE"""),"N")</f>
        <v/>
      </c>
      <c r="AF207" s="45" t="n"/>
      <c r="AG207" s="49">
        <f>IFERROR(__xludf.DUMMYFUNCTION("IFNA(vlookup(H207,IMPORTRANGE(""1vUGwO1n0QQGx9kKbO0_M5gmuhXZ6-LaxQxgrmJnzgP0"",""'TP# look up'!A:C""),3,0),"""")"),"")</f>
        <v/>
      </c>
      <c r="AH207" s="49">
        <f>LEFT(J207,2)</f>
        <v/>
      </c>
    </row>
    <row r="208" ht="12.75" customHeight="1">
      <c r="A208" s="45">
        <f>IFERROR(__xludf.DUMMYFUNCTION("""COMPUTED_VALUE"""),"Colombo")</f>
        <v/>
      </c>
      <c r="B208" s="45" t="n"/>
      <c r="C208" s="45">
        <f>IFERROR(__xludf.DUMMYFUNCTION("""COMPUTED_VALUE"""),3254120)</f>
        <v/>
      </c>
      <c r="D208" s="45" t="n"/>
      <c r="E208" s="45">
        <f>IFERROR(__xludf.DUMMYFUNCTION("""COMPUTED_VALUE"""),"CFS")</f>
        <v/>
      </c>
      <c r="F208" s="45">
        <f>IFERROR(__xludf.DUMMYFUNCTION("""COMPUTED_VALUE"""),"MAS AMITY PTE LTD")</f>
        <v/>
      </c>
      <c r="G208" s="45">
        <f>IFERROR(__xludf.DUMMYFUNCTION("""COMPUTED_VALUE"""),"MAS Active(Pvt) Ltd – CONTOURLINE")</f>
        <v/>
      </c>
      <c r="H208" s="43">
        <f>IFERROR(__xludf.DUMMYFUNCTION("""COMPUTED_VALUE"""),454770290857)</f>
        <v/>
      </c>
      <c r="I208" s="45">
        <f>IFERROR(__xludf.DUMMYFUNCTION("""COMPUTED_VALUE"""),19939870)</f>
        <v/>
      </c>
      <c r="J208" s="45">
        <f>IFERROR(__xludf.DUMMYFUNCTION("""COMPUTED_VALUE"""),"LW7DPES")</f>
        <v/>
      </c>
      <c r="K208" s="45">
        <f>IFERROR(__xludf.DUMMYFUNCTION("""COMPUTED_VALUE"""),"LW7DPES-049106")</f>
        <v/>
      </c>
      <c r="L208" s="45">
        <f>IFERROR(__xludf.DUMMYFUNCTION("""COMPUTED_VALUE"""),1)</f>
        <v/>
      </c>
      <c r="M208" s="45">
        <f>IFERROR(__xludf.DUMMYFUNCTION("""COMPUTED_VALUE"""),32)</f>
        <v/>
      </c>
      <c r="N208" s="45">
        <f>IFERROR(__xludf.DUMMYFUNCTION("""COMPUTED_VALUE"""),5.461)</f>
        <v/>
      </c>
      <c r="O208" s="45">
        <f>IFERROR(__xludf.DUMMYFUNCTION("""COMPUTED_VALUE"""),0.039)</f>
        <v/>
      </c>
      <c r="P208" s="45">
        <f>IFERROR(__xludf.DUMMYFUNCTION("""COMPUTED_VALUE"""),"Colombo, LK")</f>
        <v/>
      </c>
      <c r="Q208" s="45">
        <f>IFERROR(__xludf.DUMMYFUNCTION("""COMPUTED_VALUE"""),"Rotterdam, NL")</f>
        <v/>
      </c>
      <c r="R208" s="44">
        <f>IFERROR(__xludf.DUMMYFUNCTION("""COMPUTED_VALUE"""),45824)</f>
        <v/>
      </c>
      <c r="S208" s="44">
        <f>IFERROR(__xludf.DUMMYFUNCTION("""COMPUTED_VALUE"""),45878)</f>
        <v/>
      </c>
      <c r="T208" s="45">
        <f>IFERROR(__xludf.DUMMYFUNCTION("""COMPUTED_VALUE"""),"Rotterdam, NL")</f>
        <v/>
      </c>
      <c r="U208" s="45" t="n"/>
      <c r="V208" s="45" t="n"/>
      <c r="W208" s="45" t="n"/>
      <c r="X208" s="45" t="n"/>
      <c r="Y208" s="46">
        <f>IFERROR(__xludf.DUMMYFUNCTION("""COMPUTED_VALUE"""),45831)</f>
        <v/>
      </c>
      <c r="Z208" s="46">
        <f>IFERROR(__xludf.DUMMYFUNCTION("""COMPUTED_VALUE"""),45852)</f>
        <v/>
      </c>
      <c r="AA208" s="46">
        <f>IFERROR(__xludf.DUMMYFUNCTION("""COMPUTED_VALUE"""),45859)</f>
        <v/>
      </c>
      <c r="AB208" s="45">
        <f>IFERROR(__xludf.DUMMYFUNCTION("""COMPUTED_VALUE"""),"Conradweg 26")</f>
        <v/>
      </c>
      <c r="AC208" s="45" t="n"/>
      <c r="AD208" s="45">
        <f>IFERROR(__xludf.DUMMYFUNCTION("""COMPUTED_VALUE"""),"OCEAN")</f>
        <v/>
      </c>
      <c r="AE208" s="45">
        <f>IFERROR(__xludf.DUMMYFUNCTION("""COMPUTED_VALUE"""),"N")</f>
        <v/>
      </c>
      <c r="AF208" s="45" t="n"/>
      <c r="AG208" s="49">
        <f>IFERROR(__xludf.DUMMYFUNCTION("IFNA(vlookup(H208,IMPORTRANGE(""1vUGwO1n0QQGx9kKbO0_M5gmuhXZ6-LaxQxgrmJnzgP0"",""'TP# look up'!A:C""),3,0),"""")"),"")</f>
        <v/>
      </c>
      <c r="AH208" s="49">
        <f>LEFT(J208,2)</f>
        <v/>
      </c>
    </row>
    <row r="209" ht="12.75" customHeight="1">
      <c r="A209" s="45">
        <f>IFERROR(__xludf.DUMMYFUNCTION("""COMPUTED_VALUE"""),"Colombo")</f>
        <v/>
      </c>
      <c r="B209" s="45" t="n"/>
      <c r="C209" s="45">
        <f>IFERROR(__xludf.DUMMYFUNCTION("""COMPUTED_VALUE"""),3254120)</f>
        <v/>
      </c>
      <c r="D209" s="45" t="n"/>
      <c r="E209" s="45">
        <f>IFERROR(__xludf.DUMMYFUNCTION("""COMPUTED_VALUE"""),"CFS")</f>
        <v/>
      </c>
      <c r="F209" s="45">
        <f>IFERROR(__xludf.DUMMYFUNCTION("""COMPUTED_VALUE"""),"MAS AMITY PTE LTD")</f>
        <v/>
      </c>
      <c r="G209" s="45">
        <f>IFERROR(__xludf.DUMMYFUNCTION("""COMPUTED_VALUE"""),"MAS Active(Pvt) Ltd – CONTOURLINE")</f>
        <v/>
      </c>
      <c r="H209" s="43">
        <f>IFERROR(__xludf.DUMMYFUNCTION("""COMPUTED_VALUE"""),454770290915)</f>
        <v/>
      </c>
      <c r="I209" s="45">
        <f>IFERROR(__xludf.DUMMYFUNCTION("""COMPUTED_VALUE"""),19939871)</f>
        <v/>
      </c>
      <c r="J209" s="45">
        <f>IFERROR(__xludf.DUMMYFUNCTION("""COMPUTED_VALUE"""),"LW2EB3S")</f>
        <v/>
      </c>
      <c r="K209" s="45">
        <f>IFERROR(__xludf.DUMMYFUNCTION("""COMPUTED_VALUE"""),"LW2EB3S-038337")</f>
        <v/>
      </c>
      <c r="L209" s="45">
        <f>IFERROR(__xludf.DUMMYFUNCTION("""COMPUTED_VALUE"""),1)</f>
        <v/>
      </c>
      <c r="M209" s="45">
        <f>IFERROR(__xludf.DUMMYFUNCTION("""COMPUTED_VALUE"""),53)</f>
        <v/>
      </c>
      <c r="N209" s="45">
        <f>IFERROR(__xludf.DUMMYFUNCTION("""COMPUTED_VALUE"""),6.953)</f>
        <v/>
      </c>
      <c r="O209" s="45">
        <f>IFERROR(__xludf.DUMMYFUNCTION("""COMPUTED_VALUE"""),0.079)</f>
        <v/>
      </c>
      <c r="P209" s="45">
        <f>IFERROR(__xludf.DUMMYFUNCTION("""COMPUTED_VALUE"""),"Colombo, LK")</f>
        <v/>
      </c>
      <c r="Q209" s="45">
        <f>IFERROR(__xludf.DUMMYFUNCTION("""COMPUTED_VALUE"""),"Rotterdam, NL")</f>
        <v/>
      </c>
      <c r="R209" s="44">
        <f>IFERROR(__xludf.DUMMYFUNCTION("""COMPUTED_VALUE"""),45824)</f>
        <v/>
      </c>
      <c r="S209" s="44">
        <f>IFERROR(__xludf.DUMMYFUNCTION("""COMPUTED_VALUE"""),45878)</f>
        <v/>
      </c>
      <c r="T209" s="45">
        <f>IFERROR(__xludf.DUMMYFUNCTION("""COMPUTED_VALUE"""),"Rotterdam, NL")</f>
        <v/>
      </c>
      <c r="U209" s="45" t="n"/>
      <c r="V209" s="45" t="n"/>
      <c r="W209" s="45" t="n"/>
      <c r="X209" s="45" t="n"/>
      <c r="Y209" s="46">
        <f>IFERROR(__xludf.DUMMYFUNCTION("""COMPUTED_VALUE"""),45831)</f>
        <v/>
      </c>
      <c r="Z209" s="46">
        <f>IFERROR(__xludf.DUMMYFUNCTION("""COMPUTED_VALUE"""),45852)</f>
        <v/>
      </c>
      <c r="AA209" s="46">
        <f>IFERROR(__xludf.DUMMYFUNCTION("""COMPUTED_VALUE"""),45859)</f>
        <v/>
      </c>
      <c r="AB209" s="45">
        <f>IFERROR(__xludf.DUMMYFUNCTION("""COMPUTED_VALUE"""),"Conradweg 26")</f>
        <v/>
      </c>
      <c r="AC209" s="45" t="n"/>
      <c r="AD209" s="45">
        <f>IFERROR(__xludf.DUMMYFUNCTION("""COMPUTED_VALUE"""),"OCEAN")</f>
        <v/>
      </c>
      <c r="AE209" s="45">
        <f>IFERROR(__xludf.DUMMYFUNCTION("""COMPUTED_VALUE"""),"N")</f>
        <v/>
      </c>
      <c r="AF209" s="45" t="n"/>
      <c r="AG209" s="49">
        <f>IFERROR(__xludf.DUMMYFUNCTION("IFNA(vlookup(H209,IMPORTRANGE(""1vUGwO1n0QQGx9kKbO0_M5gmuhXZ6-LaxQxgrmJnzgP0"",""'TP# look up'!A:C""),3,0),"""")"),"")</f>
        <v/>
      </c>
      <c r="AH209" s="49">
        <f>LEFT(J209,2)</f>
        <v/>
      </c>
    </row>
    <row r="210" ht="12.75" customHeight="1">
      <c r="A210" s="45">
        <f>IFERROR(__xludf.DUMMYFUNCTION("""COMPUTED_VALUE"""),"Colombo")</f>
        <v/>
      </c>
      <c r="B210" s="45" t="n"/>
      <c r="C210" s="45">
        <f>IFERROR(__xludf.DUMMYFUNCTION("""COMPUTED_VALUE"""),3254120)</f>
        <v/>
      </c>
      <c r="D210" s="45" t="n"/>
      <c r="E210" s="45">
        <f>IFERROR(__xludf.DUMMYFUNCTION("""COMPUTED_VALUE"""),"CFS")</f>
        <v/>
      </c>
      <c r="F210" s="45">
        <f>IFERROR(__xludf.DUMMYFUNCTION("""COMPUTED_VALUE"""),"MAS AMITY PTE LTD")</f>
        <v/>
      </c>
      <c r="G210" s="45">
        <f>IFERROR(__xludf.DUMMYFUNCTION("""COMPUTED_VALUE"""),"MAS Active(Pvt) Ltd – CONTOURLINE")</f>
        <v/>
      </c>
      <c r="H210" s="43">
        <f>IFERROR(__xludf.DUMMYFUNCTION("""COMPUTED_VALUE"""),454772994775)</f>
        <v/>
      </c>
      <c r="I210" s="45">
        <f>IFERROR(__xludf.DUMMYFUNCTION("""COMPUTED_VALUE"""),19926259)</f>
        <v/>
      </c>
      <c r="J210" s="45">
        <f>IFERROR(__xludf.DUMMYFUNCTION("""COMPUTED_VALUE"""),"LW2EB3S")</f>
        <v/>
      </c>
      <c r="K210" s="45">
        <f>IFERROR(__xludf.DUMMYFUNCTION("""COMPUTED_VALUE"""),"LW2EB3S-071200")</f>
        <v/>
      </c>
      <c r="L210" s="45">
        <f>IFERROR(__xludf.DUMMYFUNCTION("""COMPUTED_VALUE"""),5)</f>
        <v/>
      </c>
      <c r="M210" s="45">
        <f>IFERROR(__xludf.DUMMYFUNCTION("""COMPUTED_VALUE"""),399)</f>
        <v/>
      </c>
      <c r="N210" s="45">
        <f>IFERROR(__xludf.DUMMYFUNCTION("""COMPUTED_VALUE"""),49.519)</f>
        <v/>
      </c>
      <c r="O210" s="45">
        <f>IFERROR(__xludf.DUMMYFUNCTION("""COMPUTED_VALUE"""),0.395)</f>
        <v/>
      </c>
      <c r="P210" s="45">
        <f>IFERROR(__xludf.DUMMYFUNCTION("""COMPUTED_VALUE"""),"Colombo, LK")</f>
        <v/>
      </c>
      <c r="Q210" s="45">
        <f>IFERROR(__xludf.DUMMYFUNCTION("""COMPUTED_VALUE"""),"Rotterdam, NL")</f>
        <v/>
      </c>
      <c r="R210" s="44">
        <f>IFERROR(__xludf.DUMMYFUNCTION("""COMPUTED_VALUE"""),45824)</f>
        <v/>
      </c>
      <c r="S210" s="44">
        <f>IFERROR(__xludf.DUMMYFUNCTION("""COMPUTED_VALUE"""),45878)</f>
        <v/>
      </c>
      <c r="T210" s="45">
        <f>IFERROR(__xludf.DUMMYFUNCTION("""COMPUTED_VALUE"""),"Rotterdam, NL")</f>
        <v/>
      </c>
      <c r="U210" s="45" t="n"/>
      <c r="V210" s="45" t="n"/>
      <c r="W210" s="45" t="n"/>
      <c r="X210" s="45" t="n"/>
      <c r="Y210" s="46">
        <f>IFERROR(__xludf.DUMMYFUNCTION("""COMPUTED_VALUE"""),45831)</f>
        <v/>
      </c>
      <c r="Z210" s="46">
        <f>IFERROR(__xludf.DUMMYFUNCTION("""COMPUTED_VALUE"""),45852)</f>
        <v/>
      </c>
      <c r="AA210" s="46">
        <f>IFERROR(__xludf.DUMMYFUNCTION("""COMPUTED_VALUE"""),45859)</f>
        <v/>
      </c>
      <c r="AB210" s="45">
        <f>IFERROR(__xludf.DUMMYFUNCTION("""COMPUTED_VALUE"""),"Conradweg 26")</f>
        <v/>
      </c>
      <c r="AC210" s="45" t="n"/>
      <c r="AD210" s="45">
        <f>IFERROR(__xludf.DUMMYFUNCTION("""COMPUTED_VALUE"""),"OCEAN")</f>
        <v/>
      </c>
      <c r="AE210" s="45">
        <f>IFERROR(__xludf.DUMMYFUNCTION("""COMPUTED_VALUE"""),"N")</f>
        <v/>
      </c>
      <c r="AF210" s="45" t="n"/>
      <c r="AG210" s="49">
        <f>IFERROR(__xludf.DUMMYFUNCTION("IFNA(vlookup(H210,IMPORTRANGE(""1vUGwO1n0QQGx9kKbO0_M5gmuhXZ6-LaxQxgrmJnzgP0"",""'TP# look up'!A:C""),3,0),"""")"),"")</f>
        <v/>
      </c>
      <c r="AH210" s="49">
        <f>LEFT(J210,2)</f>
        <v/>
      </c>
    </row>
    <row r="211" ht="12.75" customHeight="1">
      <c r="A211" s="45">
        <f>IFERROR(__xludf.DUMMYFUNCTION("""COMPUTED_VALUE"""),"Colombo")</f>
        <v/>
      </c>
      <c r="B211" s="45" t="n"/>
      <c r="C211" s="45">
        <f>IFERROR(__xludf.DUMMYFUNCTION("""COMPUTED_VALUE"""),3254120)</f>
        <v/>
      </c>
      <c r="D211" s="45" t="n"/>
      <c r="E211" s="45">
        <f>IFERROR(__xludf.DUMMYFUNCTION("""COMPUTED_VALUE"""),"CFS")</f>
        <v/>
      </c>
      <c r="F211" s="45">
        <f>IFERROR(__xludf.DUMMYFUNCTION("""COMPUTED_VALUE"""),"MAS AMITY PTE LTD")</f>
        <v/>
      </c>
      <c r="G211" s="45">
        <f>IFERROR(__xludf.DUMMYFUNCTION("""COMPUTED_VALUE"""),"MAS Active(Pvt) Ltd – CONTOURLINE")</f>
        <v/>
      </c>
      <c r="H211" s="43">
        <f>IFERROR(__xludf.DUMMYFUNCTION("""COMPUTED_VALUE"""),454773466988)</f>
        <v/>
      </c>
      <c r="I211" s="45">
        <f>IFERROR(__xludf.DUMMYFUNCTION("""COMPUTED_VALUE"""),19920958)</f>
        <v/>
      </c>
      <c r="J211" s="45">
        <f>IFERROR(__xludf.DUMMYFUNCTION("""COMPUTED_VALUE"""),"LW5EYKS")</f>
        <v/>
      </c>
      <c r="K211" s="45">
        <f>IFERROR(__xludf.DUMMYFUNCTION("""COMPUTED_VALUE"""),"LW5EYKS-043635")</f>
        <v/>
      </c>
      <c r="L211" s="45">
        <f>IFERROR(__xludf.DUMMYFUNCTION("""COMPUTED_VALUE"""),1)</f>
        <v/>
      </c>
      <c r="M211" s="45">
        <f>IFERROR(__xludf.DUMMYFUNCTION("""COMPUTED_VALUE"""),44)</f>
        <v/>
      </c>
      <c r="N211" s="45">
        <f>IFERROR(__xludf.DUMMYFUNCTION("""COMPUTED_VALUE"""),10.491)</f>
        <v/>
      </c>
      <c r="O211" s="45">
        <f>IFERROR(__xludf.DUMMYFUNCTION("""COMPUTED_VALUE"""),0.079)</f>
        <v/>
      </c>
      <c r="P211" s="45">
        <f>IFERROR(__xludf.DUMMYFUNCTION("""COMPUTED_VALUE"""),"Colombo, LK")</f>
        <v/>
      </c>
      <c r="Q211" s="45">
        <f>IFERROR(__xludf.DUMMYFUNCTION("""COMPUTED_VALUE"""),"Rotterdam, NL")</f>
        <v/>
      </c>
      <c r="R211" s="44">
        <f>IFERROR(__xludf.DUMMYFUNCTION("""COMPUTED_VALUE"""),45824)</f>
        <v/>
      </c>
      <c r="S211" s="44">
        <f>IFERROR(__xludf.DUMMYFUNCTION("""COMPUTED_VALUE"""),45878)</f>
        <v/>
      </c>
      <c r="T211" s="45">
        <f>IFERROR(__xludf.DUMMYFUNCTION("""COMPUTED_VALUE"""),"Rotterdam, NL")</f>
        <v/>
      </c>
      <c r="U211" s="45" t="n"/>
      <c r="V211" s="45" t="n"/>
      <c r="W211" s="45" t="n"/>
      <c r="X211" s="45" t="n"/>
      <c r="Y211" s="46">
        <f>IFERROR(__xludf.DUMMYFUNCTION("""COMPUTED_VALUE"""),45831)</f>
        <v/>
      </c>
      <c r="Z211" s="46">
        <f>IFERROR(__xludf.DUMMYFUNCTION("""COMPUTED_VALUE"""),45852)</f>
        <v/>
      </c>
      <c r="AA211" s="46">
        <f>IFERROR(__xludf.DUMMYFUNCTION("""COMPUTED_VALUE"""),45859)</f>
        <v/>
      </c>
      <c r="AB211" s="45">
        <f>IFERROR(__xludf.DUMMYFUNCTION("""COMPUTED_VALUE"""),"Conradweg 26")</f>
        <v/>
      </c>
      <c r="AC211" s="45" t="n"/>
      <c r="AD211" s="45">
        <f>IFERROR(__xludf.DUMMYFUNCTION("""COMPUTED_VALUE"""),"OCEAN")</f>
        <v/>
      </c>
      <c r="AE211" s="45">
        <f>IFERROR(__xludf.DUMMYFUNCTION("""COMPUTED_VALUE"""),"N")</f>
        <v/>
      </c>
      <c r="AF211" s="45" t="n"/>
      <c r="AG211" s="49">
        <f>IFERROR(__xludf.DUMMYFUNCTION("IFNA(vlookup(H211,IMPORTRANGE(""1vUGwO1n0QQGx9kKbO0_M5gmuhXZ6-LaxQxgrmJnzgP0"",""'TP# look up'!A:C""),3,0),"""")"),"")</f>
        <v/>
      </c>
      <c r="AH211" s="49">
        <f>LEFT(J211,2)</f>
        <v/>
      </c>
    </row>
    <row r="212" ht="12.75" customHeight="1">
      <c r="A212" s="45">
        <f>IFERROR(__xludf.DUMMYFUNCTION("""COMPUTED_VALUE"""),"Colombo")</f>
        <v/>
      </c>
      <c r="B212" s="45" t="n"/>
      <c r="C212" s="45">
        <f>IFERROR(__xludf.DUMMYFUNCTION("""COMPUTED_VALUE"""),3254120)</f>
        <v/>
      </c>
      <c r="D212" s="45" t="n"/>
      <c r="E212" s="45">
        <f>IFERROR(__xludf.DUMMYFUNCTION("""COMPUTED_VALUE"""),"CFS")</f>
        <v/>
      </c>
      <c r="F212" s="45">
        <f>IFERROR(__xludf.DUMMYFUNCTION("""COMPUTED_VALUE"""),"MAS AMITY PTE LTD")</f>
        <v/>
      </c>
      <c r="G212" s="45">
        <f>IFERROR(__xludf.DUMMYFUNCTION("""COMPUTED_VALUE"""),"MAS Active(Pvt) Ltd – CONTOURLINE")</f>
        <v/>
      </c>
      <c r="H212" s="43">
        <f>IFERROR(__xludf.DUMMYFUNCTION("""COMPUTED_VALUE"""),454773467131)</f>
        <v/>
      </c>
      <c r="I212" s="45">
        <f>IFERROR(__xludf.DUMMYFUNCTION("""COMPUTED_VALUE"""),19920972)</f>
        <v/>
      </c>
      <c r="J212" s="45">
        <f>IFERROR(__xludf.DUMMYFUNCTION("""COMPUTED_VALUE"""),"LW5FARS")</f>
        <v/>
      </c>
      <c r="K212" s="45">
        <f>IFERROR(__xludf.DUMMYFUNCTION("""COMPUTED_VALUE"""),"LW5FARS-031382")</f>
        <v/>
      </c>
      <c r="L212" s="45">
        <f>IFERROR(__xludf.DUMMYFUNCTION("""COMPUTED_VALUE"""),3)</f>
        <v/>
      </c>
      <c r="M212" s="45">
        <f>IFERROR(__xludf.DUMMYFUNCTION("""COMPUTED_VALUE"""),134)</f>
        <v/>
      </c>
      <c r="N212" s="45">
        <f>IFERROR(__xludf.DUMMYFUNCTION("""COMPUTED_VALUE"""),28.79)</f>
        <v/>
      </c>
      <c r="O212" s="45">
        <f>IFERROR(__xludf.DUMMYFUNCTION("""COMPUTED_VALUE"""),0.197)</f>
        <v/>
      </c>
      <c r="P212" s="45">
        <f>IFERROR(__xludf.DUMMYFUNCTION("""COMPUTED_VALUE"""),"Colombo, LK")</f>
        <v/>
      </c>
      <c r="Q212" s="45">
        <f>IFERROR(__xludf.DUMMYFUNCTION("""COMPUTED_VALUE"""),"Rotterdam, NL")</f>
        <v/>
      </c>
      <c r="R212" s="44">
        <f>IFERROR(__xludf.DUMMYFUNCTION("""COMPUTED_VALUE"""),45824)</f>
        <v/>
      </c>
      <c r="S212" s="44">
        <f>IFERROR(__xludf.DUMMYFUNCTION("""COMPUTED_VALUE"""),45878)</f>
        <v/>
      </c>
      <c r="T212" s="45">
        <f>IFERROR(__xludf.DUMMYFUNCTION("""COMPUTED_VALUE"""),"Rotterdam, NL")</f>
        <v/>
      </c>
      <c r="U212" s="45" t="n"/>
      <c r="V212" s="45" t="n"/>
      <c r="W212" s="45" t="n"/>
      <c r="X212" s="45" t="n"/>
      <c r="Y212" s="46">
        <f>IFERROR(__xludf.DUMMYFUNCTION("""COMPUTED_VALUE"""),45831)</f>
        <v/>
      </c>
      <c r="Z212" s="46">
        <f>IFERROR(__xludf.DUMMYFUNCTION("""COMPUTED_VALUE"""),45852)</f>
        <v/>
      </c>
      <c r="AA212" s="46">
        <f>IFERROR(__xludf.DUMMYFUNCTION("""COMPUTED_VALUE"""),45859)</f>
        <v/>
      </c>
      <c r="AB212" s="45">
        <f>IFERROR(__xludf.DUMMYFUNCTION("""COMPUTED_VALUE"""),"Conradweg 26")</f>
        <v/>
      </c>
      <c r="AC212" s="45" t="n"/>
      <c r="AD212" s="45">
        <f>IFERROR(__xludf.DUMMYFUNCTION("""COMPUTED_VALUE"""),"OCEAN")</f>
        <v/>
      </c>
      <c r="AE212" s="45">
        <f>IFERROR(__xludf.DUMMYFUNCTION("""COMPUTED_VALUE"""),"N")</f>
        <v/>
      </c>
      <c r="AF212" s="45" t="n"/>
      <c r="AG212" s="49">
        <f>IFERROR(__xludf.DUMMYFUNCTION("IFNA(vlookup(H212,IMPORTRANGE(""1vUGwO1n0QQGx9kKbO0_M5gmuhXZ6-LaxQxgrmJnzgP0"",""'TP# look up'!A:C""),3,0),"""")"),"")</f>
        <v/>
      </c>
      <c r="AH212" s="49">
        <f>LEFT(J212,2)</f>
        <v/>
      </c>
    </row>
    <row r="213" ht="12.75" customHeight="1">
      <c r="A213" s="45">
        <f>IFERROR(__xludf.DUMMYFUNCTION("""COMPUTED_VALUE"""),"Colombo")</f>
        <v/>
      </c>
      <c r="B213" s="45" t="n"/>
      <c r="C213" s="45">
        <f>IFERROR(__xludf.DUMMYFUNCTION("""COMPUTED_VALUE"""),3254120)</f>
        <v/>
      </c>
      <c r="D213" s="45" t="n"/>
      <c r="E213" s="45">
        <f>IFERROR(__xludf.DUMMYFUNCTION("""COMPUTED_VALUE"""),"CFS")</f>
        <v/>
      </c>
      <c r="F213" s="45">
        <f>IFERROR(__xludf.DUMMYFUNCTION("""COMPUTED_VALUE"""),"MAS AMITY PTE LTD")</f>
        <v/>
      </c>
      <c r="G213" s="45">
        <f>IFERROR(__xludf.DUMMYFUNCTION("""COMPUTED_VALUE"""),"MAS Active(Pvt) Ltd – CONTOURLINE")</f>
        <v/>
      </c>
      <c r="H213" s="43">
        <f>IFERROR(__xludf.DUMMYFUNCTION("""COMPUTED_VALUE"""),454773467698)</f>
        <v/>
      </c>
      <c r="I213" s="45">
        <f>IFERROR(__xludf.DUMMYFUNCTION("""COMPUTED_VALUE"""),19939856)</f>
        <v/>
      </c>
      <c r="J213" s="45">
        <f>IFERROR(__xludf.DUMMYFUNCTION("""COMPUTED_VALUE"""),"LW1DRNS")</f>
        <v/>
      </c>
      <c r="K213" s="45">
        <f>IFERROR(__xludf.DUMMYFUNCTION("""COMPUTED_VALUE"""),"LW1DRNS-038337")</f>
        <v/>
      </c>
      <c r="L213" s="45">
        <f>IFERROR(__xludf.DUMMYFUNCTION("""COMPUTED_VALUE"""),1)</f>
        <v/>
      </c>
      <c r="M213" s="45">
        <f>IFERROR(__xludf.DUMMYFUNCTION("""COMPUTED_VALUE"""),34)</f>
        <v/>
      </c>
      <c r="N213" s="45">
        <f>IFERROR(__xludf.DUMMYFUNCTION("""COMPUTED_VALUE"""),4.555)</f>
        <v/>
      </c>
      <c r="O213" s="45">
        <f>IFERROR(__xludf.DUMMYFUNCTION("""COMPUTED_VALUE"""),0.039)</f>
        <v/>
      </c>
      <c r="P213" s="45">
        <f>IFERROR(__xludf.DUMMYFUNCTION("""COMPUTED_VALUE"""),"Colombo, LK")</f>
        <v/>
      </c>
      <c r="Q213" s="45">
        <f>IFERROR(__xludf.DUMMYFUNCTION("""COMPUTED_VALUE"""),"Rotterdam, NL")</f>
        <v/>
      </c>
      <c r="R213" s="44">
        <f>IFERROR(__xludf.DUMMYFUNCTION("""COMPUTED_VALUE"""),45824)</f>
        <v/>
      </c>
      <c r="S213" s="44">
        <f>IFERROR(__xludf.DUMMYFUNCTION("""COMPUTED_VALUE"""),45878)</f>
        <v/>
      </c>
      <c r="T213" s="45">
        <f>IFERROR(__xludf.DUMMYFUNCTION("""COMPUTED_VALUE"""),"Rotterdam, NL")</f>
        <v/>
      </c>
      <c r="U213" s="45" t="n"/>
      <c r="V213" s="45" t="n"/>
      <c r="W213" s="45" t="n"/>
      <c r="X213" s="45" t="n"/>
      <c r="Y213" s="46">
        <f>IFERROR(__xludf.DUMMYFUNCTION("""COMPUTED_VALUE"""),45831)</f>
        <v/>
      </c>
      <c r="Z213" s="46">
        <f>IFERROR(__xludf.DUMMYFUNCTION("""COMPUTED_VALUE"""),45852)</f>
        <v/>
      </c>
      <c r="AA213" s="46">
        <f>IFERROR(__xludf.DUMMYFUNCTION("""COMPUTED_VALUE"""),45859)</f>
        <v/>
      </c>
      <c r="AB213" s="45">
        <f>IFERROR(__xludf.DUMMYFUNCTION("""COMPUTED_VALUE"""),"Conradweg 26")</f>
        <v/>
      </c>
      <c r="AC213" s="45" t="n"/>
      <c r="AD213" s="45">
        <f>IFERROR(__xludf.DUMMYFUNCTION("""COMPUTED_VALUE"""),"OCEAN")</f>
        <v/>
      </c>
      <c r="AE213" s="45">
        <f>IFERROR(__xludf.DUMMYFUNCTION("""COMPUTED_VALUE"""),"N")</f>
        <v/>
      </c>
      <c r="AF213" s="45" t="n"/>
      <c r="AG213" s="49">
        <f>IFERROR(__xludf.DUMMYFUNCTION("IFNA(vlookup(H213,IMPORTRANGE(""1vUGwO1n0QQGx9kKbO0_M5gmuhXZ6-LaxQxgrmJnzgP0"",""'TP# look up'!A:C""),3,0),"""")"),"")</f>
        <v/>
      </c>
      <c r="AH213" s="49">
        <f>LEFT(J213,2)</f>
        <v/>
      </c>
    </row>
    <row r="214" ht="12.75" customHeight="1">
      <c r="A214" s="45">
        <f>IFERROR(__xludf.DUMMYFUNCTION("""COMPUTED_VALUE"""),"Colombo")</f>
        <v/>
      </c>
      <c r="B214" s="45" t="n"/>
      <c r="C214" s="45">
        <f>IFERROR(__xludf.DUMMYFUNCTION("""COMPUTED_VALUE"""),3254120)</f>
        <v/>
      </c>
      <c r="D214" s="45" t="n"/>
      <c r="E214" s="45">
        <f>IFERROR(__xludf.DUMMYFUNCTION("""COMPUTED_VALUE"""),"CFS")</f>
        <v/>
      </c>
      <c r="F214" s="45">
        <f>IFERROR(__xludf.DUMMYFUNCTION("""COMPUTED_VALUE"""),"MAS AMITY PTE LTD")</f>
        <v/>
      </c>
      <c r="G214" s="45">
        <f>IFERROR(__xludf.DUMMYFUNCTION("""COMPUTED_VALUE"""),"MAS Active(Pvt) Ltd – CONTOURLINE")</f>
        <v/>
      </c>
      <c r="H214" s="43">
        <f>IFERROR(__xludf.DUMMYFUNCTION("""COMPUTED_VALUE"""),454774400782)</f>
        <v/>
      </c>
      <c r="I214" s="45">
        <f>IFERROR(__xludf.DUMMYFUNCTION("""COMPUTED_VALUE"""),19920956)</f>
        <v/>
      </c>
      <c r="J214" s="45">
        <f>IFERROR(__xludf.DUMMYFUNCTION("""COMPUTED_VALUE"""),"LW5EYKS")</f>
        <v/>
      </c>
      <c r="K214" s="45">
        <f>IFERROR(__xludf.DUMMYFUNCTION("""COMPUTED_VALUE"""),"LW5EYKS-043635")</f>
        <v/>
      </c>
      <c r="L214" s="45">
        <f>IFERROR(__xludf.DUMMYFUNCTION("""COMPUTED_VALUE"""),7)</f>
        <v/>
      </c>
      <c r="M214" s="45">
        <f>IFERROR(__xludf.DUMMYFUNCTION("""COMPUTED_VALUE"""),315)</f>
        <v/>
      </c>
      <c r="N214" s="45">
        <f>IFERROR(__xludf.DUMMYFUNCTION("""COMPUTED_VALUE"""),73.433)</f>
        <v/>
      </c>
      <c r="O214" s="45">
        <f>IFERROR(__xludf.DUMMYFUNCTION("""COMPUTED_VALUE"""),0.434)</f>
        <v/>
      </c>
      <c r="P214" s="45">
        <f>IFERROR(__xludf.DUMMYFUNCTION("""COMPUTED_VALUE"""),"Colombo, LK")</f>
        <v/>
      </c>
      <c r="Q214" s="45">
        <f>IFERROR(__xludf.DUMMYFUNCTION("""COMPUTED_VALUE"""),"Rotterdam, NL")</f>
        <v/>
      </c>
      <c r="R214" s="44">
        <f>IFERROR(__xludf.DUMMYFUNCTION("""COMPUTED_VALUE"""),45824)</f>
        <v/>
      </c>
      <c r="S214" s="44">
        <f>IFERROR(__xludf.DUMMYFUNCTION("""COMPUTED_VALUE"""),45878)</f>
        <v/>
      </c>
      <c r="T214" s="45">
        <f>IFERROR(__xludf.DUMMYFUNCTION("""COMPUTED_VALUE"""),"Rotterdam, NL")</f>
        <v/>
      </c>
      <c r="U214" s="45" t="n"/>
      <c r="V214" s="45" t="n"/>
      <c r="W214" s="45" t="n"/>
      <c r="X214" s="45" t="n"/>
      <c r="Y214" s="46">
        <f>IFERROR(__xludf.DUMMYFUNCTION("""COMPUTED_VALUE"""),45831)</f>
        <v/>
      </c>
      <c r="Z214" s="46">
        <f>IFERROR(__xludf.DUMMYFUNCTION("""COMPUTED_VALUE"""),45852)</f>
        <v/>
      </c>
      <c r="AA214" s="46">
        <f>IFERROR(__xludf.DUMMYFUNCTION("""COMPUTED_VALUE"""),45859)</f>
        <v/>
      </c>
      <c r="AB214" s="45">
        <f>IFERROR(__xludf.DUMMYFUNCTION("""COMPUTED_VALUE"""),"Conradweg 26")</f>
        <v/>
      </c>
      <c r="AC214" s="45" t="n"/>
      <c r="AD214" s="45">
        <f>IFERROR(__xludf.DUMMYFUNCTION("""COMPUTED_VALUE"""),"OCEAN")</f>
        <v/>
      </c>
      <c r="AE214" s="45">
        <f>IFERROR(__xludf.DUMMYFUNCTION("""COMPUTED_VALUE"""),"N")</f>
        <v/>
      </c>
      <c r="AF214" s="45" t="n"/>
      <c r="AG214" s="49">
        <f>IFERROR(__xludf.DUMMYFUNCTION("IFNA(vlookup(H214,IMPORTRANGE(""1vUGwO1n0QQGx9kKbO0_M5gmuhXZ6-LaxQxgrmJnzgP0"",""'TP# look up'!A:C""),3,0),"""")"),"")</f>
        <v/>
      </c>
      <c r="AH214" s="49">
        <f>LEFT(J214,2)</f>
        <v/>
      </c>
    </row>
    <row r="215" ht="12.75" customHeight="1">
      <c r="A215" s="45">
        <f>IFERROR(__xludf.DUMMYFUNCTION("""COMPUTED_VALUE"""),"Colombo")</f>
        <v/>
      </c>
      <c r="B215" s="45" t="n"/>
      <c r="C215" s="45">
        <f>IFERROR(__xludf.DUMMYFUNCTION("""COMPUTED_VALUE"""),3254120)</f>
        <v/>
      </c>
      <c r="D215" s="45" t="n"/>
      <c r="E215" s="45">
        <f>IFERROR(__xludf.DUMMYFUNCTION("""COMPUTED_VALUE"""),"CFS")</f>
        <v/>
      </c>
      <c r="F215" s="45">
        <f>IFERROR(__xludf.DUMMYFUNCTION("""COMPUTED_VALUE"""),"MAS AMITY PTE LTD")</f>
        <v/>
      </c>
      <c r="G215" s="45">
        <f>IFERROR(__xludf.DUMMYFUNCTION("""COMPUTED_VALUE"""),"MAS Active(Pvt) Ltd – CONTOURLINE")</f>
        <v/>
      </c>
      <c r="H215" s="43">
        <f>IFERROR(__xludf.DUMMYFUNCTION("""COMPUTED_VALUE"""),454774401107)</f>
        <v/>
      </c>
      <c r="I215" s="45">
        <f>IFERROR(__xludf.DUMMYFUNCTION("""COMPUTED_VALUE"""),19921004)</f>
        <v/>
      </c>
      <c r="J215" s="45">
        <f>IFERROR(__xludf.DUMMYFUNCTION("""COMPUTED_VALUE"""),"LW6CLQS")</f>
        <v/>
      </c>
      <c r="K215" s="45">
        <f>IFERROR(__xludf.DUMMYFUNCTION("""COMPUTED_VALUE"""),"LW6CLQS-049106")</f>
        <v/>
      </c>
      <c r="L215" s="45">
        <f>IFERROR(__xludf.DUMMYFUNCTION("""COMPUTED_VALUE"""),1)</f>
        <v/>
      </c>
      <c r="M215" s="45">
        <f>IFERROR(__xludf.DUMMYFUNCTION("""COMPUTED_VALUE"""),58)</f>
        <v/>
      </c>
      <c r="N215" s="45">
        <f>IFERROR(__xludf.DUMMYFUNCTION("""COMPUTED_VALUE"""),12.78)</f>
        <v/>
      </c>
      <c r="O215" s="45">
        <f>IFERROR(__xludf.DUMMYFUNCTION("""COMPUTED_VALUE"""),0.079)</f>
        <v/>
      </c>
      <c r="P215" s="45">
        <f>IFERROR(__xludf.DUMMYFUNCTION("""COMPUTED_VALUE"""),"Colombo, LK")</f>
        <v/>
      </c>
      <c r="Q215" s="45">
        <f>IFERROR(__xludf.DUMMYFUNCTION("""COMPUTED_VALUE"""),"Rotterdam, NL")</f>
        <v/>
      </c>
      <c r="R215" s="44">
        <f>IFERROR(__xludf.DUMMYFUNCTION("""COMPUTED_VALUE"""),45824)</f>
        <v/>
      </c>
      <c r="S215" s="44">
        <f>IFERROR(__xludf.DUMMYFUNCTION("""COMPUTED_VALUE"""),45878)</f>
        <v/>
      </c>
      <c r="T215" s="45">
        <f>IFERROR(__xludf.DUMMYFUNCTION("""COMPUTED_VALUE"""),"Rotterdam, NL")</f>
        <v/>
      </c>
      <c r="U215" s="45" t="n"/>
      <c r="V215" s="45" t="n"/>
      <c r="W215" s="45" t="n"/>
      <c r="X215" s="45" t="n"/>
      <c r="Y215" s="46">
        <f>IFERROR(__xludf.DUMMYFUNCTION("""COMPUTED_VALUE"""),45831)</f>
        <v/>
      </c>
      <c r="Z215" s="46">
        <f>IFERROR(__xludf.DUMMYFUNCTION("""COMPUTED_VALUE"""),45852)</f>
        <v/>
      </c>
      <c r="AA215" s="46">
        <f>IFERROR(__xludf.DUMMYFUNCTION("""COMPUTED_VALUE"""),45859)</f>
        <v/>
      </c>
      <c r="AB215" s="45">
        <f>IFERROR(__xludf.DUMMYFUNCTION("""COMPUTED_VALUE"""),"Conradweg 26")</f>
        <v/>
      </c>
      <c r="AC215" s="45" t="n"/>
      <c r="AD215" s="45">
        <f>IFERROR(__xludf.DUMMYFUNCTION("""COMPUTED_VALUE"""),"OCEAN")</f>
        <v/>
      </c>
      <c r="AE215" s="45">
        <f>IFERROR(__xludf.DUMMYFUNCTION("""COMPUTED_VALUE"""),"N")</f>
        <v/>
      </c>
      <c r="AF215" s="45" t="n"/>
      <c r="AG215" s="49">
        <f>IFERROR(__xludf.DUMMYFUNCTION("IFNA(vlookup(H215,IMPORTRANGE(""1vUGwO1n0QQGx9kKbO0_M5gmuhXZ6-LaxQxgrmJnzgP0"",""'TP# look up'!A:C""),3,0),"""")"),"")</f>
        <v/>
      </c>
      <c r="AH215" s="49">
        <f>LEFT(J215,2)</f>
        <v/>
      </c>
    </row>
    <row r="216" ht="12.75" customHeight="1">
      <c r="A216" s="45">
        <f>IFERROR(__xludf.DUMMYFUNCTION("""COMPUTED_VALUE"""),"Colombo")</f>
        <v/>
      </c>
      <c r="B216" s="45" t="n"/>
      <c r="C216" s="45">
        <f>IFERROR(__xludf.DUMMYFUNCTION("""COMPUTED_VALUE"""),3254120)</f>
        <v/>
      </c>
      <c r="D216" s="45" t="n"/>
      <c r="E216" s="45">
        <f>IFERROR(__xludf.DUMMYFUNCTION("""COMPUTED_VALUE"""),"CFS")</f>
        <v/>
      </c>
      <c r="F216" s="45">
        <f>IFERROR(__xludf.DUMMYFUNCTION("""COMPUTED_VALUE"""),"MAS AMITY PTE LTD")</f>
        <v/>
      </c>
      <c r="G216" s="45">
        <f>IFERROR(__xludf.DUMMYFUNCTION("""COMPUTED_VALUE"""),"MAS Active(Pvt) Ltd – CONTOURLINE")</f>
        <v/>
      </c>
      <c r="H216" s="43">
        <f>IFERROR(__xludf.DUMMYFUNCTION("""COMPUTED_VALUE"""),454774669478)</f>
        <v/>
      </c>
      <c r="I216" s="45">
        <f>IFERROR(__xludf.DUMMYFUNCTION("""COMPUTED_VALUE"""),19920973)</f>
        <v/>
      </c>
      <c r="J216" s="45">
        <f>IFERROR(__xludf.DUMMYFUNCTION("""COMPUTED_VALUE"""),"LW5FARS")</f>
        <v/>
      </c>
      <c r="K216" s="45">
        <f>IFERROR(__xludf.DUMMYFUNCTION("""COMPUTED_VALUE"""),"LW5FARS-031382")</f>
        <v/>
      </c>
      <c r="L216" s="45">
        <f>IFERROR(__xludf.DUMMYFUNCTION("""COMPUTED_VALUE"""),6)</f>
        <v/>
      </c>
      <c r="M216" s="45">
        <f>IFERROR(__xludf.DUMMYFUNCTION("""COMPUTED_VALUE"""),337)</f>
        <v/>
      </c>
      <c r="N216" s="45">
        <f>IFERROR(__xludf.DUMMYFUNCTION("""COMPUTED_VALUE"""),71.145)</f>
        <v/>
      </c>
      <c r="O216" s="45">
        <f>IFERROR(__xludf.DUMMYFUNCTION("""COMPUTED_VALUE"""),0.434)</f>
        <v/>
      </c>
      <c r="P216" s="45">
        <f>IFERROR(__xludf.DUMMYFUNCTION("""COMPUTED_VALUE"""),"Colombo, LK")</f>
        <v/>
      </c>
      <c r="Q216" s="45">
        <f>IFERROR(__xludf.DUMMYFUNCTION("""COMPUTED_VALUE"""),"Rotterdam, NL")</f>
        <v/>
      </c>
      <c r="R216" s="44">
        <f>IFERROR(__xludf.DUMMYFUNCTION("""COMPUTED_VALUE"""),45824)</f>
        <v/>
      </c>
      <c r="S216" s="44">
        <f>IFERROR(__xludf.DUMMYFUNCTION("""COMPUTED_VALUE"""),45878)</f>
        <v/>
      </c>
      <c r="T216" s="45">
        <f>IFERROR(__xludf.DUMMYFUNCTION("""COMPUTED_VALUE"""),"Rotterdam, NL")</f>
        <v/>
      </c>
      <c r="U216" s="45" t="n"/>
      <c r="V216" s="45" t="n"/>
      <c r="W216" s="45" t="n"/>
      <c r="X216" s="45" t="n"/>
      <c r="Y216" s="46">
        <f>IFERROR(__xludf.DUMMYFUNCTION("""COMPUTED_VALUE"""),45831)</f>
        <v/>
      </c>
      <c r="Z216" s="46">
        <f>IFERROR(__xludf.DUMMYFUNCTION("""COMPUTED_VALUE"""),45852)</f>
        <v/>
      </c>
      <c r="AA216" s="46">
        <f>IFERROR(__xludf.DUMMYFUNCTION("""COMPUTED_VALUE"""),45859)</f>
        <v/>
      </c>
      <c r="AB216" s="45">
        <f>IFERROR(__xludf.DUMMYFUNCTION("""COMPUTED_VALUE"""),"Conradweg 26")</f>
        <v/>
      </c>
      <c r="AC216" s="45" t="n"/>
      <c r="AD216" s="45">
        <f>IFERROR(__xludf.DUMMYFUNCTION("""COMPUTED_VALUE"""),"OCEAN")</f>
        <v/>
      </c>
      <c r="AE216" s="45">
        <f>IFERROR(__xludf.DUMMYFUNCTION("""COMPUTED_VALUE"""),"N")</f>
        <v/>
      </c>
      <c r="AF216" s="45" t="n"/>
      <c r="AG216" s="49">
        <f>IFERROR(__xludf.DUMMYFUNCTION("IFNA(vlookup(H216,IMPORTRANGE(""1vUGwO1n0QQGx9kKbO0_M5gmuhXZ6-LaxQxgrmJnzgP0"",""'TP# look up'!A:C""),3,0),"""")"),"")</f>
        <v/>
      </c>
      <c r="AH216" s="49">
        <f>LEFT(J216,2)</f>
        <v/>
      </c>
    </row>
    <row r="217" ht="12.75" customHeight="1">
      <c r="A217" s="45">
        <f>IFERROR(__xludf.DUMMYFUNCTION("""COMPUTED_VALUE"""),"Colombo")</f>
        <v/>
      </c>
      <c r="B217" s="45" t="n"/>
      <c r="C217" s="45">
        <f>IFERROR(__xludf.DUMMYFUNCTION("""COMPUTED_VALUE"""),3254120)</f>
        <v/>
      </c>
      <c r="D217" s="45" t="n"/>
      <c r="E217" s="45">
        <f>IFERROR(__xludf.DUMMYFUNCTION("""COMPUTED_VALUE"""),"CFS")</f>
        <v/>
      </c>
      <c r="F217" s="45">
        <f>IFERROR(__xludf.DUMMYFUNCTION("""COMPUTED_VALUE"""),"MAS AMITY PTE LTD")</f>
        <v/>
      </c>
      <c r="G217" s="45">
        <f>IFERROR(__xludf.DUMMYFUNCTION("""COMPUTED_VALUE"""),"MAS Active(Pvt) Ltd – CONTOURLINE")</f>
        <v/>
      </c>
      <c r="H217" s="43">
        <f>IFERROR(__xludf.DUMMYFUNCTION("""COMPUTED_VALUE"""),454774676791)</f>
        <v/>
      </c>
      <c r="I217" s="45">
        <f>IFERROR(__xludf.DUMMYFUNCTION("""COMPUTED_VALUE"""),19920966)</f>
        <v/>
      </c>
      <c r="J217" s="45">
        <f>IFERROR(__xludf.DUMMYFUNCTION("""COMPUTED_VALUE"""),"LW5FARS")</f>
        <v/>
      </c>
      <c r="K217" s="45">
        <f>IFERROR(__xludf.DUMMYFUNCTION("""COMPUTED_VALUE"""),"LW5FARS-019746")</f>
        <v/>
      </c>
      <c r="L217" s="45">
        <f>IFERROR(__xludf.DUMMYFUNCTION("""COMPUTED_VALUE"""),4)</f>
        <v/>
      </c>
      <c r="M217" s="45">
        <f>IFERROR(__xludf.DUMMYFUNCTION("""COMPUTED_VALUE"""),245)</f>
        <v/>
      </c>
      <c r="N217" s="45">
        <f>IFERROR(__xludf.DUMMYFUNCTION("""COMPUTED_VALUE"""),51.547)</f>
        <v/>
      </c>
      <c r="O217" s="45">
        <f>IFERROR(__xludf.DUMMYFUNCTION("""COMPUTED_VALUE"""),0.316)</f>
        <v/>
      </c>
      <c r="P217" s="45">
        <f>IFERROR(__xludf.DUMMYFUNCTION("""COMPUTED_VALUE"""),"Colombo, LK")</f>
        <v/>
      </c>
      <c r="Q217" s="45">
        <f>IFERROR(__xludf.DUMMYFUNCTION("""COMPUTED_VALUE"""),"Rotterdam, NL")</f>
        <v/>
      </c>
      <c r="R217" s="44">
        <f>IFERROR(__xludf.DUMMYFUNCTION("""COMPUTED_VALUE"""),45824)</f>
        <v/>
      </c>
      <c r="S217" s="44">
        <f>IFERROR(__xludf.DUMMYFUNCTION("""COMPUTED_VALUE"""),45878)</f>
        <v/>
      </c>
      <c r="T217" s="45">
        <f>IFERROR(__xludf.DUMMYFUNCTION("""COMPUTED_VALUE"""),"Rotterdam, NL")</f>
        <v/>
      </c>
      <c r="U217" s="45" t="n"/>
      <c r="V217" s="45" t="n"/>
      <c r="W217" s="45" t="n"/>
      <c r="X217" s="45" t="n"/>
      <c r="Y217" s="46">
        <f>IFERROR(__xludf.DUMMYFUNCTION("""COMPUTED_VALUE"""),45831)</f>
        <v/>
      </c>
      <c r="Z217" s="46">
        <f>IFERROR(__xludf.DUMMYFUNCTION("""COMPUTED_VALUE"""),45852)</f>
        <v/>
      </c>
      <c r="AA217" s="46">
        <f>IFERROR(__xludf.DUMMYFUNCTION("""COMPUTED_VALUE"""),45859)</f>
        <v/>
      </c>
      <c r="AB217" s="45">
        <f>IFERROR(__xludf.DUMMYFUNCTION("""COMPUTED_VALUE"""),"Conradweg 26")</f>
        <v/>
      </c>
      <c r="AC217" s="45" t="n"/>
      <c r="AD217" s="45">
        <f>IFERROR(__xludf.DUMMYFUNCTION("""COMPUTED_VALUE"""),"OCEAN")</f>
        <v/>
      </c>
      <c r="AE217" s="45">
        <f>IFERROR(__xludf.DUMMYFUNCTION("""COMPUTED_VALUE"""),"N")</f>
        <v/>
      </c>
      <c r="AF217" s="45" t="n"/>
      <c r="AG217" s="49">
        <f>IFERROR(__xludf.DUMMYFUNCTION("IFNA(vlookup(H217,IMPORTRANGE(""1vUGwO1n0QQGx9kKbO0_M5gmuhXZ6-LaxQxgrmJnzgP0"",""'TP# look up'!A:C""),3,0),"""")"),"")</f>
        <v/>
      </c>
      <c r="AH217" s="49">
        <f>LEFT(J217,2)</f>
        <v/>
      </c>
    </row>
    <row r="218" ht="12.75" customHeight="1">
      <c r="A218" s="45">
        <f>IFERROR(__xludf.DUMMYFUNCTION("""COMPUTED_VALUE"""),"Colombo")</f>
        <v/>
      </c>
      <c r="B218" s="45" t="n"/>
      <c r="C218" s="45">
        <f>IFERROR(__xludf.DUMMYFUNCTION("""COMPUTED_VALUE"""),3254120)</f>
        <v/>
      </c>
      <c r="D218" s="45" t="n"/>
      <c r="E218" s="45">
        <f>IFERROR(__xludf.DUMMYFUNCTION("""COMPUTED_VALUE"""),"CFS")</f>
        <v/>
      </c>
      <c r="F218" s="45">
        <f>IFERROR(__xludf.DUMMYFUNCTION("""COMPUTED_VALUE"""),"MAS AMITY PTE LTD")</f>
        <v/>
      </c>
      <c r="G218" s="45">
        <f>IFERROR(__xludf.DUMMYFUNCTION("""COMPUTED_VALUE"""),"MAS Active(Pvt) Ltd – CONTOURLINE")</f>
        <v/>
      </c>
      <c r="H218" s="43">
        <f>IFERROR(__xludf.DUMMYFUNCTION("""COMPUTED_VALUE"""),454775006730)</f>
        <v/>
      </c>
      <c r="I218" s="45">
        <f>IFERROR(__xludf.DUMMYFUNCTION("""COMPUTED_VALUE"""),19920978)</f>
        <v/>
      </c>
      <c r="J218" s="45">
        <f>IFERROR(__xludf.DUMMYFUNCTION("""COMPUTED_VALUE"""),"LW5FARS")</f>
        <v/>
      </c>
      <c r="K218" s="45">
        <f>IFERROR(__xludf.DUMMYFUNCTION("""COMPUTED_VALUE"""),"LW5FARS-049106")</f>
        <v/>
      </c>
      <c r="L218" s="45">
        <f>IFERROR(__xludf.DUMMYFUNCTION("""COMPUTED_VALUE"""),8)</f>
        <v/>
      </c>
      <c r="M218" s="45">
        <f>IFERROR(__xludf.DUMMYFUNCTION("""COMPUTED_VALUE"""),390)</f>
        <v/>
      </c>
      <c r="N218" s="45">
        <f>IFERROR(__xludf.DUMMYFUNCTION("""COMPUTED_VALUE"""),78.705)</f>
        <v/>
      </c>
      <c r="O218" s="45">
        <f>IFERROR(__xludf.DUMMYFUNCTION("""COMPUTED_VALUE"""),0.474)</f>
        <v/>
      </c>
      <c r="P218" s="45">
        <f>IFERROR(__xludf.DUMMYFUNCTION("""COMPUTED_VALUE"""),"Colombo, LK")</f>
        <v/>
      </c>
      <c r="Q218" s="45">
        <f>IFERROR(__xludf.DUMMYFUNCTION("""COMPUTED_VALUE"""),"Rotterdam, NL")</f>
        <v/>
      </c>
      <c r="R218" s="44">
        <f>IFERROR(__xludf.DUMMYFUNCTION("""COMPUTED_VALUE"""),45824)</f>
        <v/>
      </c>
      <c r="S218" s="44">
        <f>IFERROR(__xludf.DUMMYFUNCTION("""COMPUTED_VALUE"""),45878)</f>
        <v/>
      </c>
      <c r="T218" s="45">
        <f>IFERROR(__xludf.DUMMYFUNCTION("""COMPUTED_VALUE"""),"Rotterdam, NL")</f>
        <v/>
      </c>
      <c r="U218" s="45" t="n"/>
      <c r="V218" s="45" t="n"/>
      <c r="W218" s="45" t="n"/>
      <c r="X218" s="45" t="n"/>
      <c r="Y218" s="46">
        <f>IFERROR(__xludf.DUMMYFUNCTION("""COMPUTED_VALUE"""),45831)</f>
        <v/>
      </c>
      <c r="Z218" s="46">
        <f>IFERROR(__xludf.DUMMYFUNCTION("""COMPUTED_VALUE"""),45852)</f>
        <v/>
      </c>
      <c r="AA218" s="46">
        <f>IFERROR(__xludf.DUMMYFUNCTION("""COMPUTED_VALUE"""),45859)</f>
        <v/>
      </c>
      <c r="AB218" s="45">
        <f>IFERROR(__xludf.DUMMYFUNCTION("""COMPUTED_VALUE"""),"Conradweg 26")</f>
        <v/>
      </c>
      <c r="AC218" s="45" t="n"/>
      <c r="AD218" s="45">
        <f>IFERROR(__xludf.DUMMYFUNCTION("""COMPUTED_VALUE"""),"OCEAN")</f>
        <v/>
      </c>
      <c r="AE218" s="45">
        <f>IFERROR(__xludf.DUMMYFUNCTION("""COMPUTED_VALUE"""),"N")</f>
        <v/>
      </c>
      <c r="AF218" s="45" t="n"/>
      <c r="AG218" s="49">
        <f>IFERROR(__xludf.DUMMYFUNCTION("IFNA(vlookup(H218,IMPORTRANGE(""1vUGwO1n0QQGx9kKbO0_M5gmuhXZ6-LaxQxgrmJnzgP0"",""'TP# look up'!A:C""),3,0),"""")"),"")</f>
        <v/>
      </c>
      <c r="AH218" s="49">
        <f>LEFT(J218,2)</f>
        <v/>
      </c>
    </row>
    <row r="219" ht="12.75" customHeight="1">
      <c r="A219" s="45">
        <f>IFERROR(__xludf.DUMMYFUNCTION("""COMPUTED_VALUE"""),"Colombo")</f>
        <v/>
      </c>
      <c r="B219" s="45" t="n"/>
      <c r="C219" s="45">
        <f>IFERROR(__xludf.DUMMYFUNCTION("""COMPUTED_VALUE"""),3254120)</f>
        <v/>
      </c>
      <c r="D219" s="45" t="n"/>
      <c r="E219" s="45">
        <f>IFERROR(__xludf.DUMMYFUNCTION("""COMPUTED_VALUE"""),"CFS")</f>
        <v/>
      </c>
      <c r="F219" s="45">
        <f>IFERROR(__xludf.DUMMYFUNCTION("""COMPUTED_VALUE"""),"MAS AMITY PTE LTD")</f>
        <v/>
      </c>
      <c r="G219" s="45">
        <f>IFERROR(__xludf.DUMMYFUNCTION("""COMPUTED_VALUE"""),"MAS Active(Pvt) Ltd – CONTOURLINE")</f>
        <v/>
      </c>
      <c r="H219" s="43">
        <f>IFERROR(__xludf.DUMMYFUNCTION("""COMPUTED_VALUE"""),454775035759)</f>
        <v/>
      </c>
      <c r="I219" s="45">
        <f>IFERROR(__xludf.DUMMYFUNCTION("""COMPUTED_VALUE"""),19925871)</f>
        <v/>
      </c>
      <c r="J219" s="45">
        <f>IFERROR(__xludf.DUMMYFUNCTION("""COMPUTED_VALUE"""),"LW5EPSS")</f>
        <v/>
      </c>
      <c r="K219" s="45">
        <f>IFERROR(__xludf.DUMMYFUNCTION("""COMPUTED_VALUE"""),"LW5EPSS-049106")</f>
        <v/>
      </c>
      <c r="L219" s="45">
        <f>IFERROR(__xludf.DUMMYFUNCTION("""COMPUTED_VALUE"""),8)</f>
        <v/>
      </c>
      <c r="M219" s="45">
        <f>IFERROR(__xludf.DUMMYFUNCTION("""COMPUTED_VALUE"""),352)</f>
        <v/>
      </c>
      <c r="N219" s="45">
        <f>IFERROR(__xludf.DUMMYFUNCTION("""COMPUTED_VALUE"""),81.101)</f>
        <v/>
      </c>
      <c r="O219" s="45">
        <f>IFERROR(__xludf.DUMMYFUNCTION("""COMPUTED_VALUE"""),0.632)</f>
        <v/>
      </c>
      <c r="P219" s="45">
        <f>IFERROR(__xludf.DUMMYFUNCTION("""COMPUTED_VALUE"""),"Colombo, LK")</f>
        <v/>
      </c>
      <c r="Q219" s="45">
        <f>IFERROR(__xludf.DUMMYFUNCTION("""COMPUTED_VALUE"""),"Rotterdam, NL")</f>
        <v/>
      </c>
      <c r="R219" s="44">
        <f>IFERROR(__xludf.DUMMYFUNCTION("""COMPUTED_VALUE"""),45824)</f>
        <v/>
      </c>
      <c r="S219" s="44">
        <f>IFERROR(__xludf.DUMMYFUNCTION("""COMPUTED_VALUE"""),45878)</f>
        <v/>
      </c>
      <c r="T219" s="45">
        <f>IFERROR(__xludf.DUMMYFUNCTION("""COMPUTED_VALUE"""),"Rotterdam, NL")</f>
        <v/>
      </c>
      <c r="U219" s="45" t="n"/>
      <c r="V219" s="45" t="n"/>
      <c r="W219" s="45" t="n"/>
      <c r="X219" s="45" t="n"/>
      <c r="Y219" s="46">
        <f>IFERROR(__xludf.DUMMYFUNCTION("""COMPUTED_VALUE"""),45831)</f>
        <v/>
      </c>
      <c r="Z219" s="46">
        <f>IFERROR(__xludf.DUMMYFUNCTION("""COMPUTED_VALUE"""),45852)</f>
        <v/>
      </c>
      <c r="AA219" s="46">
        <f>IFERROR(__xludf.DUMMYFUNCTION("""COMPUTED_VALUE"""),45859)</f>
        <v/>
      </c>
      <c r="AB219" s="45">
        <f>IFERROR(__xludf.DUMMYFUNCTION("""COMPUTED_VALUE"""),"Conradweg 26")</f>
        <v/>
      </c>
      <c r="AC219" s="45" t="n"/>
      <c r="AD219" s="45">
        <f>IFERROR(__xludf.DUMMYFUNCTION("""COMPUTED_VALUE"""),"OCEAN")</f>
        <v/>
      </c>
      <c r="AE219" s="45">
        <f>IFERROR(__xludf.DUMMYFUNCTION("""COMPUTED_VALUE"""),"N")</f>
        <v/>
      </c>
      <c r="AF219" s="45" t="n"/>
      <c r="AG219" s="49">
        <f>IFERROR(__xludf.DUMMYFUNCTION("IFNA(vlookup(H219,IMPORTRANGE(""1vUGwO1n0QQGx9kKbO0_M5gmuhXZ6-LaxQxgrmJnzgP0"",""'TP# look up'!A:C""),3,0),"""")"),"")</f>
        <v/>
      </c>
      <c r="AH219" s="49">
        <f>LEFT(J219,2)</f>
        <v/>
      </c>
    </row>
    <row r="220" ht="12.75" customHeight="1">
      <c r="A220" s="45">
        <f>IFERROR(__xludf.DUMMYFUNCTION("""COMPUTED_VALUE"""),"Colombo")</f>
        <v/>
      </c>
      <c r="B220" s="45" t="n"/>
      <c r="C220" s="45">
        <f>IFERROR(__xludf.DUMMYFUNCTION("""COMPUTED_VALUE"""),3254120)</f>
        <v/>
      </c>
      <c r="D220" s="45" t="n"/>
      <c r="E220" s="45">
        <f>IFERROR(__xludf.DUMMYFUNCTION("""COMPUTED_VALUE"""),"CFS")</f>
        <v/>
      </c>
      <c r="F220" s="45">
        <f>IFERROR(__xludf.DUMMYFUNCTION("""COMPUTED_VALUE"""),"MAS AMITY PTE LTD")</f>
        <v/>
      </c>
      <c r="G220" s="45">
        <f>IFERROR(__xludf.DUMMYFUNCTION("""COMPUTED_VALUE"""),"MAS Active(Pvt) Ltd – CONTOURLINE")</f>
        <v/>
      </c>
      <c r="H220" s="43">
        <f>IFERROR(__xludf.DUMMYFUNCTION("""COMPUTED_VALUE"""),454775192654)</f>
        <v/>
      </c>
      <c r="I220" s="45">
        <f>IFERROR(__xludf.DUMMYFUNCTION("""COMPUTED_VALUE"""),19921008)</f>
        <v/>
      </c>
      <c r="J220" s="45">
        <f>IFERROR(__xludf.DUMMYFUNCTION("""COMPUTED_VALUE"""),"LW7CPPS")</f>
        <v/>
      </c>
      <c r="K220" s="45">
        <f>IFERROR(__xludf.DUMMYFUNCTION("""COMPUTED_VALUE"""),"LW7CPPS-031382")</f>
        <v/>
      </c>
      <c r="L220" s="45">
        <f>IFERROR(__xludf.DUMMYFUNCTION("""COMPUTED_VALUE"""),4)</f>
        <v/>
      </c>
      <c r="M220" s="45">
        <f>IFERROR(__xludf.DUMMYFUNCTION("""COMPUTED_VALUE"""),222)</f>
        <v/>
      </c>
      <c r="N220" s="45">
        <f>IFERROR(__xludf.DUMMYFUNCTION("""COMPUTED_VALUE"""),35.133)</f>
        <v/>
      </c>
      <c r="O220" s="45">
        <f>IFERROR(__xludf.DUMMYFUNCTION("""COMPUTED_VALUE"""),0.237)</f>
        <v/>
      </c>
      <c r="P220" s="45">
        <f>IFERROR(__xludf.DUMMYFUNCTION("""COMPUTED_VALUE"""),"Colombo, LK")</f>
        <v/>
      </c>
      <c r="Q220" s="45">
        <f>IFERROR(__xludf.DUMMYFUNCTION("""COMPUTED_VALUE"""),"Rotterdam, NL")</f>
        <v/>
      </c>
      <c r="R220" s="44">
        <f>IFERROR(__xludf.DUMMYFUNCTION("""COMPUTED_VALUE"""),45824)</f>
        <v/>
      </c>
      <c r="S220" s="44">
        <f>IFERROR(__xludf.DUMMYFUNCTION("""COMPUTED_VALUE"""),45878)</f>
        <v/>
      </c>
      <c r="T220" s="45">
        <f>IFERROR(__xludf.DUMMYFUNCTION("""COMPUTED_VALUE"""),"Rotterdam, NL")</f>
        <v/>
      </c>
      <c r="U220" s="45" t="n"/>
      <c r="V220" s="45" t="n"/>
      <c r="W220" s="45" t="n"/>
      <c r="X220" s="45" t="n"/>
      <c r="Y220" s="46">
        <f>IFERROR(__xludf.DUMMYFUNCTION("""COMPUTED_VALUE"""),45831)</f>
        <v/>
      </c>
      <c r="Z220" s="46">
        <f>IFERROR(__xludf.DUMMYFUNCTION("""COMPUTED_VALUE"""),45852)</f>
        <v/>
      </c>
      <c r="AA220" s="46">
        <f>IFERROR(__xludf.DUMMYFUNCTION("""COMPUTED_VALUE"""),45859)</f>
        <v/>
      </c>
      <c r="AB220" s="45">
        <f>IFERROR(__xludf.DUMMYFUNCTION("""COMPUTED_VALUE"""),"Conradweg 26")</f>
        <v/>
      </c>
      <c r="AC220" s="45" t="n"/>
      <c r="AD220" s="45">
        <f>IFERROR(__xludf.DUMMYFUNCTION("""COMPUTED_VALUE"""),"OCEAN")</f>
        <v/>
      </c>
      <c r="AE220" s="45">
        <f>IFERROR(__xludf.DUMMYFUNCTION("""COMPUTED_VALUE"""),"N")</f>
        <v/>
      </c>
      <c r="AF220" s="45" t="n"/>
      <c r="AG220" s="49">
        <f>IFERROR(__xludf.DUMMYFUNCTION("IFNA(vlookup(H220,IMPORTRANGE(""1vUGwO1n0QQGx9kKbO0_M5gmuhXZ6-LaxQxgrmJnzgP0"",""'TP# look up'!A:C""),3,0),"""")"),"")</f>
        <v/>
      </c>
      <c r="AH220" s="49">
        <f>LEFT(J220,2)</f>
        <v/>
      </c>
    </row>
    <row r="221" ht="12.75" customHeight="1">
      <c r="A221" s="45">
        <f>IFERROR(__xludf.DUMMYFUNCTION("""COMPUTED_VALUE"""),"Colombo")</f>
        <v/>
      </c>
      <c r="B221" s="45" t="n"/>
      <c r="C221" s="45">
        <f>IFERROR(__xludf.DUMMYFUNCTION("""COMPUTED_VALUE"""),3254120)</f>
        <v/>
      </c>
      <c r="D221" s="45" t="n"/>
      <c r="E221" s="45">
        <f>IFERROR(__xludf.DUMMYFUNCTION("""COMPUTED_VALUE"""),"CFS")</f>
        <v/>
      </c>
      <c r="F221" s="45">
        <f>IFERROR(__xludf.DUMMYFUNCTION("""COMPUTED_VALUE"""),"MAS AMITY PTE LTD")</f>
        <v/>
      </c>
      <c r="G221" s="45">
        <f>IFERROR(__xludf.DUMMYFUNCTION("""COMPUTED_VALUE"""),"MAS Active(Pvt) Ltd – CONTOURLINE")</f>
        <v/>
      </c>
      <c r="H221" s="43">
        <f>IFERROR(__xludf.DUMMYFUNCTION("""COMPUTED_VALUE"""),454775252695)</f>
        <v/>
      </c>
      <c r="I221" s="45">
        <f>IFERROR(__xludf.DUMMYFUNCTION("""COMPUTED_VALUE"""),19921010)</f>
        <v/>
      </c>
      <c r="J221" s="45">
        <f>IFERROR(__xludf.DUMMYFUNCTION("""COMPUTED_VALUE"""),"LW7CPPS")</f>
        <v/>
      </c>
      <c r="K221" s="45">
        <f>IFERROR(__xludf.DUMMYFUNCTION("""COMPUTED_VALUE"""),"LW7CPPS-031382")</f>
        <v/>
      </c>
      <c r="L221" s="45">
        <f>IFERROR(__xludf.DUMMYFUNCTION("""COMPUTED_VALUE"""),1)</f>
        <v/>
      </c>
      <c r="M221" s="45">
        <f>IFERROR(__xludf.DUMMYFUNCTION("""COMPUTED_VALUE"""),42)</f>
        <v/>
      </c>
      <c r="N221" s="45">
        <f>IFERROR(__xludf.DUMMYFUNCTION("""COMPUTED_VALUE"""),6.959)</f>
        <v/>
      </c>
      <c r="O221" s="45">
        <f>IFERROR(__xludf.DUMMYFUNCTION("""COMPUTED_VALUE"""),0.079)</f>
        <v/>
      </c>
      <c r="P221" s="45">
        <f>IFERROR(__xludf.DUMMYFUNCTION("""COMPUTED_VALUE"""),"Colombo, LK")</f>
        <v/>
      </c>
      <c r="Q221" s="45">
        <f>IFERROR(__xludf.DUMMYFUNCTION("""COMPUTED_VALUE"""),"Rotterdam, NL")</f>
        <v/>
      </c>
      <c r="R221" s="44">
        <f>IFERROR(__xludf.DUMMYFUNCTION("""COMPUTED_VALUE"""),45824)</f>
        <v/>
      </c>
      <c r="S221" s="44">
        <f>IFERROR(__xludf.DUMMYFUNCTION("""COMPUTED_VALUE"""),45878)</f>
        <v/>
      </c>
      <c r="T221" s="45">
        <f>IFERROR(__xludf.DUMMYFUNCTION("""COMPUTED_VALUE"""),"Rotterdam, NL")</f>
        <v/>
      </c>
      <c r="U221" s="45" t="n"/>
      <c r="V221" s="45" t="n"/>
      <c r="W221" s="45" t="n"/>
      <c r="X221" s="45" t="n"/>
      <c r="Y221" s="46">
        <f>IFERROR(__xludf.DUMMYFUNCTION("""COMPUTED_VALUE"""),45831)</f>
        <v/>
      </c>
      <c r="Z221" s="46">
        <f>IFERROR(__xludf.DUMMYFUNCTION("""COMPUTED_VALUE"""),45852)</f>
        <v/>
      </c>
      <c r="AA221" s="46">
        <f>IFERROR(__xludf.DUMMYFUNCTION("""COMPUTED_VALUE"""),45859)</f>
        <v/>
      </c>
      <c r="AB221" s="45">
        <f>IFERROR(__xludf.DUMMYFUNCTION("""COMPUTED_VALUE"""),"Conradweg 26")</f>
        <v/>
      </c>
      <c r="AC221" s="45" t="n"/>
      <c r="AD221" s="45">
        <f>IFERROR(__xludf.DUMMYFUNCTION("""COMPUTED_VALUE"""),"OCEAN")</f>
        <v/>
      </c>
      <c r="AE221" s="45">
        <f>IFERROR(__xludf.DUMMYFUNCTION("""COMPUTED_VALUE"""),"N")</f>
        <v/>
      </c>
      <c r="AF221" s="45" t="n"/>
      <c r="AG221" s="49">
        <f>IFERROR(__xludf.DUMMYFUNCTION("IFNA(vlookup(H221,IMPORTRANGE(""1vUGwO1n0QQGx9kKbO0_M5gmuhXZ6-LaxQxgrmJnzgP0"",""'TP# look up'!A:C""),3,0),"""")"),"")</f>
        <v/>
      </c>
      <c r="AH221" s="49">
        <f>LEFT(J221,2)</f>
        <v/>
      </c>
    </row>
    <row r="222" ht="12.75" customHeight="1">
      <c r="A222" s="45">
        <f>IFERROR(__xludf.DUMMYFUNCTION("""COMPUTED_VALUE"""),"Colombo")</f>
        <v/>
      </c>
      <c r="B222" s="45" t="n"/>
      <c r="C222" s="45">
        <f>IFERROR(__xludf.DUMMYFUNCTION("""COMPUTED_VALUE"""),3254120)</f>
        <v/>
      </c>
      <c r="D222" s="45" t="n"/>
      <c r="E222" s="45">
        <f>IFERROR(__xludf.DUMMYFUNCTION("""COMPUTED_VALUE"""),"CFS")</f>
        <v/>
      </c>
      <c r="F222" s="45">
        <f>IFERROR(__xludf.DUMMYFUNCTION("""COMPUTED_VALUE"""),"MAS AMITY PTE LTD")</f>
        <v/>
      </c>
      <c r="G222" s="45">
        <f>IFERROR(__xludf.DUMMYFUNCTION("""COMPUTED_VALUE"""),"MAS Active(Pvt) Ltd – CONTOURLINE")</f>
        <v/>
      </c>
      <c r="H222" s="43">
        <f>IFERROR(__xludf.DUMMYFUNCTION("""COMPUTED_VALUE"""),454775252915)</f>
        <v/>
      </c>
      <c r="I222" s="45">
        <f>IFERROR(__xludf.DUMMYFUNCTION("""COMPUTED_VALUE"""),19925972)</f>
        <v/>
      </c>
      <c r="J222" s="45">
        <f>IFERROR(__xludf.DUMMYFUNCTION("""COMPUTED_VALUE"""),"LW5FARS")</f>
        <v/>
      </c>
      <c r="K222" s="45">
        <f>IFERROR(__xludf.DUMMYFUNCTION("""COMPUTED_VALUE"""),"LW5FARS-049106")</f>
        <v/>
      </c>
      <c r="L222" s="45">
        <f>IFERROR(__xludf.DUMMYFUNCTION("""COMPUTED_VALUE"""),4)</f>
        <v/>
      </c>
      <c r="M222" s="45">
        <f>IFERROR(__xludf.DUMMYFUNCTION("""COMPUTED_VALUE"""),212)</f>
        <v/>
      </c>
      <c r="N222" s="45">
        <f>IFERROR(__xludf.DUMMYFUNCTION("""COMPUTED_VALUE"""),45.138)</f>
        <v/>
      </c>
      <c r="O222" s="45">
        <f>IFERROR(__xludf.DUMMYFUNCTION("""COMPUTED_VALUE"""),0.316)</f>
        <v/>
      </c>
      <c r="P222" s="45">
        <f>IFERROR(__xludf.DUMMYFUNCTION("""COMPUTED_VALUE"""),"Colombo, LK")</f>
        <v/>
      </c>
      <c r="Q222" s="45">
        <f>IFERROR(__xludf.DUMMYFUNCTION("""COMPUTED_VALUE"""),"Rotterdam, NL")</f>
        <v/>
      </c>
      <c r="R222" s="44">
        <f>IFERROR(__xludf.DUMMYFUNCTION("""COMPUTED_VALUE"""),45824)</f>
        <v/>
      </c>
      <c r="S222" s="44">
        <f>IFERROR(__xludf.DUMMYFUNCTION("""COMPUTED_VALUE"""),45878)</f>
        <v/>
      </c>
      <c r="T222" s="45">
        <f>IFERROR(__xludf.DUMMYFUNCTION("""COMPUTED_VALUE"""),"Rotterdam, NL")</f>
        <v/>
      </c>
      <c r="U222" s="45" t="n"/>
      <c r="V222" s="45" t="n"/>
      <c r="W222" s="45" t="n"/>
      <c r="X222" s="45" t="n"/>
      <c r="Y222" s="46">
        <f>IFERROR(__xludf.DUMMYFUNCTION("""COMPUTED_VALUE"""),45831)</f>
        <v/>
      </c>
      <c r="Z222" s="46">
        <f>IFERROR(__xludf.DUMMYFUNCTION("""COMPUTED_VALUE"""),45852)</f>
        <v/>
      </c>
      <c r="AA222" s="46">
        <f>IFERROR(__xludf.DUMMYFUNCTION("""COMPUTED_VALUE"""),45859)</f>
        <v/>
      </c>
      <c r="AB222" s="45">
        <f>IFERROR(__xludf.DUMMYFUNCTION("""COMPUTED_VALUE"""),"Conradweg 26")</f>
        <v/>
      </c>
      <c r="AC222" s="45" t="n"/>
      <c r="AD222" s="45">
        <f>IFERROR(__xludf.DUMMYFUNCTION("""COMPUTED_VALUE"""),"OCEAN")</f>
        <v/>
      </c>
      <c r="AE222" s="45">
        <f>IFERROR(__xludf.DUMMYFUNCTION("""COMPUTED_VALUE"""),"N")</f>
        <v/>
      </c>
      <c r="AF222" s="45" t="n"/>
      <c r="AG222" s="49">
        <f>IFERROR(__xludf.DUMMYFUNCTION("IFNA(vlookup(H222,IMPORTRANGE(""1vUGwO1n0QQGx9kKbO0_M5gmuhXZ6-LaxQxgrmJnzgP0"",""'TP# look up'!A:C""),3,0),"""")"),"")</f>
        <v/>
      </c>
      <c r="AH222" s="49">
        <f>LEFT(J222,2)</f>
        <v/>
      </c>
    </row>
    <row r="223" ht="12.75" customHeight="1">
      <c r="A223" s="45">
        <f>IFERROR(__xludf.DUMMYFUNCTION("""COMPUTED_VALUE"""),"Colombo")</f>
        <v/>
      </c>
      <c r="B223" s="45" t="n"/>
      <c r="C223" s="45">
        <f>IFERROR(__xludf.DUMMYFUNCTION("""COMPUTED_VALUE"""),3254120)</f>
        <v/>
      </c>
      <c r="D223" s="45" t="n"/>
      <c r="E223" s="45">
        <f>IFERROR(__xludf.DUMMYFUNCTION("""COMPUTED_VALUE"""),"CFS")</f>
        <v/>
      </c>
      <c r="F223" s="45">
        <f>IFERROR(__xludf.DUMMYFUNCTION("""COMPUTED_VALUE"""),"MAS AMITY PTE LTD")</f>
        <v/>
      </c>
      <c r="G223" s="45">
        <f>IFERROR(__xludf.DUMMYFUNCTION("""COMPUTED_VALUE"""),"MAS Active(Pvt) Ltd – CONTOURLINE")</f>
        <v/>
      </c>
      <c r="H223" s="43">
        <f>IFERROR(__xludf.DUMMYFUNCTION("""COMPUTED_VALUE"""),454775661312)</f>
        <v/>
      </c>
      <c r="I223" s="45">
        <f>IFERROR(__xludf.DUMMYFUNCTION("""COMPUTED_VALUE"""),19926202)</f>
        <v/>
      </c>
      <c r="J223" s="45">
        <f>IFERROR(__xludf.DUMMYFUNCTION("""COMPUTED_VALUE"""),"LW7CPPS")</f>
        <v/>
      </c>
      <c r="K223" s="45">
        <f>IFERROR(__xludf.DUMMYFUNCTION("""COMPUTED_VALUE"""),"LW7CPPS-070108")</f>
        <v/>
      </c>
      <c r="L223" s="45">
        <f>IFERROR(__xludf.DUMMYFUNCTION("""COMPUTED_VALUE"""),3)</f>
        <v/>
      </c>
      <c r="M223" s="45">
        <f>IFERROR(__xludf.DUMMYFUNCTION("""COMPUTED_VALUE"""),138)</f>
        <v/>
      </c>
      <c r="N223" s="45">
        <f>IFERROR(__xludf.DUMMYFUNCTION("""COMPUTED_VALUE"""),21.765)</f>
        <v/>
      </c>
      <c r="O223" s="45">
        <f>IFERROR(__xludf.DUMMYFUNCTION("""COMPUTED_VALUE"""),0.158)</f>
        <v/>
      </c>
      <c r="P223" s="45">
        <f>IFERROR(__xludf.DUMMYFUNCTION("""COMPUTED_VALUE"""),"Colombo, LK")</f>
        <v/>
      </c>
      <c r="Q223" s="45">
        <f>IFERROR(__xludf.DUMMYFUNCTION("""COMPUTED_VALUE"""),"Rotterdam, NL")</f>
        <v/>
      </c>
      <c r="R223" s="44">
        <f>IFERROR(__xludf.DUMMYFUNCTION("""COMPUTED_VALUE"""),45824)</f>
        <v/>
      </c>
      <c r="S223" s="44">
        <f>IFERROR(__xludf.DUMMYFUNCTION("""COMPUTED_VALUE"""),45849)</f>
        <v/>
      </c>
      <c r="T223" s="45">
        <f>IFERROR(__xludf.DUMMYFUNCTION("""COMPUTED_VALUE"""),"Rotterdam, NL")</f>
        <v/>
      </c>
      <c r="U223" s="45" t="n"/>
      <c r="V223" s="45" t="n"/>
      <c r="W223" s="45" t="n"/>
      <c r="X223" s="45" t="n"/>
      <c r="Y223" s="46">
        <f>IFERROR(__xludf.DUMMYFUNCTION("""COMPUTED_VALUE"""),45831)</f>
        <v/>
      </c>
      <c r="Z223" s="46">
        <f>IFERROR(__xludf.DUMMYFUNCTION("""COMPUTED_VALUE"""),45852)</f>
        <v/>
      </c>
      <c r="AA223" s="46">
        <f>IFERROR(__xludf.DUMMYFUNCTION("""COMPUTED_VALUE"""),45859)</f>
        <v/>
      </c>
      <c r="AB223" s="45">
        <f>IFERROR(__xludf.DUMMYFUNCTION("""COMPUTED_VALUE"""),"Conradweg 26")</f>
        <v/>
      </c>
      <c r="AC223" s="45" t="n"/>
      <c r="AD223" s="45">
        <f>IFERROR(__xludf.DUMMYFUNCTION("""COMPUTED_VALUE"""),"FAF")</f>
        <v/>
      </c>
      <c r="AE223" s="45">
        <f>IFERROR(__xludf.DUMMYFUNCTION("""COMPUTED_VALUE"""),"N")</f>
        <v/>
      </c>
      <c r="AF223" s="45">
        <f>IFERROR(__xludf.DUMMYFUNCTION("""COMPUTED_VALUE"""),"Checking the mode")</f>
        <v/>
      </c>
      <c r="AG223" s="49">
        <f>IFERROR(__xludf.DUMMYFUNCTION("IFNA(vlookup(H223,IMPORTRANGE(""1vUGwO1n0QQGx9kKbO0_M5gmuhXZ6-LaxQxgrmJnzgP0"",""'TP# look up'!A:C""),3,0),"""")"),"")</f>
        <v/>
      </c>
      <c r="AH223" s="49">
        <f>LEFT(J223,2)</f>
        <v/>
      </c>
    </row>
    <row r="224" ht="12.75" customHeight="1">
      <c r="A224" s="45">
        <f>IFERROR(__xludf.DUMMYFUNCTION("""COMPUTED_VALUE"""),"Colombo")</f>
        <v/>
      </c>
      <c r="B224" s="45" t="n"/>
      <c r="C224" s="45">
        <f>IFERROR(__xludf.DUMMYFUNCTION("""COMPUTED_VALUE"""),3254120)</f>
        <v/>
      </c>
      <c r="D224" s="45" t="n"/>
      <c r="E224" s="45">
        <f>IFERROR(__xludf.DUMMYFUNCTION("""COMPUTED_VALUE"""),"CFS")</f>
        <v/>
      </c>
      <c r="F224" s="45">
        <f>IFERROR(__xludf.DUMMYFUNCTION("""COMPUTED_VALUE"""),"MAS AMITY PTE LTD")</f>
        <v/>
      </c>
      <c r="G224" s="45">
        <f>IFERROR(__xludf.DUMMYFUNCTION("""COMPUTED_VALUE"""),"MAS Active(Pvt) Ltd – CONTOURLINE")</f>
        <v/>
      </c>
      <c r="H224" s="43">
        <f>IFERROR(__xludf.DUMMYFUNCTION("""COMPUTED_VALUE"""),454776032834)</f>
        <v/>
      </c>
      <c r="I224" s="45">
        <f>IFERROR(__xludf.DUMMYFUNCTION("""COMPUTED_VALUE"""),19926262)</f>
        <v/>
      </c>
      <c r="J224" s="45">
        <f>IFERROR(__xludf.DUMMYFUNCTION("""COMPUTED_VALUE"""),"LW2EB3S")</f>
        <v/>
      </c>
      <c r="K224" s="45">
        <f>IFERROR(__xludf.DUMMYFUNCTION("""COMPUTED_VALUE"""),"LW2EB3S-071200")</f>
        <v/>
      </c>
      <c r="L224" s="45">
        <f>IFERROR(__xludf.DUMMYFUNCTION("""COMPUTED_VALUE"""),1)</f>
        <v/>
      </c>
      <c r="M224" s="45">
        <f>IFERROR(__xludf.DUMMYFUNCTION("""COMPUTED_VALUE"""),60)</f>
        <v/>
      </c>
      <c r="N224" s="45">
        <f>IFERROR(__xludf.DUMMYFUNCTION("""COMPUTED_VALUE"""),7.771)</f>
        <v/>
      </c>
      <c r="O224" s="45">
        <f>IFERROR(__xludf.DUMMYFUNCTION("""COMPUTED_VALUE"""),0.079)</f>
        <v/>
      </c>
      <c r="P224" s="45">
        <f>IFERROR(__xludf.DUMMYFUNCTION("""COMPUTED_VALUE"""),"Colombo, LK")</f>
        <v/>
      </c>
      <c r="Q224" s="45">
        <f>IFERROR(__xludf.DUMMYFUNCTION("""COMPUTED_VALUE"""),"Rotterdam, NL")</f>
        <v/>
      </c>
      <c r="R224" s="44">
        <f>IFERROR(__xludf.DUMMYFUNCTION("""COMPUTED_VALUE"""),45824)</f>
        <v/>
      </c>
      <c r="S224" s="44">
        <f>IFERROR(__xludf.DUMMYFUNCTION("""COMPUTED_VALUE"""),45878)</f>
        <v/>
      </c>
      <c r="T224" s="45">
        <f>IFERROR(__xludf.DUMMYFUNCTION("""COMPUTED_VALUE"""),"Rotterdam, NL")</f>
        <v/>
      </c>
      <c r="U224" s="45" t="n"/>
      <c r="V224" s="45" t="n"/>
      <c r="W224" s="45" t="n"/>
      <c r="X224" s="45" t="n"/>
      <c r="Y224" s="46">
        <f>IFERROR(__xludf.DUMMYFUNCTION("""COMPUTED_VALUE"""),45831)</f>
        <v/>
      </c>
      <c r="Z224" s="46">
        <f>IFERROR(__xludf.DUMMYFUNCTION("""COMPUTED_VALUE"""),45852)</f>
        <v/>
      </c>
      <c r="AA224" s="46">
        <f>IFERROR(__xludf.DUMMYFUNCTION("""COMPUTED_VALUE"""),45859)</f>
        <v/>
      </c>
      <c r="AB224" s="45">
        <f>IFERROR(__xludf.DUMMYFUNCTION("""COMPUTED_VALUE"""),"Conradweg 26")</f>
        <v/>
      </c>
      <c r="AC224" s="45" t="n"/>
      <c r="AD224" s="45">
        <f>IFERROR(__xludf.DUMMYFUNCTION("""COMPUTED_VALUE"""),"OCEAN")</f>
        <v/>
      </c>
      <c r="AE224" s="45">
        <f>IFERROR(__xludf.DUMMYFUNCTION("""COMPUTED_VALUE"""),"N")</f>
        <v/>
      </c>
      <c r="AF224" s="45" t="n"/>
      <c r="AG224" s="49">
        <f>IFERROR(__xludf.DUMMYFUNCTION("IFNA(vlookup(H224,IMPORTRANGE(""1vUGwO1n0QQGx9kKbO0_M5gmuhXZ6-LaxQxgrmJnzgP0"",""'TP# look up'!A:C""),3,0),"""")"),"")</f>
        <v/>
      </c>
      <c r="AH224" s="49">
        <f>LEFT(J224,2)</f>
        <v/>
      </c>
    </row>
    <row r="225" ht="12.75" customHeight="1">
      <c r="A225" s="45">
        <f>IFERROR(__xludf.DUMMYFUNCTION("""COMPUTED_VALUE"""),"Colombo")</f>
        <v/>
      </c>
      <c r="B225" s="45" t="n"/>
      <c r="C225" s="45">
        <f>IFERROR(__xludf.DUMMYFUNCTION("""COMPUTED_VALUE"""),3254120)</f>
        <v/>
      </c>
      <c r="D225" s="45" t="n"/>
      <c r="E225" s="45">
        <f>IFERROR(__xludf.DUMMYFUNCTION("""COMPUTED_VALUE"""),"CFS")</f>
        <v/>
      </c>
      <c r="F225" s="45">
        <f>IFERROR(__xludf.DUMMYFUNCTION("""COMPUTED_VALUE"""),"MAS AMITY PTE LTD")</f>
        <v/>
      </c>
      <c r="G225" s="45">
        <f>IFERROR(__xludf.DUMMYFUNCTION("""COMPUTED_VALUE"""),"MAS Fabrics (Pvt) Ltd Intimo")</f>
        <v/>
      </c>
      <c r="H225" s="43">
        <f>IFERROR(__xludf.DUMMYFUNCTION("""COMPUTED_VALUE"""),454698451345)</f>
        <v/>
      </c>
      <c r="I225" s="45">
        <f>IFERROR(__xludf.DUMMYFUNCTION("""COMPUTED_VALUE"""),19892444)</f>
        <v/>
      </c>
      <c r="J225" s="45">
        <f>IFERROR(__xludf.DUMMYFUNCTION("""COMPUTED_VALUE"""),"LM3FG2S")</f>
        <v/>
      </c>
      <c r="K225" s="45">
        <f>IFERROR(__xludf.DUMMYFUNCTION("""COMPUTED_VALUE"""),"LM3FG2S-071159")</f>
        <v/>
      </c>
      <c r="L225" s="45">
        <f>IFERROR(__xludf.DUMMYFUNCTION("""COMPUTED_VALUE"""),1)</f>
        <v/>
      </c>
      <c r="M225" s="45">
        <f>IFERROR(__xludf.DUMMYFUNCTION("""COMPUTED_VALUE"""),20)</f>
        <v/>
      </c>
      <c r="N225" s="45">
        <f>IFERROR(__xludf.DUMMYFUNCTION("""COMPUTED_VALUE"""),3.541)</f>
        <v/>
      </c>
      <c r="O225" s="45">
        <f>IFERROR(__xludf.DUMMYFUNCTION("""COMPUTED_VALUE"""),0.039)</f>
        <v/>
      </c>
      <c r="P225" s="45">
        <f>IFERROR(__xludf.DUMMYFUNCTION("""COMPUTED_VALUE"""),"Colombo, LK")</f>
        <v/>
      </c>
      <c r="Q225" s="45">
        <f>IFERROR(__xludf.DUMMYFUNCTION("""COMPUTED_VALUE"""),"Rotterdam, NL")</f>
        <v/>
      </c>
      <c r="R225" s="44">
        <f>IFERROR(__xludf.DUMMYFUNCTION("""COMPUTED_VALUE"""),45824)</f>
        <v/>
      </c>
      <c r="S225" s="44">
        <f>IFERROR(__xludf.DUMMYFUNCTION("""COMPUTED_VALUE"""),45878)</f>
        <v/>
      </c>
      <c r="T225" s="45">
        <f>IFERROR(__xludf.DUMMYFUNCTION("""COMPUTED_VALUE"""),"Rotterdam, NL")</f>
        <v/>
      </c>
      <c r="U225" s="45" t="n"/>
      <c r="V225" s="45" t="n"/>
      <c r="W225" s="45" t="n"/>
      <c r="X225" s="45" t="n"/>
      <c r="Y225" s="46">
        <f>IFERROR(__xludf.DUMMYFUNCTION("""COMPUTED_VALUE"""),45831)</f>
        <v/>
      </c>
      <c r="Z225" s="46">
        <f>IFERROR(__xludf.DUMMYFUNCTION("""COMPUTED_VALUE"""),45852)</f>
        <v/>
      </c>
      <c r="AA225" s="46">
        <f>IFERROR(__xludf.DUMMYFUNCTION("""COMPUTED_VALUE"""),45859)</f>
        <v/>
      </c>
      <c r="AB225" s="45">
        <f>IFERROR(__xludf.DUMMYFUNCTION("""COMPUTED_VALUE"""),"Conradweg 26")</f>
        <v/>
      </c>
      <c r="AC225" s="45" t="n"/>
      <c r="AD225" s="45">
        <f>IFERROR(__xludf.DUMMYFUNCTION("""COMPUTED_VALUE"""),"OCEAN")</f>
        <v/>
      </c>
      <c r="AE225" s="45">
        <f>IFERROR(__xludf.DUMMYFUNCTION("""COMPUTED_VALUE"""),"N")</f>
        <v/>
      </c>
      <c r="AF225" s="45" t="n"/>
      <c r="AG225" s="49">
        <f>IFERROR(__xludf.DUMMYFUNCTION("IFNA(vlookup(H225,IMPORTRANGE(""1vUGwO1n0QQGx9kKbO0_M5gmuhXZ6-LaxQxgrmJnzgP0"",""'TP# look up'!A:C""),3,0),"""")"),"")</f>
        <v/>
      </c>
      <c r="AH225" s="49">
        <f>LEFT(J225,2)</f>
        <v/>
      </c>
    </row>
    <row r="226" ht="12.75" customHeight="1">
      <c r="A226" s="45">
        <f>IFERROR(__xludf.DUMMYFUNCTION("""COMPUTED_VALUE"""),"Colombo")</f>
        <v/>
      </c>
      <c r="B226" s="45" t="n"/>
      <c r="C226" s="45">
        <f>IFERROR(__xludf.DUMMYFUNCTION("""COMPUTED_VALUE"""),3254120)</f>
        <v/>
      </c>
      <c r="D226" s="45" t="n"/>
      <c r="E226" s="45">
        <f>IFERROR(__xludf.DUMMYFUNCTION("""COMPUTED_VALUE"""),"CFS")</f>
        <v/>
      </c>
      <c r="F226" s="45">
        <f>IFERROR(__xludf.DUMMYFUNCTION("""COMPUTED_VALUE"""),"MAS AMITY PTE LTD")</f>
        <v/>
      </c>
      <c r="G226" s="45">
        <f>IFERROR(__xludf.DUMMYFUNCTION("""COMPUTED_VALUE"""),"MAS Fabrics (Pvt) Ltd Intimo")</f>
        <v/>
      </c>
      <c r="H226" s="43">
        <f>IFERROR(__xludf.DUMMYFUNCTION("""COMPUTED_VALUE"""),454698628078)</f>
        <v/>
      </c>
      <c r="I226" s="45">
        <f>IFERROR(__xludf.DUMMYFUNCTION("""COMPUTED_VALUE"""),19892445)</f>
        <v/>
      </c>
      <c r="J226" s="45">
        <f>IFERROR(__xludf.DUMMYFUNCTION("""COMPUTED_VALUE"""),"LM3FG2S")</f>
        <v/>
      </c>
      <c r="K226" s="45">
        <f>IFERROR(__xludf.DUMMYFUNCTION("""COMPUTED_VALUE"""),"LM3FG2S-071157")</f>
        <v/>
      </c>
      <c r="L226" s="45">
        <f>IFERROR(__xludf.DUMMYFUNCTION("""COMPUTED_VALUE"""),1)</f>
        <v/>
      </c>
      <c r="M226" s="45">
        <f>IFERROR(__xludf.DUMMYFUNCTION("""COMPUTED_VALUE"""),20)</f>
        <v/>
      </c>
      <c r="N226" s="45">
        <f>IFERROR(__xludf.DUMMYFUNCTION("""COMPUTED_VALUE"""),3.541)</f>
        <v/>
      </c>
      <c r="O226" s="45">
        <f>IFERROR(__xludf.DUMMYFUNCTION("""COMPUTED_VALUE"""),0.039)</f>
        <v/>
      </c>
      <c r="P226" s="45">
        <f>IFERROR(__xludf.DUMMYFUNCTION("""COMPUTED_VALUE"""),"Colombo, LK")</f>
        <v/>
      </c>
      <c r="Q226" s="45">
        <f>IFERROR(__xludf.DUMMYFUNCTION("""COMPUTED_VALUE"""),"Rotterdam, NL")</f>
        <v/>
      </c>
      <c r="R226" s="44">
        <f>IFERROR(__xludf.DUMMYFUNCTION("""COMPUTED_VALUE"""),45824)</f>
        <v/>
      </c>
      <c r="S226" s="44">
        <f>IFERROR(__xludf.DUMMYFUNCTION("""COMPUTED_VALUE"""),45878)</f>
        <v/>
      </c>
      <c r="T226" s="45">
        <f>IFERROR(__xludf.DUMMYFUNCTION("""COMPUTED_VALUE"""),"Rotterdam, NL")</f>
        <v/>
      </c>
      <c r="U226" s="45" t="n"/>
      <c r="V226" s="45" t="n"/>
      <c r="W226" s="45" t="n"/>
      <c r="X226" s="45" t="n"/>
      <c r="Y226" s="46">
        <f>IFERROR(__xludf.DUMMYFUNCTION("""COMPUTED_VALUE"""),45831)</f>
        <v/>
      </c>
      <c r="Z226" s="46">
        <f>IFERROR(__xludf.DUMMYFUNCTION("""COMPUTED_VALUE"""),45852)</f>
        <v/>
      </c>
      <c r="AA226" s="46">
        <f>IFERROR(__xludf.DUMMYFUNCTION("""COMPUTED_VALUE"""),45859)</f>
        <v/>
      </c>
      <c r="AB226" s="45">
        <f>IFERROR(__xludf.DUMMYFUNCTION("""COMPUTED_VALUE"""),"Conradweg 26")</f>
        <v/>
      </c>
      <c r="AC226" s="45" t="n"/>
      <c r="AD226" s="45">
        <f>IFERROR(__xludf.DUMMYFUNCTION("""COMPUTED_VALUE"""),"OCEAN")</f>
        <v/>
      </c>
      <c r="AE226" s="45">
        <f>IFERROR(__xludf.DUMMYFUNCTION("""COMPUTED_VALUE"""),"N")</f>
        <v/>
      </c>
      <c r="AF226" s="45" t="n"/>
      <c r="AG226" s="49">
        <f>IFERROR(__xludf.DUMMYFUNCTION("IFNA(vlookup(H226,IMPORTRANGE(""1vUGwO1n0QQGx9kKbO0_M5gmuhXZ6-LaxQxgrmJnzgP0"",""'TP# look up'!A:C""),3,0),"""")"),"")</f>
        <v/>
      </c>
      <c r="AH226" s="49">
        <f>LEFT(J226,2)</f>
        <v/>
      </c>
    </row>
    <row r="227" ht="12.75" customHeight="1">
      <c r="A227" s="45">
        <f>IFERROR(__xludf.DUMMYFUNCTION("""COMPUTED_VALUE"""),"Colombo")</f>
        <v/>
      </c>
      <c r="B227" s="45" t="n"/>
      <c r="C227" s="45">
        <f>IFERROR(__xludf.DUMMYFUNCTION("""COMPUTED_VALUE"""),3254120)</f>
        <v/>
      </c>
      <c r="D227" s="45" t="n"/>
      <c r="E227" s="45">
        <f>IFERROR(__xludf.DUMMYFUNCTION("""COMPUTED_VALUE"""),"CFS")</f>
        <v/>
      </c>
      <c r="F227" s="45">
        <f>IFERROR(__xludf.DUMMYFUNCTION("""COMPUTED_VALUE"""),"Inqube Global (PVT) Ltd")</f>
        <v/>
      </c>
      <c r="G227" s="45">
        <f>IFERROR(__xludf.DUMMYFUNCTION("""COMPUTED_VALUE"""),"Quantum Clothing Lanka (Pvt) Ltd")</f>
        <v/>
      </c>
      <c r="H227" s="43">
        <f>IFERROR(__xludf.DUMMYFUNCTION("""COMPUTED_VALUE"""),452036246851)</f>
        <v/>
      </c>
      <c r="I227" s="45">
        <f>IFERROR(__xludf.DUMMYFUNCTION("""COMPUTED_VALUE"""),19802402)</f>
        <v/>
      </c>
      <c r="J227" s="45">
        <f>IFERROR(__xludf.DUMMYFUNCTION("""COMPUTED_VALUE"""),"LW2EC1S")</f>
        <v/>
      </c>
      <c r="K227" s="45">
        <f>IFERROR(__xludf.DUMMYFUNCTION("""COMPUTED_VALUE"""),"LW2EC1S-069122")</f>
        <v/>
      </c>
      <c r="L227" s="45">
        <f>IFERROR(__xludf.DUMMYFUNCTION("""COMPUTED_VALUE"""),5)</f>
        <v/>
      </c>
      <c r="M227" s="45">
        <f>IFERROR(__xludf.DUMMYFUNCTION("""COMPUTED_VALUE"""),30)</f>
        <v/>
      </c>
      <c r="N227" s="45">
        <f>IFERROR(__xludf.DUMMYFUNCTION("""COMPUTED_VALUE"""),14.518)</f>
        <v/>
      </c>
      <c r="O227" s="45">
        <f>IFERROR(__xludf.DUMMYFUNCTION("""COMPUTED_VALUE"""),0.42)</f>
        <v/>
      </c>
      <c r="P227" s="45">
        <f>IFERROR(__xludf.DUMMYFUNCTION("""COMPUTED_VALUE"""),"Colombo, LK")</f>
        <v/>
      </c>
      <c r="Q227" s="45">
        <f>IFERROR(__xludf.DUMMYFUNCTION("""COMPUTED_VALUE"""),"Rotterdam, NL")</f>
        <v/>
      </c>
      <c r="R227" s="44">
        <f>IFERROR(__xludf.DUMMYFUNCTION("""COMPUTED_VALUE"""),45824)</f>
        <v/>
      </c>
      <c r="S227" s="44">
        <f>IFERROR(__xludf.DUMMYFUNCTION("""COMPUTED_VALUE"""),45878)</f>
        <v/>
      </c>
      <c r="T227" s="45">
        <f>IFERROR(__xludf.DUMMYFUNCTION("""COMPUTED_VALUE"""),"Rotterdam, NL")</f>
        <v/>
      </c>
      <c r="U227" s="45" t="n"/>
      <c r="V227" s="45" t="n"/>
      <c r="W227" s="45" t="n"/>
      <c r="X227" s="45" t="n"/>
      <c r="Y227" s="46">
        <f>IFERROR(__xludf.DUMMYFUNCTION("""COMPUTED_VALUE"""),45831)</f>
        <v/>
      </c>
      <c r="Z227" s="46">
        <f>IFERROR(__xludf.DUMMYFUNCTION("""COMPUTED_VALUE"""),45852)</f>
        <v/>
      </c>
      <c r="AA227" s="46">
        <f>IFERROR(__xludf.DUMMYFUNCTION("""COMPUTED_VALUE"""),45859)</f>
        <v/>
      </c>
      <c r="AB227" s="45">
        <f>IFERROR(__xludf.DUMMYFUNCTION("""COMPUTED_VALUE"""),"Conradweg 26")</f>
        <v/>
      </c>
      <c r="AC227" s="45" t="n"/>
      <c r="AD227" s="45">
        <f>IFERROR(__xludf.DUMMYFUNCTION("""COMPUTED_VALUE"""),"OCEAN")</f>
        <v/>
      </c>
      <c r="AE227" s="45">
        <f>IFERROR(__xludf.DUMMYFUNCTION("""COMPUTED_VALUE"""),"N")</f>
        <v/>
      </c>
      <c r="AF227" s="45" t="n"/>
      <c r="AG227" s="49">
        <f>IFERROR(__xludf.DUMMYFUNCTION("IFNA(vlookup(H227,IMPORTRANGE(""1vUGwO1n0QQGx9kKbO0_M5gmuhXZ6-LaxQxgrmJnzgP0"",""'TP# look up'!A:C""),3,0),"""")"),"")</f>
        <v/>
      </c>
      <c r="AH227" s="49">
        <f>LEFT(J227,2)</f>
        <v/>
      </c>
    </row>
    <row r="228" ht="12.75" customHeight="1">
      <c r="A228" s="45">
        <f>IFERROR(__xludf.DUMMYFUNCTION("""COMPUTED_VALUE"""),"Colombo")</f>
        <v/>
      </c>
      <c r="B228" s="45" t="n"/>
      <c r="C228" s="45">
        <f>IFERROR(__xludf.DUMMYFUNCTION("""COMPUTED_VALUE"""),3254120)</f>
        <v/>
      </c>
      <c r="D228" s="45" t="n"/>
      <c r="E228" s="45">
        <f>IFERROR(__xludf.DUMMYFUNCTION("""COMPUTED_VALUE"""),"CFS")</f>
        <v/>
      </c>
      <c r="F228" s="45">
        <f>IFERROR(__xludf.DUMMYFUNCTION("""COMPUTED_VALUE"""),"Inqube Global (PVT) Ltd")</f>
        <v/>
      </c>
      <c r="G228" s="45">
        <f>IFERROR(__xludf.DUMMYFUNCTION("""COMPUTED_VALUE"""),"Quantum Clothing Lanka (Pvt) Ltd")</f>
        <v/>
      </c>
      <c r="H228" s="43">
        <f>IFERROR(__xludf.DUMMYFUNCTION("""COMPUTED_VALUE"""),452093818718)</f>
        <v/>
      </c>
      <c r="I228" s="45">
        <f>IFERROR(__xludf.DUMMYFUNCTION("""COMPUTED_VALUE"""),19855237)</f>
        <v/>
      </c>
      <c r="J228" s="45">
        <f>IFERROR(__xludf.DUMMYFUNCTION("""COMPUTED_VALUE"""),"LW9FMPS")</f>
        <v/>
      </c>
      <c r="K228" s="45">
        <f>IFERROR(__xludf.DUMMYFUNCTION("""COMPUTED_VALUE"""),"LW9FMPS-0001")</f>
        <v/>
      </c>
      <c r="L228" s="45">
        <f>IFERROR(__xludf.DUMMYFUNCTION("""COMPUTED_VALUE"""),1)</f>
        <v/>
      </c>
      <c r="M228" s="45">
        <f>IFERROR(__xludf.DUMMYFUNCTION("""COMPUTED_VALUE"""),185)</f>
        <v/>
      </c>
      <c r="N228" s="45">
        <f>IFERROR(__xludf.DUMMYFUNCTION("""COMPUTED_VALUE"""),7.964)</f>
        <v/>
      </c>
      <c r="O228" s="45">
        <f>IFERROR(__xludf.DUMMYFUNCTION("""COMPUTED_VALUE"""),0.079)</f>
        <v/>
      </c>
      <c r="P228" s="45">
        <f>IFERROR(__xludf.DUMMYFUNCTION("""COMPUTED_VALUE"""),"Colombo, LK")</f>
        <v/>
      </c>
      <c r="Q228" s="45">
        <f>IFERROR(__xludf.DUMMYFUNCTION("""COMPUTED_VALUE"""),"Rotterdam, NL")</f>
        <v/>
      </c>
      <c r="R228" s="44">
        <f>IFERROR(__xludf.DUMMYFUNCTION("""COMPUTED_VALUE"""),45824)</f>
        <v/>
      </c>
      <c r="S228" s="44">
        <f>IFERROR(__xludf.DUMMYFUNCTION("""COMPUTED_VALUE"""),45878)</f>
        <v/>
      </c>
      <c r="T228" s="45">
        <f>IFERROR(__xludf.DUMMYFUNCTION("""COMPUTED_VALUE"""),"Rotterdam, NL")</f>
        <v/>
      </c>
      <c r="U228" s="45" t="n"/>
      <c r="V228" s="45" t="n"/>
      <c r="W228" s="45" t="n"/>
      <c r="X228" s="45" t="n"/>
      <c r="Y228" s="46">
        <f>IFERROR(__xludf.DUMMYFUNCTION("""COMPUTED_VALUE"""),45831)</f>
        <v/>
      </c>
      <c r="Z228" s="46">
        <f>IFERROR(__xludf.DUMMYFUNCTION("""COMPUTED_VALUE"""),45852)</f>
        <v/>
      </c>
      <c r="AA228" s="46">
        <f>IFERROR(__xludf.DUMMYFUNCTION("""COMPUTED_VALUE"""),45859)</f>
        <v/>
      </c>
      <c r="AB228" s="45">
        <f>IFERROR(__xludf.DUMMYFUNCTION("""COMPUTED_VALUE"""),"Conradweg 26")</f>
        <v/>
      </c>
      <c r="AC228" s="45" t="n"/>
      <c r="AD228" s="45">
        <f>IFERROR(__xludf.DUMMYFUNCTION("""COMPUTED_VALUE"""),"OCEAN")</f>
        <v/>
      </c>
      <c r="AE228" s="45">
        <f>IFERROR(__xludf.DUMMYFUNCTION("""COMPUTED_VALUE"""),"N")</f>
        <v/>
      </c>
      <c r="AF228" s="45" t="n"/>
      <c r="AG228" s="49">
        <f>IFERROR(__xludf.DUMMYFUNCTION("IFNA(vlookup(H228,IMPORTRANGE(""1vUGwO1n0QQGx9kKbO0_M5gmuhXZ6-LaxQxgrmJnzgP0"",""'TP# look up'!A:C""),3,0),"""")"),"")</f>
        <v/>
      </c>
      <c r="AH228" s="49">
        <f>LEFT(J228,2)</f>
        <v/>
      </c>
    </row>
    <row r="229" ht="12.75" customHeight="1">
      <c r="A229" s="45">
        <f>IFERROR(__xludf.DUMMYFUNCTION("""COMPUTED_VALUE"""),"Colombo")</f>
        <v/>
      </c>
      <c r="B229" s="45" t="n"/>
      <c r="C229" s="45">
        <f>IFERROR(__xludf.DUMMYFUNCTION("""COMPUTED_VALUE"""),3254506)</f>
        <v/>
      </c>
      <c r="D229" s="45" t="n"/>
      <c r="E229" s="45">
        <f>IFERROR(__xludf.DUMMYFUNCTION("""COMPUTED_VALUE"""),"CFS")</f>
        <v/>
      </c>
      <c r="F229" s="45">
        <f>IFERROR(__xludf.DUMMYFUNCTION("""COMPUTED_VALUE"""),"Inqube Global (PVT) Ltd")</f>
        <v/>
      </c>
      <c r="G229" s="45">
        <f>IFERROR(__xludf.DUMMYFUNCTION("""COMPUTED_VALUE"""),"BRANDIX APPAREL SOLUTION LTD - GIRITALE")</f>
        <v/>
      </c>
      <c r="H229" s="43">
        <f>IFERROR(__xludf.DUMMYFUNCTION("""COMPUTED_VALUE"""),451988861192)</f>
        <v/>
      </c>
      <c r="I229" s="45">
        <f>IFERROR(__xludf.DUMMYFUNCTION("""COMPUTED_VALUE"""),19855622)</f>
        <v/>
      </c>
      <c r="J229" s="45">
        <f>IFERROR(__xludf.DUMMYFUNCTION("""COMPUTED_VALUE"""),"LM5AO4S")</f>
        <v/>
      </c>
      <c r="K229" s="45">
        <f>IFERROR(__xludf.DUMMYFUNCTION("""COMPUTED_VALUE"""),"LM5AO4S-019222")</f>
        <v/>
      </c>
      <c r="L229" s="45">
        <f>IFERROR(__xludf.DUMMYFUNCTION("""COMPUTED_VALUE"""),7)</f>
        <v/>
      </c>
      <c r="M229" s="45">
        <f>IFERROR(__xludf.DUMMYFUNCTION("""COMPUTED_VALUE"""),150)</f>
        <v/>
      </c>
      <c r="N229" s="45">
        <f>IFERROR(__xludf.DUMMYFUNCTION("""COMPUTED_VALUE"""),68.66)</f>
        <v/>
      </c>
      <c r="O229" s="45">
        <f>IFERROR(__xludf.DUMMYFUNCTION("""COMPUTED_VALUE"""),0.458)</f>
        <v/>
      </c>
      <c r="P229" s="45">
        <f>IFERROR(__xludf.DUMMYFUNCTION("""COMPUTED_VALUE"""),"Colombo, LK")</f>
        <v/>
      </c>
      <c r="Q229" s="45">
        <f>IFERROR(__xludf.DUMMYFUNCTION("""COMPUTED_VALUE"""),"New York, NY, US")</f>
        <v/>
      </c>
      <c r="R229" s="44">
        <f>IFERROR(__xludf.DUMMYFUNCTION("""COMPUTED_VALUE"""),45824)</f>
        <v/>
      </c>
      <c r="S229" s="44">
        <f>IFERROR(__xludf.DUMMYFUNCTION("""COMPUTED_VALUE"""),45883)</f>
        <v/>
      </c>
      <c r="T229" s="45">
        <f>IFERROR(__xludf.DUMMYFUNCTION("""COMPUTED_VALUE"""),"Mississauga, ON, CA")</f>
        <v/>
      </c>
      <c r="U229" s="45" t="n"/>
      <c r="V229" s="45" t="n"/>
      <c r="W229" s="45" t="n"/>
      <c r="X229" s="45" t="n"/>
      <c r="Y229" s="46">
        <f>IFERROR(__xludf.DUMMYFUNCTION("""COMPUTED_VALUE"""),45832)</f>
        <v/>
      </c>
      <c r="Z229" s="46">
        <f>IFERROR(__xludf.DUMMYFUNCTION("""COMPUTED_VALUE"""),45861)</f>
        <v/>
      </c>
      <c r="AA229" s="46">
        <f>IFERROR(__xludf.DUMMYFUNCTION("""COMPUTED_VALUE"""),45874)</f>
        <v/>
      </c>
      <c r="AB229" s="45">
        <f>IFERROR(__xludf.DUMMYFUNCTION("""COMPUTED_VALUE"""),"3500 Argentia Road")</f>
        <v/>
      </c>
      <c r="AC229" s="45" t="n"/>
      <c r="AD229" s="45">
        <f>IFERROR(__xludf.DUMMYFUNCTION("""COMPUTED_VALUE"""),"OCEAN")</f>
        <v/>
      </c>
      <c r="AE229" s="45">
        <f>IFERROR(__xludf.DUMMYFUNCTION("""COMPUTED_VALUE"""),"N")</f>
        <v/>
      </c>
      <c r="AF229" s="45" t="n"/>
      <c r="AG229" s="49">
        <f>IFERROR(__xludf.DUMMYFUNCTION("IFNA(vlookup(H229,IMPORTRANGE(""1vUGwO1n0QQGx9kKbO0_M5gmuhXZ6-LaxQxgrmJnzgP0"",""'TP# look up'!A:C""),3,0),"""")"),"")</f>
        <v/>
      </c>
      <c r="AH229" s="49">
        <f>LEFT(J229,2)</f>
        <v/>
      </c>
    </row>
    <row r="230" ht="12.75" customHeight="1">
      <c r="A230" s="45">
        <f>IFERROR(__xludf.DUMMYFUNCTION("""COMPUTED_VALUE"""),"Colombo")</f>
        <v/>
      </c>
      <c r="B230" s="45" t="n"/>
      <c r="C230" s="45">
        <f>IFERROR(__xludf.DUMMYFUNCTION("""COMPUTED_VALUE"""),3254506)</f>
        <v/>
      </c>
      <c r="D230" s="45" t="n"/>
      <c r="E230" s="45">
        <f>IFERROR(__xludf.DUMMYFUNCTION("""COMPUTED_VALUE"""),"CFS")</f>
        <v/>
      </c>
      <c r="F230" s="45">
        <f>IFERROR(__xludf.DUMMYFUNCTION("""COMPUTED_VALUE"""),"Inqube Global (PVT) Ltd")</f>
        <v/>
      </c>
      <c r="G230" s="45">
        <f>IFERROR(__xludf.DUMMYFUNCTION("""COMPUTED_VALUE"""),"BRANDIX APPAREL SOLUTION LTD - GIRITALE")</f>
        <v/>
      </c>
      <c r="H230" s="43">
        <f>IFERROR(__xludf.DUMMYFUNCTION("""COMPUTED_VALUE"""),451989839084)</f>
        <v/>
      </c>
      <c r="I230" s="45">
        <f>IFERROR(__xludf.DUMMYFUNCTION("""COMPUTED_VALUE"""),19856007)</f>
        <v/>
      </c>
      <c r="J230" s="45">
        <f>IFERROR(__xludf.DUMMYFUNCTION("""COMPUTED_VALUE"""),"LM5AQGS")</f>
        <v/>
      </c>
      <c r="K230" s="45">
        <f>IFERROR(__xludf.DUMMYFUNCTION("""COMPUTED_VALUE"""),"LM5AQGS-070108")</f>
        <v/>
      </c>
      <c r="L230" s="45">
        <f>IFERROR(__xludf.DUMMYFUNCTION("""COMPUTED_VALUE"""),4)</f>
        <v/>
      </c>
      <c r="M230" s="45">
        <f>IFERROR(__xludf.DUMMYFUNCTION("""COMPUTED_VALUE"""),69)</f>
        <v/>
      </c>
      <c r="N230" s="45">
        <f>IFERROR(__xludf.DUMMYFUNCTION("""COMPUTED_VALUE"""),31.39)</f>
        <v/>
      </c>
      <c r="O230" s="45">
        <f>IFERROR(__xludf.DUMMYFUNCTION("""COMPUTED_VALUE"""),0.21)</f>
        <v/>
      </c>
      <c r="P230" s="45">
        <f>IFERROR(__xludf.DUMMYFUNCTION("""COMPUTED_VALUE"""),"Colombo, LK")</f>
        <v/>
      </c>
      <c r="Q230" s="45">
        <f>IFERROR(__xludf.DUMMYFUNCTION("""COMPUTED_VALUE"""),"New York, NY, US")</f>
        <v/>
      </c>
      <c r="R230" s="44">
        <f>IFERROR(__xludf.DUMMYFUNCTION("""COMPUTED_VALUE"""),45824)</f>
        <v/>
      </c>
      <c r="S230" s="44">
        <f>IFERROR(__xludf.DUMMYFUNCTION("""COMPUTED_VALUE"""),45883)</f>
        <v/>
      </c>
      <c r="T230" s="45">
        <f>IFERROR(__xludf.DUMMYFUNCTION("""COMPUTED_VALUE"""),"Mississauga, ON, CA")</f>
        <v/>
      </c>
      <c r="U230" s="45" t="n"/>
      <c r="V230" s="45" t="n"/>
      <c r="W230" s="45" t="n"/>
      <c r="X230" s="45" t="n"/>
      <c r="Y230" s="46">
        <f>IFERROR(__xludf.DUMMYFUNCTION("""COMPUTED_VALUE"""),45832)</f>
        <v/>
      </c>
      <c r="Z230" s="46">
        <f>IFERROR(__xludf.DUMMYFUNCTION("""COMPUTED_VALUE"""),45861)</f>
        <v/>
      </c>
      <c r="AA230" s="46">
        <f>IFERROR(__xludf.DUMMYFUNCTION("""COMPUTED_VALUE"""),45874)</f>
        <v/>
      </c>
      <c r="AB230" s="45">
        <f>IFERROR(__xludf.DUMMYFUNCTION("""COMPUTED_VALUE"""),"3500 Argentia Road")</f>
        <v/>
      </c>
      <c r="AC230" s="45" t="n"/>
      <c r="AD230" s="45">
        <f>IFERROR(__xludf.DUMMYFUNCTION("""COMPUTED_VALUE"""),"OCEAN")</f>
        <v/>
      </c>
      <c r="AE230" s="45">
        <f>IFERROR(__xludf.DUMMYFUNCTION("""COMPUTED_VALUE"""),"N")</f>
        <v/>
      </c>
      <c r="AF230" s="45" t="n"/>
      <c r="AG230" s="49">
        <f>IFERROR(__xludf.DUMMYFUNCTION("IFNA(vlookup(H230,IMPORTRANGE(""1vUGwO1n0QQGx9kKbO0_M5gmuhXZ6-LaxQxgrmJnzgP0"",""'TP# look up'!A:C""),3,0),"""")"),"")</f>
        <v/>
      </c>
      <c r="AH230" s="49">
        <f>LEFT(J230,2)</f>
        <v/>
      </c>
    </row>
    <row r="231" ht="12.75" customHeight="1">
      <c r="A231" s="45">
        <f>IFERROR(__xludf.DUMMYFUNCTION("""COMPUTED_VALUE"""),"Colombo")</f>
        <v/>
      </c>
      <c r="B231" s="45" t="n"/>
      <c r="C231" s="45">
        <f>IFERROR(__xludf.DUMMYFUNCTION("""COMPUTED_VALUE"""),3254506)</f>
        <v/>
      </c>
      <c r="D231" s="45" t="n"/>
      <c r="E231" s="45">
        <f>IFERROR(__xludf.DUMMYFUNCTION("""COMPUTED_VALUE"""),"CFS")</f>
        <v/>
      </c>
      <c r="F231" s="45">
        <f>IFERROR(__xludf.DUMMYFUNCTION("""COMPUTED_VALUE"""),"Inqube Global (PVT) Ltd")</f>
        <v/>
      </c>
      <c r="G231" s="45">
        <f>IFERROR(__xludf.DUMMYFUNCTION("""COMPUTED_VALUE"""),"BRANDIX APPAREL SOLUTION LTD - GIRITALE")</f>
        <v/>
      </c>
      <c r="H231" s="43">
        <f>IFERROR(__xludf.DUMMYFUNCTION("""COMPUTED_VALUE"""),451995535808)</f>
        <v/>
      </c>
      <c r="I231" s="45">
        <f>IFERROR(__xludf.DUMMYFUNCTION("""COMPUTED_VALUE"""),19856119)</f>
        <v/>
      </c>
      <c r="J231" s="45">
        <f>IFERROR(__xludf.DUMMYFUNCTION("""COMPUTED_VALUE"""),"LM5AQXS")</f>
        <v/>
      </c>
      <c r="K231" s="45">
        <f>IFERROR(__xludf.DUMMYFUNCTION("""COMPUTED_VALUE"""),"LM5AQXS-019222")</f>
        <v/>
      </c>
      <c r="L231" s="45">
        <f>IFERROR(__xludf.DUMMYFUNCTION("""COMPUTED_VALUE"""),8)</f>
        <v/>
      </c>
      <c r="M231" s="45">
        <f>IFERROR(__xludf.DUMMYFUNCTION("""COMPUTED_VALUE"""),223)</f>
        <v/>
      </c>
      <c r="N231" s="45">
        <f>IFERROR(__xludf.DUMMYFUNCTION("""COMPUTED_VALUE"""),89.15)</f>
        <v/>
      </c>
      <c r="O231" s="45">
        <f>IFERROR(__xludf.DUMMYFUNCTION("""COMPUTED_VALUE"""),0.54)</f>
        <v/>
      </c>
      <c r="P231" s="45">
        <f>IFERROR(__xludf.DUMMYFUNCTION("""COMPUTED_VALUE"""),"Colombo, LK")</f>
        <v/>
      </c>
      <c r="Q231" s="45">
        <f>IFERROR(__xludf.DUMMYFUNCTION("""COMPUTED_VALUE"""),"New York, NY, US")</f>
        <v/>
      </c>
      <c r="R231" s="44">
        <f>IFERROR(__xludf.DUMMYFUNCTION("""COMPUTED_VALUE"""),45824)</f>
        <v/>
      </c>
      <c r="S231" s="44">
        <f>IFERROR(__xludf.DUMMYFUNCTION("""COMPUTED_VALUE"""),45883)</f>
        <v/>
      </c>
      <c r="T231" s="45">
        <f>IFERROR(__xludf.DUMMYFUNCTION("""COMPUTED_VALUE"""),"Mississauga, ON, CA")</f>
        <v/>
      </c>
      <c r="U231" s="45" t="n"/>
      <c r="V231" s="45" t="n"/>
      <c r="W231" s="45" t="n"/>
      <c r="X231" s="45" t="n"/>
      <c r="Y231" s="46">
        <f>IFERROR(__xludf.DUMMYFUNCTION("""COMPUTED_VALUE"""),45832)</f>
        <v/>
      </c>
      <c r="Z231" s="46">
        <f>IFERROR(__xludf.DUMMYFUNCTION("""COMPUTED_VALUE"""),45861)</f>
        <v/>
      </c>
      <c r="AA231" s="46">
        <f>IFERROR(__xludf.DUMMYFUNCTION("""COMPUTED_VALUE"""),45874)</f>
        <v/>
      </c>
      <c r="AB231" s="45">
        <f>IFERROR(__xludf.DUMMYFUNCTION("""COMPUTED_VALUE"""),"3500 Argentia Road")</f>
        <v/>
      </c>
      <c r="AC231" s="45" t="n"/>
      <c r="AD231" s="45">
        <f>IFERROR(__xludf.DUMMYFUNCTION("""COMPUTED_VALUE"""),"OCEAN")</f>
        <v/>
      </c>
      <c r="AE231" s="45">
        <f>IFERROR(__xludf.DUMMYFUNCTION("""COMPUTED_VALUE"""),"N")</f>
        <v/>
      </c>
      <c r="AF231" s="45" t="n"/>
      <c r="AG231" s="49">
        <f>IFERROR(__xludf.DUMMYFUNCTION("IFNA(vlookup(H231,IMPORTRANGE(""1vUGwO1n0QQGx9kKbO0_M5gmuhXZ6-LaxQxgrmJnzgP0"",""'TP# look up'!A:C""),3,0),"""")"),"")</f>
        <v/>
      </c>
      <c r="AH231" s="49">
        <f>LEFT(J231,2)</f>
        <v/>
      </c>
    </row>
    <row r="232" ht="12.75" customHeight="1">
      <c r="A232" s="45">
        <f>IFERROR(__xludf.DUMMYFUNCTION("""COMPUTED_VALUE"""),"Colombo")</f>
        <v/>
      </c>
      <c r="B232" s="45" t="n"/>
      <c r="C232" s="45">
        <f>IFERROR(__xludf.DUMMYFUNCTION("""COMPUTED_VALUE"""),3254506)</f>
        <v/>
      </c>
      <c r="D232" s="45" t="n"/>
      <c r="E232" s="45">
        <f>IFERROR(__xludf.DUMMYFUNCTION("""COMPUTED_VALUE"""),"CFS")</f>
        <v/>
      </c>
      <c r="F232" s="45">
        <f>IFERROR(__xludf.DUMMYFUNCTION("""COMPUTED_VALUE"""),"Inqube Global (PVT) Ltd")</f>
        <v/>
      </c>
      <c r="G232" s="45">
        <f>IFERROR(__xludf.DUMMYFUNCTION("""COMPUTED_VALUE"""),"BRANDIX APPAREL SOLUTION LTD - GIRITALE")</f>
        <v/>
      </c>
      <c r="H232" s="43">
        <f>IFERROR(__xludf.DUMMYFUNCTION("""COMPUTED_VALUE"""),452504526441)</f>
        <v/>
      </c>
      <c r="I232" s="45">
        <f>IFERROR(__xludf.DUMMYFUNCTION("""COMPUTED_VALUE"""),19855598)</f>
        <v/>
      </c>
      <c r="J232" s="45">
        <f>IFERROR(__xludf.DUMMYFUNCTION("""COMPUTED_VALUE"""),"LM5AO1S")</f>
        <v/>
      </c>
      <c r="K232" s="45">
        <f>IFERROR(__xludf.DUMMYFUNCTION("""COMPUTED_VALUE"""),"LM5AO1S-070108")</f>
        <v/>
      </c>
      <c r="L232" s="45">
        <f>IFERROR(__xludf.DUMMYFUNCTION("""COMPUTED_VALUE"""),4)</f>
        <v/>
      </c>
      <c r="M232" s="45">
        <f>IFERROR(__xludf.DUMMYFUNCTION("""COMPUTED_VALUE"""),73)</f>
        <v/>
      </c>
      <c r="N232" s="45">
        <f>IFERROR(__xludf.DUMMYFUNCTION("""COMPUTED_VALUE"""),35.31)</f>
        <v/>
      </c>
      <c r="O232" s="45">
        <f>IFERROR(__xludf.DUMMYFUNCTION("""COMPUTED_VALUE"""),0.21)</f>
        <v/>
      </c>
      <c r="P232" s="45">
        <f>IFERROR(__xludf.DUMMYFUNCTION("""COMPUTED_VALUE"""),"Colombo, LK")</f>
        <v/>
      </c>
      <c r="Q232" s="45">
        <f>IFERROR(__xludf.DUMMYFUNCTION("""COMPUTED_VALUE"""),"New York, NY, US")</f>
        <v/>
      </c>
      <c r="R232" s="44">
        <f>IFERROR(__xludf.DUMMYFUNCTION("""COMPUTED_VALUE"""),45824)</f>
        <v/>
      </c>
      <c r="S232" s="44">
        <f>IFERROR(__xludf.DUMMYFUNCTION("""COMPUTED_VALUE"""),45883)</f>
        <v/>
      </c>
      <c r="T232" s="45">
        <f>IFERROR(__xludf.DUMMYFUNCTION("""COMPUTED_VALUE"""),"Mississauga, ON, CA")</f>
        <v/>
      </c>
      <c r="U232" s="45" t="n"/>
      <c r="V232" s="45" t="n"/>
      <c r="W232" s="45" t="n"/>
      <c r="X232" s="45" t="n"/>
      <c r="Y232" s="46">
        <f>IFERROR(__xludf.DUMMYFUNCTION("""COMPUTED_VALUE"""),45832)</f>
        <v/>
      </c>
      <c r="Z232" s="46">
        <f>IFERROR(__xludf.DUMMYFUNCTION("""COMPUTED_VALUE"""),45861)</f>
        <v/>
      </c>
      <c r="AA232" s="46">
        <f>IFERROR(__xludf.DUMMYFUNCTION("""COMPUTED_VALUE"""),45874)</f>
        <v/>
      </c>
      <c r="AB232" s="45">
        <f>IFERROR(__xludf.DUMMYFUNCTION("""COMPUTED_VALUE"""),"3500 Argentia Road")</f>
        <v/>
      </c>
      <c r="AC232" s="45" t="n"/>
      <c r="AD232" s="45">
        <f>IFERROR(__xludf.DUMMYFUNCTION("""COMPUTED_VALUE"""),"OCEAN")</f>
        <v/>
      </c>
      <c r="AE232" s="45">
        <f>IFERROR(__xludf.DUMMYFUNCTION("""COMPUTED_VALUE"""),"N")</f>
        <v/>
      </c>
      <c r="AF232" s="45" t="n"/>
      <c r="AG232" s="49">
        <f>IFERROR(__xludf.DUMMYFUNCTION("IFNA(vlookup(H232,IMPORTRANGE(""1vUGwO1n0QQGx9kKbO0_M5gmuhXZ6-LaxQxgrmJnzgP0"",""'TP# look up'!A:C""),3,0),"""")"),"")</f>
        <v/>
      </c>
      <c r="AH232" s="49">
        <f>LEFT(J232,2)</f>
        <v/>
      </c>
    </row>
    <row r="233" ht="12.75" customHeight="1">
      <c r="A233" s="45">
        <f>IFERROR(__xludf.DUMMYFUNCTION("""COMPUTED_VALUE"""),"Colombo")</f>
        <v/>
      </c>
      <c r="B233" s="45" t="n"/>
      <c r="C233" s="45">
        <f>IFERROR(__xludf.DUMMYFUNCTION("""COMPUTED_VALUE"""),3254506)</f>
        <v/>
      </c>
      <c r="D233" s="45" t="n"/>
      <c r="E233" s="45">
        <f>IFERROR(__xludf.DUMMYFUNCTION("""COMPUTED_VALUE"""),"CFS")</f>
        <v/>
      </c>
      <c r="F233" s="45">
        <f>IFERROR(__xludf.DUMMYFUNCTION("""COMPUTED_VALUE"""),"Inqube Global (PVT) Ltd")</f>
        <v/>
      </c>
      <c r="G233" s="45">
        <f>IFERROR(__xludf.DUMMYFUNCTION("""COMPUTED_VALUE"""),"BRANDIX APPAREL SOLUTION LTD - GIRITALE")</f>
        <v/>
      </c>
      <c r="H233" s="43">
        <f>IFERROR(__xludf.DUMMYFUNCTION("""COMPUTED_VALUE"""),452507248363)</f>
        <v/>
      </c>
      <c r="I233" s="45">
        <f>IFERROR(__xludf.DUMMYFUNCTION("""COMPUTED_VALUE"""),19855867)</f>
        <v/>
      </c>
      <c r="J233" s="45">
        <f>IFERROR(__xludf.DUMMYFUNCTION("""COMPUTED_VALUE"""),"LM5AO1S")</f>
        <v/>
      </c>
      <c r="K233" s="45">
        <f>IFERROR(__xludf.DUMMYFUNCTION("""COMPUTED_VALUE"""),"LM5AO1S-070108")</f>
        <v/>
      </c>
      <c r="L233" s="45">
        <f>IFERROR(__xludf.DUMMYFUNCTION("""COMPUTED_VALUE"""),11)</f>
        <v/>
      </c>
      <c r="M233" s="45">
        <f>IFERROR(__xludf.DUMMYFUNCTION("""COMPUTED_VALUE"""),323)</f>
        <v/>
      </c>
      <c r="N233" s="45">
        <f>IFERROR(__xludf.DUMMYFUNCTION("""COMPUTED_VALUE"""),152.17)</f>
        <v/>
      </c>
      <c r="O233" s="45">
        <f>IFERROR(__xludf.DUMMYFUNCTION("""COMPUTED_VALUE"""),0.828)</f>
        <v/>
      </c>
      <c r="P233" s="45">
        <f>IFERROR(__xludf.DUMMYFUNCTION("""COMPUTED_VALUE"""),"Colombo, LK")</f>
        <v/>
      </c>
      <c r="Q233" s="45">
        <f>IFERROR(__xludf.DUMMYFUNCTION("""COMPUTED_VALUE"""),"New York, NY, US")</f>
        <v/>
      </c>
      <c r="R233" s="44">
        <f>IFERROR(__xludf.DUMMYFUNCTION("""COMPUTED_VALUE"""),45824)</f>
        <v/>
      </c>
      <c r="S233" s="44">
        <f>IFERROR(__xludf.DUMMYFUNCTION("""COMPUTED_VALUE"""),45883)</f>
        <v/>
      </c>
      <c r="T233" s="45">
        <f>IFERROR(__xludf.DUMMYFUNCTION("""COMPUTED_VALUE"""),"Mississauga, ON, CA")</f>
        <v/>
      </c>
      <c r="U233" s="45" t="n"/>
      <c r="V233" s="45" t="n"/>
      <c r="W233" s="45" t="n"/>
      <c r="X233" s="45" t="n"/>
      <c r="Y233" s="46">
        <f>IFERROR(__xludf.DUMMYFUNCTION("""COMPUTED_VALUE"""),45832)</f>
        <v/>
      </c>
      <c r="Z233" s="46">
        <f>IFERROR(__xludf.DUMMYFUNCTION("""COMPUTED_VALUE"""),45861)</f>
        <v/>
      </c>
      <c r="AA233" s="46">
        <f>IFERROR(__xludf.DUMMYFUNCTION("""COMPUTED_VALUE"""),45874)</f>
        <v/>
      </c>
      <c r="AB233" s="45">
        <f>IFERROR(__xludf.DUMMYFUNCTION("""COMPUTED_VALUE"""),"3500 Argentia Road")</f>
        <v/>
      </c>
      <c r="AC233" s="45" t="n"/>
      <c r="AD233" s="45">
        <f>IFERROR(__xludf.DUMMYFUNCTION("""COMPUTED_VALUE"""),"OCEAN")</f>
        <v/>
      </c>
      <c r="AE233" s="45">
        <f>IFERROR(__xludf.DUMMYFUNCTION("""COMPUTED_VALUE"""),"N")</f>
        <v/>
      </c>
      <c r="AF233" s="45" t="n"/>
      <c r="AG233" s="49">
        <f>IFERROR(__xludf.DUMMYFUNCTION("IFNA(vlookup(H233,IMPORTRANGE(""1vUGwO1n0QQGx9kKbO0_M5gmuhXZ6-LaxQxgrmJnzgP0"",""'TP# look up'!A:C""),3,0),"""")"),"")</f>
        <v/>
      </c>
      <c r="AH233" s="49">
        <f>LEFT(J233,2)</f>
        <v/>
      </c>
    </row>
    <row r="234" ht="12.75" customHeight="1">
      <c r="A234" s="45">
        <f>IFERROR(__xludf.DUMMYFUNCTION("""COMPUTED_VALUE"""),"Colombo")</f>
        <v/>
      </c>
      <c r="B234" s="45" t="n"/>
      <c r="C234" s="45">
        <f>IFERROR(__xludf.DUMMYFUNCTION("""COMPUTED_VALUE"""),3254506)</f>
        <v/>
      </c>
      <c r="D234" s="45" t="n"/>
      <c r="E234" s="45">
        <f>IFERROR(__xludf.DUMMYFUNCTION("""COMPUTED_VALUE"""),"CFS")</f>
        <v/>
      </c>
      <c r="F234" s="45">
        <f>IFERROR(__xludf.DUMMYFUNCTION("""COMPUTED_VALUE"""),"Inqube Global (PVT) Ltd")</f>
        <v/>
      </c>
      <c r="G234" s="45">
        <f>IFERROR(__xludf.DUMMYFUNCTION("""COMPUTED_VALUE"""),"BRANDIX APPAREL SOLUTION LTD - GIRITALE")</f>
        <v/>
      </c>
      <c r="H234" s="43">
        <f>IFERROR(__xludf.DUMMYFUNCTION("""COMPUTED_VALUE"""),452510246609)</f>
        <v/>
      </c>
      <c r="I234" s="45">
        <f>IFERROR(__xludf.DUMMYFUNCTION("""COMPUTED_VALUE"""),19855946)</f>
        <v/>
      </c>
      <c r="J234" s="45">
        <f>IFERROR(__xludf.DUMMYFUNCTION("""COMPUTED_VALUE"""),"LM5AQ9S")</f>
        <v/>
      </c>
      <c r="K234" s="45">
        <f>IFERROR(__xludf.DUMMYFUNCTION("""COMPUTED_VALUE"""),"LM5AQ9S-033123")</f>
        <v/>
      </c>
      <c r="L234" s="45">
        <f>IFERROR(__xludf.DUMMYFUNCTION("""COMPUTED_VALUE"""),10)</f>
        <v/>
      </c>
      <c r="M234" s="45">
        <f>IFERROR(__xludf.DUMMYFUNCTION("""COMPUTED_VALUE"""),269)</f>
        <v/>
      </c>
      <c r="N234" s="45">
        <f>IFERROR(__xludf.DUMMYFUNCTION("""COMPUTED_VALUE"""),136.45)</f>
        <v/>
      </c>
      <c r="O234" s="45">
        <f>IFERROR(__xludf.DUMMYFUNCTION("""COMPUTED_VALUE"""),0.665)</f>
        <v/>
      </c>
      <c r="P234" s="45">
        <f>IFERROR(__xludf.DUMMYFUNCTION("""COMPUTED_VALUE"""),"Colombo, LK")</f>
        <v/>
      </c>
      <c r="Q234" s="45">
        <f>IFERROR(__xludf.DUMMYFUNCTION("""COMPUTED_VALUE"""),"New York, NY, US")</f>
        <v/>
      </c>
      <c r="R234" s="44">
        <f>IFERROR(__xludf.DUMMYFUNCTION("""COMPUTED_VALUE"""),45824)</f>
        <v/>
      </c>
      <c r="S234" s="44">
        <f>IFERROR(__xludf.DUMMYFUNCTION("""COMPUTED_VALUE"""),45883)</f>
        <v/>
      </c>
      <c r="T234" s="45">
        <f>IFERROR(__xludf.DUMMYFUNCTION("""COMPUTED_VALUE"""),"Mississauga, ON, CA")</f>
        <v/>
      </c>
      <c r="U234" s="45" t="n"/>
      <c r="V234" s="45" t="n"/>
      <c r="W234" s="45" t="n"/>
      <c r="X234" s="45" t="n"/>
      <c r="Y234" s="46">
        <f>IFERROR(__xludf.DUMMYFUNCTION("""COMPUTED_VALUE"""),45824)</f>
        <v/>
      </c>
      <c r="Z234" s="46">
        <f>IFERROR(__xludf.DUMMYFUNCTION("""COMPUTED_VALUE"""),45861)</f>
        <v/>
      </c>
      <c r="AA234" s="46">
        <f>IFERROR(__xludf.DUMMYFUNCTION("""COMPUTED_VALUE"""),45874)</f>
        <v/>
      </c>
      <c r="AB234" s="45">
        <f>IFERROR(__xludf.DUMMYFUNCTION("""COMPUTED_VALUE"""),"3500 Argentia Road")</f>
        <v/>
      </c>
      <c r="AC234" s="45" t="n"/>
      <c r="AD234" s="45">
        <f>IFERROR(__xludf.DUMMYFUNCTION("""COMPUTED_VALUE"""),"OCEAN")</f>
        <v/>
      </c>
      <c r="AE234" s="45">
        <f>IFERROR(__xludf.DUMMYFUNCTION("""COMPUTED_VALUE"""),"N")</f>
        <v/>
      </c>
      <c r="AF234" s="45" t="n"/>
      <c r="AG234" s="49">
        <f>IFERROR(__xludf.DUMMYFUNCTION("IFNA(vlookup(H234,IMPORTRANGE(""1vUGwO1n0QQGx9kKbO0_M5gmuhXZ6-LaxQxgrmJnzgP0"",""'TP# look up'!A:C""),3,0),"""")"),"")</f>
        <v/>
      </c>
      <c r="AH234" s="49">
        <f>LEFT(J234,2)</f>
        <v/>
      </c>
    </row>
    <row r="235" ht="12.75" customHeight="1">
      <c r="A235" s="45">
        <f>IFERROR(__xludf.DUMMYFUNCTION("""COMPUTED_VALUE"""),"Colombo")</f>
        <v/>
      </c>
      <c r="B235" s="45" t="n"/>
      <c r="C235" s="45">
        <f>IFERROR(__xludf.DUMMYFUNCTION("""COMPUTED_VALUE"""),3254506)</f>
        <v/>
      </c>
      <c r="D235" s="45" t="n"/>
      <c r="E235" s="45">
        <f>IFERROR(__xludf.DUMMYFUNCTION("""COMPUTED_VALUE"""),"CFS")</f>
        <v/>
      </c>
      <c r="F235" s="45">
        <f>IFERROR(__xludf.DUMMYFUNCTION("""COMPUTED_VALUE"""),"Inqube Global (PVT) Ltd")</f>
        <v/>
      </c>
      <c r="G235" s="45">
        <f>IFERROR(__xludf.DUMMYFUNCTION("""COMPUTED_VALUE"""),"BRANDIX APPAREL SOLUTION LTD - GIRITALE")</f>
        <v/>
      </c>
      <c r="H235" s="43">
        <f>IFERROR(__xludf.DUMMYFUNCTION("""COMPUTED_VALUE"""),452510849438)</f>
        <v/>
      </c>
      <c r="I235" s="45">
        <f>IFERROR(__xludf.DUMMYFUNCTION("""COMPUTED_VALUE"""),19855921)</f>
        <v/>
      </c>
      <c r="J235" s="45">
        <f>IFERROR(__xludf.DUMMYFUNCTION("""COMPUTED_VALUE"""),"LM5AO4S")</f>
        <v/>
      </c>
      <c r="K235" s="45">
        <f>IFERROR(__xludf.DUMMYFUNCTION("""COMPUTED_VALUE"""),"LM5AO4S-019222")</f>
        <v/>
      </c>
      <c r="L235" s="45">
        <f>IFERROR(__xludf.DUMMYFUNCTION("""COMPUTED_VALUE"""),20)</f>
        <v/>
      </c>
      <c r="M235" s="45">
        <f>IFERROR(__xludf.DUMMYFUNCTION("""COMPUTED_VALUE"""),669)</f>
        <v/>
      </c>
      <c r="N235" s="45">
        <f>IFERROR(__xludf.DUMMYFUNCTION("""COMPUTED_VALUE"""),296.66)</f>
        <v/>
      </c>
      <c r="O235" s="45">
        <f>IFERROR(__xludf.DUMMYFUNCTION("""COMPUTED_VALUE"""),1.491)</f>
        <v/>
      </c>
      <c r="P235" s="45">
        <f>IFERROR(__xludf.DUMMYFUNCTION("""COMPUTED_VALUE"""),"Colombo, LK")</f>
        <v/>
      </c>
      <c r="Q235" s="45">
        <f>IFERROR(__xludf.DUMMYFUNCTION("""COMPUTED_VALUE"""),"New York, NY, US")</f>
        <v/>
      </c>
      <c r="R235" s="44">
        <f>IFERROR(__xludf.DUMMYFUNCTION("""COMPUTED_VALUE"""),45824)</f>
        <v/>
      </c>
      <c r="S235" s="44">
        <f>IFERROR(__xludf.DUMMYFUNCTION("""COMPUTED_VALUE"""),45883)</f>
        <v/>
      </c>
      <c r="T235" s="45">
        <f>IFERROR(__xludf.DUMMYFUNCTION("""COMPUTED_VALUE"""),"Mississauga, ON, CA")</f>
        <v/>
      </c>
      <c r="U235" s="45" t="n"/>
      <c r="V235" s="45" t="n"/>
      <c r="W235" s="45" t="n"/>
      <c r="X235" s="45" t="n"/>
      <c r="Y235" s="46">
        <f>IFERROR(__xludf.DUMMYFUNCTION("""COMPUTED_VALUE"""),45824)</f>
        <v/>
      </c>
      <c r="Z235" s="46">
        <f>IFERROR(__xludf.DUMMYFUNCTION("""COMPUTED_VALUE"""),45861)</f>
        <v/>
      </c>
      <c r="AA235" s="46">
        <f>IFERROR(__xludf.DUMMYFUNCTION("""COMPUTED_VALUE"""),45874)</f>
        <v/>
      </c>
      <c r="AB235" s="45">
        <f>IFERROR(__xludf.DUMMYFUNCTION("""COMPUTED_VALUE"""),"3500 Argentia Road")</f>
        <v/>
      </c>
      <c r="AC235" s="45" t="n"/>
      <c r="AD235" s="45">
        <f>IFERROR(__xludf.DUMMYFUNCTION("""COMPUTED_VALUE"""),"OCEAN")</f>
        <v/>
      </c>
      <c r="AE235" s="45">
        <f>IFERROR(__xludf.DUMMYFUNCTION("""COMPUTED_VALUE"""),"N")</f>
        <v/>
      </c>
      <c r="AF235" s="45" t="n"/>
      <c r="AG235" s="49">
        <f>IFERROR(__xludf.DUMMYFUNCTION("IFNA(vlookup(H235,IMPORTRANGE(""1vUGwO1n0QQGx9kKbO0_M5gmuhXZ6-LaxQxgrmJnzgP0"",""'TP# look up'!A:C""),3,0),"""")"),"")</f>
        <v/>
      </c>
      <c r="AH235" s="49">
        <f>LEFT(J235,2)</f>
        <v/>
      </c>
    </row>
    <row r="236" ht="12.75" customHeight="1">
      <c r="A236" s="45">
        <f>IFERROR(__xludf.DUMMYFUNCTION("""COMPUTED_VALUE"""),"Colombo")</f>
        <v/>
      </c>
      <c r="B236" s="45" t="n"/>
      <c r="C236" s="45">
        <f>IFERROR(__xludf.DUMMYFUNCTION("""COMPUTED_VALUE"""),3254506)</f>
        <v/>
      </c>
      <c r="D236" s="45" t="n"/>
      <c r="E236" s="45">
        <f>IFERROR(__xludf.DUMMYFUNCTION("""COMPUTED_VALUE"""),"CFS")</f>
        <v/>
      </c>
      <c r="F236" s="45">
        <f>IFERROR(__xludf.DUMMYFUNCTION("""COMPUTED_VALUE"""),"Inqube Global (PVT) Ltd")</f>
        <v/>
      </c>
      <c r="G236" s="45">
        <f>IFERROR(__xludf.DUMMYFUNCTION("""COMPUTED_VALUE"""),"BRANDIX APPAREL SOLUTION LTD - GIRITALE")</f>
        <v/>
      </c>
      <c r="H236" s="43">
        <f>IFERROR(__xludf.DUMMYFUNCTION("""COMPUTED_VALUE"""),452510849936)</f>
        <v/>
      </c>
      <c r="I236" s="45">
        <f>IFERROR(__xludf.DUMMYFUNCTION("""COMPUTED_VALUE"""),19855628)</f>
        <v/>
      </c>
      <c r="J236" s="45">
        <f>IFERROR(__xludf.DUMMYFUNCTION("""COMPUTED_VALUE"""),"LM5AQ9S")</f>
        <v/>
      </c>
      <c r="K236" s="45">
        <f>IFERROR(__xludf.DUMMYFUNCTION("""COMPUTED_VALUE"""),"LM5AQ9S-029283")</f>
        <v/>
      </c>
      <c r="L236" s="45">
        <f>IFERROR(__xludf.DUMMYFUNCTION("""COMPUTED_VALUE"""),3)</f>
        <v/>
      </c>
      <c r="M236" s="45">
        <f>IFERROR(__xludf.DUMMYFUNCTION("""COMPUTED_VALUE"""),63)</f>
        <v/>
      </c>
      <c r="N236" s="45">
        <f>IFERROR(__xludf.DUMMYFUNCTION("""COMPUTED_VALUE"""),32.31)</f>
        <v/>
      </c>
      <c r="O236" s="45">
        <f>IFERROR(__xludf.DUMMYFUNCTION("""COMPUTED_VALUE"""),0.168)</f>
        <v/>
      </c>
      <c r="P236" s="45">
        <f>IFERROR(__xludf.DUMMYFUNCTION("""COMPUTED_VALUE"""),"Colombo, LK")</f>
        <v/>
      </c>
      <c r="Q236" s="45">
        <f>IFERROR(__xludf.DUMMYFUNCTION("""COMPUTED_VALUE"""),"New York, NY, US")</f>
        <v/>
      </c>
      <c r="R236" s="44">
        <f>IFERROR(__xludf.DUMMYFUNCTION("""COMPUTED_VALUE"""),45824)</f>
        <v/>
      </c>
      <c r="S236" s="44">
        <f>IFERROR(__xludf.DUMMYFUNCTION("""COMPUTED_VALUE"""),45883)</f>
        <v/>
      </c>
      <c r="T236" s="45">
        <f>IFERROR(__xludf.DUMMYFUNCTION("""COMPUTED_VALUE"""),"Mississauga, ON, CA")</f>
        <v/>
      </c>
      <c r="U236" s="45" t="n"/>
      <c r="V236" s="45" t="n"/>
      <c r="W236" s="45" t="n"/>
      <c r="X236" s="45" t="n"/>
      <c r="Y236" s="46">
        <f>IFERROR(__xludf.DUMMYFUNCTION("""COMPUTED_VALUE"""),45832)</f>
        <v/>
      </c>
      <c r="Z236" s="46">
        <f>IFERROR(__xludf.DUMMYFUNCTION("""COMPUTED_VALUE"""),45861)</f>
        <v/>
      </c>
      <c r="AA236" s="46">
        <f>IFERROR(__xludf.DUMMYFUNCTION("""COMPUTED_VALUE"""),45874)</f>
        <v/>
      </c>
      <c r="AB236" s="45">
        <f>IFERROR(__xludf.DUMMYFUNCTION("""COMPUTED_VALUE"""),"3500 Argentia Road")</f>
        <v/>
      </c>
      <c r="AC236" s="45" t="n"/>
      <c r="AD236" s="45">
        <f>IFERROR(__xludf.DUMMYFUNCTION("""COMPUTED_VALUE"""),"OCEAN")</f>
        <v/>
      </c>
      <c r="AE236" s="45">
        <f>IFERROR(__xludf.DUMMYFUNCTION("""COMPUTED_VALUE"""),"N")</f>
        <v/>
      </c>
      <c r="AF236" s="45" t="n"/>
      <c r="AG236" s="49">
        <f>IFERROR(__xludf.DUMMYFUNCTION("IFNA(vlookup(H236,IMPORTRANGE(""1vUGwO1n0QQGx9kKbO0_M5gmuhXZ6-LaxQxgrmJnzgP0"",""'TP# look up'!A:C""),3,0),"""")"),"")</f>
        <v/>
      </c>
      <c r="AH236" s="49">
        <f>LEFT(J236,2)</f>
        <v/>
      </c>
    </row>
    <row r="237" ht="12.75" customHeight="1">
      <c r="A237" s="45">
        <f>IFERROR(__xludf.DUMMYFUNCTION("""COMPUTED_VALUE"""),"Colombo")</f>
        <v/>
      </c>
      <c r="B237" s="45" t="n"/>
      <c r="C237" s="45">
        <f>IFERROR(__xludf.DUMMYFUNCTION("""COMPUTED_VALUE"""),3254506)</f>
        <v/>
      </c>
      <c r="D237" s="45" t="n"/>
      <c r="E237" s="45">
        <f>IFERROR(__xludf.DUMMYFUNCTION("""COMPUTED_VALUE"""),"CFS")</f>
        <v/>
      </c>
      <c r="F237" s="45">
        <f>IFERROR(__xludf.DUMMYFUNCTION("""COMPUTED_VALUE"""),"Inqube Global (PVT) Ltd")</f>
        <v/>
      </c>
      <c r="G237" s="45">
        <f>IFERROR(__xludf.DUMMYFUNCTION("""COMPUTED_VALUE"""),"BRANDIX APPAREL SOLUTION LTD - GIRITALE")</f>
        <v/>
      </c>
      <c r="H237" s="43">
        <f>IFERROR(__xludf.DUMMYFUNCTION("""COMPUTED_VALUE"""),452511203202)</f>
        <v/>
      </c>
      <c r="I237" s="45">
        <f>IFERROR(__xludf.DUMMYFUNCTION("""COMPUTED_VALUE"""),19855632)</f>
        <v/>
      </c>
      <c r="J237" s="45">
        <f>IFERROR(__xludf.DUMMYFUNCTION("""COMPUTED_VALUE"""),"LM5AQ9S")</f>
        <v/>
      </c>
      <c r="K237" s="45">
        <f>IFERROR(__xludf.DUMMYFUNCTION("""COMPUTED_VALUE"""),"LM5AQ9S-033123")</f>
        <v/>
      </c>
      <c r="L237" s="45">
        <f>IFERROR(__xludf.DUMMYFUNCTION("""COMPUTED_VALUE"""),5)</f>
        <v/>
      </c>
      <c r="M237" s="45">
        <f>IFERROR(__xludf.DUMMYFUNCTION("""COMPUTED_VALUE"""),96)</f>
        <v/>
      </c>
      <c r="N237" s="45">
        <f>IFERROR(__xludf.DUMMYFUNCTION("""COMPUTED_VALUE"""),49.83)</f>
        <v/>
      </c>
      <c r="O237" s="45">
        <f>IFERROR(__xludf.DUMMYFUNCTION("""COMPUTED_VALUE"""),0.293)</f>
        <v/>
      </c>
      <c r="P237" s="45">
        <f>IFERROR(__xludf.DUMMYFUNCTION("""COMPUTED_VALUE"""),"Colombo, LK")</f>
        <v/>
      </c>
      <c r="Q237" s="45">
        <f>IFERROR(__xludf.DUMMYFUNCTION("""COMPUTED_VALUE"""),"New York, NY, US")</f>
        <v/>
      </c>
      <c r="R237" s="44">
        <f>IFERROR(__xludf.DUMMYFUNCTION("""COMPUTED_VALUE"""),45824)</f>
        <v/>
      </c>
      <c r="S237" s="44">
        <f>IFERROR(__xludf.DUMMYFUNCTION("""COMPUTED_VALUE"""),45883)</f>
        <v/>
      </c>
      <c r="T237" s="45">
        <f>IFERROR(__xludf.DUMMYFUNCTION("""COMPUTED_VALUE"""),"Mississauga, ON, CA")</f>
        <v/>
      </c>
      <c r="U237" s="45" t="n"/>
      <c r="V237" s="45" t="n"/>
      <c r="W237" s="45" t="n"/>
      <c r="X237" s="45" t="n"/>
      <c r="Y237" s="46">
        <f>IFERROR(__xludf.DUMMYFUNCTION("""COMPUTED_VALUE"""),45832)</f>
        <v/>
      </c>
      <c r="Z237" s="46">
        <f>IFERROR(__xludf.DUMMYFUNCTION("""COMPUTED_VALUE"""),45861)</f>
        <v/>
      </c>
      <c r="AA237" s="46">
        <f>IFERROR(__xludf.DUMMYFUNCTION("""COMPUTED_VALUE"""),45874)</f>
        <v/>
      </c>
      <c r="AB237" s="45">
        <f>IFERROR(__xludf.DUMMYFUNCTION("""COMPUTED_VALUE"""),"3500 Argentia Road")</f>
        <v/>
      </c>
      <c r="AC237" s="45" t="n"/>
      <c r="AD237" s="45">
        <f>IFERROR(__xludf.DUMMYFUNCTION("""COMPUTED_VALUE"""),"OCEAN")</f>
        <v/>
      </c>
      <c r="AE237" s="45">
        <f>IFERROR(__xludf.DUMMYFUNCTION("""COMPUTED_VALUE"""),"N")</f>
        <v/>
      </c>
      <c r="AF237" s="45" t="n"/>
      <c r="AG237" s="49">
        <f>IFERROR(__xludf.DUMMYFUNCTION("IFNA(vlookup(H237,IMPORTRANGE(""1vUGwO1n0QQGx9kKbO0_M5gmuhXZ6-LaxQxgrmJnzgP0"",""'TP# look up'!A:C""),3,0),"""")"),"")</f>
        <v/>
      </c>
      <c r="AH237" s="49">
        <f>LEFT(J237,2)</f>
        <v/>
      </c>
    </row>
    <row r="238" ht="12.75" customHeight="1">
      <c r="A238" s="45">
        <f>IFERROR(__xludf.DUMMYFUNCTION("""COMPUTED_VALUE"""),"Colombo")</f>
        <v/>
      </c>
      <c r="B238" s="45" t="n"/>
      <c r="C238" s="45">
        <f>IFERROR(__xludf.DUMMYFUNCTION("""COMPUTED_VALUE"""),3254506)</f>
        <v/>
      </c>
      <c r="D238" s="45" t="n"/>
      <c r="E238" s="45">
        <f>IFERROR(__xludf.DUMMYFUNCTION("""COMPUTED_VALUE"""),"CFS")</f>
        <v/>
      </c>
      <c r="F238" s="45">
        <f>IFERROR(__xludf.DUMMYFUNCTION("""COMPUTED_VALUE"""),"Inqube Global (PVT) Ltd")</f>
        <v/>
      </c>
      <c r="G238" s="45">
        <f>IFERROR(__xludf.DUMMYFUNCTION("""COMPUTED_VALUE"""),"BRANDIX APPAREL SOLUTION LTD - GIRITALE")</f>
        <v/>
      </c>
      <c r="H238" s="43">
        <f>IFERROR(__xludf.DUMMYFUNCTION("""COMPUTED_VALUE"""),452511415477)</f>
        <v/>
      </c>
      <c r="I238" s="45">
        <f>IFERROR(__xludf.DUMMYFUNCTION("""COMPUTED_VALUE"""),19855934)</f>
        <v/>
      </c>
      <c r="J238" s="45">
        <f>IFERROR(__xludf.DUMMYFUNCTION("""COMPUTED_VALUE"""),"LM5AQ9S")</f>
        <v/>
      </c>
      <c r="K238" s="45">
        <f>IFERROR(__xludf.DUMMYFUNCTION("""COMPUTED_VALUE"""),"LM5AQ9S-029283")</f>
        <v/>
      </c>
      <c r="L238" s="45">
        <f>IFERROR(__xludf.DUMMYFUNCTION("""COMPUTED_VALUE"""),7)</f>
        <v/>
      </c>
      <c r="M238" s="45">
        <f>IFERROR(__xludf.DUMMYFUNCTION("""COMPUTED_VALUE"""),174)</f>
        <v/>
      </c>
      <c r="N238" s="45">
        <f>IFERROR(__xludf.DUMMYFUNCTION("""COMPUTED_VALUE"""),88.51)</f>
        <v/>
      </c>
      <c r="O238" s="45">
        <f>IFERROR(__xludf.DUMMYFUNCTION("""COMPUTED_VALUE"""),0.418)</f>
        <v/>
      </c>
      <c r="P238" s="45">
        <f>IFERROR(__xludf.DUMMYFUNCTION("""COMPUTED_VALUE"""),"Colombo, LK")</f>
        <v/>
      </c>
      <c r="Q238" s="45">
        <f>IFERROR(__xludf.DUMMYFUNCTION("""COMPUTED_VALUE"""),"New York, NY, US")</f>
        <v/>
      </c>
      <c r="R238" s="44">
        <f>IFERROR(__xludf.DUMMYFUNCTION("""COMPUTED_VALUE"""),45824)</f>
        <v/>
      </c>
      <c r="S238" s="44">
        <f>IFERROR(__xludf.DUMMYFUNCTION("""COMPUTED_VALUE"""),45883)</f>
        <v/>
      </c>
      <c r="T238" s="45">
        <f>IFERROR(__xludf.DUMMYFUNCTION("""COMPUTED_VALUE"""),"Mississauga, ON, CA")</f>
        <v/>
      </c>
      <c r="U238" s="45" t="n"/>
      <c r="V238" s="45" t="n"/>
      <c r="W238" s="45" t="n"/>
      <c r="X238" s="45" t="n"/>
      <c r="Y238" s="46">
        <f>IFERROR(__xludf.DUMMYFUNCTION("""COMPUTED_VALUE"""),45832)</f>
        <v/>
      </c>
      <c r="Z238" s="46">
        <f>IFERROR(__xludf.DUMMYFUNCTION("""COMPUTED_VALUE"""),45861)</f>
        <v/>
      </c>
      <c r="AA238" s="46">
        <f>IFERROR(__xludf.DUMMYFUNCTION("""COMPUTED_VALUE"""),45874)</f>
        <v/>
      </c>
      <c r="AB238" s="45">
        <f>IFERROR(__xludf.DUMMYFUNCTION("""COMPUTED_VALUE"""),"3500 Argentia Road")</f>
        <v/>
      </c>
      <c r="AC238" s="45" t="n"/>
      <c r="AD238" s="45">
        <f>IFERROR(__xludf.DUMMYFUNCTION("""COMPUTED_VALUE"""),"OCEAN")</f>
        <v/>
      </c>
      <c r="AE238" s="45">
        <f>IFERROR(__xludf.DUMMYFUNCTION("""COMPUTED_VALUE"""),"N")</f>
        <v/>
      </c>
      <c r="AF238" s="45" t="n"/>
      <c r="AG238" s="49">
        <f>IFERROR(__xludf.DUMMYFUNCTION("IFNA(vlookup(H238,IMPORTRANGE(""1vUGwO1n0QQGx9kKbO0_M5gmuhXZ6-LaxQxgrmJnzgP0"",""'TP# look up'!A:C""),3,0),"""")"),"")</f>
        <v/>
      </c>
      <c r="AH238" s="49">
        <f>LEFT(J238,2)</f>
        <v/>
      </c>
    </row>
    <row r="239" ht="12.75" customHeight="1">
      <c r="A239" s="45">
        <f>IFERROR(__xludf.DUMMYFUNCTION("""COMPUTED_VALUE"""),"Colombo")</f>
        <v/>
      </c>
      <c r="B239" s="45" t="n"/>
      <c r="C239" s="45">
        <f>IFERROR(__xludf.DUMMYFUNCTION("""COMPUTED_VALUE"""),3254506)</f>
        <v/>
      </c>
      <c r="D239" s="45" t="n"/>
      <c r="E239" s="45">
        <f>IFERROR(__xludf.DUMMYFUNCTION("""COMPUTED_VALUE"""),"CFS")</f>
        <v/>
      </c>
      <c r="F239" s="45">
        <f>IFERROR(__xludf.DUMMYFUNCTION("""COMPUTED_VALUE"""),"Inqube Global (PVT) Ltd")</f>
        <v/>
      </c>
      <c r="G239" s="45">
        <f>IFERROR(__xludf.DUMMYFUNCTION("""COMPUTED_VALUE"""),"BRANDIX APPAREL SOLUTION LTD - GIRITALE")</f>
        <v/>
      </c>
      <c r="H239" s="43">
        <f>IFERROR(__xludf.DUMMYFUNCTION("""COMPUTED_VALUE"""),452512005389)</f>
        <v/>
      </c>
      <c r="I239" s="45">
        <f>IFERROR(__xludf.DUMMYFUNCTION("""COMPUTED_VALUE"""),19855959)</f>
        <v/>
      </c>
      <c r="J239" s="45">
        <f>IFERROR(__xludf.DUMMYFUNCTION("""COMPUTED_VALUE"""),"LM5AQ9S")</f>
        <v/>
      </c>
      <c r="K239" s="45">
        <f>IFERROR(__xludf.DUMMYFUNCTION("""COMPUTED_VALUE"""),"LM5AQ9S-070108")</f>
        <v/>
      </c>
      <c r="L239" s="45">
        <f>IFERROR(__xludf.DUMMYFUNCTION("""COMPUTED_VALUE"""),9)</f>
        <v/>
      </c>
      <c r="M239" s="45">
        <f>IFERROR(__xludf.DUMMYFUNCTION("""COMPUTED_VALUE"""),235)</f>
        <v/>
      </c>
      <c r="N239" s="45">
        <f>IFERROR(__xludf.DUMMYFUNCTION("""COMPUTED_VALUE"""),119.49)</f>
        <v/>
      </c>
      <c r="O239" s="45">
        <f>IFERROR(__xludf.DUMMYFUNCTION("""COMPUTED_VALUE"""),0.623)</f>
        <v/>
      </c>
      <c r="P239" s="45">
        <f>IFERROR(__xludf.DUMMYFUNCTION("""COMPUTED_VALUE"""),"Colombo, LK")</f>
        <v/>
      </c>
      <c r="Q239" s="45">
        <f>IFERROR(__xludf.DUMMYFUNCTION("""COMPUTED_VALUE"""),"New York, NY, US")</f>
        <v/>
      </c>
      <c r="R239" s="44">
        <f>IFERROR(__xludf.DUMMYFUNCTION("""COMPUTED_VALUE"""),45824)</f>
        <v/>
      </c>
      <c r="S239" s="44">
        <f>IFERROR(__xludf.DUMMYFUNCTION("""COMPUTED_VALUE"""),45883)</f>
        <v/>
      </c>
      <c r="T239" s="45">
        <f>IFERROR(__xludf.DUMMYFUNCTION("""COMPUTED_VALUE"""),"Mississauga, ON, CA")</f>
        <v/>
      </c>
      <c r="U239" s="45" t="n"/>
      <c r="V239" s="45" t="n"/>
      <c r="W239" s="45" t="n"/>
      <c r="X239" s="45" t="n"/>
      <c r="Y239" s="46">
        <f>IFERROR(__xludf.DUMMYFUNCTION("""COMPUTED_VALUE"""),45824)</f>
        <v/>
      </c>
      <c r="Z239" s="46">
        <f>IFERROR(__xludf.DUMMYFUNCTION("""COMPUTED_VALUE"""),45861)</f>
        <v/>
      </c>
      <c r="AA239" s="46">
        <f>IFERROR(__xludf.DUMMYFUNCTION("""COMPUTED_VALUE"""),45874)</f>
        <v/>
      </c>
      <c r="AB239" s="45">
        <f>IFERROR(__xludf.DUMMYFUNCTION("""COMPUTED_VALUE"""),"3500 Argentia Road")</f>
        <v/>
      </c>
      <c r="AC239" s="45" t="n"/>
      <c r="AD239" s="45">
        <f>IFERROR(__xludf.DUMMYFUNCTION("""COMPUTED_VALUE"""),"OCEAN")</f>
        <v/>
      </c>
      <c r="AE239" s="45">
        <f>IFERROR(__xludf.DUMMYFUNCTION("""COMPUTED_VALUE"""),"N")</f>
        <v/>
      </c>
      <c r="AF239" s="45" t="n"/>
      <c r="AG239" s="49">
        <f>IFERROR(__xludf.DUMMYFUNCTION("IFNA(vlookup(H239,IMPORTRANGE(""1vUGwO1n0QQGx9kKbO0_M5gmuhXZ6-LaxQxgrmJnzgP0"",""'TP# look up'!A:C""),3,0),"""")"),"")</f>
        <v/>
      </c>
      <c r="AH239" s="49">
        <f>LEFT(J239,2)</f>
        <v/>
      </c>
    </row>
    <row r="240" ht="12.75" customHeight="1">
      <c r="A240" s="45">
        <f>IFERROR(__xludf.DUMMYFUNCTION("""COMPUTED_VALUE"""),"Colombo")</f>
        <v/>
      </c>
      <c r="B240" s="45" t="n"/>
      <c r="C240" s="45">
        <f>IFERROR(__xludf.DUMMYFUNCTION("""COMPUTED_VALUE"""),3254506)</f>
        <v/>
      </c>
      <c r="D240" s="45" t="n"/>
      <c r="E240" s="45">
        <f>IFERROR(__xludf.DUMMYFUNCTION("""COMPUTED_VALUE"""),"CFS")</f>
        <v/>
      </c>
      <c r="F240" s="45">
        <f>IFERROR(__xludf.DUMMYFUNCTION("""COMPUTED_VALUE"""),"Inqube Global (PVT) Ltd")</f>
        <v/>
      </c>
      <c r="G240" s="45">
        <f>IFERROR(__xludf.DUMMYFUNCTION("""COMPUTED_VALUE"""),"BRANDIX APPAREL SOLUTION LTD - GIRITALE")</f>
        <v/>
      </c>
      <c r="H240" s="43">
        <f>IFERROR(__xludf.DUMMYFUNCTION("""COMPUTED_VALUE"""),452512384989)</f>
        <v/>
      </c>
      <c r="I240" s="45">
        <f>IFERROR(__xludf.DUMMYFUNCTION("""COMPUTED_VALUE"""),19855984)</f>
        <v/>
      </c>
      <c r="J240" s="45">
        <f>IFERROR(__xludf.DUMMYFUNCTION("""COMPUTED_VALUE"""),"LM5AQGS")</f>
        <v/>
      </c>
      <c r="K240" s="45">
        <f>IFERROR(__xludf.DUMMYFUNCTION("""COMPUTED_VALUE"""),"LM5AQGS-019222")</f>
        <v/>
      </c>
      <c r="L240" s="45">
        <f>IFERROR(__xludf.DUMMYFUNCTION("""COMPUTED_VALUE"""),5)</f>
        <v/>
      </c>
      <c r="M240" s="45">
        <f>IFERROR(__xludf.DUMMYFUNCTION("""COMPUTED_VALUE"""),68)</f>
        <v/>
      </c>
      <c r="N240" s="45">
        <f>IFERROR(__xludf.DUMMYFUNCTION("""COMPUTED_VALUE"""),31.77)</f>
        <v/>
      </c>
      <c r="O240" s="45">
        <f>IFERROR(__xludf.DUMMYFUNCTION("""COMPUTED_VALUE"""),0.253)</f>
        <v/>
      </c>
      <c r="P240" s="45">
        <f>IFERROR(__xludf.DUMMYFUNCTION("""COMPUTED_VALUE"""),"Colombo, LK")</f>
        <v/>
      </c>
      <c r="Q240" s="45">
        <f>IFERROR(__xludf.DUMMYFUNCTION("""COMPUTED_VALUE"""),"New York, NY, US")</f>
        <v/>
      </c>
      <c r="R240" s="44">
        <f>IFERROR(__xludf.DUMMYFUNCTION("""COMPUTED_VALUE"""),45824)</f>
        <v/>
      </c>
      <c r="S240" s="44">
        <f>IFERROR(__xludf.DUMMYFUNCTION("""COMPUTED_VALUE"""),45883)</f>
        <v/>
      </c>
      <c r="T240" s="45">
        <f>IFERROR(__xludf.DUMMYFUNCTION("""COMPUTED_VALUE"""),"Mississauga, ON, CA")</f>
        <v/>
      </c>
      <c r="U240" s="45" t="n"/>
      <c r="V240" s="45" t="n"/>
      <c r="W240" s="45" t="n"/>
      <c r="X240" s="45" t="n"/>
      <c r="Y240" s="46">
        <f>IFERROR(__xludf.DUMMYFUNCTION("""COMPUTED_VALUE"""),45832)</f>
        <v/>
      </c>
      <c r="Z240" s="46">
        <f>IFERROR(__xludf.DUMMYFUNCTION("""COMPUTED_VALUE"""),45861)</f>
        <v/>
      </c>
      <c r="AA240" s="46">
        <f>IFERROR(__xludf.DUMMYFUNCTION("""COMPUTED_VALUE"""),45874)</f>
        <v/>
      </c>
      <c r="AB240" s="45">
        <f>IFERROR(__xludf.DUMMYFUNCTION("""COMPUTED_VALUE"""),"3500 Argentia Road")</f>
        <v/>
      </c>
      <c r="AC240" s="45" t="n"/>
      <c r="AD240" s="45">
        <f>IFERROR(__xludf.DUMMYFUNCTION("""COMPUTED_VALUE"""),"OCEAN")</f>
        <v/>
      </c>
      <c r="AE240" s="45">
        <f>IFERROR(__xludf.DUMMYFUNCTION("""COMPUTED_VALUE"""),"N")</f>
        <v/>
      </c>
      <c r="AF240" s="45" t="n"/>
      <c r="AG240" s="49">
        <f>IFERROR(__xludf.DUMMYFUNCTION("IFNA(vlookup(H240,IMPORTRANGE(""1vUGwO1n0QQGx9kKbO0_M5gmuhXZ6-LaxQxgrmJnzgP0"",""'TP# look up'!A:C""),3,0),"""")"),"")</f>
        <v/>
      </c>
      <c r="AH240" s="49">
        <f>LEFT(J240,2)</f>
        <v/>
      </c>
    </row>
    <row r="241" ht="12.75" customHeight="1">
      <c r="A241" s="45">
        <f>IFERROR(__xludf.DUMMYFUNCTION("""COMPUTED_VALUE"""),"Colombo")</f>
        <v/>
      </c>
      <c r="B241" s="45" t="n"/>
      <c r="C241" s="45">
        <f>IFERROR(__xludf.DUMMYFUNCTION("""COMPUTED_VALUE"""),3254506)</f>
        <v/>
      </c>
      <c r="D241" s="45" t="n"/>
      <c r="E241" s="45">
        <f>IFERROR(__xludf.DUMMYFUNCTION("""COMPUTED_VALUE"""),"CFS")</f>
        <v/>
      </c>
      <c r="F241" s="45">
        <f>IFERROR(__xludf.DUMMYFUNCTION("""COMPUTED_VALUE"""),"Inqube Global (PVT) Ltd")</f>
        <v/>
      </c>
      <c r="G241" s="45">
        <f>IFERROR(__xludf.DUMMYFUNCTION("""COMPUTED_VALUE"""),"BRANDIX APPAREL SOLUTION LTD - GIRITALE")</f>
        <v/>
      </c>
      <c r="H241" s="43">
        <f>IFERROR(__xludf.DUMMYFUNCTION("""COMPUTED_VALUE"""),452513362362)</f>
        <v/>
      </c>
      <c r="I241" s="45">
        <f>IFERROR(__xludf.DUMMYFUNCTION("""COMPUTED_VALUE"""),19855995)</f>
        <v/>
      </c>
      <c r="J241" s="45">
        <f>IFERROR(__xludf.DUMMYFUNCTION("""COMPUTED_VALUE"""),"LM5AQGS")</f>
        <v/>
      </c>
      <c r="K241" s="45">
        <f>IFERROR(__xludf.DUMMYFUNCTION("""COMPUTED_VALUE"""),"LM5AQGS-033123")</f>
        <v/>
      </c>
      <c r="L241" s="45">
        <f>IFERROR(__xludf.DUMMYFUNCTION("""COMPUTED_VALUE"""),5)</f>
        <v/>
      </c>
      <c r="M241" s="45">
        <f>IFERROR(__xludf.DUMMYFUNCTION("""COMPUTED_VALUE"""),83)</f>
        <v/>
      </c>
      <c r="N241" s="45">
        <f>IFERROR(__xludf.DUMMYFUNCTION("""COMPUTED_VALUE"""),37.81)</f>
        <v/>
      </c>
      <c r="O241" s="45">
        <f>IFERROR(__xludf.DUMMYFUNCTION("""COMPUTED_VALUE"""),0.253)</f>
        <v/>
      </c>
      <c r="P241" s="45">
        <f>IFERROR(__xludf.DUMMYFUNCTION("""COMPUTED_VALUE"""),"Colombo, LK")</f>
        <v/>
      </c>
      <c r="Q241" s="45">
        <f>IFERROR(__xludf.DUMMYFUNCTION("""COMPUTED_VALUE"""),"New York, NY, US")</f>
        <v/>
      </c>
      <c r="R241" s="44">
        <f>IFERROR(__xludf.DUMMYFUNCTION("""COMPUTED_VALUE"""),45824)</f>
        <v/>
      </c>
      <c r="S241" s="44">
        <f>IFERROR(__xludf.DUMMYFUNCTION("""COMPUTED_VALUE"""),45883)</f>
        <v/>
      </c>
      <c r="T241" s="45">
        <f>IFERROR(__xludf.DUMMYFUNCTION("""COMPUTED_VALUE"""),"Mississauga, ON, CA")</f>
        <v/>
      </c>
      <c r="U241" s="45" t="n"/>
      <c r="V241" s="45" t="n"/>
      <c r="W241" s="45" t="n"/>
      <c r="X241" s="45" t="n"/>
      <c r="Y241" s="46">
        <f>IFERROR(__xludf.DUMMYFUNCTION("""COMPUTED_VALUE"""),45832)</f>
        <v/>
      </c>
      <c r="Z241" s="46">
        <f>IFERROR(__xludf.DUMMYFUNCTION("""COMPUTED_VALUE"""),45861)</f>
        <v/>
      </c>
      <c r="AA241" s="46">
        <f>IFERROR(__xludf.DUMMYFUNCTION("""COMPUTED_VALUE"""),45874)</f>
        <v/>
      </c>
      <c r="AB241" s="45">
        <f>IFERROR(__xludf.DUMMYFUNCTION("""COMPUTED_VALUE"""),"3500 Argentia Road")</f>
        <v/>
      </c>
      <c r="AC241" s="45" t="n"/>
      <c r="AD241" s="45">
        <f>IFERROR(__xludf.DUMMYFUNCTION("""COMPUTED_VALUE"""),"OCEAN")</f>
        <v/>
      </c>
      <c r="AE241" s="45">
        <f>IFERROR(__xludf.DUMMYFUNCTION("""COMPUTED_VALUE"""),"N")</f>
        <v/>
      </c>
      <c r="AF241" s="45" t="n"/>
      <c r="AG241" s="49">
        <f>IFERROR(__xludf.DUMMYFUNCTION("IFNA(vlookup(H241,IMPORTRANGE(""1vUGwO1n0QQGx9kKbO0_M5gmuhXZ6-LaxQxgrmJnzgP0"",""'TP# look up'!A:C""),3,0),"""")"),"")</f>
        <v/>
      </c>
      <c r="AH241" s="49">
        <f>LEFT(J241,2)</f>
        <v/>
      </c>
    </row>
    <row r="242" ht="12.75" customHeight="1">
      <c r="A242" s="45">
        <f>IFERROR(__xludf.DUMMYFUNCTION("""COMPUTED_VALUE"""),"Colombo")</f>
        <v/>
      </c>
      <c r="B242" s="45" t="n"/>
      <c r="C242" s="45">
        <f>IFERROR(__xludf.DUMMYFUNCTION("""COMPUTED_VALUE"""),3254506)</f>
        <v/>
      </c>
      <c r="D242" s="45" t="n"/>
      <c r="E242" s="45">
        <f>IFERROR(__xludf.DUMMYFUNCTION("""COMPUTED_VALUE"""),"CFS")</f>
        <v/>
      </c>
      <c r="F242" s="45">
        <f>IFERROR(__xludf.DUMMYFUNCTION("""COMPUTED_VALUE"""),"Inqube Global (PVT) Ltd")</f>
        <v/>
      </c>
      <c r="G242" s="45">
        <f>IFERROR(__xludf.DUMMYFUNCTION("""COMPUTED_VALUE"""),"BRANDIX APPAREL SOLUTION LTD - GIRITALE")</f>
        <v/>
      </c>
      <c r="H242" s="43">
        <f>IFERROR(__xludf.DUMMYFUNCTION("""COMPUTED_VALUE"""),452514184896)</f>
        <v/>
      </c>
      <c r="I242" s="45">
        <f>IFERROR(__xludf.DUMMYFUNCTION("""COMPUTED_VALUE"""),19856019)</f>
        <v/>
      </c>
      <c r="J242" s="45">
        <f>IFERROR(__xludf.DUMMYFUNCTION("""COMPUTED_VALUE"""),"LM5AQHS")</f>
        <v/>
      </c>
      <c r="K242" s="45">
        <f>IFERROR(__xludf.DUMMYFUNCTION("""COMPUTED_VALUE"""),"LM5AQHS-070108")</f>
        <v/>
      </c>
      <c r="L242" s="45">
        <f>IFERROR(__xludf.DUMMYFUNCTION("""COMPUTED_VALUE"""),9)</f>
        <v/>
      </c>
      <c r="M242" s="45">
        <f>IFERROR(__xludf.DUMMYFUNCTION("""COMPUTED_VALUE"""),248)</f>
        <v/>
      </c>
      <c r="N242" s="45">
        <f>IFERROR(__xludf.DUMMYFUNCTION("""COMPUTED_VALUE"""),112.39)</f>
        <v/>
      </c>
      <c r="O242" s="45">
        <f>IFERROR(__xludf.DUMMYFUNCTION("""COMPUTED_VALUE"""),0.663)</f>
        <v/>
      </c>
      <c r="P242" s="45">
        <f>IFERROR(__xludf.DUMMYFUNCTION("""COMPUTED_VALUE"""),"Colombo, LK")</f>
        <v/>
      </c>
      <c r="Q242" s="45">
        <f>IFERROR(__xludf.DUMMYFUNCTION("""COMPUTED_VALUE"""),"New York, NY, US")</f>
        <v/>
      </c>
      <c r="R242" s="44">
        <f>IFERROR(__xludf.DUMMYFUNCTION("""COMPUTED_VALUE"""),45824)</f>
        <v/>
      </c>
      <c r="S242" s="44">
        <f>IFERROR(__xludf.DUMMYFUNCTION("""COMPUTED_VALUE"""),45883)</f>
        <v/>
      </c>
      <c r="T242" s="45">
        <f>IFERROR(__xludf.DUMMYFUNCTION("""COMPUTED_VALUE"""),"Mississauga, ON, CA")</f>
        <v/>
      </c>
      <c r="U242" s="45" t="n"/>
      <c r="V242" s="45" t="n"/>
      <c r="W242" s="45" t="n"/>
      <c r="X242" s="45" t="n"/>
      <c r="Y242" s="46">
        <f>IFERROR(__xludf.DUMMYFUNCTION("""COMPUTED_VALUE"""),45832)</f>
        <v/>
      </c>
      <c r="Z242" s="46">
        <f>IFERROR(__xludf.DUMMYFUNCTION("""COMPUTED_VALUE"""),45861)</f>
        <v/>
      </c>
      <c r="AA242" s="46">
        <f>IFERROR(__xludf.DUMMYFUNCTION("""COMPUTED_VALUE"""),45874)</f>
        <v/>
      </c>
      <c r="AB242" s="45">
        <f>IFERROR(__xludf.DUMMYFUNCTION("""COMPUTED_VALUE"""),"3500 Argentia Road")</f>
        <v/>
      </c>
      <c r="AC242" s="45" t="n"/>
      <c r="AD242" s="45">
        <f>IFERROR(__xludf.DUMMYFUNCTION("""COMPUTED_VALUE"""),"OCEAN")</f>
        <v/>
      </c>
      <c r="AE242" s="45">
        <f>IFERROR(__xludf.DUMMYFUNCTION("""COMPUTED_VALUE"""),"N")</f>
        <v/>
      </c>
      <c r="AF242" s="45" t="n"/>
      <c r="AG242" s="49">
        <f>IFERROR(__xludf.DUMMYFUNCTION("IFNA(vlookup(H242,IMPORTRANGE(""1vUGwO1n0QQGx9kKbO0_M5gmuhXZ6-LaxQxgrmJnzgP0"",""'TP# look up'!A:C""),3,0),"""")"),"")</f>
        <v/>
      </c>
      <c r="AH242" s="49">
        <f>LEFT(J242,2)</f>
        <v/>
      </c>
    </row>
    <row r="243" ht="12.75" customHeight="1">
      <c r="A243" s="45">
        <f>IFERROR(__xludf.DUMMYFUNCTION("""COMPUTED_VALUE"""),"Colombo")</f>
        <v/>
      </c>
      <c r="B243" s="45" t="n"/>
      <c r="C243" s="45">
        <f>IFERROR(__xludf.DUMMYFUNCTION("""COMPUTED_VALUE"""),3254506)</f>
        <v/>
      </c>
      <c r="D243" s="45" t="n"/>
      <c r="E243" s="45">
        <f>IFERROR(__xludf.DUMMYFUNCTION("""COMPUTED_VALUE"""),"CFS")</f>
        <v/>
      </c>
      <c r="F243" s="45">
        <f>IFERROR(__xludf.DUMMYFUNCTION("""COMPUTED_VALUE"""),"Inqube Global (PVT) Ltd")</f>
        <v/>
      </c>
      <c r="G243" s="45">
        <f>IFERROR(__xludf.DUMMYFUNCTION("""COMPUTED_VALUE"""),"BRANDIX APPAREL SOLUTION LTD - GIRITALE")</f>
        <v/>
      </c>
      <c r="H243" s="43">
        <f>IFERROR(__xludf.DUMMYFUNCTION("""COMPUTED_VALUE"""),452514187247)</f>
        <v/>
      </c>
      <c r="I243" s="45">
        <f>IFERROR(__xludf.DUMMYFUNCTION("""COMPUTED_VALUE"""),19856055)</f>
        <v/>
      </c>
      <c r="J243" s="45">
        <f>IFERROR(__xludf.DUMMYFUNCTION("""COMPUTED_VALUE"""),"LM5AQMT")</f>
        <v/>
      </c>
      <c r="K243" s="45">
        <f>IFERROR(__xludf.DUMMYFUNCTION("""COMPUTED_VALUE"""),"LM5AQMT-019222")</f>
        <v/>
      </c>
      <c r="L243" s="45">
        <f>IFERROR(__xludf.DUMMYFUNCTION("""COMPUTED_VALUE"""),4)</f>
        <v/>
      </c>
      <c r="M243" s="45">
        <f>IFERROR(__xludf.DUMMYFUNCTION("""COMPUTED_VALUE"""),71)</f>
        <v/>
      </c>
      <c r="N243" s="45">
        <f>IFERROR(__xludf.DUMMYFUNCTION("""COMPUTED_VALUE"""),37.48)</f>
        <v/>
      </c>
      <c r="O243" s="45">
        <f>IFERROR(__xludf.DUMMYFUNCTION("""COMPUTED_VALUE"""),0.21)</f>
        <v/>
      </c>
      <c r="P243" s="45">
        <f>IFERROR(__xludf.DUMMYFUNCTION("""COMPUTED_VALUE"""),"Colombo, LK")</f>
        <v/>
      </c>
      <c r="Q243" s="45">
        <f>IFERROR(__xludf.DUMMYFUNCTION("""COMPUTED_VALUE"""),"New York, NY, US")</f>
        <v/>
      </c>
      <c r="R243" s="44">
        <f>IFERROR(__xludf.DUMMYFUNCTION("""COMPUTED_VALUE"""),45824)</f>
        <v/>
      </c>
      <c r="S243" s="44">
        <f>IFERROR(__xludf.DUMMYFUNCTION("""COMPUTED_VALUE"""),45883)</f>
        <v/>
      </c>
      <c r="T243" s="45">
        <f>IFERROR(__xludf.DUMMYFUNCTION("""COMPUTED_VALUE"""),"Mississauga, ON, CA")</f>
        <v/>
      </c>
      <c r="U243" s="45" t="n"/>
      <c r="V243" s="45" t="n"/>
      <c r="W243" s="45" t="n"/>
      <c r="X243" s="45" t="n"/>
      <c r="Y243" s="46">
        <f>IFERROR(__xludf.DUMMYFUNCTION("""COMPUTED_VALUE"""),45832)</f>
        <v/>
      </c>
      <c r="Z243" s="46">
        <f>IFERROR(__xludf.DUMMYFUNCTION("""COMPUTED_VALUE"""),45861)</f>
        <v/>
      </c>
      <c r="AA243" s="46">
        <f>IFERROR(__xludf.DUMMYFUNCTION("""COMPUTED_VALUE"""),45874)</f>
        <v/>
      </c>
      <c r="AB243" s="45">
        <f>IFERROR(__xludf.DUMMYFUNCTION("""COMPUTED_VALUE"""),"3500 Argentia Road")</f>
        <v/>
      </c>
      <c r="AC243" s="45" t="n"/>
      <c r="AD243" s="45">
        <f>IFERROR(__xludf.DUMMYFUNCTION("""COMPUTED_VALUE"""),"OCEAN")</f>
        <v/>
      </c>
      <c r="AE243" s="45">
        <f>IFERROR(__xludf.DUMMYFUNCTION("""COMPUTED_VALUE"""),"N")</f>
        <v/>
      </c>
      <c r="AF243" s="45" t="n"/>
      <c r="AG243" s="49">
        <f>IFERROR(__xludf.DUMMYFUNCTION("IFNA(vlookup(H243,IMPORTRANGE(""1vUGwO1n0QQGx9kKbO0_M5gmuhXZ6-LaxQxgrmJnzgP0"",""'TP# look up'!A:C""),3,0),"""")"),"")</f>
        <v/>
      </c>
      <c r="AH243" s="49">
        <f>LEFT(J243,2)</f>
        <v/>
      </c>
    </row>
    <row r="244" ht="12.75" customHeight="1">
      <c r="A244" s="45">
        <f>IFERROR(__xludf.DUMMYFUNCTION("""COMPUTED_VALUE"""),"Colombo")</f>
        <v/>
      </c>
      <c r="B244" s="45" t="n"/>
      <c r="C244" s="45">
        <f>IFERROR(__xludf.DUMMYFUNCTION("""COMPUTED_VALUE"""),3254506)</f>
        <v/>
      </c>
      <c r="D244" s="45" t="n"/>
      <c r="E244" s="45">
        <f>IFERROR(__xludf.DUMMYFUNCTION("""COMPUTED_VALUE"""),"CFS")</f>
        <v/>
      </c>
      <c r="F244" s="45">
        <f>IFERROR(__xludf.DUMMYFUNCTION("""COMPUTED_VALUE"""),"Inqube Global (PVT) Ltd")</f>
        <v/>
      </c>
      <c r="G244" s="45">
        <f>IFERROR(__xludf.DUMMYFUNCTION("""COMPUTED_VALUE"""),"BRANDIX APPAREL SOLUTION LTD - GIRITALE")</f>
        <v/>
      </c>
      <c r="H244" s="43">
        <f>IFERROR(__xludf.DUMMYFUNCTION("""COMPUTED_VALUE"""),452514909602)</f>
        <v/>
      </c>
      <c r="I244" s="45">
        <f>IFERROR(__xludf.DUMMYFUNCTION("""COMPUTED_VALUE"""),19856067)</f>
        <v/>
      </c>
      <c r="J244" s="45">
        <f>IFERROR(__xludf.DUMMYFUNCTION("""COMPUTED_VALUE"""),"LM5AQMT")</f>
        <v/>
      </c>
      <c r="K244" s="45">
        <f>IFERROR(__xludf.DUMMYFUNCTION("""COMPUTED_VALUE"""),"LM5AQMT-070108")</f>
        <v/>
      </c>
      <c r="L244" s="45">
        <f>IFERROR(__xludf.DUMMYFUNCTION("""COMPUTED_VALUE"""),4)</f>
        <v/>
      </c>
      <c r="M244" s="45">
        <f>IFERROR(__xludf.DUMMYFUNCTION("""COMPUTED_VALUE"""),75)</f>
        <v/>
      </c>
      <c r="N244" s="45">
        <f>IFERROR(__xludf.DUMMYFUNCTION("""COMPUTED_VALUE"""),39.38)</f>
        <v/>
      </c>
      <c r="O244" s="45">
        <f>IFERROR(__xludf.DUMMYFUNCTION("""COMPUTED_VALUE"""),0.21)</f>
        <v/>
      </c>
      <c r="P244" s="45">
        <f>IFERROR(__xludf.DUMMYFUNCTION("""COMPUTED_VALUE"""),"Colombo, LK")</f>
        <v/>
      </c>
      <c r="Q244" s="45">
        <f>IFERROR(__xludf.DUMMYFUNCTION("""COMPUTED_VALUE"""),"New York, NY, US")</f>
        <v/>
      </c>
      <c r="R244" s="44">
        <f>IFERROR(__xludf.DUMMYFUNCTION("""COMPUTED_VALUE"""),45824)</f>
        <v/>
      </c>
      <c r="S244" s="44">
        <f>IFERROR(__xludf.DUMMYFUNCTION("""COMPUTED_VALUE"""),45883)</f>
        <v/>
      </c>
      <c r="T244" s="45">
        <f>IFERROR(__xludf.DUMMYFUNCTION("""COMPUTED_VALUE"""),"Mississauga, ON, CA")</f>
        <v/>
      </c>
      <c r="U244" s="45" t="n"/>
      <c r="V244" s="45" t="n"/>
      <c r="W244" s="45" t="n"/>
      <c r="X244" s="45" t="n"/>
      <c r="Y244" s="46">
        <f>IFERROR(__xludf.DUMMYFUNCTION("""COMPUTED_VALUE"""),45832)</f>
        <v/>
      </c>
      <c r="Z244" s="46">
        <f>IFERROR(__xludf.DUMMYFUNCTION("""COMPUTED_VALUE"""),45861)</f>
        <v/>
      </c>
      <c r="AA244" s="46">
        <f>IFERROR(__xludf.DUMMYFUNCTION("""COMPUTED_VALUE"""),45874)</f>
        <v/>
      </c>
      <c r="AB244" s="45">
        <f>IFERROR(__xludf.DUMMYFUNCTION("""COMPUTED_VALUE"""),"3500 Argentia Road")</f>
        <v/>
      </c>
      <c r="AC244" s="45" t="n"/>
      <c r="AD244" s="45">
        <f>IFERROR(__xludf.DUMMYFUNCTION("""COMPUTED_VALUE"""),"OCEAN")</f>
        <v/>
      </c>
      <c r="AE244" s="45">
        <f>IFERROR(__xludf.DUMMYFUNCTION("""COMPUTED_VALUE"""),"N")</f>
        <v/>
      </c>
      <c r="AF244" s="45" t="n"/>
      <c r="AG244" s="49">
        <f>IFERROR(__xludf.DUMMYFUNCTION("IFNA(vlookup(H244,IMPORTRANGE(""1vUGwO1n0QQGx9kKbO0_M5gmuhXZ6-LaxQxgrmJnzgP0"",""'TP# look up'!A:C""),3,0),"""")"),"")</f>
        <v/>
      </c>
      <c r="AH244" s="49">
        <f>LEFT(J244,2)</f>
        <v/>
      </c>
    </row>
    <row r="245" ht="12.75" customHeight="1">
      <c r="A245" s="45">
        <f>IFERROR(__xludf.DUMMYFUNCTION("""COMPUTED_VALUE"""),"Colombo")</f>
        <v/>
      </c>
      <c r="B245" s="45" t="n"/>
      <c r="C245" s="45">
        <f>IFERROR(__xludf.DUMMYFUNCTION("""COMPUTED_VALUE"""),3254506)</f>
        <v/>
      </c>
      <c r="D245" s="45" t="n"/>
      <c r="E245" s="45">
        <f>IFERROR(__xludf.DUMMYFUNCTION("""COMPUTED_VALUE"""),"CFS")</f>
        <v/>
      </c>
      <c r="F245" s="45">
        <f>IFERROR(__xludf.DUMMYFUNCTION("""COMPUTED_VALUE"""),"Inqube Global (PVT) Ltd")</f>
        <v/>
      </c>
      <c r="G245" s="45">
        <f>IFERROR(__xludf.DUMMYFUNCTION("""COMPUTED_VALUE"""),"BRANDIX APPAREL SOLUTION LTD - GIRITALE")</f>
        <v/>
      </c>
      <c r="H245" s="43">
        <f>IFERROR(__xludf.DUMMYFUNCTION("""COMPUTED_VALUE"""),452516737431)</f>
        <v/>
      </c>
      <c r="I245" s="45">
        <f>IFERROR(__xludf.DUMMYFUNCTION("""COMPUTED_VALUE"""),19855823)</f>
        <v/>
      </c>
      <c r="J245" s="45">
        <f>IFERROR(__xludf.DUMMYFUNCTION("""COMPUTED_VALUE"""),"LM5BKOS")</f>
        <v/>
      </c>
      <c r="K245" s="45">
        <f>IFERROR(__xludf.DUMMYFUNCTION("""COMPUTED_VALUE"""),"LM5BKOS-0001")</f>
        <v/>
      </c>
      <c r="L245" s="45">
        <f>IFERROR(__xludf.DUMMYFUNCTION("""COMPUTED_VALUE"""),26)</f>
        <v/>
      </c>
      <c r="M245" s="45">
        <f>IFERROR(__xludf.DUMMYFUNCTION("""COMPUTED_VALUE"""),1166)</f>
        <v/>
      </c>
      <c r="N245" s="45">
        <f>IFERROR(__xludf.DUMMYFUNCTION("""COMPUTED_VALUE"""),461.72)</f>
        <v/>
      </c>
      <c r="O245" s="45">
        <f>IFERROR(__xludf.DUMMYFUNCTION("""COMPUTED_VALUE"""),2.146)</f>
        <v/>
      </c>
      <c r="P245" s="45">
        <f>IFERROR(__xludf.DUMMYFUNCTION("""COMPUTED_VALUE"""),"Colombo, LK")</f>
        <v/>
      </c>
      <c r="Q245" s="45">
        <f>IFERROR(__xludf.DUMMYFUNCTION("""COMPUTED_VALUE"""),"New York, NY, US")</f>
        <v/>
      </c>
      <c r="R245" s="44">
        <f>IFERROR(__xludf.DUMMYFUNCTION("""COMPUTED_VALUE"""),45824)</f>
        <v/>
      </c>
      <c r="S245" s="44">
        <f>IFERROR(__xludf.DUMMYFUNCTION("""COMPUTED_VALUE"""),45883)</f>
        <v/>
      </c>
      <c r="T245" s="45">
        <f>IFERROR(__xludf.DUMMYFUNCTION("""COMPUTED_VALUE"""),"Milton, ON, CA")</f>
        <v/>
      </c>
      <c r="U245" s="45" t="n"/>
      <c r="V245" s="45" t="n"/>
      <c r="W245" s="45" t="n"/>
      <c r="X245" s="45" t="n"/>
      <c r="Y245" s="46">
        <f>IFERROR(__xludf.DUMMYFUNCTION("""COMPUTED_VALUE"""),45832)</f>
        <v/>
      </c>
      <c r="Z245" s="46">
        <f>IFERROR(__xludf.DUMMYFUNCTION("""COMPUTED_VALUE"""),45861)</f>
        <v/>
      </c>
      <c r="AA245" s="46">
        <f>IFERROR(__xludf.DUMMYFUNCTION("""COMPUTED_VALUE"""),45874)</f>
        <v/>
      </c>
      <c r="AB245" s="45">
        <f>IFERROR(__xludf.DUMMYFUNCTION("""COMPUTED_VALUE"""),"7211 Fifth Line")</f>
        <v/>
      </c>
      <c r="AC245" s="45" t="n"/>
      <c r="AD245" s="45">
        <f>IFERROR(__xludf.DUMMYFUNCTION("""COMPUTED_VALUE"""),"OCEAN")</f>
        <v/>
      </c>
      <c r="AE245" s="45">
        <f>IFERROR(__xludf.DUMMYFUNCTION("""COMPUTED_VALUE"""),"N")</f>
        <v/>
      </c>
      <c r="AF245" s="45" t="n"/>
      <c r="AG245" s="49">
        <f>IFERROR(__xludf.DUMMYFUNCTION("IFNA(vlookup(H245,IMPORTRANGE(""1vUGwO1n0QQGx9kKbO0_M5gmuhXZ6-LaxQxgrmJnzgP0"",""'TP# look up'!A:C""),3,0),"""")"),"")</f>
        <v/>
      </c>
      <c r="AH245" s="49">
        <f>LEFT(J245,2)</f>
        <v/>
      </c>
    </row>
    <row r="246" ht="12.75" customHeight="1">
      <c r="A246" s="45">
        <f>IFERROR(__xludf.DUMMYFUNCTION("""COMPUTED_VALUE"""),"Colombo")</f>
        <v/>
      </c>
      <c r="B246" s="45" t="n"/>
      <c r="C246" s="45">
        <f>IFERROR(__xludf.DUMMYFUNCTION("""COMPUTED_VALUE"""),3254506)</f>
        <v/>
      </c>
      <c r="D246" s="45" t="n"/>
      <c r="E246" s="45">
        <f>IFERROR(__xludf.DUMMYFUNCTION("""COMPUTED_VALUE"""),"CFS")</f>
        <v/>
      </c>
      <c r="F246" s="45">
        <f>IFERROR(__xludf.DUMMYFUNCTION("""COMPUTED_VALUE"""),"Inqube Global (PVT) Ltd")</f>
        <v/>
      </c>
      <c r="G246" s="45">
        <f>IFERROR(__xludf.DUMMYFUNCTION("""COMPUTED_VALUE"""),"BRANDIX APPAREL SOLUTION LTD - GIRITALE")</f>
        <v/>
      </c>
      <c r="H246" s="43">
        <f>IFERROR(__xludf.DUMMYFUNCTION("""COMPUTED_VALUE"""),452517477928)</f>
        <v/>
      </c>
      <c r="I246" s="45">
        <f>IFERROR(__xludf.DUMMYFUNCTION("""COMPUTED_VALUE"""),19855825)</f>
        <v/>
      </c>
      <c r="J246" s="45">
        <f>IFERROR(__xludf.DUMMYFUNCTION("""COMPUTED_VALUE"""),"LM5BKOS")</f>
        <v/>
      </c>
      <c r="K246" s="45">
        <f>IFERROR(__xludf.DUMMYFUNCTION("""COMPUTED_VALUE"""),"LM5BKOS-031382")</f>
        <v/>
      </c>
      <c r="L246" s="45">
        <f>IFERROR(__xludf.DUMMYFUNCTION("""COMPUTED_VALUE"""),21)</f>
        <v/>
      </c>
      <c r="M246" s="45">
        <f>IFERROR(__xludf.DUMMYFUNCTION("""COMPUTED_VALUE"""),880)</f>
        <v/>
      </c>
      <c r="N246" s="45">
        <f>IFERROR(__xludf.DUMMYFUNCTION("""COMPUTED_VALUE"""),350.46)</f>
        <v/>
      </c>
      <c r="O246" s="45">
        <f>IFERROR(__xludf.DUMMYFUNCTION("""COMPUTED_VALUE"""),1.693)</f>
        <v/>
      </c>
      <c r="P246" s="45">
        <f>IFERROR(__xludf.DUMMYFUNCTION("""COMPUTED_VALUE"""),"Colombo, LK")</f>
        <v/>
      </c>
      <c r="Q246" s="45">
        <f>IFERROR(__xludf.DUMMYFUNCTION("""COMPUTED_VALUE"""),"New York, NY, US")</f>
        <v/>
      </c>
      <c r="R246" s="44">
        <f>IFERROR(__xludf.DUMMYFUNCTION("""COMPUTED_VALUE"""),45824)</f>
        <v/>
      </c>
      <c r="S246" s="44">
        <f>IFERROR(__xludf.DUMMYFUNCTION("""COMPUTED_VALUE"""),45883)</f>
        <v/>
      </c>
      <c r="T246" s="45">
        <f>IFERROR(__xludf.DUMMYFUNCTION("""COMPUTED_VALUE"""),"Milton, ON, CA")</f>
        <v/>
      </c>
      <c r="U246" s="45" t="n"/>
      <c r="V246" s="45" t="n"/>
      <c r="W246" s="45" t="n"/>
      <c r="X246" s="45" t="n"/>
      <c r="Y246" s="46">
        <f>IFERROR(__xludf.DUMMYFUNCTION("""COMPUTED_VALUE"""),45832)</f>
        <v/>
      </c>
      <c r="Z246" s="46">
        <f>IFERROR(__xludf.DUMMYFUNCTION("""COMPUTED_VALUE"""),45861)</f>
        <v/>
      </c>
      <c r="AA246" s="46">
        <f>IFERROR(__xludf.DUMMYFUNCTION("""COMPUTED_VALUE"""),45874)</f>
        <v/>
      </c>
      <c r="AB246" s="45">
        <f>IFERROR(__xludf.DUMMYFUNCTION("""COMPUTED_VALUE"""),"7211 Fifth Line")</f>
        <v/>
      </c>
      <c r="AC246" s="45" t="n"/>
      <c r="AD246" s="45">
        <f>IFERROR(__xludf.DUMMYFUNCTION("""COMPUTED_VALUE"""),"OCEAN")</f>
        <v/>
      </c>
      <c r="AE246" s="45">
        <f>IFERROR(__xludf.DUMMYFUNCTION("""COMPUTED_VALUE"""),"N")</f>
        <v/>
      </c>
      <c r="AF246" s="45" t="n"/>
      <c r="AG246" s="49">
        <f>IFERROR(__xludf.DUMMYFUNCTION("IFNA(vlookup(H246,IMPORTRANGE(""1vUGwO1n0QQGx9kKbO0_M5gmuhXZ6-LaxQxgrmJnzgP0"",""'TP# look up'!A:C""),3,0),"""")"),"")</f>
        <v/>
      </c>
      <c r="AH246" s="49">
        <f>LEFT(J246,2)</f>
        <v/>
      </c>
    </row>
    <row r="247" ht="12.75" customHeight="1">
      <c r="A247" s="45">
        <f>IFERROR(__xludf.DUMMYFUNCTION("""COMPUTED_VALUE"""),"Colombo")</f>
        <v/>
      </c>
      <c r="B247" s="45" t="n"/>
      <c r="C247" s="45">
        <f>IFERROR(__xludf.DUMMYFUNCTION("""COMPUTED_VALUE"""),3254506)</f>
        <v/>
      </c>
      <c r="D247" s="45" t="n"/>
      <c r="E247" s="45">
        <f>IFERROR(__xludf.DUMMYFUNCTION("""COMPUTED_VALUE"""),"CFS")</f>
        <v/>
      </c>
      <c r="F247" s="45">
        <f>IFERROR(__xludf.DUMMYFUNCTION("""COMPUTED_VALUE"""),"Inqube Global (PVT) Ltd")</f>
        <v/>
      </c>
      <c r="G247" s="45">
        <f>IFERROR(__xludf.DUMMYFUNCTION("""COMPUTED_VALUE"""),"Brandix Apparel Solutions Limited - Minuwangoda")</f>
        <v/>
      </c>
      <c r="H247" s="43">
        <f>IFERROR(__xludf.DUMMYFUNCTION("""COMPUTED_VALUE"""),452016338555)</f>
        <v/>
      </c>
      <c r="I247" s="45">
        <f>IFERROR(__xludf.DUMMYFUNCTION("""COMPUTED_VALUE"""),19897678)</f>
        <v/>
      </c>
      <c r="J247" s="45">
        <f>IFERROR(__xludf.DUMMYFUNCTION("""COMPUTED_VALUE"""),"LW5GLNS")</f>
        <v/>
      </c>
      <c r="K247" s="45">
        <f>IFERROR(__xludf.DUMMYFUNCTION("""COMPUTED_VALUE"""),"LW5GLNS-031382")</f>
        <v/>
      </c>
      <c r="L247" s="45">
        <f>IFERROR(__xludf.DUMMYFUNCTION("""COMPUTED_VALUE"""),13)</f>
        <v/>
      </c>
      <c r="M247" s="45">
        <f>IFERROR(__xludf.DUMMYFUNCTION("""COMPUTED_VALUE"""),265)</f>
        <v/>
      </c>
      <c r="N247" s="45">
        <f>IFERROR(__xludf.DUMMYFUNCTION("""COMPUTED_VALUE"""),142.51)</f>
        <v/>
      </c>
      <c r="O247" s="45">
        <f>IFERROR(__xludf.DUMMYFUNCTION("""COMPUTED_VALUE"""),1.021)</f>
        <v/>
      </c>
      <c r="P247" s="45">
        <f>IFERROR(__xludf.DUMMYFUNCTION("""COMPUTED_VALUE"""),"Colombo, LK")</f>
        <v/>
      </c>
      <c r="Q247" s="45">
        <f>IFERROR(__xludf.DUMMYFUNCTION("""COMPUTED_VALUE"""),"New York, NY, US")</f>
        <v/>
      </c>
      <c r="R247" s="44">
        <f>IFERROR(__xludf.DUMMYFUNCTION("""COMPUTED_VALUE"""),45824)</f>
        <v/>
      </c>
      <c r="S247" s="44">
        <f>IFERROR(__xludf.DUMMYFUNCTION("""COMPUTED_VALUE"""),45883)</f>
        <v/>
      </c>
      <c r="T247" s="45">
        <f>IFERROR(__xludf.DUMMYFUNCTION("""COMPUTED_VALUE"""),"Milton, ON, CA")</f>
        <v/>
      </c>
      <c r="U247" s="45" t="n"/>
      <c r="V247" s="45" t="n"/>
      <c r="W247" s="45" t="n"/>
      <c r="X247" s="45" t="n"/>
      <c r="Y247" s="46">
        <f>IFERROR(__xludf.DUMMYFUNCTION("""COMPUTED_VALUE"""),45832)</f>
        <v/>
      </c>
      <c r="Z247" s="46">
        <f>IFERROR(__xludf.DUMMYFUNCTION("""COMPUTED_VALUE"""),45861)</f>
        <v/>
      </c>
      <c r="AA247" s="46">
        <f>IFERROR(__xludf.DUMMYFUNCTION("""COMPUTED_VALUE"""),45874)</f>
        <v/>
      </c>
      <c r="AB247" s="45">
        <f>IFERROR(__xludf.DUMMYFUNCTION("""COMPUTED_VALUE"""),"7211 Fifth Line")</f>
        <v/>
      </c>
      <c r="AC247" s="45" t="n"/>
      <c r="AD247" s="45">
        <f>IFERROR(__xludf.DUMMYFUNCTION("""COMPUTED_VALUE"""),"OCEAN")</f>
        <v/>
      </c>
      <c r="AE247" s="45">
        <f>IFERROR(__xludf.DUMMYFUNCTION("""COMPUTED_VALUE"""),"N")</f>
        <v/>
      </c>
      <c r="AF247" s="45" t="n"/>
      <c r="AG247" s="49">
        <f>IFERROR(__xludf.DUMMYFUNCTION("IFNA(vlookup(H247,IMPORTRANGE(""1vUGwO1n0QQGx9kKbO0_M5gmuhXZ6-LaxQxgrmJnzgP0"",""'TP# look up'!A:C""),3,0),"""")"),"")</f>
        <v/>
      </c>
      <c r="AH247" s="49">
        <f>LEFT(J247,2)</f>
        <v/>
      </c>
    </row>
    <row r="248" ht="12.75" customHeight="1">
      <c r="A248" s="45">
        <f>IFERROR(__xludf.DUMMYFUNCTION("""COMPUTED_VALUE"""),"Colombo")</f>
        <v/>
      </c>
      <c r="B248" s="45" t="n"/>
      <c r="C248" s="45">
        <f>IFERROR(__xludf.DUMMYFUNCTION("""COMPUTED_VALUE"""),3254506)</f>
        <v/>
      </c>
      <c r="D248" s="45" t="n"/>
      <c r="E248" s="45">
        <f>IFERROR(__xludf.DUMMYFUNCTION("""COMPUTED_VALUE"""),"CFS")</f>
        <v/>
      </c>
      <c r="F248" s="45">
        <f>IFERROR(__xludf.DUMMYFUNCTION("""COMPUTED_VALUE"""),"Inqube Global (PVT) Ltd")</f>
        <v/>
      </c>
      <c r="G248" s="45">
        <f>IFERROR(__xludf.DUMMYFUNCTION("""COMPUTED_VALUE"""),"Brandix Apparel Solutions Limited - Minuwangoda")</f>
        <v/>
      </c>
      <c r="H248" s="43">
        <f>IFERROR(__xludf.DUMMYFUNCTION("""COMPUTED_VALUE"""),452017063440)</f>
        <v/>
      </c>
      <c r="I248" s="45">
        <f>IFERROR(__xludf.DUMMYFUNCTION("""COMPUTED_VALUE"""),19897689)</f>
        <v/>
      </c>
      <c r="J248" s="45">
        <f>IFERROR(__xludf.DUMMYFUNCTION("""COMPUTED_VALUE"""),"LW5GLNS")</f>
        <v/>
      </c>
      <c r="K248" s="45">
        <f>IFERROR(__xludf.DUMMYFUNCTION("""COMPUTED_VALUE"""),"LW5GLNS-071195")</f>
        <v/>
      </c>
      <c r="L248" s="45">
        <f>IFERROR(__xludf.DUMMYFUNCTION("""COMPUTED_VALUE"""),28)</f>
        <v/>
      </c>
      <c r="M248" s="45">
        <f>IFERROR(__xludf.DUMMYFUNCTION("""COMPUTED_VALUE"""),596)</f>
        <v/>
      </c>
      <c r="N248" s="45">
        <f>IFERROR(__xludf.DUMMYFUNCTION("""COMPUTED_VALUE"""),302.33)</f>
        <v/>
      </c>
      <c r="O248" s="45">
        <f>IFERROR(__xludf.DUMMYFUNCTION("""COMPUTED_VALUE"""),2.198)</f>
        <v/>
      </c>
      <c r="P248" s="45">
        <f>IFERROR(__xludf.DUMMYFUNCTION("""COMPUTED_VALUE"""),"Colombo, LK")</f>
        <v/>
      </c>
      <c r="Q248" s="45">
        <f>IFERROR(__xludf.DUMMYFUNCTION("""COMPUTED_VALUE"""),"New York, NY, US")</f>
        <v/>
      </c>
      <c r="R248" s="44">
        <f>IFERROR(__xludf.DUMMYFUNCTION("""COMPUTED_VALUE"""),45824)</f>
        <v/>
      </c>
      <c r="S248" s="44">
        <f>IFERROR(__xludf.DUMMYFUNCTION("""COMPUTED_VALUE"""),45883)</f>
        <v/>
      </c>
      <c r="T248" s="45">
        <f>IFERROR(__xludf.DUMMYFUNCTION("""COMPUTED_VALUE"""),"Milton, ON, CA")</f>
        <v/>
      </c>
      <c r="U248" s="45" t="n"/>
      <c r="V248" s="45" t="n"/>
      <c r="W248" s="45" t="n"/>
      <c r="X248" s="45" t="n"/>
      <c r="Y248" s="46">
        <f>IFERROR(__xludf.DUMMYFUNCTION("""COMPUTED_VALUE"""),45832)</f>
        <v/>
      </c>
      <c r="Z248" s="46">
        <f>IFERROR(__xludf.DUMMYFUNCTION("""COMPUTED_VALUE"""),45861)</f>
        <v/>
      </c>
      <c r="AA248" s="46">
        <f>IFERROR(__xludf.DUMMYFUNCTION("""COMPUTED_VALUE"""),45874)</f>
        <v/>
      </c>
      <c r="AB248" s="45">
        <f>IFERROR(__xludf.DUMMYFUNCTION("""COMPUTED_VALUE"""),"7211 Fifth Line")</f>
        <v/>
      </c>
      <c r="AC248" s="45" t="n"/>
      <c r="AD248" s="45">
        <f>IFERROR(__xludf.DUMMYFUNCTION("""COMPUTED_VALUE"""),"OCEAN")</f>
        <v/>
      </c>
      <c r="AE248" s="45">
        <f>IFERROR(__xludf.DUMMYFUNCTION("""COMPUTED_VALUE"""),"N")</f>
        <v/>
      </c>
      <c r="AF248" s="45" t="n"/>
      <c r="AG248" s="49">
        <f>IFERROR(__xludf.DUMMYFUNCTION("IFNA(vlookup(H248,IMPORTRANGE(""1vUGwO1n0QQGx9kKbO0_M5gmuhXZ6-LaxQxgrmJnzgP0"",""'TP# look up'!A:C""),3,0),"""")"),"")</f>
        <v/>
      </c>
      <c r="AH248" s="49">
        <f>LEFT(J248,2)</f>
        <v/>
      </c>
    </row>
    <row r="249" ht="12.75" customHeight="1">
      <c r="A249" s="45">
        <f>IFERROR(__xludf.DUMMYFUNCTION("""COMPUTED_VALUE"""),"Colombo")</f>
        <v/>
      </c>
      <c r="B249" s="45" t="n"/>
      <c r="C249" s="45">
        <f>IFERROR(__xludf.DUMMYFUNCTION("""COMPUTED_VALUE"""),3254506)</f>
        <v/>
      </c>
      <c r="D249" s="45" t="n"/>
      <c r="E249" s="45">
        <f>IFERROR(__xludf.DUMMYFUNCTION("""COMPUTED_VALUE"""),"CFS")</f>
        <v/>
      </c>
      <c r="F249" s="45">
        <f>IFERROR(__xludf.DUMMYFUNCTION("""COMPUTED_VALUE"""),"Inqube Global (PVT) Ltd")</f>
        <v/>
      </c>
      <c r="G249" s="45">
        <f>IFERROR(__xludf.DUMMYFUNCTION("""COMPUTED_VALUE"""),"Brandix Apparel Solutions Limited - Minuwangoda")</f>
        <v/>
      </c>
      <c r="H249" s="43">
        <f>IFERROR(__xludf.DUMMYFUNCTION("""COMPUTED_VALUE"""),452020198265)</f>
        <v/>
      </c>
      <c r="I249" s="45">
        <f>IFERROR(__xludf.DUMMYFUNCTION("""COMPUTED_VALUE"""),19910305)</f>
        <v/>
      </c>
      <c r="J249" s="45">
        <f>IFERROR(__xludf.DUMMYFUNCTION("""COMPUTED_VALUE"""),"LW5GLNS")</f>
        <v/>
      </c>
      <c r="K249" s="45">
        <f>IFERROR(__xludf.DUMMYFUNCTION("""COMPUTED_VALUE"""),"LW5GLNS-071195")</f>
        <v/>
      </c>
      <c r="L249" s="45">
        <f>IFERROR(__xludf.DUMMYFUNCTION("""COMPUTED_VALUE"""),14)</f>
        <v/>
      </c>
      <c r="M249" s="45">
        <f>IFERROR(__xludf.DUMMYFUNCTION("""COMPUTED_VALUE"""),280)</f>
        <v/>
      </c>
      <c r="N249" s="45">
        <f>IFERROR(__xludf.DUMMYFUNCTION("""COMPUTED_VALUE"""),142.26)</f>
        <v/>
      </c>
      <c r="O249" s="45">
        <f>IFERROR(__xludf.DUMMYFUNCTION("""COMPUTED_VALUE"""),1.099)</f>
        <v/>
      </c>
      <c r="P249" s="45">
        <f>IFERROR(__xludf.DUMMYFUNCTION("""COMPUTED_VALUE"""),"Colombo, LK")</f>
        <v/>
      </c>
      <c r="Q249" s="45">
        <f>IFERROR(__xludf.DUMMYFUNCTION("""COMPUTED_VALUE"""),"New York, NY, US")</f>
        <v/>
      </c>
      <c r="R249" s="44">
        <f>IFERROR(__xludf.DUMMYFUNCTION("""COMPUTED_VALUE"""),45824)</f>
        <v/>
      </c>
      <c r="S249" s="44">
        <f>IFERROR(__xludf.DUMMYFUNCTION("""COMPUTED_VALUE"""),45883)</f>
        <v/>
      </c>
      <c r="T249" s="45">
        <f>IFERROR(__xludf.DUMMYFUNCTION("""COMPUTED_VALUE"""),"Mississauga, ON, CA")</f>
        <v/>
      </c>
      <c r="U249" s="45" t="n"/>
      <c r="V249" s="45" t="n"/>
      <c r="W249" s="45" t="n"/>
      <c r="X249" s="45" t="n"/>
      <c r="Y249" s="46">
        <f>IFERROR(__xludf.DUMMYFUNCTION("""COMPUTED_VALUE"""),45832)</f>
        <v/>
      </c>
      <c r="Z249" s="46">
        <f>IFERROR(__xludf.DUMMYFUNCTION("""COMPUTED_VALUE"""),45861)</f>
        <v/>
      </c>
      <c r="AA249" s="46">
        <f>IFERROR(__xludf.DUMMYFUNCTION("""COMPUTED_VALUE"""),45874)</f>
        <v/>
      </c>
      <c r="AB249" s="45">
        <f>IFERROR(__xludf.DUMMYFUNCTION("""COMPUTED_VALUE"""),"3500 Argentia Road")</f>
        <v/>
      </c>
      <c r="AC249" s="45" t="n"/>
      <c r="AD249" s="45">
        <f>IFERROR(__xludf.DUMMYFUNCTION("""COMPUTED_VALUE"""),"OCEAN")</f>
        <v/>
      </c>
      <c r="AE249" s="45">
        <f>IFERROR(__xludf.DUMMYFUNCTION("""COMPUTED_VALUE"""),"N")</f>
        <v/>
      </c>
      <c r="AF249" s="45" t="n"/>
      <c r="AG249" s="49">
        <f>IFERROR(__xludf.DUMMYFUNCTION("IFNA(vlookup(H249,IMPORTRANGE(""1vUGwO1n0QQGx9kKbO0_M5gmuhXZ6-LaxQxgrmJnzgP0"",""'TP# look up'!A:C""),3,0),"""")"),"")</f>
        <v/>
      </c>
      <c r="AH249" s="49">
        <f>LEFT(J249,2)</f>
        <v/>
      </c>
    </row>
    <row r="250" ht="12.75" customHeight="1">
      <c r="A250" s="45">
        <f>IFERROR(__xludf.DUMMYFUNCTION("""COMPUTED_VALUE"""),"Colombo")</f>
        <v/>
      </c>
      <c r="B250" s="45" t="n"/>
      <c r="C250" s="45">
        <f>IFERROR(__xludf.DUMMYFUNCTION("""COMPUTED_VALUE"""),3254506)</f>
        <v/>
      </c>
      <c r="D250" s="45" t="n"/>
      <c r="E250" s="45">
        <f>IFERROR(__xludf.DUMMYFUNCTION("""COMPUTED_VALUE"""),"CFS")</f>
        <v/>
      </c>
      <c r="F250" s="45">
        <f>IFERROR(__xludf.DUMMYFUNCTION("""COMPUTED_VALUE"""),"Inqube Global (PVT) Ltd")</f>
        <v/>
      </c>
      <c r="G250" s="45">
        <f>IFERROR(__xludf.DUMMYFUNCTION("""COMPUTED_VALUE"""),"Brandix Apparel Solutions Limited - Minuwangoda")</f>
        <v/>
      </c>
      <c r="H250" s="43">
        <f>IFERROR(__xludf.DUMMYFUNCTION("""COMPUTED_VALUE"""),452020642697)</f>
        <v/>
      </c>
      <c r="I250" s="45">
        <f>IFERROR(__xludf.DUMMYFUNCTION("""COMPUTED_VALUE"""),19933127)</f>
        <v/>
      </c>
      <c r="J250" s="45">
        <f>IFERROR(__xludf.DUMMYFUNCTION("""COMPUTED_VALUE"""),"LM3DK7S")</f>
        <v/>
      </c>
      <c r="K250" s="45">
        <f>IFERROR(__xludf.DUMMYFUNCTION("""COMPUTED_VALUE"""),"LM3DK7S-058320")</f>
        <v/>
      </c>
      <c r="L250" s="45">
        <f>IFERROR(__xludf.DUMMYFUNCTION("""COMPUTED_VALUE"""),8)</f>
        <v/>
      </c>
      <c r="M250" s="45">
        <f>IFERROR(__xludf.DUMMYFUNCTION("""COMPUTED_VALUE"""),343)</f>
        <v/>
      </c>
      <c r="N250" s="45">
        <f>IFERROR(__xludf.DUMMYFUNCTION("""COMPUTED_VALUE"""),93.65)</f>
        <v/>
      </c>
      <c r="O250" s="45">
        <f>IFERROR(__xludf.DUMMYFUNCTION("""COMPUTED_VALUE"""),0.628)</f>
        <v/>
      </c>
      <c r="P250" s="45">
        <f>IFERROR(__xludf.DUMMYFUNCTION("""COMPUTED_VALUE"""),"Colombo, LK")</f>
        <v/>
      </c>
      <c r="Q250" s="45">
        <f>IFERROR(__xludf.DUMMYFUNCTION("""COMPUTED_VALUE"""),"New York, NY, US")</f>
        <v/>
      </c>
      <c r="R250" s="44">
        <f>IFERROR(__xludf.DUMMYFUNCTION("""COMPUTED_VALUE"""),45824)</f>
        <v/>
      </c>
      <c r="S250" s="44">
        <f>IFERROR(__xludf.DUMMYFUNCTION("""COMPUTED_VALUE"""),45883)</f>
        <v/>
      </c>
      <c r="T250" s="45">
        <f>IFERROR(__xludf.DUMMYFUNCTION("""COMPUTED_VALUE"""),"Mississauga, ON, CA")</f>
        <v/>
      </c>
      <c r="U250" s="45" t="n"/>
      <c r="V250" s="45" t="n"/>
      <c r="W250" s="45" t="n"/>
      <c r="X250" s="45" t="n"/>
      <c r="Y250" s="46">
        <f>IFERROR(__xludf.DUMMYFUNCTION("""COMPUTED_VALUE"""),45832)</f>
        <v/>
      </c>
      <c r="Z250" s="46">
        <f>IFERROR(__xludf.DUMMYFUNCTION("""COMPUTED_VALUE"""),45861)</f>
        <v/>
      </c>
      <c r="AA250" s="46">
        <f>IFERROR(__xludf.DUMMYFUNCTION("""COMPUTED_VALUE"""),45874)</f>
        <v/>
      </c>
      <c r="AB250" s="45">
        <f>IFERROR(__xludf.DUMMYFUNCTION("""COMPUTED_VALUE"""),"3500 Argentia Road")</f>
        <v/>
      </c>
      <c r="AC250" s="45" t="n"/>
      <c r="AD250" s="45">
        <f>IFERROR(__xludf.DUMMYFUNCTION("""COMPUTED_VALUE"""),"OCEAN")</f>
        <v/>
      </c>
      <c r="AE250" s="45">
        <f>IFERROR(__xludf.DUMMYFUNCTION("""COMPUTED_VALUE"""),"N")</f>
        <v/>
      </c>
      <c r="AF250" s="45" t="n"/>
      <c r="AG250" s="49">
        <f>IFERROR(__xludf.DUMMYFUNCTION("IFNA(vlookup(H250,IMPORTRANGE(""1vUGwO1n0QQGx9kKbO0_M5gmuhXZ6-LaxQxgrmJnzgP0"",""'TP# look up'!A:C""),3,0),"""")"),"")</f>
        <v/>
      </c>
      <c r="AH250" s="49">
        <f>LEFT(J250,2)</f>
        <v/>
      </c>
    </row>
    <row r="251" ht="12.75" customHeight="1">
      <c r="A251" s="45">
        <f>IFERROR(__xludf.DUMMYFUNCTION("""COMPUTED_VALUE"""),"Colombo")</f>
        <v/>
      </c>
      <c r="B251" s="45" t="n"/>
      <c r="C251" s="45">
        <f>IFERROR(__xludf.DUMMYFUNCTION("""COMPUTED_VALUE"""),3254506)</f>
        <v/>
      </c>
      <c r="D251" s="45" t="n"/>
      <c r="E251" s="45">
        <f>IFERROR(__xludf.DUMMYFUNCTION("""COMPUTED_VALUE"""),"CFS")</f>
        <v/>
      </c>
      <c r="F251" s="45">
        <f>IFERROR(__xludf.DUMMYFUNCTION("""COMPUTED_VALUE"""),"Inqube Global (PVT) Ltd")</f>
        <v/>
      </c>
      <c r="G251" s="45">
        <f>IFERROR(__xludf.DUMMYFUNCTION("""COMPUTED_VALUE"""),"Brandix Apparel Solutions Limited - Minuwangoda")</f>
        <v/>
      </c>
      <c r="H251" s="43">
        <f>IFERROR(__xludf.DUMMYFUNCTION("""COMPUTED_VALUE"""),452021328446)</f>
        <v/>
      </c>
      <c r="I251" s="45">
        <f>IFERROR(__xludf.DUMMYFUNCTION("""COMPUTED_VALUE"""),19933357)</f>
        <v/>
      </c>
      <c r="J251" s="45">
        <f>IFERROR(__xludf.DUMMYFUNCTION("""COMPUTED_VALUE"""),"LM3DK7S")</f>
        <v/>
      </c>
      <c r="K251" s="45">
        <f>IFERROR(__xludf.DUMMYFUNCTION("""COMPUTED_VALUE"""),"LM3DK7S-058320")</f>
        <v/>
      </c>
      <c r="L251" s="45">
        <f>IFERROR(__xludf.DUMMYFUNCTION("""COMPUTED_VALUE"""),6)</f>
        <v/>
      </c>
      <c r="M251" s="45">
        <f>IFERROR(__xludf.DUMMYFUNCTION("""COMPUTED_VALUE"""),279)</f>
        <v/>
      </c>
      <c r="N251" s="45">
        <f>IFERROR(__xludf.DUMMYFUNCTION("""COMPUTED_VALUE"""),76)</f>
        <v/>
      </c>
      <c r="O251" s="45">
        <f>IFERROR(__xludf.DUMMYFUNCTION("""COMPUTED_VALUE"""),0.471)</f>
        <v/>
      </c>
      <c r="P251" s="45">
        <f>IFERROR(__xludf.DUMMYFUNCTION("""COMPUTED_VALUE"""),"Colombo, LK")</f>
        <v/>
      </c>
      <c r="Q251" s="45">
        <f>IFERROR(__xludf.DUMMYFUNCTION("""COMPUTED_VALUE"""),"New York, NY, US")</f>
        <v/>
      </c>
      <c r="R251" s="44">
        <f>IFERROR(__xludf.DUMMYFUNCTION("""COMPUTED_VALUE"""),45824)</f>
        <v/>
      </c>
      <c r="S251" s="44">
        <f>IFERROR(__xludf.DUMMYFUNCTION("""COMPUTED_VALUE"""),45883)</f>
        <v/>
      </c>
      <c r="T251" s="45">
        <f>IFERROR(__xludf.DUMMYFUNCTION("""COMPUTED_VALUE"""),"Mississauga, ON, CA")</f>
        <v/>
      </c>
      <c r="U251" s="45" t="n"/>
      <c r="V251" s="45" t="n"/>
      <c r="W251" s="45" t="n"/>
      <c r="X251" s="45" t="n"/>
      <c r="Y251" s="46">
        <f>IFERROR(__xludf.DUMMYFUNCTION("""COMPUTED_VALUE"""),45832)</f>
        <v/>
      </c>
      <c r="Z251" s="46">
        <f>IFERROR(__xludf.DUMMYFUNCTION("""COMPUTED_VALUE"""),45861)</f>
        <v/>
      </c>
      <c r="AA251" s="46">
        <f>IFERROR(__xludf.DUMMYFUNCTION("""COMPUTED_VALUE"""),45874)</f>
        <v/>
      </c>
      <c r="AB251" s="45">
        <f>IFERROR(__xludf.DUMMYFUNCTION("""COMPUTED_VALUE"""),"3500 Argentia Road")</f>
        <v/>
      </c>
      <c r="AC251" s="45" t="n"/>
      <c r="AD251" s="45">
        <f>IFERROR(__xludf.DUMMYFUNCTION("""COMPUTED_VALUE"""),"OCEAN")</f>
        <v/>
      </c>
      <c r="AE251" s="45">
        <f>IFERROR(__xludf.DUMMYFUNCTION("""COMPUTED_VALUE"""),"N")</f>
        <v/>
      </c>
      <c r="AF251" s="45" t="n"/>
      <c r="AG251" s="49">
        <f>IFERROR(__xludf.DUMMYFUNCTION("IFNA(vlookup(H251,IMPORTRANGE(""1vUGwO1n0QQGx9kKbO0_M5gmuhXZ6-LaxQxgrmJnzgP0"",""'TP# look up'!A:C""),3,0),"""")"),"")</f>
        <v/>
      </c>
      <c r="AH251" s="49">
        <f>LEFT(J251,2)</f>
        <v/>
      </c>
    </row>
    <row r="252" ht="12.75" customHeight="1">
      <c r="A252" s="45">
        <f>IFERROR(__xludf.DUMMYFUNCTION("""COMPUTED_VALUE"""),"Colombo")</f>
        <v/>
      </c>
      <c r="B252" s="45" t="n"/>
      <c r="C252" s="45">
        <f>IFERROR(__xludf.DUMMYFUNCTION("""COMPUTED_VALUE"""),3254506)</f>
        <v/>
      </c>
      <c r="D252" s="45" t="n"/>
      <c r="E252" s="45">
        <f>IFERROR(__xludf.DUMMYFUNCTION("""COMPUTED_VALUE"""),"CFS")</f>
        <v/>
      </c>
      <c r="F252" s="45">
        <f>IFERROR(__xludf.DUMMYFUNCTION("""COMPUTED_VALUE"""),"Inqube Global (PVT) Ltd")</f>
        <v/>
      </c>
      <c r="G252" s="45">
        <f>IFERROR(__xludf.DUMMYFUNCTION("""COMPUTED_VALUE"""),"Brandix Apparel Solutions Limited - Minuwangoda")</f>
        <v/>
      </c>
      <c r="H252" s="43">
        <f>IFERROR(__xludf.DUMMYFUNCTION("""COMPUTED_VALUE"""),452521447192)</f>
        <v/>
      </c>
      <c r="I252" s="45">
        <f>IFERROR(__xludf.DUMMYFUNCTION("""COMPUTED_VALUE"""),19897598)</f>
        <v/>
      </c>
      <c r="J252" s="45">
        <f>IFERROR(__xludf.DUMMYFUNCTION("""COMPUTED_VALUE"""),"LW3JBFS")</f>
        <v/>
      </c>
      <c r="K252" s="45">
        <f>IFERROR(__xludf.DUMMYFUNCTION("""COMPUTED_VALUE"""),"LW3JBFS-0002")</f>
        <v/>
      </c>
      <c r="L252" s="45">
        <f>IFERROR(__xludf.DUMMYFUNCTION("""COMPUTED_VALUE"""),21)</f>
        <v/>
      </c>
      <c r="M252" s="45">
        <f>IFERROR(__xludf.DUMMYFUNCTION("""COMPUTED_VALUE"""),501)</f>
        <v/>
      </c>
      <c r="N252" s="45">
        <f>IFERROR(__xludf.DUMMYFUNCTION("""COMPUTED_VALUE"""),234.33)</f>
        <v/>
      </c>
      <c r="O252" s="45">
        <f>IFERROR(__xludf.DUMMYFUNCTION("""COMPUTED_VALUE"""),1.649)</f>
        <v/>
      </c>
      <c r="P252" s="45">
        <f>IFERROR(__xludf.DUMMYFUNCTION("""COMPUTED_VALUE"""),"Colombo, LK")</f>
        <v/>
      </c>
      <c r="Q252" s="45">
        <f>IFERROR(__xludf.DUMMYFUNCTION("""COMPUTED_VALUE"""),"New York, NY, US")</f>
        <v/>
      </c>
      <c r="R252" s="44">
        <f>IFERROR(__xludf.DUMMYFUNCTION("""COMPUTED_VALUE"""),45824)</f>
        <v/>
      </c>
      <c r="S252" s="44">
        <f>IFERROR(__xludf.DUMMYFUNCTION("""COMPUTED_VALUE"""),45883)</f>
        <v/>
      </c>
      <c r="T252" s="45">
        <f>IFERROR(__xludf.DUMMYFUNCTION("""COMPUTED_VALUE"""),"Milton, ON, CA")</f>
        <v/>
      </c>
      <c r="U252" s="45" t="n"/>
      <c r="V252" s="45" t="n"/>
      <c r="W252" s="45" t="n"/>
      <c r="X252" s="45" t="n"/>
      <c r="Y252" s="46">
        <f>IFERROR(__xludf.DUMMYFUNCTION("""COMPUTED_VALUE"""),45832)</f>
        <v/>
      </c>
      <c r="Z252" s="46">
        <f>IFERROR(__xludf.DUMMYFUNCTION("""COMPUTED_VALUE"""),45861)</f>
        <v/>
      </c>
      <c r="AA252" s="46">
        <f>IFERROR(__xludf.DUMMYFUNCTION("""COMPUTED_VALUE"""),45874)</f>
        <v/>
      </c>
      <c r="AB252" s="45">
        <f>IFERROR(__xludf.DUMMYFUNCTION("""COMPUTED_VALUE"""),"7211 Fifth Line")</f>
        <v/>
      </c>
      <c r="AC252" s="45" t="n"/>
      <c r="AD252" s="45">
        <f>IFERROR(__xludf.DUMMYFUNCTION("""COMPUTED_VALUE"""),"OCEAN")</f>
        <v/>
      </c>
      <c r="AE252" s="45">
        <f>IFERROR(__xludf.DUMMYFUNCTION("""COMPUTED_VALUE"""),"N")</f>
        <v/>
      </c>
      <c r="AF252" s="45" t="n"/>
      <c r="AG252" s="49">
        <f>IFERROR(__xludf.DUMMYFUNCTION("IFNA(vlookup(H252,IMPORTRANGE(""1vUGwO1n0QQGx9kKbO0_M5gmuhXZ6-LaxQxgrmJnzgP0"",""'TP# look up'!A:C""),3,0),"""")"),"")</f>
        <v/>
      </c>
      <c r="AH252" s="49">
        <f>LEFT(J252,2)</f>
        <v/>
      </c>
    </row>
    <row r="253" ht="12.75" customHeight="1">
      <c r="A253" s="45">
        <f>IFERROR(__xludf.DUMMYFUNCTION("""COMPUTED_VALUE"""),"Colombo")</f>
        <v/>
      </c>
      <c r="B253" s="45" t="n"/>
      <c r="C253" s="45">
        <f>IFERROR(__xludf.DUMMYFUNCTION("""COMPUTED_VALUE"""),3254506)</f>
        <v/>
      </c>
      <c r="D253" s="45" t="n"/>
      <c r="E253" s="45">
        <f>IFERROR(__xludf.DUMMYFUNCTION("""COMPUTED_VALUE"""),"CFS")</f>
        <v/>
      </c>
      <c r="F253" s="45">
        <f>IFERROR(__xludf.DUMMYFUNCTION("""COMPUTED_VALUE"""),"Inqube Global (PVT) Ltd")</f>
        <v/>
      </c>
      <c r="G253" s="45">
        <f>IFERROR(__xludf.DUMMYFUNCTION("""COMPUTED_VALUE"""),"Brandix Apparel Solutions Limited - Minuwangoda")</f>
        <v/>
      </c>
      <c r="H253" s="43">
        <f>IFERROR(__xludf.DUMMYFUNCTION("""COMPUTED_VALUE"""),452521848044)</f>
        <v/>
      </c>
      <c r="I253" s="45">
        <f>IFERROR(__xludf.DUMMYFUNCTION("""COMPUTED_VALUE"""),19933297)</f>
        <v/>
      </c>
      <c r="J253" s="45">
        <f>IFERROR(__xludf.DUMMYFUNCTION("""COMPUTED_VALUE"""),"LW5GLNS")</f>
        <v/>
      </c>
      <c r="K253" s="45">
        <f>IFERROR(__xludf.DUMMYFUNCTION("""COMPUTED_VALUE"""),"LW5GLNS-071195")</f>
        <v/>
      </c>
      <c r="L253" s="45">
        <f>IFERROR(__xludf.DUMMYFUNCTION("""COMPUTED_VALUE"""),25)</f>
        <v/>
      </c>
      <c r="M253" s="45">
        <f>IFERROR(__xludf.DUMMYFUNCTION("""COMPUTED_VALUE"""),535)</f>
        <v/>
      </c>
      <c r="N253" s="45">
        <f>IFERROR(__xludf.DUMMYFUNCTION("""COMPUTED_VALUE"""),269.96)</f>
        <v/>
      </c>
      <c r="O253" s="45">
        <f>IFERROR(__xludf.DUMMYFUNCTION("""COMPUTED_VALUE"""),1.963)</f>
        <v/>
      </c>
      <c r="P253" s="45">
        <f>IFERROR(__xludf.DUMMYFUNCTION("""COMPUTED_VALUE"""),"Colombo, LK")</f>
        <v/>
      </c>
      <c r="Q253" s="45">
        <f>IFERROR(__xludf.DUMMYFUNCTION("""COMPUTED_VALUE"""),"New York, NY, US")</f>
        <v/>
      </c>
      <c r="R253" s="44">
        <f>IFERROR(__xludf.DUMMYFUNCTION("""COMPUTED_VALUE"""),45824)</f>
        <v/>
      </c>
      <c r="S253" s="44">
        <f>IFERROR(__xludf.DUMMYFUNCTION("""COMPUTED_VALUE"""),45883)</f>
        <v/>
      </c>
      <c r="T253" s="45">
        <f>IFERROR(__xludf.DUMMYFUNCTION("""COMPUTED_VALUE"""),"Mississauga, ON, CA")</f>
        <v/>
      </c>
      <c r="U253" s="45" t="n"/>
      <c r="V253" s="45" t="n"/>
      <c r="W253" s="45" t="n"/>
      <c r="X253" s="45" t="n"/>
      <c r="Y253" s="46">
        <f>IFERROR(__xludf.DUMMYFUNCTION("""COMPUTED_VALUE"""),45832)</f>
        <v/>
      </c>
      <c r="Z253" s="46">
        <f>IFERROR(__xludf.DUMMYFUNCTION("""COMPUTED_VALUE"""),45861)</f>
        <v/>
      </c>
      <c r="AA253" s="46">
        <f>IFERROR(__xludf.DUMMYFUNCTION("""COMPUTED_VALUE"""),45874)</f>
        <v/>
      </c>
      <c r="AB253" s="45">
        <f>IFERROR(__xludf.DUMMYFUNCTION("""COMPUTED_VALUE"""),"3500 Argentia Road")</f>
        <v/>
      </c>
      <c r="AC253" s="45" t="n"/>
      <c r="AD253" s="45">
        <f>IFERROR(__xludf.DUMMYFUNCTION("""COMPUTED_VALUE"""),"OCEAN")</f>
        <v/>
      </c>
      <c r="AE253" s="45">
        <f>IFERROR(__xludf.DUMMYFUNCTION("""COMPUTED_VALUE"""),"N")</f>
        <v/>
      </c>
      <c r="AF253" s="45" t="n"/>
      <c r="AG253" s="49">
        <f>IFERROR(__xludf.DUMMYFUNCTION("IFNA(vlookup(H253,IMPORTRANGE(""1vUGwO1n0QQGx9kKbO0_M5gmuhXZ6-LaxQxgrmJnzgP0"",""'TP# look up'!A:C""),3,0),"""")"),"")</f>
        <v/>
      </c>
      <c r="AH253" s="49">
        <f>LEFT(J253,2)</f>
        <v/>
      </c>
    </row>
    <row r="254" ht="12.75" customHeight="1">
      <c r="A254" s="45">
        <f>IFERROR(__xludf.DUMMYFUNCTION("""COMPUTED_VALUE"""),"Colombo")</f>
        <v/>
      </c>
      <c r="B254" s="45" t="n"/>
      <c r="C254" s="45">
        <f>IFERROR(__xludf.DUMMYFUNCTION("""COMPUTED_VALUE"""),3254506)</f>
        <v/>
      </c>
      <c r="D254" s="45" t="n"/>
      <c r="E254" s="45">
        <f>IFERROR(__xludf.DUMMYFUNCTION("""COMPUTED_VALUE"""),"CFS")</f>
        <v/>
      </c>
      <c r="F254" s="45">
        <f>IFERROR(__xludf.DUMMYFUNCTION("""COMPUTED_VALUE"""),"Inqube Global (PVT) Ltd")</f>
        <v/>
      </c>
      <c r="G254" s="45">
        <f>IFERROR(__xludf.DUMMYFUNCTION("""COMPUTED_VALUE"""),"Quantum Clothing Lanka (Pvt) Ltd")</f>
        <v/>
      </c>
      <c r="H254" s="43">
        <f>IFERROR(__xludf.DUMMYFUNCTION("""COMPUTED_VALUE"""),452043834613)</f>
        <v/>
      </c>
      <c r="I254" s="45">
        <f>IFERROR(__xludf.DUMMYFUNCTION("""COMPUTED_VALUE"""),19876732)</f>
        <v/>
      </c>
      <c r="J254" s="45">
        <f>IFERROR(__xludf.DUMMYFUNCTION("""COMPUTED_VALUE"""),"LW2EDNS")</f>
        <v/>
      </c>
      <c r="K254" s="45">
        <f>IFERROR(__xludf.DUMMYFUNCTION("""COMPUTED_VALUE"""),"LW2EDNS-0001")</f>
        <v/>
      </c>
      <c r="L254" s="45">
        <f>IFERROR(__xludf.DUMMYFUNCTION("""COMPUTED_VALUE"""),1)</f>
        <v/>
      </c>
      <c r="M254" s="45">
        <f>IFERROR(__xludf.DUMMYFUNCTION("""COMPUTED_VALUE"""),59)</f>
        <v/>
      </c>
      <c r="N254" s="45">
        <f>IFERROR(__xludf.DUMMYFUNCTION("""COMPUTED_VALUE"""),5.172)</f>
        <v/>
      </c>
      <c r="O254" s="45">
        <f>IFERROR(__xludf.DUMMYFUNCTION("""COMPUTED_VALUE"""),0.04)</f>
        <v/>
      </c>
      <c r="P254" s="45">
        <f>IFERROR(__xludf.DUMMYFUNCTION("""COMPUTED_VALUE"""),"Colombo, LK")</f>
        <v/>
      </c>
      <c r="Q254" s="45">
        <f>IFERROR(__xludf.DUMMYFUNCTION("""COMPUTED_VALUE"""),"New York, NY, US")</f>
        <v/>
      </c>
      <c r="R254" s="44">
        <f>IFERROR(__xludf.DUMMYFUNCTION("""COMPUTED_VALUE"""),45824)</f>
        <v/>
      </c>
      <c r="S254" s="44">
        <f>IFERROR(__xludf.DUMMYFUNCTION("""COMPUTED_VALUE"""),45883)</f>
        <v/>
      </c>
      <c r="T254" s="45">
        <f>IFERROR(__xludf.DUMMYFUNCTION("""COMPUTED_VALUE"""),"Mississauga, ON, CA")</f>
        <v/>
      </c>
      <c r="U254" s="45" t="n"/>
      <c r="V254" s="45" t="n"/>
      <c r="W254" s="45" t="n"/>
      <c r="X254" s="45" t="n"/>
      <c r="Y254" s="46">
        <f>IFERROR(__xludf.DUMMYFUNCTION("""COMPUTED_VALUE"""),45832)</f>
        <v/>
      </c>
      <c r="Z254" s="46">
        <f>IFERROR(__xludf.DUMMYFUNCTION("""COMPUTED_VALUE"""),45861)</f>
        <v/>
      </c>
      <c r="AA254" s="46">
        <f>IFERROR(__xludf.DUMMYFUNCTION("""COMPUTED_VALUE"""),45874)</f>
        <v/>
      </c>
      <c r="AB254" s="45">
        <f>IFERROR(__xludf.DUMMYFUNCTION("""COMPUTED_VALUE"""),"3500 Argentia Road")</f>
        <v/>
      </c>
      <c r="AC254" s="45" t="n"/>
      <c r="AD254" s="45">
        <f>IFERROR(__xludf.DUMMYFUNCTION("""COMPUTED_VALUE"""),"OCEAN")</f>
        <v/>
      </c>
      <c r="AE254" s="45">
        <f>IFERROR(__xludf.DUMMYFUNCTION("""COMPUTED_VALUE"""),"N")</f>
        <v/>
      </c>
      <c r="AF254" s="45" t="n"/>
      <c r="AG254" s="49">
        <f>IFERROR(__xludf.DUMMYFUNCTION("IFNA(vlookup(H254,IMPORTRANGE(""1vUGwO1n0QQGx9kKbO0_M5gmuhXZ6-LaxQxgrmJnzgP0"",""'TP# look up'!A:C""),3,0),"""")"),"")</f>
        <v/>
      </c>
      <c r="AH254" s="49">
        <f>LEFT(J254,2)</f>
        <v/>
      </c>
    </row>
    <row r="255" ht="12.75" customHeight="1">
      <c r="A255" s="45">
        <f>IFERROR(__xludf.DUMMYFUNCTION("""COMPUTED_VALUE"""),"Colombo")</f>
        <v/>
      </c>
      <c r="B255" s="45" t="n"/>
      <c r="C255" s="45">
        <f>IFERROR(__xludf.DUMMYFUNCTION("""COMPUTED_VALUE"""),3254506)</f>
        <v/>
      </c>
      <c r="D255" s="45" t="n"/>
      <c r="E255" s="45">
        <f>IFERROR(__xludf.DUMMYFUNCTION("""COMPUTED_VALUE"""),"CFS")</f>
        <v/>
      </c>
      <c r="F255" s="45">
        <f>IFERROR(__xludf.DUMMYFUNCTION("""COMPUTED_VALUE"""),"Inqube Global (PVT) Ltd")</f>
        <v/>
      </c>
      <c r="G255" s="45">
        <f>IFERROR(__xludf.DUMMYFUNCTION("""COMPUTED_VALUE"""),"Quantum Clothing Lanka (Pvt) Ltd")</f>
        <v/>
      </c>
      <c r="H255" s="43">
        <f>IFERROR(__xludf.DUMMYFUNCTION("""COMPUTED_VALUE"""),452045547643)</f>
        <v/>
      </c>
      <c r="I255" s="45">
        <f>IFERROR(__xludf.DUMMYFUNCTION("""COMPUTED_VALUE"""),19876487)</f>
        <v/>
      </c>
      <c r="J255" s="45">
        <f>IFERROR(__xludf.DUMMYFUNCTION("""COMPUTED_VALUE"""),"LW2EDNS")</f>
        <v/>
      </c>
      <c r="K255" s="45">
        <f>IFERROR(__xludf.DUMMYFUNCTION("""COMPUTED_VALUE"""),"LW2EDNS-0001")</f>
        <v/>
      </c>
      <c r="L255" s="45">
        <f>IFERROR(__xludf.DUMMYFUNCTION("""COMPUTED_VALUE"""),1)</f>
        <v/>
      </c>
      <c r="M255" s="45">
        <f>IFERROR(__xludf.DUMMYFUNCTION("""COMPUTED_VALUE"""),93)</f>
        <v/>
      </c>
      <c r="N255" s="45">
        <f>IFERROR(__xludf.DUMMYFUNCTION("""COMPUTED_VALUE"""),7.624)</f>
        <v/>
      </c>
      <c r="O255" s="45">
        <f>IFERROR(__xludf.DUMMYFUNCTION("""COMPUTED_VALUE"""),0.04)</f>
        <v/>
      </c>
      <c r="P255" s="45">
        <f>IFERROR(__xludf.DUMMYFUNCTION("""COMPUTED_VALUE"""),"Colombo, LK")</f>
        <v/>
      </c>
      <c r="Q255" s="45">
        <f>IFERROR(__xludf.DUMMYFUNCTION("""COMPUTED_VALUE"""),"New York, NY, US")</f>
        <v/>
      </c>
      <c r="R255" s="44">
        <f>IFERROR(__xludf.DUMMYFUNCTION("""COMPUTED_VALUE"""),45824)</f>
        <v/>
      </c>
      <c r="S255" s="44">
        <f>IFERROR(__xludf.DUMMYFUNCTION("""COMPUTED_VALUE"""),45883)</f>
        <v/>
      </c>
      <c r="T255" s="45">
        <f>IFERROR(__xludf.DUMMYFUNCTION("""COMPUTED_VALUE"""),"Mississauga, ON, CA")</f>
        <v/>
      </c>
      <c r="U255" s="45" t="n"/>
      <c r="V255" s="45" t="n"/>
      <c r="W255" s="45" t="n"/>
      <c r="X255" s="45" t="n"/>
      <c r="Y255" s="46">
        <f>IFERROR(__xludf.DUMMYFUNCTION("""COMPUTED_VALUE"""),45832)</f>
        <v/>
      </c>
      <c r="Z255" s="46">
        <f>IFERROR(__xludf.DUMMYFUNCTION("""COMPUTED_VALUE"""),45861)</f>
        <v/>
      </c>
      <c r="AA255" s="46">
        <f>IFERROR(__xludf.DUMMYFUNCTION("""COMPUTED_VALUE"""),45874)</f>
        <v/>
      </c>
      <c r="AB255" s="45">
        <f>IFERROR(__xludf.DUMMYFUNCTION("""COMPUTED_VALUE"""),"3500 Argentia Road")</f>
        <v/>
      </c>
      <c r="AC255" s="45" t="n"/>
      <c r="AD255" s="45">
        <f>IFERROR(__xludf.DUMMYFUNCTION("""COMPUTED_VALUE"""),"OCEAN")</f>
        <v/>
      </c>
      <c r="AE255" s="45">
        <f>IFERROR(__xludf.DUMMYFUNCTION("""COMPUTED_VALUE"""),"N")</f>
        <v/>
      </c>
      <c r="AF255" s="45" t="n"/>
      <c r="AG255" s="49">
        <f>IFERROR(__xludf.DUMMYFUNCTION("IFNA(vlookup(H255,IMPORTRANGE(""1vUGwO1n0QQGx9kKbO0_M5gmuhXZ6-LaxQxgrmJnzgP0"",""'TP# look up'!A:C""),3,0),"""")"),"")</f>
        <v/>
      </c>
      <c r="AH255" s="49">
        <f>LEFT(J255,2)</f>
        <v/>
      </c>
    </row>
    <row r="256" ht="12.75" customHeight="1">
      <c r="A256" s="45">
        <f>IFERROR(__xludf.DUMMYFUNCTION("""COMPUTED_VALUE"""),"Colombo")</f>
        <v/>
      </c>
      <c r="B256" s="45" t="n"/>
      <c r="C256" s="45">
        <f>IFERROR(__xludf.DUMMYFUNCTION("""COMPUTED_VALUE"""),3254506)</f>
        <v/>
      </c>
      <c r="D256" s="45" t="n"/>
      <c r="E256" s="45">
        <f>IFERROR(__xludf.DUMMYFUNCTION("""COMPUTED_VALUE"""),"CFS")</f>
        <v/>
      </c>
      <c r="F256" s="45">
        <f>IFERROR(__xludf.DUMMYFUNCTION("""COMPUTED_VALUE"""),"Inqube Global (PVT) Ltd")</f>
        <v/>
      </c>
      <c r="G256" s="45">
        <f>IFERROR(__xludf.DUMMYFUNCTION("""COMPUTED_VALUE"""),"Quantum Clothing Lanka (Pvt) Ltd")</f>
        <v/>
      </c>
      <c r="H256" s="43">
        <f>IFERROR(__xludf.DUMMYFUNCTION("""COMPUTED_VALUE"""),452048141508)</f>
        <v/>
      </c>
      <c r="I256" s="45">
        <f>IFERROR(__xludf.DUMMYFUNCTION("""COMPUTED_VALUE"""),19876518)</f>
        <v/>
      </c>
      <c r="J256" s="45">
        <f>IFERROR(__xludf.DUMMYFUNCTION("""COMPUTED_VALUE"""),"LW2EDNS")</f>
        <v/>
      </c>
      <c r="K256" s="45">
        <f>IFERROR(__xludf.DUMMYFUNCTION("""COMPUTED_VALUE"""),"LW2EDNS-071150")</f>
        <v/>
      </c>
      <c r="L256" s="45">
        <f>IFERROR(__xludf.DUMMYFUNCTION("""COMPUTED_VALUE"""),1)</f>
        <v/>
      </c>
      <c r="M256" s="45">
        <f>IFERROR(__xludf.DUMMYFUNCTION("""COMPUTED_VALUE"""),34)</f>
        <v/>
      </c>
      <c r="N256" s="45">
        <f>IFERROR(__xludf.DUMMYFUNCTION("""COMPUTED_VALUE"""),3.387)</f>
        <v/>
      </c>
      <c r="O256" s="45">
        <f>IFERROR(__xludf.DUMMYFUNCTION("""COMPUTED_VALUE"""),0.04)</f>
        <v/>
      </c>
      <c r="P256" s="45">
        <f>IFERROR(__xludf.DUMMYFUNCTION("""COMPUTED_VALUE"""),"Colombo, LK")</f>
        <v/>
      </c>
      <c r="Q256" s="45">
        <f>IFERROR(__xludf.DUMMYFUNCTION("""COMPUTED_VALUE"""),"New York, NY, US")</f>
        <v/>
      </c>
      <c r="R256" s="44">
        <f>IFERROR(__xludf.DUMMYFUNCTION("""COMPUTED_VALUE"""),45824)</f>
        <v/>
      </c>
      <c r="S256" s="44">
        <f>IFERROR(__xludf.DUMMYFUNCTION("""COMPUTED_VALUE"""),45883)</f>
        <v/>
      </c>
      <c r="T256" s="45">
        <f>IFERROR(__xludf.DUMMYFUNCTION("""COMPUTED_VALUE"""),"Mississauga, ON, CA")</f>
        <v/>
      </c>
      <c r="U256" s="45" t="n"/>
      <c r="V256" s="45" t="n"/>
      <c r="W256" s="45" t="n"/>
      <c r="X256" s="45" t="n"/>
      <c r="Y256" s="46">
        <f>IFERROR(__xludf.DUMMYFUNCTION("""COMPUTED_VALUE"""),45832)</f>
        <v/>
      </c>
      <c r="Z256" s="46">
        <f>IFERROR(__xludf.DUMMYFUNCTION("""COMPUTED_VALUE"""),45861)</f>
        <v/>
      </c>
      <c r="AA256" s="46">
        <f>IFERROR(__xludf.DUMMYFUNCTION("""COMPUTED_VALUE"""),45874)</f>
        <v/>
      </c>
      <c r="AB256" s="45">
        <f>IFERROR(__xludf.DUMMYFUNCTION("""COMPUTED_VALUE"""),"3500 Argentia Road")</f>
        <v/>
      </c>
      <c r="AC256" s="45" t="n"/>
      <c r="AD256" s="45">
        <f>IFERROR(__xludf.DUMMYFUNCTION("""COMPUTED_VALUE"""),"OCEAN")</f>
        <v/>
      </c>
      <c r="AE256" s="45">
        <f>IFERROR(__xludf.DUMMYFUNCTION("""COMPUTED_VALUE"""),"N")</f>
        <v/>
      </c>
      <c r="AF256" s="45" t="n"/>
      <c r="AG256" s="49">
        <f>IFERROR(__xludf.DUMMYFUNCTION("IFNA(vlookup(H256,IMPORTRANGE(""1vUGwO1n0QQGx9kKbO0_M5gmuhXZ6-LaxQxgrmJnzgP0"",""'TP# look up'!A:C""),3,0),"""")"),"")</f>
        <v/>
      </c>
      <c r="AH256" s="49">
        <f>LEFT(J256,2)</f>
        <v/>
      </c>
    </row>
    <row r="257" ht="12.75" customHeight="1">
      <c r="A257" s="45">
        <f>IFERROR(__xludf.DUMMYFUNCTION("""COMPUTED_VALUE"""),"Colombo")</f>
        <v/>
      </c>
      <c r="B257" s="45" t="n"/>
      <c r="C257" s="45">
        <f>IFERROR(__xludf.DUMMYFUNCTION("""COMPUTED_VALUE"""),3254506)</f>
        <v/>
      </c>
      <c r="D257" s="45" t="n"/>
      <c r="E257" s="45">
        <f>IFERROR(__xludf.DUMMYFUNCTION("""COMPUTED_VALUE"""),"CFS")</f>
        <v/>
      </c>
      <c r="F257" s="45">
        <f>IFERROR(__xludf.DUMMYFUNCTION("""COMPUTED_VALUE"""),"Inqube Global (PVT) Ltd")</f>
        <v/>
      </c>
      <c r="G257" s="45">
        <f>IFERROR(__xludf.DUMMYFUNCTION("""COMPUTED_VALUE"""),"Quantum Clothing Lanka (Pvt) Ltd")</f>
        <v/>
      </c>
      <c r="H257" s="43">
        <f>IFERROR(__xludf.DUMMYFUNCTION("""COMPUTED_VALUE"""),452051223910)</f>
        <v/>
      </c>
      <c r="I257" s="45">
        <f>IFERROR(__xludf.DUMMYFUNCTION("""COMPUTED_VALUE"""),19876108)</f>
        <v/>
      </c>
      <c r="J257" s="45">
        <f>IFERROR(__xludf.DUMMYFUNCTION("""COMPUTED_VALUE"""),"LW9FMOS")</f>
        <v/>
      </c>
      <c r="K257" s="45">
        <f>IFERROR(__xludf.DUMMYFUNCTION("""COMPUTED_VALUE"""),"LW9FMOS-0001")</f>
        <v/>
      </c>
      <c r="L257" s="45">
        <f>IFERROR(__xludf.DUMMYFUNCTION("""COMPUTED_VALUE"""),1)</f>
        <v/>
      </c>
      <c r="M257" s="45">
        <f>IFERROR(__xludf.DUMMYFUNCTION("""COMPUTED_VALUE"""),81)</f>
        <v/>
      </c>
      <c r="N257" s="45">
        <f>IFERROR(__xludf.DUMMYFUNCTION("""COMPUTED_VALUE"""),6.713)</f>
        <v/>
      </c>
      <c r="O257" s="45">
        <f>IFERROR(__xludf.DUMMYFUNCTION("""COMPUTED_VALUE"""),0.04)</f>
        <v/>
      </c>
      <c r="P257" s="45">
        <f>IFERROR(__xludf.DUMMYFUNCTION("""COMPUTED_VALUE"""),"Colombo, LK")</f>
        <v/>
      </c>
      <c r="Q257" s="45">
        <f>IFERROR(__xludf.DUMMYFUNCTION("""COMPUTED_VALUE"""),"New York, NY, US")</f>
        <v/>
      </c>
      <c r="R257" s="44">
        <f>IFERROR(__xludf.DUMMYFUNCTION("""COMPUTED_VALUE"""),45824)</f>
        <v/>
      </c>
      <c r="S257" s="44">
        <f>IFERROR(__xludf.DUMMYFUNCTION("""COMPUTED_VALUE"""),45883)</f>
        <v/>
      </c>
      <c r="T257" s="45">
        <f>IFERROR(__xludf.DUMMYFUNCTION("""COMPUTED_VALUE"""),"Mississauga, ON, CA")</f>
        <v/>
      </c>
      <c r="U257" s="45" t="n"/>
      <c r="V257" s="45" t="n"/>
      <c r="W257" s="45" t="n"/>
      <c r="X257" s="45" t="n"/>
      <c r="Y257" s="46">
        <f>IFERROR(__xludf.DUMMYFUNCTION("""COMPUTED_VALUE"""),45832)</f>
        <v/>
      </c>
      <c r="Z257" s="46">
        <f>IFERROR(__xludf.DUMMYFUNCTION("""COMPUTED_VALUE"""),45861)</f>
        <v/>
      </c>
      <c r="AA257" s="46">
        <f>IFERROR(__xludf.DUMMYFUNCTION("""COMPUTED_VALUE"""),45874)</f>
        <v/>
      </c>
      <c r="AB257" s="45">
        <f>IFERROR(__xludf.DUMMYFUNCTION("""COMPUTED_VALUE"""),"3500 Argentia Road")</f>
        <v/>
      </c>
      <c r="AC257" s="45" t="n"/>
      <c r="AD257" s="45">
        <f>IFERROR(__xludf.DUMMYFUNCTION("""COMPUTED_VALUE"""),"OCEAN")</f>
        <v/>
      </c>
      <c r="AE257" s="45">
        <f>IFERROR(__xludf.DUMMYFUNCTION("""COMPUTED_VALUE"""),"N")</f>
        <v/>
      </c>
      <c r="AF257" s="45" t="n"/>
      <c r="AG257" s="49">
        <f>IFERROR(__xludf.DUMMYFUNCTION("IFNA(vlookup(H257,IMPORTRANGE(""1vUGwO1n0QQGx9kKbO0_M5gmuhXZ6-LaxQxgrmJnzgP0"",""'TP# look up'!A:C""),3,0),"""")"),"")</f>
        <v/>
      </c>
      <c r="AH257" s="49">
        <f>LEFT(J257,2)</f>
        <v/>
      </c>
    </row>
    <row r="258" hidden="1" ht="12.75" customHeight="1">
      <c r="A258" s="45">
        <f>IFERROR(__xludf.DUMMYFUNCTION("""COMPUTED_VALUE"""),"Colombo")</f>
        <v/>
      </c>
      <c r="B258" s="45" t="n"/>
      <c r="C258" s="45">
        <f>IFERROR(__xludf.DUMMYFUNCTION("""COMPUTED_VALUE"""),3254506)</f>
        <v/>
      </c>
      <c r="D258" s="45" t="n"/>
      <c r="E258" s="45">
        <f>IFERROR(__xludf.DUMMYFUNCTION("""COMPUTED_VALUE"""),"CFS")</f>
        <v/>
      </c>
      <c r="F258" s="45">
        <f>IFERROR(__xludf.DUMMYFUNCTION("""COMPUTED_VALUE"""),"Inqube Global (PVT) Ltd")</f>
        <v/>
      </c>
      <c r="G258" s="45">
        <f>IFERROR(__xludf.DUMMYFUNCTION("""COMPUTED_VALUE"""),"Quantum Clothing Lanka (Pvt) Ltd")</f>
        <v/>
      </c>
      <c r="H258" s="43">
        <f>IFERROR(__xludf.DUMMYFUNCTION("""COMPUTED_VALUE"""),452052829747)</f>
        <v/>
      </c>
      <c r="I258" s="45">
        <f>IFERROR(__xludf.DUMMYFUNCTION("""COMPUTED_VALUE"""),19876875)</f>
        <v/>
      </c>
      <c r="J258" s="45">
        <f>IFERROR(__xludf.DUMMYFUNCTION("""COMPUTED_VALUE"""),"LW9FMOS")</f>
        <v/>
      </c>
      <c r="K258" s="45">
        <f>IFERROR(__xludf.DUMMYFUNCTION("""COMPUTED_VALUE"""),"LW9FMOS-0001")</f>
        <v/>
      </c>
      <c r="L258" s="45">
        <f>IFERROR(__xludf.DUMMYFUNCTION("""COMPUTED_VALUE"""),1)</f>
        <v/>
      </c>
      <c r="M258" s="45">
        <f>IFERROR(__xludf.DUMMYFUNCTION("""COMPUTED_VALUE"""),235)</f>
        <v/>
      </c>
      <c r="N258" s="45">
        <f>IFERROR(__xludf.DUMMYFUNCTION("""COMPUTED_VALUE"""),18.76)</f>
        <v/>
      </c>
      <c r="O258" s="45">
        <f>IFERROR(__xludf.DUMMYFUNCTION("""COMPUTED_VALUE"""),0.084)</f>
        <v/>
      </c>
      <c r="P258" s="45">
        <f>IFERROR(__xludf.DUMMYFUNCTION("""COMPUTED_VALUE"""),"Colombo, LK")</f>
        <v/>
      </c>
      <c r="Q258" s="45">
        <f>IFERROR(__xludf.DUMMYFUNCTION("""COMPUTED_VALUE"""),"New York, NY, US")</f>
        <v/>
      </c>
      <c r="R258" s="44">
        <f>IFERROR(__xludf.DUMMYFUNCTION("""COMPUTED_VALUE"""),45824)</f>
        <v/>
      </c>
      <c r="S258" s="44">
        <f>IFERROR(__xludf.DUMMYFUNCTION("""COMPUTED_VALUE"""),45883)</f>
        <v/>
      </c>
      <c r="T258" s="45">
        <f>IFERROR(__xludf.DUMMYFUNCTION("""COMPUTED_VALUE"""),"Mississauga, ON, CA")</f>
        <v/>
      </c>
      <c r="U258" s="45" t="n"/>
      <c r="V258" s="45" t="n"/>
      <c r="W258" s="45" t="n"/>
      <c r="X258" s="45" t="n"/>
      <c r="Y258" s="46">
        <f>IFERROR(__xludf.DUMMYFUNCTION("""COMPUTED_VALUE"""),45832)</f>
        <v/>
      </c>
      <c r="Z258" s="46">
        <f>IFERROR(__xludf.DUMMYFUNCTION("""COMPUTED_VALUE"""),45861)</f>
        <v/>
      </c>
      <c r="AA258" s="46">
        <f>IFERROR(__xludf.DUMMYFUNCTION("""COMPUTED_VALUE"""),45874)</f>
        <v/>
      </c>
      <c r="AB258" s="45">
        <f>IFERROR(__xludf.DUMMYFUNCTION("""COMPUTED_VALUE"""),"3500 Argentia Road")</f>
        <v/>
      </c>
      <c r="AC258" s="45" t="n"/>
      <c r="AD258" s="45">
        <f>IFERROR(__xludf.DUMMYFUNCTION("""COMPUTED_VALUE"""),"OCEAN")</f>
        <v/>
      </c>
      <c r="AE258" s="45">
        <f>IFERROR(__xludf.DUMMYFUNCTION("""COMPUTED_VALUE"""),"N")</f>
        <v/>
      </c>
      <c r="AF258" s="45" t="n"/>
      <c r="AG258" s="49">
        <f>IFERROR(__xludf.DUMMYFUNCTION("IFNA(vlookup(H258,IMPORTRANGE(""1vUGwO1n0QQGx9kKbO0_M5gmuhXZ6-LaxQxgrmJnzgP0"",""'TP# look up'!A:C""),3,0),"""")"),"")</f>
        <v/>
      </c>
      <c r="AH258" s="49">
        <f>LEFT(J258,2)</f>
        <v/>
      </c>
    </row>
    <row r="259" hidden="1" ht="12.75" customHeight="1">
      <c r="A259" s="45">
        <f>IFERROR(__xludf.DUMMYFUNCTION("""COMPUTED_VALUE"""),"Colombo")</f>
        <v/>
      </c>
      <c r="B259" s="45" t="n"/>
      <c r="C259" s="45">
        <f>IFERROR(__xludf.DUMMYFUNCTION("""COMPUTED_VALUE"""),3254506)</f>
        <v/>
      </c>
      <c r="D259" s="45" t="n"/>
      <c r="E259" s="45">
        <f>IFERROR(__xludf.DUMMYFUNCTION("""COMPUTED_VALUE"""),"CFS")</f>
        <v/>
      </c>
      <c r="F259" s="45">
        <f>IFERROR(__xludf.DUMMYFUNCTION("""COMPUTED_VALUE"""),"Inqube Global (PVT) Ltd")</f>
        <v/>
      </c>
      <c r="G259" s="45">
        <f>IFERROR(__xludf.DUMMYFUNCTION("""COMPUTED_VALUE"""),"Quantum Clothing Lanka (Pvt) Ltd")</f>
        <v/>
      </c>
      <c r="H259" s="43">
        <f>IFERROR(__xludf.DUMMYFUNCTION("""COMPUTED_VALUE"""),452052906569)</f>
        <v/>
      </c>
      <c r="I259" s="45">
        <f>IFERROR(__xludf.DUMMYFUNCTION("""COMPUTED_VALUE"""),19876879)</f>
        <v/>
      </c>
      <c r="J259" s="45">
        <f>IFERROR(__xludf.DUMMYFUNCTION("""COMPUTED_VALUE"""),"LW9FMOS")</f>
        <v/>
      </c>
      <c r="K259" s="45">
        <f>IFERROR(__xludf.DUMMYFUNCTION("""COMPUTED_VALUE"""),"LW9FMOS-0001")</f>
        <v/>
      </c>
      <c r="L259" s="45">
        <f>IFERROR(__xludf.DUMMYFUNCTION("""COMPUTED_VALUE"""),1)</f>
        <v/>
      </c>
      <c r="M259" s="45">
        <f>IFERROR(__xludf.DUMMYFUNCTION("""COMPUTED_VALUE"""),133)</f>
        <v/>
      </c>
      <c r="N259" s="45">
        <f>IFERROR(__xludf.DUMMYFUNCTION("""COMPUTED_VALUE"""),10.425)</f>
        <v/>
      </c>
      <c r="O259" s="45">
        <f>IFERROR(__xludf.DUMMYFUNCTION("""COMPUTED_VALUE"""),0.04)</f>
        <v/>
      </c>
      <c r="P259" s="45">
        <f>IFERROR(__xludf.DUMMYFUNCTION("""COMPUTED_VALUE"""),"Colombo, LK")</f>
        <v/>
      </c>
      <c r="Q259" s="45">
        <f>IFERROR(__xludf.DUMMYFUNCTION("""COMPUTED_VALUE"""),"New York, NY, US")</f>
        <v/>
      </c>
      <c r="R259" s="44">
        <f>IFERROR(__xludf.DUMMYFUNCTION("""COMPUTED_VALUE"""),45824)</f>
        <v/>
      </c>
      <c r="S259" s="44">
        <f>IFERROR(__xludf.DUMMYFUNCTION("""COMPUTED_VALUE"""),45883)</f>
        <v/>
      </c>
      <c r="T259" s="45">
        <f>IFERROR(__xludf.DUMMYFUNCTION("""COMPUTED_VALUE"""),"Mississauga, ON, CA")</f>
        <v/>
      </c>
      <c r="U259" s="45" t="n"/>
      <c r="V259" s="45" t="n"/>
      <c r="W259" s="45" t="n"/>
      <c r="X259" s="45" t="n"/>
      <c r="Y259" s="46">
        <f>IFERROR(__xludf.DUMMYFUNCTION("""COMPUTED_VALUE"""),45832)</f>
        <v/>
      </c>
      <c r="Z259" s="46">
        <f>IFERROR(__xludf.DUMMYFUNCTION("""COMPUTED_VALUE"""),45861)</f>
        <v/>
      </c>
      <c r="AA259" s="46">
        <f>IFERROR(__xludf.DUMMYFUNCTION("""COMPUTED_VALUE"""),45874)</f>
        <v/>
      </c>
      <c r="AB259" s="45">
        <f>IFERROR(__xludf.DUMMYFUNCTION("""COMPUTED_VALUE"""),"3500 Argentia Road")</f>
        <v/>
      </c>
      <c r="AC259" s="45" t="n"/>
      <c r="AD259" s="45">
        <f>IFERROR(__xludf.DUMMYFUNCTION("""COMPUTED_VALUE"""),"OCEAN")</f>
        <v/>
      </c>
      <c r="AE259" s="45">
        <f>IFERROR(__xludf.DUMMYFUNCTION("""COMPUTED_VALUE"""),"N")</f>
        <v/>
      </c>
      <c r="AF259" s="45" t="n"/>
      <c r="AG259" s="49">
        <f>IFERROR(__xludf.DUMMYFUNCTION("IFNA(vlookup(H259,IMPORTRANGE(""1vUGwO1n0QQGx9kKbO0_M5gmuhXZ6-LaxQxgrmJnzgP0"",""'TP# look up'!A:C""),3,0),"""")"),"")</f>
        <v/>
      </c>
      <c r="AH259" s="49">
        <f>LEFT(J259,2)</f>
        <v/>
      </c>
    </row>
    <row r="260" hidden="1" ht="12.75" customHeight="1">
      <c r="A260" s="45">
        <f>IFERROR(__xludf.DUMMYFUNCTION("""COMPUTED_VALUE"""),"Colombo")</f>
        <v/>
      </c>
      <c r="B260" s="45" t="n"/>
      <c r="C260" s="45">
        <f>IFERROR(__xludf.DUMMYFUNCTION("""COMPUTED_VALUE"""),3254506)</f>
        <v/>
      </c>
      <c r="D260" s="45" t="n"/>
      <c r="E260" s="45">
        <f>IFERROR(__xludf.DUMMYFUNCTION("""COMPUTED_VALUE"""),"CFS")</f>
        <v/>
      </c>
      <c r="F260" s="45">
        <f>IFERROR(__xludf.DUMMYFUNCTION("""COMPUTED_VALUE"""),"Inqube Global (PVT) Ltd")</f>
        <v/>
      </c>
      <c r="G260" s="45">
        <f>IFERROR(__xludf.DUMMYFUNCTION("""COMPUTED_VALUE"""),"Quantum Clothing Lanka (Pvt) Ltd")</f>
        <v/>
      </c>
      <c r="H260" s="43">
        <f>IFERROR(__xludf.DUMMYFUNCTION("""COMPUTED_VALUE"""),452057107390)</f>
        <v/>
      </c>
      <c r="I260" s="45">
        <f>IFERROR(__xludf.DUMMYFUNCTION("""COMPUTED_VALUE"""),19876142)</f>
        <v/>
      </c>
      <c r="J260" s="45">
        <f>IFERROR(__xludf.DUMMYFUNCTION("""COMPUTED_VALUE"""),"LW9FMOS")</f>
        <v/>
      </c>
      <c r="K260" s="45">
        <f>IFERROR(__xludf.DUMMYFUNCTION("""COMPUTED_VALUE"""),"LW9FMOS-068585")</f>
        <v/>
      </c>
      <c r="L260" s="45">
        <f>IFERROR(__xludf.DUMMYFUNCTION("""COMPUTED_VALUE"""),1)</f>
        <v/>
      </c>
      <c r="M260" s="45">
        <f>IFERROR(__xludf.DUMMYFUNCTION("""COMPUTED_VALUE"""),33)</f>
        <v/>
      </c>
      <c r="N260" s="45">
        <f>IFERROR(__xludf.DUMMYFUNCTION("""COMPUTED_VALUE"""),3.292)</f>
        <v/>
      </c>
      <c r="O260" s="45">
        <f>IFERROR(__xludf.DUMMYFUNCTION("""COMPUTED_VALUE"""),0.04)</f>
        <v/>
      </c>
      <c r="P260" s="45">
        <f>IFERROR(__xludf.DUMMYFUNCTION("""COMPUTED_VALUE"""),"Colombo, LK")</f>
        <v/>
      </c>
      <c r="Q260" s="45">
        <f>IFERROR(__xludf.DUMMYFUNCTION("""COMPUTED_VALUE"""),"New York, NY, US")</f>
        <v/>
      </c>
      <c r="R260" s="44">
        <f>IFERROR(__xludf.DUMMYFUNCTION("""COMPUTED_VALUE"""),45824)</f>
        <v/>
      </c>
      <c r="S260" s="44">
        <f>IFERROR(__xludf.DUMMYFUNCTION("""COMPUTED_VALUE"""),45883)</f>
        <v/>
      </c>
      <c r="T260" s="45">
        <f>IFERROR(__xludf.DUMMYFUNCTION("""COMPUTED_VALUE"""),"Mississauga, ON, CA")</f>
        <v/>
      </c>
      <c r="U260" s="45" t="n"/>
      <c r="V260" s="45" t="n"/>
      <c r="W260" s="45" t="n"/>
      <c r="X260" s="45" t="n"/>
      <c r="Y260" s="46">
        <f>IFERROR(__xludf.DUMMYFUNCTION("""COMPUTED_VALUE"""),45832)</f>
        <v/>
      </c>
      <c r="Z260" s="46">
        <f>IFERROR(__xludf.DUMMYFUNCTION("""COMPUTED_VALUE"""),45861)</f>
        <v/>
      </c>
      <c r="AA260" s="46">
        <f>IFERROR(__xludf.DUMMYFUNCTION("""COMPUTED_VALUE"""),45874)</f>
        <v/>
      </c>
      <c r="AB260" s="45">
        <f>IFERROR(__xludf.DUMMYFUNCTION("""COMPUTED_VALUE"""),"3500 Argentia Road")</f>
        <v/>
      </c>
      <c r="AC260" s="45" t="n"/>
      <c r="AD260" s="45">
        <f>IFERROR(__xludf.DUMMYFUNCTION("""COMPUTED_VALUE"""),"OCEAN")</f>
        <v/>
      </c>
      <c r="AE260" s="45">
        <f>IFERROR(__xludf.DUMMYFUNCTION("""COMPUTED_VALUE"""),"N")</f>
        <v/>
      </c>
      <c r="AF260" s="45" t="n"/>
      <c r="AG260" s="49">
        <f>IFERROR(__xludf.DUMMYFUNCTION("IFNA(vlookup(H260,IMPORTRANGE(""1vUGwO1n0QQGx9kKbO0_M5gmuhXZ6-LaxQxgrmJnzgP0"",""'TP# look up'!A:C""),3,0),"""")"),"")</f>
        <v/>
      </c>
      <c r="AH260" s="49">
        <f>LEFT(J260,2)</f>
        <v/>
      </c>
    </row>
    <row r="261" hidden="1" ht="12.75" customHeight="1">
      <c r="A261" s="45">
        <f>IFERROR(__xludf.DUMMYFUNCTION("""COMPUTED_VALUE"""),"Colombo")</f>
        <v/>
      </c>
      <c r="B261" s="45" t="n"/>
      <c r="C261" s="45">
        <f>IFERROR(__xludf.DUMMYFUNCTION("""COMPUTED_VALUE"""),3254506)</f>
        <v/>
      </c>
      <c r="D261" s="45" t="n"/>
      <c r="E261" s="45">
        <f>IFERROR(__xludf.DUMMYFUNCTION("""COMPUTED_VALUE"""),"CFS")</f>
        <v/>
      </c>
      <c r="F261" s="45">
        <f>IFERROR(__xludf.DUMMYFUNCTION("""COMPUTED_VALUE"""),"Inqube Global (PVT) Ltd")</f>
        <v/>
      </c>
      <c r="G261" s="45">
        <f>IFERROR(__xludf.DUMMYFUNCTION("""COMPUTED_VALUE"""),"Quantum Clothing Lanka (Pvt) Ltd")</f>
        <v/>
      </c>
      <c r="H261" s="43">
        <f>IFERROR(__xludf.DUMMYFUNCTION("""COMPUTED_VALUE"""),452057947068)</f>
        <v/>
      </c>
      <c r="I261" s="45">
        <f>IFERROR(__xludf.DUMMYFUNCTION("""COMPUTED_VALUE"""),19876141)</f>
        <v/>
      </c>
      <c r="J261" s="45">
        <f>IFERROR(__xludf.DUMMYFUNCTION("""COMPUTED_VALUE"""),"LW9FMOS")</f>
        <v/>
      </c>
      <c r="K261" s="45">
        <f>IFERROR(__xludf.DUMMYFUNCTION("""COMPUTED_VALUE"""),"LW9FMOS-068585")</f>
        <v/>
      </c>
      <c r="L261" s="45">
        <f>IFERROR(__xludf.DUMMYFUNCTION("""COMPUTED_VALUE"""),1)</f>
        <v/>
      </c>
      <c r="M261" s="45">
        <f>IFERROR(__xludf.DUMMYFUNCTION("""COMPUTED_VALUE"""),52)</f>
        <v/>
      </c>
      <c r="N261" s="45">
        <f>IFERROR(__xludf.DUMMYFUNCTION("""COMPUTED_VALUE"""),4.647)</f>
        <v/>
      </c>
      <c r="O261" s="45">
        <f>IFERROR(__xludf.DUMMYFUNCTION("""COMPUTED_VALUE"""),0.04)</f>
        <v/>
      </c>
      <c r="P261" s="45">
        <f>IFERROR(__xludf.DUMMYFUNCTION("""COMPUTED_VALUE"""),"Colombo, LK")</f>
        <v/>
      </c>
      <c r="Q261" s="45">
        <f>IFERROR(__xludf.DUMMYFUNCTION("""COMPUTED_VALUE"""),"New York, NY, US")</f>
        <v/>
      </c>
      <c r="R261" s="44">
        <f>IFERROR(__xludf.DUMMYFUNCTION("""COMPUTED_VALUE"""),45824)</f>
        <v/>
      </c>
      <c r="S261" s="44">
        <f>IFERROR(__xludf.DUMMYFUNCTION("""COMPUTED_VALUE"""),45883)</f>
        <v/>
      </c>
      <c r="T261" s="45">
        <f>IFERROR(__xludf.DUMMYFUNCTION("""COMPUTED_VALUE"""),"Mississauga, ON, CA")</f>
        <v/>
      </c>
      <c r="U261" s="45" t="n"/>
      <c r="V261" s="45" t="n"/>
      <c r="W261" s="45" t="n"/>
      <c r="X261" s="45" t="n"/>
      <c r="Y261" s="46">
        <f>IFERROR(__xludf.DUMMYFUNCTION("""COMPUTED_VALUE"""),45832)</f>
        <v/>
      </c>
      <c r="Z261" s="46">
        <f>IFERROR(__xludf.DUMMYFUNCTION("""COMPUTED_VALUE"""),45861)</f>
        <v/>
      </c>
      <c r="AA261" s="46">
        <f>IFERROR(__xludf.DUMMYFUNCTION("""COMPUTED_VALUE"""),45874)</f>
        <v/>
      </c>
      <c r="AB261" s="45">
        <f>IFERROR(__xludf.DUMMYFUNCTION("""COMPUTED_VALUE"""),"3500 Argentia Road")</f>
        <v/>
      </c>
      <c r="AC261" s="45" t="n"/>
      <c r="AD261" s="45">
        <f>IFERROR(__xludf.DUMMYFUNCTION("""COMPUTED_VALUE"""),"OCEAN")</f>
        <v/>
      </c>
      <c r="AE261" s="45">
        <f>IFERROR(__xludf.DUMMYFUNCTION("""COMPUTED_VALUE"""),"N")</f>
        <v/>
      </c>
      <c r="AF261" s="45" t="n"/>
      <c r="AG261" s="49">
        <f>IFERROR(__xludf.DUMMYFUNCTION("IFNA(vlookup(H261,IMPORTRANGE(""1vUGwO1n0QQGx9kKbO0_M5gmuhXZ6-LaxQxgrmJnzgP0"",""'TP# look up'!A:C""),3,0),"""")"),"")</f>
        <v/>
      </c>
      <c r="AH261" s="49">
        <f>LEFT(J261,2)</f>
        <v/>
      </c>
    </row>
    <row r="262" hidden="1" ht="12.75" customHeight="1">
      <c r="A262" s="45">
        <f>IFERROR(__xludf.DUMMYFUNCTION("""COMPUTED_VALUE"""),"Colombo")</f>
        <v/>
      </c>
      <c r="B262" s="45" t="n"/>
      <c r="C262" s="45">
        <f>IFERROR(__xludf.DUMMYFUNCTION("""COMPUTED_VALUE"""),3254506)</f>
        <v/>
      </c>
      <c r="D262" s="45" t="n"/>
      <c r="E262" s="45">
        <f>IFERROR(__xludf.DUMMYFUNCTION("""COMPUTED_VALUE"""),"CFS")</f>
        <v/>
      </c>
      <c r="F262" s="45">
        <f>IFERROR(__xludf.DUMMYFUNCTION("""COMPUTED_VALUE"""),"Inqube Global (PVT) Ltd")</f>
        <v/>
      </c>
      <c r="G262" s="45">
        <f>IFERROR(__xludf.DUMMYFUNCTION("""COMPUTED_VALUE"""),"Quantum Clothing Lanka (Pvt) Ltd")</f>
        <v/>
      </c>
      <c r="H262" s="43">
        <f>IFERROR(__xludf.DUMMYFUNCTION("""COMPUTED_VALUE"""),452058797576)</f>
        <v/>
      </c>
      <c r="I262" s="45">
        <f>IFERROR(__xludf.DUMMYFUNCTION("""COMPUTED_VALUE"""),19876945)</f>
        <v/>
      </c>
      <c r="J262" s="45">
        <f>IFERROR(__xludf.DUMMYFUNCTION("""COMPUTED_VALUE"""),"LW9FMOS")</f>
        <v/>
      </c>
      <c r="K262" s="45">
        <f>IFERROR(__xludf.DUMMYFUNCTION("""COMPUTED_VALUE"""),"LW9FMOS-068585")</f>
        <v/>
      </c>
      <c r="L262" s="45">
        <f>IFERROR(__xludf.DUMMYFUNCTION("""COMPUTED_VALUE"""),1)</f>
        <v/>
      </c>
      <c r="M262" s="45">
        <f>IFERROR(__xludf.DUMMYFUNCTION("""COMPUTED_VALUE"""),110)</f>
        <v/>
      </c>
      <c r="N262" s="45">
        <f>IFERROR(__xludf.DUMMYFUNCTION("""COMPUTED_VALUE"""),8.797)</f>
        <v/>
      </c>
      <c r="O262" s="45">
        <f>IFERROR(__xludf.DUMMYFUNCTION("""COMPUTED_VALUE"""),0.04)</f>
        <v/>
      </c>
      <c r="P262" s="45">
        <f>IFERROR(__xludf.DUMMYFUNCTION("""COMPUTED_VALUE"""),"Colombo, LK")</f>
        <v/>
      </c>
      <c r="Q262" s="45">
        <f>IFERROR(__xludf.DUMMYFUNCTION("""COMPUTED_VALUE"""),"New York, NY, US")</f>
        <v/>
      </c>
      <c r="R262" s="44">
        <f>IFERROR(__xludf.DUMMYFUNCTION("""COMPUTED_VALUE"""),45824)</f>
        <v/>
      </c>
      <c r="S262" s="44">
        <f>IFERROR(__xludf.DUMMYFUNCTION("""COMPUTED_VALUE"""),45883)</f>
        <v/>
      </c>
      <c r="T262" s="45">
        <f>IFERROR(__xludf.DUMMYFUNCTION("""COMPUTED_VALUE"""),"Mississauga, ON, CA")</f>
        <v/>
      </c>
      <c r="U262" s="45" t="n"/>
      <c r="V262" s="45" t="n"/>
      <c r="W262" s="45" t="n"/>
      <c r="X262" s="45" t="n"/>
      <c r="Y262" s="46">
        <f>IFERROR(__xludf.DUMMYFUNCTION("""COMPUTED_VALUE"""),45832)</f>
        <v/>
      </c>
      <c r="Z262" s="46">
        <f>IFERROR(__xludf.DUMMYFUNCTION("""COMPUTED_VALUE"""),45861)</f>
        <v/>
      </c>
      <c r="AA262" s="46">
        <f>IFERROR(__xludf.DUMMYFUNCTION("""COMPUTED_VALUE"""),45874)</f>
        <v/>
      </c>
      <c r="AB262" s="45">
        <f>IFERROR(__xludf.DUMMYFUNCTION("""COMPUTED_VALUE"""),"3500 Argentia Road")</f>
        <v/>
      </c>
      <c r="AC262" s="45" t="n"/>
      <c r="AD262" s="45">
        <f>IFERROR(__xludf.DUMMYFUNCTION("""COMPUTED_VALUE"""),"OCEAN")</f>
        <v/>
      </c>
      <c r="AE262" s="45">
        <f>IFERROR(__xludf.DUMMYFUNCTION("""COMPUTED_VALUE"""),"N")</f>
        <v/>
      </c>
      <c r="AF262" s="45" t="n"/>
      <c r="AG262" s="49">
        <f>IFERROR(__xludf.DUMMYFUNCTION("IFNA(vlookup(H262,IMPORTRANGE(""1vUGwO1n0QQGx9kKbO0_M5gmuhXZ6-LaxQxgrmJnzgP0"",""'TP# look up'!A:C""),3,0),"""")"),"")</f>
        <v/>
      </c>
      <c r="AH262" s="49">
        <f>LEFT(J262,2)</f>
        <v/>
      </c>
    </row>
    <row r="263" hidden="1" ht="12.75" customHeight="1">
      <c r="A263" s="45">
        <f>IFERROR(__xludf.DUMMYFUNCTION("""COMPUTED_VALUE"""),"Colombo")</f>
        <v/>
      </c>
      <c r="B263" s="45" t="n"/>
      <c r="C263" s="45">
        <f>IFERROR(__xludf.DUMMYFUNCTION("""COMPUTED_VALUE"""),3254506)</f>
        <v/>
      </c>
      <c r="D263" s="45" t="n"/>
      <c r="E263" s="45">
        <f>IFERROR(__xludf.DUMMYFUNCTION("""COMPUTED_VALUE"""),"CFS")</f>
        <v/>
      </c>
      <c r="F263" s="45">
        <f>IFERROR(__xludf.DUMMYFUNCTION("""COMPUTED_VALUE"""),"Inqube Global (PVT) Ltd")</f>
        <v/>
      </c>
      <c r="G263" s="45">
        <f>IFERROR(__xludf.DUMMYFUNCTION("""COMPUTED_VALUE"""),"Quantum Clothing Lanka (Pvt) Ltd")</f>
        <v/>
      </c>
      <c r="H263" s="43">
        <f>IFERROR(__xludf.DUMMYFUNCTION("""COMPUTED_VALUE"""),452059368323)</f>
        <v/>
      </c>
      <c r="I263" s="45">
        <f>IFERROR(__xludf.DUMMYFUNCTION("""COMPUTED_VALUE"""),19876949)</f>
        <v/>
      </c>
      <c r="J263" s="45">
        <f>IFERROR(__xludf.DUMMYFUNCTION("""COMPUTED_VALUE"""),"LW9FMOS")</f>
        <v/>
      </c>
      <c r="K263" s="45">
        <f>IFERROR(__xludf.DUMMYFUNCTION("""COMPUTED_VALUE"""),"LW9FMOS-068585")</f>
        <v/>
      </c>
      <c r="L263" s="45">
        <f>IFERROR(__xludf.DUMMYFUNCTION("""COMPUTED_VALUE"""),1)</f>
        <v/>
      </c>
      <c r="M263" s="45">
        <f>IFERROR(__xludf.DUMMYFUNCTION("""COMPUTED_VALUE"""),66)</f>
        <v/>
      </c>
      <c r="N263" s="45">
        <f>IFERROR(__xludf.DUMMYFUNCTION("""COMPUTED_VALUE"""),5.65)</f>
        <v/>
      </c>
      <c r="O263" s="45">
        <f>IFERROR(__xludf.DUMMYFUNCTION("""COMPUTED_VALUE"""),0.04)</f>
        <v/>
      </c>
      <c r="P263" s="45">
        <f>IFERROR(__xludf.DUMMYFUNCTION("""COMPUTED_VALUE"""),"Colombo, LK")</f>
        <v/>
      </c>
      <c r="Q263" s="45">
        <f>IFERROR(__xludf.DUMMYFUNCTION("""COMPUTED_VALUE"""),"New York, NY, US")</f>
        <v/>
      </c>
      <c r="R263" s="44">
        <f>IFERROR(__xludf.DUMMYFUNCTION("""COMPUTED_VALUE"""),45824)</f>
        <v/>
      </c>
      <c r="S263" s="44">
        <f>IFERROR(__xludf.DUMMYFUNCTION("""COMPUTED_VALUE"""),45883)</f>
        <v/>
      </c>
      <c r="T263" s="45">
        <f>IFERROR(__xludf.DUMMYFUNCTION("""COMPUTED_VALUE"""),"Mississauga, ON, CA")</f>
        <v/>
      </c>
      <c r="U263" s="45" t="n"/>
      <c r="V263" s="45" t="n"/>
      <c r="W263" s="45" t="n"/>
      <c r="X263" s="45" t="n"/>
      <c r="Y263" s="46">
        <f>IFERROR(__xludf.DUMMYFUNCTION("""COMPUTED_VALUE"""),45832)</f>
        <v/>
      </c>
      <c r="Z263" s="46">
        <f>IFERROR(__xludf.DUMMYFUNCTION("""COMPUTED_VALUE"""),45861)</f>
        <v/>
      </c>
      <c r="AA263" s="46">
        <f>IFERROR(__xludf.DUMMYFUNCTION("""COMPUTED_VALUE"""),45874)</f>
        <v/>
      </c>
      <c r="AB263" s="45">
        <f>IFERROR(__xludf.DUMMYFUNCTION("""COMPUTED_VALUE"""),"3500 Argentia Road")</f>
        <v/>
      </c>
      <c r="AC263" s="45" t="n"/>
      <c r="AD263" s="45">
        <f>IFERROR(__xludf.DUMMYFUNCTION("""COMPUTED_VALUE"""),"OCEAN")</f>
        <v/>
      </c>
      <c r="AE263" s="45">
        <f>IFERROR(__xludf.DUMMYFUNCTION("""COMPUTED_VALUE"""),"N")</f>
        <v/>
      </c>
      <c r="AF263" s="45" t="n"/>
      <c r="AG263" s="49">
        <f>IFERROR(__xludf.DUMMYFUNCTION("IFNA(vlookup(H263,IMPORTRANGE(""1vUGwO1n0QQGx9kKbO0_M5gmuhXZ6-LaxQxgrmJnzgP0"",""'TP# look up'!A:C""),3,0),"""")"),"")</f>
        <v/>
      </c>
      <c r="AH263" s="49">
        <f>LEFT(J263,2)</f>
        <v/>
      </c>
    </row>
    <row r="264" hidden="1" ht="12.75" customHeight="1">
      <c r="A264" s="45">
        <f>IFERROR(__xludf.DUMMYFUNCTION("""COMPUTED_VALUE"""),"Colombo")</f>
        <v/>
      </c>
      <c r="B264" s="45" t="n"/>
      <c r="C264" s="45">
        <f>IFERROR(__xludf.DUMMYFUNCTION("""COMPUTED_VALUE"""),3254506)</f>
        <v/>
      </c>
      <c r="D264" s="45" t="n"/>
      <c r="E264" s="45">
        <f>IFERROR(__xludf.DUMMYFUNCTION("""COMPUTED_VALUE"""),"CFS")</f>
        <v/>
      </c>
      <c r="F264" s="45">
        <f>IFERROR(__xludf.DUMMYFUNCTION("""COMPUTED_VALUE"""),"Inqube Global (PVT) Ltd")</f>
        <v/>
      </c>
      <c r="G264" s="45">
        <f>IFERROR(__xludf.DUMMYFUNCTION("""COMPUTED_VALUE"""),"Quantum Clothing Lanka (Pvt) Ltd")</f>
        <v/>
      </c>
      <c r="H264" s="43">
        <f>IFERROR(__xludf.DUMMYFUNCTION("""COMPUTED_VALUE"""),452063949367)</f>
        <v/>
      </c>
      <c r="I264" s="45">
        <f>IFERROR(__xludf.DUMMYFUNCTION("""COMPUTED_VALUE"""),19876135)</f>
        <v/>
      </c>
      <c r="J264" s="45">
        <f>IFERROR(__xludf.DUMMYFUNCTION("""COMPUTED_VALUE"""),"LW9FMOS")</f>
        <v/>
      </c>
      <c r="K264" s="45">
        <f>IFERROR(__xludf.DUMMYFUNCTION("""COMPUTED_VALUE"""),"LW9FMOS-071150")</f>
        <v/>
      </c>
      <c r="L264" s="45">
        <f>IFERROR(__xludf.DUMMYFUNCTION("""COMPUTED_VALUE"""),1)</f>
        <v/>
      </c>
      <c r="M264" s="45">
        <f>IFERROR(__xludf.DUMMYFUNCTION("""COMPUTED_VALUE"""),70)</f>
        <v/>
      </c>
      <c r="N264" s="45">
        <f>IFERROR(__xludf.DUMMYFUNCTION("""COMPUTED_VALUE"""),5.925)</f>
        <v/>
      </c>
      <c r="O264" s="45">
        <f>IFERROR(__xludf.DUMMYFUNCTION("""COMPUTED_VALUE"""),0.04)</f>
        <v/>
      </c>
      <c r="P264" s="45">
        <f>IFERROR(__xludf.DUMMYFUNCTION("""COMPUTED_VALUE"""),"Colombo, LK")</f>
        <v/>
      </c>
      <c r="Q264" s="45">
        <f>IFERROR(__xludf.DUMMYFUNCTION("""COMPUTED_VALUE"""),"New York, NY, US")</f>
        <v/>
      </c>
      <c r="R264" s="44">
        <f>IFERROR(__xludf.DUMMYFUNCTION("""COMPUTED_VALUE"""),45824)</f>
        <v/>
      </c>
      <c r="S264" s="44">
        <f>IFERROR(__xludf.DUMMYFUNCTION("""COMPUTED_VALUE"""),45883)</f>
        <v/>
      </c>
      <c r="T264" s="45">
        <f>IFERROR(__xludf.DUMMYFUNCTION("""COMPUTED_VALUE"""),"Mississauga, ON, CA")</f>
        <v/>
      </c>
      <c r="U264" s="45" t="n"/>
      <c r="V264" s="45" t="n"/>
      <c r="W264" s="45" t="n"/>
      <c r="X264" s="45" t="n"/>
      <c r="Y264" s="46">
        <f>IFERROR(__xludf.DUMMYFUNCTION("""COMPUTED_VALUE"""),45832)</f>
        <v/>
      </c>
      <c r="Z264" s="46">
        <f>IFERROR(__xludf.DUMMYFUNCTION("""COMPUTED_VALUE"""),45861)</f>
        <v/>
      </c>
      <c r="AA264" s="46">
        <f>IFERROR(__xludf.DUMMYFUNCTION("""COMPUTED_VALUE"""),45874)</f>
        <v/>
      </c>
      <c r="AB264" s="45">
        <f>IFERROR(__xludf.DUMMYFUNCTION("""COMPUTED_VALUE"""),"3500 Argentia Road")</f>
        <v/>
      </c>
      <c r="AC264" s="45" t="n"/>
      <c r="AD264" s="45">
        <f>IFERROR(__xludf.DUMMYFUNCTION("""COMPUTED_VALUE"""),"OCEAN")</f>
        <v/>
      </c>
      <c r="AE264" s="45">
        <f>IFERROR(__xludf.DUMMYFUNCTION("""COMPUTED_VALUE"""),"N")</f>
        <v/>
      </c>
      <c r="AF264" s="45" t="n"/>
      <c r="AG264" s="49">
        <f>IFERROR(__xludf.DUMMYFUNCTION("IFNA(vlookup(H264,IMPORTRANGE(""1vUGwO1n0QQGx9kKbO0_M5gmuhXZ6-LaxQxgrmJnzgP0"",""'TP# look up'!A:C""),3,0),"""")"),"")</f>
        <v/>
      </c>
      <c r="AH264" s="49">
        <f>LEFT(J264,2)</f>
        <v/>
      </c>
    </row>
    <row r="265" hidden="1" ht="12.75" customHeight="1">
      <c r="A265" s="45">
        <f>IFERROR(__xludf.DUMMYFUNCTION("""COMPUTED_VALUE"""),"Colombo")</f>
        <v/>
      </c>
      <c r="B265" s="45" t="n"/>
      <c r="C265" s="45">
        <f>IFERROR(__xludf.DUMMYFUNCTION("""COMPUTED_VALUE"""),3254506)</f>
        <v/>
      </c>
      <c r="D265" s="45" t="n"/>
      <c r="E265" s="45">
        <f>IFERROR(__xludf.DUMMYFUNCTION("""COMPUTED_VALUE"""),"CFS")</f>
        <v/>
      </c>
      <c r="F265" s="45">
        <f>IFERROR(__xludf.DUMMYFUNCTION("""COMPUTED_VALUE"""),"Inqube Global (PVT) Ltd")</f>
        <v/>
      </c>
      <c r="G265" s="45">
        <f>IFERROR(__xludf.DUMMYFUNCTION("""COMPUTED_VALUE"""),"Quantum Clothing Lanka (Pvt) Ltd")</f>
        <v/>
      </c>
      <c r="H265" s="43">
        <f>IFERROR(__xludf.DUMMYFUNCTION("""COMPUTED_VALUE"""),452064162091)</f>
        <v/>
      </c>
      <c r="I265" s="45">
        <f>IFERROR(__xludf.DUMMYFUNCTION("""COMPUTED_VALUE"""),19876136)</f>
        <v/>
      </c>
      <c r="J265" s="45">
        <f>IFERROR(__xludf.DUMMYFUNCTION("""COMPUTED_VALUE"""),"LW9FMOS")</f>
        <v/>
      </c>
      <c r="K265" s="45">
        <f>IFERROR(__xludf.DUMMYFUNCTION("""COMPUTED_VALUE"""),"LW9FMOS-071150")</f>
        <v/>
      </c>
      <c r="L265" s="45">
        <f>IFERROR(__xludf.DUMMYFUNCTION("""COMPUTED_VALUE"""),1)</f>
        <v/>
      </c>
      <c r="M265" s="45">
        <f>IFERROR(__xludf.DUMMYFUNCTION("""COMPUTED_VALUE"""),59)</f>
        <v/>
      </c>
      <c r="N265" s="45">
        <f>IFERROR(__xludf.DUMMYFUNCTION("""COMPUTED_VALUE"""),5.144)</f>
        <v/>
      </c>
      <c r="O265" s="45">
        <f>IFERROR(__xludf.DUMMYFUNCTION("""COMPUTED_VALUE"""),0.04)</f>
        <v/>
      </c>
      <c r="P265" s="45">
        <f>IFERROR(__xludf.DUMMYFUNCTION("""COMPUTED_VALUE"""),"Colombo, LK")</f>
        <v/>
      </c>
      <c r="Q265" s="45">
        <f>IFERROR(__xludf.DUMMYFUNCTION("""COMPUTED_VALUE"""),"New York, NY, US")</f>
        <v/>
      </c>
      <c r="R265" s="44">
        <f>IFERROR(__xludf.DUMMYFUNCTION("""COMPUTED_VALUE"""),45824)</f>
        <v/>
      </c>
      <c r="S265" s="44">
        <f>IFERROR(__xludf.DUMMYFUNCTION("""COMPUTED_VALUE"""),45883)</f>
        <v/>
      </c>
      <c r="T265" s="45">
        <f>IFERROR(__xludf.DUMMYFUNCTION("""COMPUTED_VALUE"""),"Mississauga, ON, CA")</f>
        <v/>
      </c>
      <c r="U265" s="45" t="n"/>
      <c r="V265" s="45" t="n"/>
      <c r="W265" s="45" t="n"/>
      <c r="X265" s="45" t="n"/>
      <c r="Y265" s="46">
        <f>IFERROR(__xludf.DUMMYFUNCTION("""COMPUTED_VALUE"""),45832)</f>
        <v/>
      </c>
      <c r="Z265" s="46">
        <f>IFERROR(__xludf.DUMMYFUNCTION("""COMPUTED_VALUE"""),45861)</f>
        <v/>
      </c>
      <c r="AA265" s="46">
        <f>IFERROR(__xludf.DUMMYFUNCTION("""COMPUTED_VALUE"""),45874)</f>
        <v/>
      </c>
      <c r="AB265" s="45">
        <f>IFERROR(__xludf.DUMMYFUNCTION("""COMPUTED_VALUE"""),"3500 Argentia Road")</f>
        <v/>
      </c>
      <c r="AC265" s="45" t="n"/>
      <c r="AD265" s="45">
        <f>IFERROR(__xludf.DUMMYFUNCTION("""COMPUTED_VALUE"""),"OCEAN")</f>
        <v/>
      </c>
      <c r="AE265" s="45">
        <f>IFERROR(__xludf.DUMMYFUNCTION("""COMPUTED_VALUE"""),"N")</f>
        <v/>
      </c>
      <c r="AF265" s="45" t="n"/>
      <c r="AG265" s="49">
        <f>IFERROR(__xludf.DUMMYFUNCTION("IFNA(vlookup(H265,IMPORTRANGE(""1vUGwO1n0QQGx9kKbO0_M5gmuhXZ6-LaxQxgrmJnzgP0"",""'TP# look up'!A:C""),3,0),"""")"),"")</f>
        <v/>
      </c>
      <c r="AH265" s="49">
        <f>LEFT(J265,2)</f>
        <v/>
      </c>
    </row>
    <row r="266" hidden="1" ht="12.75" customHeight="1">
      <c r="A266" s="45">
        <f>IFERROR(__xludf.DUMMYFUNCTION("""COMPUTED_VALUE"""),"Colombo")</f>
        <v/>
      </c>
      <c r="B266" s="45" t="n"/>
      <c r="C266" s="45">
        <f>IFERROR(__xludf.DUMMYFUNCTION("""COMPUTED_VALUE"""),3254506)</f>
        <v/>
      </c>
      <c r="D266" s="45" t="n"/>
      <c r="E266" s="45">
        <f>IFERROR(__xludf.DUMMYFUNCTION("""COMPUTED_VALUE"""),"CFS")</f>
        <v/>
      </c>
      <c r="F266" s="45">
        <f>IFERROR(__xludf.DUMMYFUNCTION("""COMPUTED_VALUE"""),"Inqube Global (PVT) Ltd")</f>
        <v/>
      </c>
      <c r="G266" s="45">
        <f>IFERROR(__xludf.DUMMYFUNCTION("""COMPUTED_VALUE"""),"Quantum Clothing Lanka (Pvt) Ltd")</f>
        <v/>
      </c>
      <c r="H266" s="43">
        <f>IFERROR(__xludf.DUMMYFUNCTION("""COMPUTED_VALUE"""),452065075476)</f>
        <v/>
      </c>
      <c r="I266" s="45">
        <f>IFERROR(__xludf.DUMMYFUNCTION("""COMPUTED_VALUE"""),19876915)</f>
        <v/>
      </c>
      <c r="J266" s="45">
        <f>IFERROR(__xludf.DUMMYFUNCTION("""COMPUTED_VALUE"""),"LW9FMOS")</f>
        <v/>
      </c>
      <c r="K266" s="45">
        <f>IFERROR(__xludf.DUMMYFUNCTION("""COMPUTED_VALUE"""),"LW9FMOS-071150")</f>
        <v/>
      </c>
      <c r="L266" s="45">
        <f>IFERROR(__xludf.DUMMYFUNCTION("""COMPUTED_VALUE"""),1)</f>
        <v/>
      </c>
      <c r="M266" s="45">
        <f>IFERROR(__xludf.DUMMYFUNCTION("""COMPUTED_VALUE"""),114)</f>
        <v/>
      </c>
      <c r="N266" s="45">
        <f>IFERROR(__xludf.DUMMYFUNCTION("""COMPUTED_VALUE"""),9.07)</f>
        <v/>
      </c>
      <c r="O266" s="45">
        <f>IFERROR(__xludf.DUMMYFUNCTION("""COMPUTED_VALUE"""),0.04)</f>
        <v/>
      </c>
      <c r="P266" s="45">
        <f>IFERROR(__xludf.DUMMYFUNCTION("""COMPUTED_VALUE"""),"Colombo, LK")</f>
        <v/>
      </c>
      <c r="Q266" s="45">
        <f>IFERROR(__xludf.DUMMYFUNCTION("""COMPUTED_VALUE"""),"New York, NY, US")</f>
        <v/>
      </c>
      <c r="R266" s="44">
        <f>IFERROR(__xludf.DUMMYFUNCTION("""COMPUTED_VALUE"""),45824)</f>
        <v/>
      </c>
      <c r="S266" s="44">
        <f>IFERROR(__xludf.DUMMYFUNCTION("""COMPUTED_VALUE"""),45883)</f>
        <v/>
      </c>
      <c r="T266" s="45">
        <f>IFERROR(__xludf.DUMMYFUNCTION("""COMPUTED_VALUE"""),"Mississauga, ON, CA")</f>
        <v/>
      </c>
      <c r="U266" s="45" t="n"/>
      <c r="V266" s="45" t="n"/>
      <c r="W266" s="45" t="n"/>
      <c r="X266" s="45" t="n"/>
      <c r="Y266" s="46">
        <f>IFERROR(__xludf.DUMMYFUNCTION("""COMPUTED_VALUE"""),45832)</f>
        <v/>
      </c>
      <c r="Z266" s="46">
        <f>IFERROR(__xludf.DUMMYFUNCTION("""COMPUTED_VALUE"""),45861)</f>
        <v/>
      </c>
      <c r="AA266" s="46">
        <f>IFERROR(__xludf.DUMMYFUNCTION("""COMPUTED_VALUE"""),45874)</f>
        <v/>
      </c>
      <c r="AB266" s="45">
        <f>IFERROR(__xludf.DUMMYFUNCTION("""COMPUTED_VALUE"""),"3500 Argentia Road")</f>
        <v/>
      </c>
      <c r="AC266" s="45" t="n"/>
      <c r="AD266" s="45">
        <f>IFERROR(__xludf.DUMMYFUNCTION("""COMPUTED_VALUE"""),"OCEAN")</f>
        <v/>
      </c>
      <c r="AE266" s="45">
        <f>IFERROR(__xludf.DUMMYFUNCTION("""COMPUTED_VALUE"""),"N")</f>
        <v/>
      </c>
      <c r="AF266" s="45" t="n"/>
      <c r="AG266" s="49">
        <f>IFERROR(__xludf.DUMMYFUNCTION("IFNA(vlookup(H266,IMPORTRANGE(""1vUGwO1n0QQGx9kKbO0_M5gmuhXZ6-LaxQxgrmJnzgP0"",""'TP# look up'!A:C""),3,0),"""")"),"")</f>
        <v/>
      </c>
      <c r="AH266" s="49">
        <f>LEFT(J266,2)</f>
        <v/>
      </c>
    </row>
    <row r="267" hidden="1" ht="12.75" customHeight="1">
      <c r="A267" s="45">
        <f>IFERROR(__xludf.DUMMYFUNCTION("""COMPUTED_VALUE"""),"Colombo")</f>
        <v/>
      </c>
      <c r="B267" s="45" t="n"/>
      <c r="C267" s="45">
        <f>IFERROR(__xludf.DUMMYFUNCTION("""COMPUTED_VALUE"""),3254506)</f>
        <v/>
      </c>
      <c r="D267" s="45" t="n"/>
      <c r="E267" s="45">
        <f>IFERROR(__xludf.DUMMYFUNCTION("""COMPUTED_VALUE"""),"CFS")</f>
        <v/>
      </c>
      <c r="F267" s="45">
        <f>IFERROR(__xludf.DUMMYFUNCTION("""COMPUTED_VALUE"""),"Inqube Global (PVT) Ltd")</f>
        <v/>
      </c>
      <c r="G267" s="45">
        <f>IFERROR(__xludf.DUMMYFUNCTION("""COMPUTED_VALUE"""),"Quantum Clothing Lanka (Pvt) Ltd")</f>
        <v/>
      </c>
      <c r="H267" s="43">
        <f>IFERROR(__xludf.DUMMYFUNCTION("""COMPUTED_VALUE"""),452065160070)</f>
        <v/>
      </c>
      <c r="I267" s="45">
        <f>IFERROR(__xludf.DUMMYFUNCTION("""COMPUTED_VALUE"""),19876911)</f>
        <v/>
      </c>
      <c r="J267" s="45">
        <f>IFERROR(__xludf.DUMMYFUNCTION("""COMPUTED_VALUE"""),"LW9FMOS")</f>
        <v/>
      </c>
      <c r="K267" s="45">
        <f>IFERROR(__xludf.DUMMYFUNCTION("""COMPUTED_VALUE"""),"LW9FMOS-071150")</f>
        <v/>
      </c>
      <c r="L267" s="45">
        <f>IFERROR(__xludf.DUMMYFUNCTION("""COMPUTED_VALUE"""),1)</f>
        <v/>
      </c>
      <c r="M267" s="45">
        <f>IFERROR(__xludf.DUMMYFUNCTION("""COMPUTED_VALUE"""),207)</f>
        <v/>
      </c>
      <c r="N267" s="45">
        <f>IFERROR(__xludf.DUMMYFUNCTION("""COMPUTED_VALUE"""),16.149)</f>
        <v/>
      </c>
      <c r="O267" s="45">
        <f>IFERROR(__xludf.DUMMYFUNCTION("""COMPUTED_VALUE"""),0.079)</f>
        <v/>
      </c>
      <c r="P267" s="45">
        <f>IFERROR(__xludf.DUMMYFUNCTION("""COMPUTED_VALUE"""),"Colombo, LK")</f>
        <v/>
      </c>
      <c r="Q267" s="45">
        <f>IFERROR(__xludf.DUMMYFUNCTION("""COMPUTED_VALUE"""),"New York, NY, US")</f>
        <v/>
      </c>
      <c r="R267" s="44">
        <f>IFERROR(__xludf.DUMMYFUNCTION("""COMPUTED_VALUE"""),45824)</f>
        <v/>
      </c>
      <c r="S267" s="44">
        <f>IFERROR(__xludf.DUMMYFUNCTION("""COMPUTED_VALUE"""),45883)</f>
        <v/>
      </c>
      <c r="T267" s="45">
        <f>IFERROR(__xludf.DUMMYFUNCTION("""COMPUTED_VALUE"""),"Mississauga, ON, CA")</f>
        <v/>
      </c>
      <c r="U267" s="45" t="n"/>
      <c r="V267" s="45" t="n"/>
      <c r="W267" s="45" t="n"/>
      <c r="X267" s="45" t="n"/>
      <c r="Y267" s="46">
        <f>IFERROR(__xludf.DUMMYFUNCTION("""COMPUTED_VALUE"""),45832)</f>
        <v/>
      </c>
      <c r="Z267" s="46">
        <f>IFERROR(__xludf.DUMMYFUNCTION("""COMPUTED_VALUE"""),45861)</f>
        <v/>
      </c>
      <c r="AA267" s="46">
        <f>IFERROR(__xludf.DUMMYFUNCTION("""COMPUTED_VALUE"""),45874)</f>
        <v/>
      </c>
      <c r="AB267" s="45">
        <f>IFERROR(__xludf.DUMMYFUNCTION("""COMPUTED_VALUE"""),"3500 Argentia Road")</f>
        <v/>
      </c>
      <c r="AC267" s="45" t="n"/>
      <c r="AD267" s="45">
        <f>IFERROR(__xludf.DUMMYFUNCTION("""COMPUTED_VALUE"""),"OCEAN")</f>
        <v/>
      </c>
      <c r="AE267" s="45">
        <f>IFERROR(__xludf.DUMMYFUNCTION("""COMPUTED_VALUE"""),"N")</f>
        <v/>
      </c>
      <c r="AF267" s="45" t="n"/>
      <c r="AG267" s="49">
        <f>IFERROR(__xludf.DUMMYFUNCTION("IFNA(vlookup(H267,IMPORTRANGE(""1vUGwO1n0QQGx9kKbO0_M5gmuhXZ6-LaxQxgrmJnzgP0"",""'TP# look up'!A:C""),3,0),"""")"),"")</f>
        <v/>
      </c>
      <c r="AH267" s="49">
        <f>LEFT(J267,2)</f>
        <v/>
      </c>
    </row>
    <row r="268" hidden="1" ht="12.75" customHeight="1">
      <c r="A268" s="45">
        <f>IFERROR(__xludf.DUMMYFUNCTION("""COMPUTED_VALUE"""),"Colombo")</f>
        <v/>
      </c>
      <c r="B268" s="45" t="n"/>
      <c r="C268" s="45">
        <f>IFERROR(__xludf.DUMMYFUNCTION("""COMPUTED_VALUE"""),3254506)</f>
        <v/>
      </c>
      <c r="D268" s="45" t="n"/>
      <c r="E268" s="45">
        <f>IFERROR(__xludf.DUMMYFUNCTION("""COMPUTED_VALUE"""),"CFS")</f>
        <v/>
      </c>
      <c r="F268" s="45">
        <f>IFERROR(__xludf.DUMMYFUNCTION("""COMPUTED_VALUE"""),"Inqube Global (PVT) Ltd")</f>
        <v/>
      </c>
      <c r="G268" s="45">
        <f>IFERROR(__xludf.DUMMYFUNCTION("""COMPUTED_VALUE"""),"Quantum Clothing Lanka (Pvt) Ltd")</f>
        <v/>
      </c>
      <c r="H268" s="43">
        <f>IFERROR(__xludf.DUMMYFUNCTION("""COMPUTED_VALUE"""),452090767696)</f>
        <v/>
      </c>
      <c r="I268" s="45">
        <f>IFERROR(__xludf.DUMMYFUNCTION("""COMPUTED_VALUE"""),19876156)</f>
        <v/>
      </c>
      <c r="J268" s="45">
        <f>IFERROR(__xludf.DUMMYFUNCTION("""COMPUTED_VALUE"""),"LW9FMPS")</f>
        <v/>
      </c>
      <c r="K268" s="45">
        <f>IFERROR(__xludf.DUMMYFUNCTION("""COMPUTED_VALUE"""),"LW9FMPS-0001")</f>
        <v/>
      </c>
      <c r="L268" s="45">
        <f>IFERROR(__xludf.DUMMYFUNCTION("""COMPUTED_VALUE"""),1)</f>
        <v/>
      </c>
      <c r="M268" s="45">
        <f>IFERROR(__xludf.DUMMYFUNCTION("""COMPUTED_VALUE"""),77)</f>
        <v/>
      </c>
      <c r="N268" s="45">
        <f>IFERROR(__xludf.DUMMYFUNCTION("""COMPUTED_VALUE"""),4.251)</f>
        <v/>
      </c>
      <c r="O268" s="45">
        <f>IFERROR(__xludf.DUMMYFUNCTION("""COMPUTED_VALUE"""),0.079)</f>
        <v/>
      </c>
      <c r="P268" s="45">
        <f>IFERROR(__xludf.DUMMYFUNCTION("""COMPUTED_VALUE"""),"Colombo, LK")</f>
        <v/>
      </c>
      <c r="Q268" s="45">
        <f>IFERROR(__xludf.DUMMYFUNCTION("""COMPUTED_VALUE"""),"New York, NY, US")</f>
        <v/>
      </c>
      <c r="R268" s="44">
        <f>IFERROR(__xludf.DUMMYFUNCTION("""COMPUTED_VALUE"""),45824)</f>
        <v/>
      </c>
      <c r="S268" s="44">
        <f>IFERROR(__xludf.DUMMYFUNCTION("""COMPUTED_VALUE"""),45883)</f>
        <v/>
      </c>
      <c r="T268" s="45">
        <f>IFERROR(__xludf.DUMMYFUNCTION("""COMPUTED_VALUE"""),"Mississauga, ON, CA")</f>
        <v/>
      </c>
      <c r="U268" s="45" t="n"/>
      <c r="V268" s="45" t="n"/>
      <c r="W268" s="45" t="n"/>
      <c r="X268" s="45" t="n"/>
      <c r="Y268" s="46">
        <f>IFERROR(__xludf.DUMMYFUNCTION("""COMPUTED_VALUE"""),45832)</f>
        <v/>
      </c>
      <c r="Z268" s="46">
        <f>IFERROR(__xludf.DUMMYFUNCTION("""COMPUTED_VALUE"""),45861)</f>
        <v/>
      </c>
      <c r="AA268" s="46">
        <f>IFERROR(__xludf.DUMMYFUNCTION("""COMPUTED_VALUE"""),45874)</f>
        <v/>
      </c>
      <c r="AB268" s="45">
        <f>IFERROR(__xludf.DUMMYFUNCTION("""COMPUTED_VALUE"""),"3500 Argentia Road")</f>
        <v/>
      </c>
      <c r="AC268" s="45" t="n"/>
      <c r="AD268" s="45">
        <f>IFERROR(__xludf.DUMMYFUNCTION("""COMPUTED_VALUE"""),"OCEAN")</f>
        <v/>
      </c>
      <c r="AE268" s="45">
        <f>IFERROR(__xludf.DUMMYFUNCTION("""COMPUTED_VALUE"""),"N")</f>
        <v/>
      </c>
      <c r="AF268" s="45" t="n"/>
      <c r="AG268" s="49">
        <f>IFERROR(__xludf.DUMMYFUNCTION("IFNA(vlookup(H268,IMPORTRANGE(""1vUGwO1n0QQGx9kKbO0_M5gmuhXZ6-LaxQxgrmJnzgP0"",""'TP# look up'!A:C""),3,0),"""")"),"")</f>
        <v/>
      </c>
      <c r="AH268" s="49">
        <f>LEFT(J268,2)</f>
        <v/>
      </c>
    </row>
    <row r="269" hidden="1" ht="12.75" customHeight="1">
      <c r="A269" s="45">
        <f>IFERROR(__xludf.DUMMYFUNCTION("""COMPUTED_VALUE"""),"Colombo")</f>
        <v/>
      </c>
      <c r="B269" s="45" t="n"/>
      <c r="C269" s="45">
        <f>IFERROR(__xludf.DUMMYFUNCTION("""COMPUTED_VALUE"""),3254506)</f>
        <v/>
      </c>
      <c r="D269" s="45" t="n"/>
      <c r="E269" s="45">
        <f>IFERROR(__xludf.DUMMYFUNCTION("""COMPUTED_VALUE"""),"CFS")</f>
        <v/>
      </c>
      <c r="F269" s="45">
        <f>IFERROR(__xludf.DUMMYFUNCTION("""COMPUTED_VALUE"""),"Inqube Global (PVT) Ltd")</f>
        <v/>
      </c>
      <c r="G269" s="45">
        <f>IFERROR(__xludf.DUMMYFUNCTION("""COMPUTED_VALUE"""),"Quantum Clothing Lanka (Pvt) Ltd")</f>
        <v/>
      </c>
      <c r="H269" s="43">
        <f>IFERROR(__xludf.DUMMYFUNCTION("""COMPUTED_VALUE"""),452091918889)</f>
        <v/>
      </c>
      <c r="I269" s="45">
        <f>IFERROR(__xludf.DUMMYFUNCTION("""COMPUTED_VALUE"""),19876155)</f>
        <v/>
      </c>
      <c r="J269" s="45">
        <f>IFERROR(__xludf.DUMMYFUNCTION("""COMPUTED_VALUE"""),"LW9FMPS")</f>
        <v/>
      </c>
      <c r="K269" s="45">
        <f>IFERROR(__xludf.DUMMYFUNCTION("""COMPUTED_VALUE"""),"LW9FMPS-0001")</f>
        <v/>
      </c>
      <c r="L269" s="45">
        <f>IFERROR(__xludf.DUMMYFUNCTION("""COMPUTED_VALUE"""),1)</f>
        <v/>
      </c>
      <c r="M269" s="45">
        <f>IFERROR(__xludf.DUMMYFUNCTION("""COMPUTED_VALUE"""),89)</f>
        <v/>
      </c>
      <c r="N269" s="45">
        <f>IFERROR(__xludf.DUMMYFUNCTION("""COMPUTED_VALUE"""),4.232)</f>
        <v/>
      </c>
      <c r="O269" s="45">
        <f>IFERROR(__xludf.DUMMYFUNCTION("""COMPUTED_VALUE"""),0.04)</f>
        <v/>
      </c>
      <c r="P269" s="45">
        <f>IFERROR(__xludf.DUMMYFUNCTION("""COMPUTED_VALUE"""),"Colombo, LK")</f>
        <v/>
      </c>
      <c r="Q269" s="45">
        <f>IFERROR(__xludf.DUMMYFUNCTION("""COMPUTED_VALUE"""),"New York, NY, US")</f>
        <v/>
      </c>
      <c r="R269" s="44">
        <f>IFERROR(__xludf.DUMMYFUNCTION("""COMPUTED_VALUE"""),45824)</f>
        <v/>
      </c>
      <c r="S269" s="44">
        <f>IFERROR(__xludf.DUMMYFUNCTION("""COMPUTED_VALUE"""),45883)</f>
        <v/>
      </c>
      <c r="T269" s="45">
        <f>IFERROR(__xludf.DUMMYFUNCTION("""COMPUTED_VALUE"""),"Mississauga, ON, CA")</f>
        <v/>
      </c>
      <c r="U269" s="45" t="n"/>
      <c r="V269" s="45" t="n"/>
      <c r="W269" s="45" t="n"/>
      <c r="X269" s="45" t="n"/>
      <c r="Y269" s="46">
        <f>IFERROR(__xludf.DUMMYFUNCTION("""COMPUTED_VALUE"""),45832)</f>
        <v/>
      </c>
      <c r="Z269" s="46">
        <f>IFERROR(__xludf.DUMMYFUNCTION("""COMPUTED_VALUE"""),45861)</f>
        <v/>
      </c>
      <c r="AA269" s="46">
        <f>IFERROR(__xludf.DUMMYFUNCTION("""COMPUTED_VALUE"""),45874)</f>
        <v/>
      </c>
      <c r="AB269" s="45">
        <f>IFERROR(__xludf.DUMMYFUNCTION("""COMPUTED_VALUE"""),"3500 Argentia Road")</f>
        <v/>
      </c>
      <c r="AC269" s="45" t="n"/>
      <c r="AD269" s="45">
        <f>IFERROR(__xludf.DUMMYFUNCTION("""COMPUTED_VALUE"""),"OCEAN")</f>
        <v/>
      </c>
      <c r="AE269" s="45">
        <f>IFERROR(__xludf.DUMMYFUNCTION("""COMPUTED_VALUE"""),"N")</f>
        <v/>
      </c>
      <c r="AF269" s="45" t="n"/>
      <c r="AG269" s="49">
        <f>IFERROR(__xludf.DUMMYFUNCTION("IFNA(vlookup(H269,IMPORTRANGE(""1vUGwO1n0QQGx9kKbO0_M5gmuhXZ6-LaxQxgrmJnzgP0"",""'TP# look up'!A:C""),3,0),"""")"),"")</f>
        <v/>
      </c>
      <c r="AH269" s="49">
        <f>LEFT(J269,2)</f>
        <v/>
      </c>
    </row>
    <row r="270" hidden="1" ht="12.75" customHeight="1">
      <c r="A270" s="45">
        <f>IFERROR(__xludf.DUMMYFUNCTION("""COMPUTED_VALUE"""),"Colombo")</f>
        <v/>
      </c>
      <c r="B270" s="45" t="n"/>
      <c r="C270" s="45">
        <f>IFERROR(__xludf.DUMMYFUNCTION("""COMPUTED_VALUE"""),3254506)</f>
        <v/>
      </c>
      <c r="D270" s="45" t="n"/>
      <c r="E270" s="45">
        <f>IFERROR(__xludf.DUMMYFUNCTION("""COMPUTED_VALUE"""),"CFS")</f>
        <v/>
      </c>
      <c r="F270" s="45">
        <f>IFERROR(__xludf.DUMMYFUNCTION("""COMPUTED_VALUE"""),"Inqube Global (PVT) Ltd")</f>
        <v/>
      </c>
      <c r="G270" s="45">
        <f>IFERROR(__xludf.DUMMYFUNCTION("""COMPUTED_VALUE"""),"Quantum Clothing Lanka (Pvt) Ltd")</f>
        <v/>
      </c>
      <c r="H270" s="43">
        <f>IFERROR(__xludf.DUMMYFUNCTION("""COMPUTED_VALUE"""),452329023254)</f>
        <v/>
      </c>
      <c r="I270" s="45">
        <f>IFERROR(__xludf.DUMMYFUNCTION("""COMPUTED_VALUE"""),19876983)</f>
        <v/>
      </c>
      <c r="J270" s="45">
        <f>IFERROR(__xludf.DUMMYFUNCTION("""COMPUTED_VALUE"""),"LW9FMPS")</f>
        <v/>
      </c>
      <c r="K270" s="45">
        <f>IFERROR(__xludf.DUMMYFUNCTION("""COMPUTED_VALUE"""),"LW9FMPS-0001")</f>
        <v/>
      </c>
      <c r="L270" s="45">
        <f>IFERROR(__xludf.DUMMYFUNCTION("""COMPUTED_VALUE"""),1)</f>
        <v/>
      </c>
      <c r="M270" s="45">
        <f>IFERROR(__xludf.DUMMYFUNCTION("""COMPUTED_VALUE"""),219)</f>
        <v/>
      </c>
      <c r="N270" s="45">
        <f>IFERROR(__xludf.DUMMYFUNCTION("""COMPUTED_VALUE"""),9.51)</f>
        <v/>
      </c>
      <c r="O270" s="45">
        <f>IFERROR(__xludf.DUMMYFUNCTION("""COMPUTED_VALUE"""),0.079)</f>
        <v/>
      </c>
      <c r="P270" s="45">
        <f>IFERROR(__xludf.DUMMYFUNCTION("""COMPUTED_VALUE"""),"Colombo, LK")</f>
        <v/>
      </c>
      <c r="Q270" s="45">
        <f>IFERROR(__xludf.DUMMYFUNCTION("""COMPUTED_VALUE"""),"New York, NY, US")</f>
        <v/>
      </c>
      <c r="R270" s="44">
        <f>IFERROR(__xludf.DUMMYFUNCTION("""COMPUTED_VALUE"""),45824)</f>
        <v/>
      </c>
      <c r="S270" s="44">
        <f>IFERROR(__xludf.DUMMYFUNCTION("""COMPUTED_VALUE"""),45883)</f>
        <v/>
      </c>
      <c r="T270" s="45">
        <f>IFERROR(__xludf.DUMMYFUNCTION("""COMPUTED_VALUE"""),"Mississauga, ON, CA")</f>
        <v/>
      </c>
      <c r="U270" s="45" t="n"/>
      <c r="V270" s="45" t="n"/>
      <c r="W270" s="45" t="n"/>
      <c r="X270" s="45" t="n"/>
      <c r="Y270" s="46">
        <f>IFERROR(__xludf.DUMMYFUNCTION("""COMPUTED_VALUE"""),45832)</f>
        <v/>
      </c>
      <c r="Z270" s="46">
        <f>IFERROR(__xludf.DUMMYFUNCTION("""COMPUTED_VALUE"""),45861)</f>
        <v/>
      </c>
      <c r="AA270" s="46">
        <f>IFERROR(__xludf.DUMMYFUNCTION("""COMPUTED_VALUE"""),45874)</f>
        <v/>
      </c>
      <c r="AB270" s="45">
        <f>IFERROR(__xludf.DUMMYFUNCTION("""COMPUTED_VALUE"""),"3500 Argentia Road")</f>
        <v/>
      </c>
      <c r="AC270" s="45" t="n"/>
      <c r="AD270" s="45">
        <f>IFERROR(__xludf.DUMMYFUNCTION("""COMPUTED_VALUE"""),"OCEAN")</f>
        <v/>
      </c>
      <c r="AE270" s="45">
        <f>IFERROR(__xludf.DUMMYFUNCTION("""COMPUTED_VALUE"""),"N")</f>
        <v/>
      </c>
      <c r="AF270" s="45" t="n"/>
      <c r="AG270" s="49">
        <f>IFERROR(__xludf.DUMMYFUNCTION("IFNA(vlookup(H270,IMPORTRANGE(""1vUGwO1n0QQGx9kKbO0_M5gmuhXZ6-LaxQxgrmJnzgP0"",""'TP# look up'!A:C""),3,0),"""")"),"")</f>
        <v/>
      </c>
      <c r="AH270" s="49">
        <f>LEFT(J270,2)</f>
        <v/>
      </c>
    </row>
    <row r="271" hidden="1" ht="12.75" customHeight="1">
      <c r="A271" s="45">
        <f>IFERROR(__xludf.DUMMYFUNCTION("""COMPUTED_VALUE"""),"Colombo")</f>
        <v/>
      </c>
      <c r="B271" s="45" t="n"/>
      <c r="C271" s="45">
        <f>IFERROR(__xludf.DUMMYFUNCTION("""COMPUTED_VALUE"""),3254506)</f>
        <v/>
      </c>
      <c r="D271" s="45" t="n"/>
      <c r="E271" s="45">
        <f>IFERROR(__xludf.DUMMYFUNCTION("""COMPUTED_VALUE"""),"CFS")</f>
        <v/>
      </c>
      <c r="F271" s="45">
        <f>IFERROR(__xludf.DUMMYFUNCTION("""COMPUTED_VALUE"""),"Inqube Global (PVT) Ltd")</f>
        <v/>
      </c>
      <c r="G271" s="45">
        <f>IFERROR(__xludf.DUMMYFUNCTION("""COMPUTED_VALUE"""),"Quantum Clothing Lanka (Pvt) Ltd")</f>
        <v/>
      </c>
      <c r="H271" s="43">
        <f>IFERROR(__xludf.DUMMYFUNCTION("""COMPUTED_VALUE"""),452329220808)</f>
        <v/>
      </c>
      <c r="I271" s="45">
        <f>IFERROR(__xludf.DUMMYFUNCTION("""COMPUTED_VALUE"""),19876987)</f>
        <v/>
      </c>
      <c r="J271" s="45">
        <f>IFERROR(__xludf.DUMMYFUNCTION("""COMPUTED_VALUE"""),"LW9FMPS")</f>
        <v/>
      </c>
      <c r="K271" s="45">
        <f>IFERROR(__xludf.DUMMYFUNCTION("""COMPUTED_VALUE"""),"LW9FMPS-0001")</f>
        <v/>
      </c>
      <c r="L271" s="45">
        <f>IFERROR(__xludf.DUMMYFUNCTION("""COMPUTED_VALUE"""),1)</f>
        <v/>
      </c>
      <c r="M271" s="45">
        <f>IFERROR(__xludf.DUMMYFUNCTION("""COMPUTED_VALUE"""),114)</f>
        <v/>
      </c>
      <c r="N271" s="45">
        <f>IFERROR(__xludf.DUMMYFUNCTION("""COMPUTED_VALUE"""),5.155)</f>
        <v/>
      </c>
      <c r="O271" s="45">
        <f>IFERROR(__xludf.DUMMYFUNCTION("""COMPUTED_VALUE"""),0.04)</f>
        <v/>
      </c>
      <c r="P271" s="45">
        <f>IFERROR(__xludf.DUMMYFUNCTION("""COMPUTED_VALUE"""),"Colombo, LK")</f>
        <v/>
      </c>
      <c r="Q271" s="45">
        <f>IFERROR(__xludf.DUMMYFUNCTION("""COMPUTED_VALUE"""),"New York, NY, US")</f>
        <v/>
      </c>
      <c r="R271" s="44">
        <f>IFERROR(__xludf.DUMMYFUNCTION("""COMPUTED_VALUE"""),45824)</f>
        <v/>
      </c>
      <c r="S271" s="44">
        <f>IFERROR(__xludf.DUMMYFUNCTION("""COMPUTED_VALUE"""),45883)</f>
        <v/>
      </c>
      <c r="T271" s="45">
        <f>IFERROR(__xludf.DUMMYFUNCTION("""COMPUTED_VALUE"""),"Mississauga, ON, CA")</f>
        <v/>
      </c>
      <c r="U271" s="45" t="n"/>
      <c r="V271" s="45" t="n"/>
      <c r="W271" s="45" t="n"/>
      <c r="X271" s="45" t="n"/>
      <c r="Y271" s="46">
        <f>IFERROR(__xludf.DUMMYFUNCTION("""COMPUTED_VALUE"""),45832)</f>
        <v/>
      </c>
      <c r="Z271" s="46">
        <f>IFERROR(__xludf.DUMMYFUNCTION("""COMPUTED_VALUE"""),45861)</f>
        <v/>
      </c>
      <c r="AA271" s="46">
        <f>IFERROR(__xludf.DUMMYFUNCTION("""COMPUTED_VALUE"""),45874)</f>
        <v/>
      </c>
      <c r="AB271" s="45">
        <f>IFERROR(__xludf.DUMMYFUNCTION("""COMPUTED_VALUE"""),"3500 Argentia Road")</f>
        <v/>
      </c>
      <c r="AC271" s="45" t="n"/>
      <c r="AD271" s="45">
        <f>IFERROR(__xludf.DUMMYFUNCTION("""COMPUTED_VALUE"""),"OCEAN")</f>
        <v/>
      </c>
      <c r="AE271" s="45">
        <f>IFERROR(__xludf.DUMMYFUNCTION("""COMPUTED_VALUE"""),"N")</f>
        <v/>
      </c>
      <c r="AF271" s="45" t="n"/>
      <c r="AG271" s="49">
        <f>IFERROR(__xludf.DUMMYFUNCTION("IFNA(vlookup(H271,IMPORTRANGE(""1vUGwO1n0QQGx9kKbO0_M5gmuhXZ6-LaxQxgrmJnzgP0"",""'TP# look up'!A:C""),3,0),"""")"),"")</f>
        <v/>
      </c>
      <c r="AH271" s="49">
        <f>LEFT(J271,2)</f>
        <v/>
      </c>
    </row>
    <row r="272" hidden="1" ht="12.75" customHeight="1">
      <c r="A272" s="45">
        <f>IFERROR(__xludf.DUMMYFUNCTION("""COMPUTED_VALUE"""),"Colombo")</f>
        <v/>
      </c>
      <c r="B272" s="45" t="n"/>
      <c r="C272" s="45">
        <f>IFERROR(__xludf.DUMMYFUNCTION("""COMPUTED_VALUE"""),3254506)</f>
        <v/>
      </c>
      <c r="D272" s="45" t="n"/>
      <c r="E272" s="45">
        <f>IFERROR(__xludf.DUMMYFUNCTION("""COMPUTED_VALUE"""),"CFS")</f>
        <v/>
      </c>
      <c r="F272" s="45">
        <f>IFERROR(__xludf.DUMMYFUNCTION("""COMPUTED_VALUE"""),"Inqube Global (PVT) Ltd")</f>
        <v/>
      </c>
      <c r="G272" s="45">
        <f>IFERROR(__xludf.DUMMYFUNCTION("""COMPUTED_VALUE"""),"Quantum Clothing Lanka (Pvt) Ltd")</f>
        <v/>
      </c>
      <c r="H272" s="43">
        <f>IFERROR(__xludf.DUMMYFUNCTION("""COMPUTED_VALUE"""),452331134230)</f>
        <v/>
      </c>
      <c r="I272" s="45">
        <f>IFERROR(__xludf.DUMMYFUNCTION("""COMPUTED_VALUE"""),19876167)</f>
        <v/>
      </c>
      <c r="J272" s="45">
        <f>IFERROR(__xludf.DUMMYFUNCTION("""COMPUTED_VALUE"""),"LW9FMPS")</f>
        <v/>
      </c>
      <c r="K272" s="45">
        <f>IFERROR(__xludf.DUMMYFUNCTION("""COMPUTED_VALUE"""),"LW9FMPS-068585")</f>
        <v/>
      </c>
      <c r="L272" s="45">
        <f>IFERROR(__xludf.DUMMYFUNCTION("""COMPUTED_VALUE"""),1)</f>
        <v/>
      </c>
      <c r="M272" s="45">
        <f>IFERROR(__xludf.DUMMYFUNCTION("""COMPUTED_VALUE"""),48)</f>
        <v/>
      </c>
      <c r="N272" s="45">
        <f>IFERROR(__xludf.DUMMYFUNCTION("""COMPUTED_VALUE"""),2.714)</f>
        <v/>
      </c>
      <c r="O272" s="45">
        <f>IFERROR(__xludf.DUMMYFUNCTION("""COMPUTED_VALUE"""),0.04)</f>
        <v/>
      </c>
      <c r="P272" s="45">
        <f>IFERROR(__xludf.DUMMYFUNCTION("""COMPUTED_VALUE"""),"Colombo, LK")</f>
        <v/>
      </c>
      <c r="Q272" s="45">
        <f>IFERROR(__xludf.DUMMYFUNCTION("""COMPUTED_VALUE"""),"New York, NY, US")</f>
        <v/>
      </c>
      <c r="R272" s="44">
        <f>IFERROR(__xludf.DUMMYFUNCTION("""COMPUTED_VALUE"""),45824)</f>
        <v/>
      </c>
      <c r="S272" s="44">
        <f>IFERROR(__xludf.DUMMYFUNCTION("""COMPUTED_VALUE"""),45883)</f>
        <v/>
      </c>
      <c r="T272" s="45">
        <f>IFERROR(__xludf.DUMMYFUNCTION("""COMPUTED_VALUE"""),"Mississauga, ON, CA")</f>
        <v/>
      </c>
      <c r="U272" s="45" t="n"/>
      <c r="V272" s="45" t="n"/>
      <c r="W272" s="45" t="n"/>
      <c r="X272" s="45" t="n"/>
      <c r="Y272" s="46">
        <f>IFERROR(__xludf.DUMMYFUNCTION("""COMPUTED_VALUE"""),45832)</f>
        <v/>
      </c>
      <c r="Z272" s="46">
        <f>IFERROR(__xludf.DUMMYFUNCTION("""COMPUTED_VALUE"""),45861)</f>
        <v/>
      </c>
      <c r="AA272" s="46">
        <f>IFERROR(__xludf.DUMMYFUNCTION("""COMPUTED_VALUE"""),45874)</f>
        <v/>
      </c>
      <c r="AB272" s="45">
        <f>IFERROR(__xludf.DUMMYFUNCTION("""COMPUTED_VALUE"""),"3500 Argentia Road")</f>
        <v/>
      </c>
      <c r="AC272" s="45" t="n"/>
      <c r="AD272" s="45">
        <f>IFERROR(__xludf.DUMMYFUNCTION("""COMPUTED_VALUE"""),"OCEAN")</f>
        <v/>
      </c>
      <c r="AE272" s="45">
        <f>IFERROR(__xludf.DUMMYFUNCTION("""COMPUTED_VALUE"""),"N")</f>
        <v/>
      </c>
      <c r="AF272" s="45" t="n"/>
      <c r="AG272" s="49">
        <f>IFERROR(__xludf.DUMMYFUNCTION("IFNA(vlookup(H272,IMPORTRANGE(""1vUGwO1n0QQGx9kKbO0_M5gmuhXZ6-LaxQxgrmJnzgP0"",""'TP# look up'!A:C""),3,0),"""")"),"")</f>
        <v/>
      </c>
      <c r="AH272" s="49">
        <f>LEFT(J272,2)</f>
        <v/>
      </c>
    </row>
    <row r="273" hidden="1" ht="12.75" customHeight="1">
      <c r="A273" s="45">
        <f>IFERROR(__xludf.DUMMYFUNCTION("""COMPUTED_VALUE"""),"Colombo")</f>
        <v/>
      </c>
      <c r="B273" s="45" t="n"/>
      <c r="C273" s="45">
        <f>IFERROR(__xludf.DUMMYFUNCTION("""COMPUTED_VALUE"""),3254506)</f>
        <v/>
      </c>
      <c r="D273" s="45" t="n"/>
      <c r="E273" s="45">
        <f>IFERROR(__xludf.DUMMYFUNCTION("""COMPUTED_VALUE"""),"CFS")</f>
        <v/>
      </c>
      <c r="F273" s="45">
        <f>IFERROR(__xludf.DUMMYFUNCTION("""COMPUTED_VALUE"""),"Inqube Global (PVT) Ltd")</f>
        <v/>
      </c>
      <c r="G273" s="45">
        <f>IFERROR(__xludf.DUMMYFUNCTION("""COMPUTED_VALUE"""),"Quantum Clothing Lanka (Pvt) Ltd")</f>
        <v/>
      </c>
      <c r="H273" s="43">
        <f>IFERROR(__xludf.DUMMYFUNCTION("""COMPUTED_VALUE"""),452333555853)</f>
        <v/>
      </c>
      <c r="I273" s="45">
        <f>IFERROR(__xludf.DUMMYFUNCTION("""COMPUTED_VALUE"""),19876168)</f>
        <v/>
      </c>
      <c r="J273" s="45">
        <f>IFERROR(__xludf.DUMMYFUNCTION("""COMPUTED_VALUE"""),"LW9FMPS")</f>
        <v/>
      </c>
      <c r="K273" s="45">
        <f>IFERROR(__xludf.DUMMYFUNCTION("""COMPUTED_VALUE"""),"LW9FMPS-068585")</f>
        <v/>
      </c>
      <c r="L273" s="45">
        <f>IFERROR(__xludf.DUMMYFUNCTION("""COMPUTED_VALUE"""),1)</f>
        <v/>
      </c>
      <c r="M273" s="45">
        <f>IFERROR(__xludf.DUMMYFUNCTION("""COMPUTED_VALUE"""),50)</f>
        <v/>
      </c>
      <c r="N273" s="45">
        <f>IFERROR(__xludf.DUMMYFUNCTION("""COMPUTED_VALUE"""),2.789)</f>
        <v/>
      </c>
      <c r="O273" s="45">
        <f>IFERROR(__xludf.DUMMYFUNCTION("""COMPUTED_VALUE"""),0.04)</f>
        <v/>
      </c>
      <c r="P273" s="45">
        <f>IFERROR(__xludf.DUMMYFUNCTION("""COMPUTED_VALUE"""),"Colombo, LK")</f>
        <v/>
      </c>
      <c r="Q273" s="45">
        <f>IFERROR(__xludf.DUMMYFUNCTION("""COMPUTED_VALUE"""),"New York, NY, US")</f>
        <v/>
      </c>
      <c r="R273" s="44">
        <f>IFERROR(__xludf.DUMMYFUNCTION("""COMPUTED_VALUE"""),45824)</f>
        <v/>
      </c>
      <c r="S273" s="44">
        <f>IFERROR(__xludf.DUMMYFUNCTION("""COMPUTED_VALUE"""),45883)</f>
        <v/>
      </c>
      <c r="T273" s="45">
        <f>IFERROR(__xludf.DUMMYFUNCTION("""COMPUTED_VALUE"""),"Mississauga, ON, CA")</f>
        <v/>
      </c>
      <c r="U273" s="45" t="n"/>
      <c r="V273" s="45" t="n"/>
      <c r="W273" s="45" t="n"/>
      <c r="X273" s="45" t="n"/>
      <c r="Y273" s="46">
        <f>IFERROR(__xludf.DUMMYFUNCTION("""COMPUTED_VALUE"""),45832)</f>
        <v/>
      </c>
      <c r="Z273" s="46">
        <f>IFERROR(__xludf.DUMMYFUNCTION("""COMPUTED_VALUE"""),45861)</f>
        <v/>
      </c>
      <c r="AA273" s="46">
        <f>IFERROR(__xludf.DUMMYFUNCTION("""COMPUTED_VALUE"""),45874)</f>
        <v/>
      </c>
      <c r="AB273" s="45">
        <f>IFERROR(__xludf.DUMMYFUNCTION("""COMPUTED_VALUE"""),"3500 Argentia Road")</f>
        <v/>
      </c>
      <c r="AC273" s="45" t="n"/>
      <c r="AD273" s="45">
        <f>IFERROR(__xludf.DUMMYFUNCTION("""COMPUTED_VALUE"""),"OCEAN")</f>
        <v/>
      </c>
      <c r="AE273" s="45">
        <f>IFERROR(__xludf.DUMMYFUNCTION("""COMPUTED_VALUE"""),"N")</f>
        <v/>
      </c>
      <c r="AF273" s="45" t="n"/>
      <c r="AG273" s="49">
        <f>IFERROR(__xludf.DUMMYFUNCTION("IFNA(vlookup(H273,IMPORTRANGE(""1vUGwO1n0QQGx9kKbO0_M5gmuhXZ6-LaxQxgrmJnzgP0"",""'TP# look up'!A:C""),3,0),"""")"),"")</f>
        <v/>
      </c>
      <c r="AH273" s="49">
        <f>LEFT(J273,2)</f>
        <v/>
      </c>
    </row>
    <row r="274" hidden="1" ht="12.75" customHeight="1">
      <c r="A274" s="45">
        <f>IFERROR(__xludf.DUMMYFUNCTION("""COMPUTED_VALUE"""),"Colombo")</f>
        <v/>
      </c>
      <c r="B274" s="45" t="n"/>
      <c r="C274" s="45">
        <f>IFERROR(__xludf.DUMMYFUNCTION("""COMPUTED_VALUE"""),3254506)</f>
        <v/>
      </c>
      <c r="D274" s="45" t="n"/>
      <c r="E274" s="45">
        <f>IFERROR(__xludf.DUMMYFUNCTION("""COMPUTED_VALUE"""),"CFS")</f>
        <v/>
      </c>
      <c r="F274" s="45">
        <f>IFERROR(__xludf.DUMMYFUNCTION("""COMPUTED_VALUE"""),"Inqube Global (PVT) Ltd")</f>
        <v/>
      </c>
      <c r="G274" s="45">
        <f>IFERROR(__xludf.DUMMYFUNCTION("""COMPUTED_VALUE"""),"Quantum Clothing Lanka (Pvt) Ltd")</f>
        <v/>
      </c>
      <c r="H274" s="43">
        <f>IFERROR(__xludf.DUMMYFUNCTION("""COMPUTED_VALUE"""),452334621428)</f>
        <v/>
      </c>
      <c r="I274" s="45">
        <f>IFERROR(__xludf.DUMMYFUNCTION("""COMPUTED_VALUE"""),19877037)</f>
        <v/>
      </c>
      <c r="J274" s="45">
        <f>IFERROR(__xludf.DUMMYFUNCTION("""COMPUTED_VALUE"""),"LW9FMPS")</f>
        <v/>
      </c>
      <c r="K274" s="45">
        <f>IFERROR(__xludf.DUMMYFUNCTION("""COMPUTED_VALUE"""),"LW9FMPS-068585")</f>
        <v/>
      </c>
      <c r="L274" s="45">
        <f>IFERROR(__xludf.DUMMYFUNCTION("""COMPUTED_VALUE"""),1)</f>
        <v/>
      </c>
      <c r="M274" s="45">
        <f>IFERROR(__xludf.DUMMYFUNCTION("""COMPUTED_VALUE"""),99)</f>
        <v/>
      </c>
      <c r="N274" s="45">
        <f>IFERROR(__xludf.DUMMYFUNCTION("""COMPUTED_VALUE"""),4.602)</f>
        <v/>
      </c>
      <c r="O274" s="45">
        <f>IFERROR(__xludf.DUMMYFUNCTION("""COMPUTED_VALUE"""),0.04)</f>
        <v/>
      </c>
      <c r="P274" s="45">
        <f>IFERROR(__xludf.DUMMYFUNCTION("""COMPUTED_VALUE"""),"Colombo, LK")</f>
        <v/>
      </c>
      <c r="Q274" s="45">
        <f>IFERROR(__xludf.DUMMYFUNCTION("""COMPUTED_VALUE"""),"New York, NY, US")</f>
        <v/>
      </c>
      <c r="R274" s="44">
        <f>IFERROR(__xludf.DUMMYFUNCTION("""COMPUTED_VALUE"""),45824)</f>
        <v/>
      </c>
      <c r="S274" s="44">
        <f>IFERROR(__xludf.DUMMYFUNCTION("""COMPUTED_VALUE"""),45883)</f>
        <v/>
      </c>
      <c r="T274" s="45">
        <f>IFERROR(__xludf.DUMMYFUNCTION("""COMPUTED_VALUE"""),"Mississauga, ON, CA")</f>
        <v/>
      </c>
      <c r="U274" s="45" t="n"/>
      <c r="V274" s="45" t="n"/>
      <c r="W274" s="45" t="n"/>
      <c r="X274" s="45" t="n"/>
      <c r="Y274" s="46">
        <f>IFERROR(__xludf.DUMMYFUNCTION("""COMPUTED_VALUE"""),45832)</f>
        <v/>
      </c>
      <c r="Z274" s="46">
        <f>IFERROR(__xludf.DUMMYFUNCTION("""COMPUTED_VALUE"""),45861)</f>
        <v/>
      </c>
      <c r="AA274" s="46">
        <f>IFERROR(__xludf.DUMMYFUNCTION("""COMPUTED_VALUE"""),45874)</f>
        <v/>
      </c>
      <c r="AB274" s="45">
        <f>IFERROR(__xludf.DUMMYFUNCTION("""COMPUTED_VALUE"""),"3500 Argentia Road")</f>
        <v/>
      </c>
      <c r="AC274" s="45" t="n"/>
      <c r="AD274" s="45">
        <f>IFERROR(__xludf.DUMMYFUNCTION("""COMPUTED_VALUE"""),"OCEAN")</f>
        <v/>
      </c>
      <c r="AE274" s="45">
        <f>IFERROR(__xludf.DUMMYFUNCTION("""COMPUTED_VALUE"""),"N")</f>
        <v/>
      </c>
      <c r="AF274" s="45" t="n"/>
      <c r="AG274" s="49">
        <f>IFERROR(__xludf.DUMMYFUNCTION("IFNA(vlookup(H274,IMPORTRANGE(""1vUGwO1n0QQGx9kKbO0_M5gmuhXZ6-LaxQxgrmJnzgP0"",""'TP# look up'!A:C""),3,0),"""")"),"")</f>
        <v/>
      </c>
      <c r="AH274" s="49">
        <f>LEFT(J274,2)</f>
        <v/>
      </c>
    </row>
    <row r="275" hidden="1" ht="12.75" customHeight="1">
      <c r="A275" s="45">
        <f>IFERROR(__xludf.DUMMYFUNCTION("""COMPUTED_VALUE"""),"Colombo")</f>
        <v/>
      </c>
      <c r="B275" s="45" t="n"/>
      <c r="C275" s="45">
        <f>IFERROR(__xludf.DUMMYFUNCTION("""COMPUTED_VALUE"""),3254506)</f>
        <v/>
      </c>
      <c r="D275" s="45" t="n"/>
      <c r="E275" s="45">
        <f>IFERROR(__xludf.DUMMYFUNCTION("""COMPUTED_VALUE"""),"CFS")</f>
        <v/>
      </c>
      <c r="F275" s="45">
        <f>IFERROR(__xludf.DUMMYFUNCTION("""COMPUTED_VALUE"""),"Inqube Global (PVT) Ltd")</f>
        <v/>
      </c>
      <c r="G275" s="45">
        <f>IFERROR(__xludf.DUMMYFUNCTION("""COMPUTED_VALUE"""),"Quantum Clothing Lanka (Pvt) Ltd")</f>
        <v/>
      </c>
      <c r="H275" s="43">
        <f>IFERROR(__xludf.DUMMYFUNCTION("""COMPUTED_VALUE"""),452334899638)</f>
        <v/>
      </c>
      <c r="I275" s="45">
        <f>IFERROR(__xludf.DUMMYFUNCTION("""COMPUTED_VALUE"""),19877041)</f>
        <v/>
      </c>
      <c r="J275" s="45">
        <f>IFERROR(__xludf.DUMMYFUNCTION("""COMPUTED_VALUE"""),"LW9FMPS")</f>
        <v/>
      </c>
      <c r="K275" s="45">
        <f>IFERROR(__xludf.DUMMYFUNCTION("""COMPUTED_VALUE"""),"LW9FMPS-068585")</f>
        <v/>
      </c>
      <c r="L275" s="45">
        <f>IFERROR(__xludf.DUMMYFUNCTION("""COMPUTED_VALUE"""),1)</f>
        <v/>
      </c>
      <c r="M275" s="45">
        <f>IFERROR(__xludf.DUMMYFUNCTION("""COMPUTED_VALUE"""),60)</f>
        <v/>
      </c>
      <c r="N275" s="45">
        <f>IFERROR(__xludf.DUMMYFUNCTION("""COMPUTED_VALUE"""),3.157)</f>
        <v/>
      </c>
      <c r="O275" s="45">
        <f>IFERROR(__xludf.DUMMYFUNCTION("""COMPUTED_VALUE"""),0.04)</f>
        <v/>
      </c>
      <c r="P275" s="45">
        <f>IFERROR(__xludf.DUMMYFUNCTION("""COMPUTED_VALUE"""),"Colombo, LK")</f>
        <v/>
      </c>
      <c r="Q275" s="45">
        <f>IFERROR(__xludf.DUMMYFUNCTION("""COMPUTED_VALUE"""),"New York, NY, US")</f>
        <v/>
      </c>
      <c r="R275" s="44">
        <f>IFERROR(__xludf.DUMMYFUNCTION("""COMPUTED_VALUE"""),45824)</f>
        <v/>
      </c>
      <c r="S275" s="44">
        <f>IFERROR(__xludf.DUMMYFUNCTION("""COMPUTED_VALUE"""),45883)</f>
        <v/>
      </c>
      <c r="T275" s="45">
        <f>IFERROR(__xludf.DUMMYFUNCTION("""COMPUTED_VALUE"""),"Mississauga, ON, CA")</f>
        <v/>
      </c>
      <c r="U275" s="45" t="n"/>
      <c r="V275" s="45" t="n"/>
      <c r="W275" s="45" t="n"/>
      <c r="X275" s="45" t="n"/>
      <c r="Y275" s="46">
        <f>IFERROR(__xludf.DUMMYFUNCTION("""COMPUTED_VALUE"""),45832)</f>
        <v/>
      </c>
      <c r="Z275" s="46">
        <f>IFERROR(__xludf.DUMMYFUNCTION("""COMPUTED_VALUE"""),45861)</f>
        <v/>
      </c>
      <c r="AA275" s="46">
        <f>IFERROR(__xludf.DUMMYFUNCTION("""COMPUTED_VALUE"""),45874)</f>
        <v/>
      </c>
      <c r="AB275" s="45">
        <f>IFERROR(__xludf.DUMMYFUNCTION("""COMPUTED_VALUE"""),"3500 Argentia Road")</f>
        <v/>
      </c>
      <c r="AC275" s="45" t="n"/>
      <c r="AD275" s="45">
        <f>IFERROR(__xludf.DUMMYFUNCTION("""COMPUTED_VALUE"""),"OCEAN")</f>
        <v/>
      </c>
      <c r="AE275" s="45">
        <f>IFERROR(__xludf.DUMMYFUNCTION("""COMPUTED_VALUE"""),"N")</f>
        <v/>
      </c>
      <c r="AF275" s="45" t="n"/>
      <c r="AG275" s="49">
        <f>IFERROR(__xludf.DUMMYFUNCTION("IFNA(vlookup(H275,IMPORTRANGE(""1vUGwO1n0QQGx9kKbO0_M5gmuhXZ6-LaxQxgrmJnzgP0"",""'TP# look up'!A:C""),3,0),"""")"),"")</f>
        <v/>
      </c>
      <c r="AH275" s="49">
        <f>LEFT(J275,2)</f>
        <v/>
      </c>
    </row>
    <row r="276" hidden="1" ht="12.75" customHeight="1">
      <c r="A276" s="45">
        <f>IFERROR(__xludf.DUMMYFUNCTION("""COMPUTED_VALUE"""),"Colombo")</f>
        <v/>
      </c>
      <c r="B276" s="45" t="n"/>
      <c r="C276" s="45">
        <f>IFERROR(__xludf.DUMMYFUNCTION("""COMPUTED_VALUE"""),3254506)</f>
        <v/>
      </c>
      <c r="D276" s="45" t="n"/>
      <c r="E276" s="45">
        <f>IFERROR(__xludf.DUMMYFUNCTION("""COMPUTED_VALUE"""),"CFS")</f>
        <v/>
      </c>
      <c r="F276" s="45">
        <f>IFERROR(__xludf.DUMMYFUNCTION("""COMPUTED_VALUE"""),"Inqube Global (PVT) Ltd")</f>
        <v/>
      </c>
      <c r="G276" s="45">
        <f>IFERROR(__xludf.DUMMYFUNCTION("""COMPUTED_VALUE"""),"Quantum Clothing Lanka (Pvt) Ltd")</f>
        <v/>
      </c>
      <c r="H276" s="43">
        <f>IFERROR(__xludf.DUMMYFUNCTION("""COMPUTED_VALUE"""),452336515351)</f>
        <v/>
      </c>
      <c r="I276" s="45">
        <f>IFERROR(__xludf.DUMMYFUNCTION("""COMPUTED_VALUE"""),19876163)</f>
        <v/>
      </c>
      <c r="J276" s="45">
        <f>IFERROR(__xludf.DUMMYFUNCTION("""COMPUTED_VALUE"""),"LW9FMPS")</f>
        <v/>
      </c>
      <c r="K276" s="45">
        <f>IFERROR(__xludf.DUMMYFUNCTION("""COMPUTED_VALUE"""),"LW9FMPS-071150")</f>
        <v/>
      </c>
      <c r="L276" s="45">
        <f>IFERROR(__xludf.DUMMYFUNCTION("""COMPUTED_VALUE"""),1)</f>
        <v/>
      </c>
      <c r="M276" s="45">
        <f>IFERROR(__xludf.DUMMYFUNCTION("""COMPUTED_VALUE"""),37)</f>
        <v/>
      </c>
      <c r="N276" s="45">
        <f>IFERROR(__xludf.DUMMYFUNCTION("""COMPUTED_VALUE"""),2.304)</f>
        <v/>
      </c>
      <c r="O276" s="45">
        <f>IFERROR(__xludf.DUMMYFUNCTION("""COMPUTED_VALUE"""),0.04)</f>
        <v/>
      </c>
      <c r="P276" s="45">
        <f>IFERROR(__xludf.DUMMYFUNCTION("""COMPUTED_VALUE"""),"Colombo, LK")</f>
        <v/>
      </c>
      <c r="Q276" s="45">
        <f>IFERROR(__xludf.DUMMYFUNCTION("""COMPUTED_VALUE"""),"New York, NY, US")</f>
        <v/>
      </c>
      <c r="R276" s="44">
        <f>IFERROR(__xludf.DUMMYFUNCTION("""COMPUTED_VALUE"""),45824)</f>
        <v/>
      </c>
      <c r="S276" s="44">
        <f>IFERROR(__xludf.DUMMYFUNCTION("""COMPUTED_VALUE"""),45883)</f>
        <v/>
      </c>
      <c r="T276" s="45">
        <f>IFERROR(__xludf.DUMMYFUNCTION("""COMPUTED_VALUE"""),"Mississauga, ON, CA")</f>
        <v/>
      </c>
      <c r="U276" s="45" t="n"/>
      <c r="V276" s="45" t="n"/>
      <c r="W276" s="45" t="n"/>
      <c r="X276" s="45" t="n"/>
      <c r="Y276" s="46">
        <f>IFERROR(__xludf.DUMMYFUNCTION("""COMPUTED_VALUE"""),45832)</f>
        <v/>
      </c>
      <c r="Z276" s="46">
        <f>IFERROR(__xludf.DUMMYFUNCTION("""COMPUTED_VALUE"""),45861)</f>
        <v/>
      </c>
      <c r="AA276" s="46">
        <f>IFERROR(__xludf.DUMMYFUNCTION("""COMPUTED_VALUE"""),45874)</f>
        <v/>
      </c>
      <c r="AB276" s="45">
        <f>IFERROR(__xludf.DUMMYFUNCTION("""COMPUTED_VALUE"""),"3500 Argentia Road")</f>
        <v/>
      </c>
      <c r="AC276" s="45" t="n"/>
      <c r="AD276" s="45">
        <f>IFERROR(__xludf.DUMMYFUNCTION("""COMPUTED_VALUE"""),"OCEAN")</f>
        <v/>
      </c>
      <c r="AE276" s="45">
        <f>IFERROR(__xludf.DUMMYFUNCTION("""COMPUTED_VALUE"""),"N")</f>
        <v/>
      </c>
      <c r="AF276" s="45" t="n"/>
      <c r="AG276" s="49">
        <f>IFERROR(__xludf.DUMMYFUNCTION("IFNA(vlookup(H276,IMPORTRANGE(""1vUGwO1n0QQGx9kKbO0_M5gmuhXZ6-LaxQxgrmJnzgP0"",""'TP# look up'!A:C""),3,0),"""")"),"")</f>
        <v/>
      </c>
      <c r="AH276" s="49">
        <f>LEFT(J276,2)</f>
        <v/>
      </c>
    </row>
    <row r="277" hidden="1" ht="12.75" customHeight="1">
      <c r="A277" s="45">
        <f>IFERROR(__xludf.DUMMYFUNCTION("""COMPUTED_VALUE"""),"Colombo")</f>
        <v/>
      </c>
      <c r="B277" s="45" t="n"/>
      <c r="C277" s="45">
        <f>IFERROR(__xludf.DUMMYFUNCTION("""COMPUTED_VALUE"""),3254506)</f>
        <v/>
      </c>
      <c r="D277" s="45" t="n"/>
      <c r="E277" s="45">
        <f>IFERROR(__xludf.DUMMYFUNCTION("""COMPUTED_VALUE"""),"CFS")</f>
        <v/>
      </c>
      <c r="F277" s="45">
        <f>IFERROR(__xludf.DUMMYFUNCTION("""COMPUTED_VALUE"""),"Inqube Global (PVT) Ltd")</f>
        <v/>
      </c>
      <c r="G277" s="45">
        <f>IFERROR(__xludf.DUMMYFUNCTION("""COMPUTED_VALUE"""),"Quantum Clothing Lanka (Pvt) Ltd")</f>
        <v/>
      </c>
      <c r="H277" s="43">
        <f>IFERROR(__xludf.DUMMYFUNCTION("""COMPUTED_VALUE"""),452337415724)</f>
        <v/>
      </c>
      <c r="I277" s="45">
        <f>IFERROR(__xludf.DUMMYFUNCTION("""COMPUTED_VALUE"""),19877011)</f>
        <v/>
      </c>
      <c r="J277" s="45">
        <f>IFERROR(__xludf.DUMMYFUNCTION("""COMPUTED_VALUE"""),"LW9FMPS")</f>
        <v/>
      </c>
      <c r="K277" s="45">
        <f>IFERROR(__xludf.DUMMYFUNCTION("""COMPUTED_VALUE"""),"LW9FMPS-071150")</f>
        <v/>
      </c>
      <c r="L277" s="45">
        <f>IFERROR(__xludf.DUMMYFUNCTION("""COMPUTED_VALUE"""),1)</f>
        <v/>
      </c>
      <c r="M277" s="45">
        <f>IFERROR(__xludf.DUMMYFUNCTION("""COMPUTED_VALUE"""),102)</f>
        <v/>
      </c>
      <c r="N277" s="45">
        <f>IFERROR(__xludf.DUMMYFUNCTION("""COMPUTED_VALUE"""),4.711)</f>
        <v/>
      </c>
      <c r="O277" s="45">
        <f>IFERROR(__xludf.DUMMYFUNCTION("""COMPUTED_VALUE"""),0.04)</f>
        <v/>
      </c>
      <c r="P277" s="45">
        <f>IFERROR(__xludf.DUMMYFUNCTION("""COMPUTED_VALUE"""),"Colombo, LK")</f>
        <v/>
      </c>
      <c r="Q277" s="45">
        <f>IFERROR(__xludf.DUMMYFUNCTION("""COMPUTED_VALUE"""),"New York, NY, US")</f>
        <v/>
      </c>
      <c r="R277" s="44">
        <f>IFERROR(__xludf.DUMMYFUNCTION("""COMPUTED_VALUE"""),45824)</f>
        <v/>
      </c>
      <c r="S277" s="44">
        <f>IFERROR(__xludf.DUMMYFUNCTION("""COMPUTED_VALUE"""),45883)</f>
        <v/>
      </c>
      <c r="T277" s="45">
        <f>IFERROR(__xludf.DUMMYFUNCTION("""COMPUTED_VALUE"""),"Mississauga, ON, CA")</f>
        <v/>
      </c>
      <c r="U277" s="45" t="n"/>
      <c r="V277" s="45" t="n"/>
      <c r="W277" s="45" t="n"/>
      <c r="X277" s="45" t="n"/>
      <c r="Y277" s="46">
        <f>IFERROR(__xludf.DUMMYFUNCTION("""COMPUTED_VALUE"""),45832)</f>
        <v/>
      </c>
      <c r="Z277" s="46">
        <f>IFERROR(__xludf.DUMMYFUNCTION("""COMPUTED_VALUE"""),45861)</f>
        <v/>
      </c>
      <c r="AA277" s="46">
        <f>IFERROR(__xludf.DUMMYFUNCTION("""COMPUTED_VALUE"""),45874)</f>
        <v/>
      </c>
      <c r="AB277" s="45">
        <f>IFERROR(__xludf.DUMMYFUNCTION("""COMPUTED_VALUE"""),"3500 Argentia Road")</f>
        <v/>
      </c>
      <c r="AC277" s="45" t="n"/>
      <c r="AD277" s="45">
        <f>IFERROR(__xludf.DUMMYFUNCTION("""COMPUTED_VALUE"""),"OCEAN")</f>
        <v/>
      </c>
      <c r="AE277" s="45">
        <f>IFERROR(__xludf.DUMMYFUNCTION("""COMPUTED_VALUE"""),"N")</f>
        <v/>
      </c>
      <c r="AF277" s="45" t="n"/>
      <c r="AG277" s="49">
        <f>IFERROR(__xludf.DUMMYFUNCTION("IFNA(vlookup(H277,IMPORTRANGE(""1vUGwO1n0QQGx9kKbO0_M5gmuhXZ6-LaxQxgrmJnzgP0"",""'TP# look up'!A:C""),3,0),"""")"),"")</f>
        <v/>
      </c>
      <c r="AH277" s="49">
        <f>LEFT(J277,2)</f>
        <v/>
      </c>
    </row>
    <row r="278" hidden="1" ht="12.75" customHeight="1">
      <c r="A278" s="45">
        <f>IFERROR(__xludf.DUMMYFUNCTION("""COMPUTED_VALUE"""),"Colombo")</f>
        <v/>
      </c>
      <c r="B278" s="45" t="n"/>
      <c r="C278" s="45">
        <f>IFERROR(__xludf.DUMMYFUNCTION("""COMPUTED_VALUE"""),3254506)</f>
        <v/>
      </c>
      <c r="D278" s="45" t="n"/>
      <c r="E278" s="45">
        <f>IFERROR(__xludf.DUMMYFUNCTION("""COMPUTED_VALUE"""),"CFS")</f>
        <v/>
      </c>
      <c r="F278" s="45">
        <f>IFERROR(__xludf.DUMMYFUNCTION("""COMPUTED_VALUE"""),"Inqube Global (PVT) Ltd")</f>
        <v/>
      </c>
      <c r="G278" s="45">
        <f>IFERROR(__xludf.DUMMYFUNCTION("""COMPUTED_VALUE"""),"Quantum Clothing Lanka (Pvt) Ltd")</f>
        <v/>
      </c>
      <c r="H278" s="43">
        <f>IFERROR(__xludf.DUMMYFUNCTION("""COMPUTED_VALUE"""),452337503304)</f>
        <v/>
      </c>
      <c r="I278" s="45">
        <f>IFERROR(__xludf.DUMMYFUNCTION("""COMPUTED_VALUE"""),19877007)</f>
        <v/>
      </c>
      <c r="J278" s="45">
        <f>IFERROR(__xludf.DUMMYFUNCTION("""COMPUTED_VALUE"""),"LW9FMPS")</f>
        <v/>
      </c>
      <c r="K278" s="45">
        <f>IFERROR(__xludf.DUMMYFUNCTION("""COMPUTED_VALUE"""),"LW9FMPS-071150")</f>
        <v/>
      </c>
      <c r="L278" s="45">
        <f>IFERROR(__xludf.DUMMYFUNCTION("""COMPUTED_VALUE"""),1)</f>
        <v/>
      </c>
      <c r="M278" s="45">
        <f>IFERROR(__xludf.DUMMYFUNCTION("""COMPUTED_VALUE"""),198)</f>
        <v/>
      </c>
      <c r="N278" s="45">
        <f>IFERROR(__xludf.DUMMYFUNCTION("""COMPUTED_VALUE"""),8.732)</f>
        <v/>
      </c>
      <c r="O278" s="45">
        <f>IFERROR(__xludf.DUMMYFUNCTION("""COMPUTED_VALUE"""),0.079)</f>
        <v/>
      </c>
      <c r="P278" s="45">
        <f>IFERROR(__xludf.DUMMYFUNCTION("""COMPUTED_VALUE"""),"Colombo, LK")</f>
        <v/>
      </c>
      <c r="Q278" s="45">
        <f>IFERROR(__xludf.DUMMYFUNCTION("""COMPUTED_VALUE"""),"New York, NY, US")</f>
        <v/>
      </c>
      <c r="R278" s="44">
        <f>IFERROR(__xludf.DUMMYFUNCTION("""COMPUTED_VALUE"""),45824)</f>
        <v/>
      </c>
      <c r="S278" s="44">
        <f>IFERROR(__xludf.DUMMYFUNCTION("""COMPUTED_VALUE"""),45883)</f>
        <v/>
      </c>
      <c r="T278" s="45">
        <f>IFERROR(__xludf.DUMMYFUNCTION("""COMPUTED_VALUE"""),"Mississauga, ON, CA")</f>
        <v/>
      </c>
      <c r="U278" s="45" t="n"/>
      <c r="V278" s="45" t="n"/>
      <c r="W278" s="45" t="n"/>
      <c r="X278" s="45" t="n"/>
      <c r="Y278" s="46">
        <f>IFERROR(__xludf.DUMMYFUNCTION("""COMPUTED_VALUE"""),45832)</f>
        <v/>
      </c>
      <c r="Z278" s="46">
        <f>IFERROR(__xludf.DUMMYFUNCTION("""COMPUTED_VALUE"""),45861)</f>
        <v/>
      </c>
      <c r="AA278" s="46">
        <f>IFERROR(__xludf.DUMMYFUNCTION("""COMPUTED_VALUE"""),45874)</f>
        <v/>
      </c>
      <c r="AB278" s="45">
        <f>IFERROR(__xludf.DUMMYFUNCTION("""COMPUTED_VALUE"""),"3500 Argentia Road")</f>
        <v/>
      </c>
      <c r="AC278" s="45" t="n"/>
      <c r="AD278" s="45">
        <f>IFERROR(__xludf.DUMMYFUNCTION("""COMPUTED_VALUE"""),"OCEAN")</f>
        <v/>
      </c>
      <c r="AE278" s="45">
        <f>IFERROR(__xludf.DUMMYFUNCTION("""COMPUTED_VALUE"""),"N")</f>
        <v/>
      </c>
      <c r="AF278" s="45" t="n"/>
      <c r="AG278" s="49">
        <f>IFERROR(__xludf.DUMMYFUNCTION("IFNA(vlookup(H278,IMPORTRANGE(""1vUGwO1n0QQGx9kKbO0_M5gmuhXZ6-LaxQxgrmJnzgP0"",""'TP# look up'!A:C""),3,0),"""")"),"")</f>
        <v/>
      </c>
      <c r="AH278" s="49">
        <f>LEFT(J278,2)</f>
        <v/>
      </c>
    </row>
    <row r="279" hidden="1" ht="12.75" customHeight="1">
      <c r="A279" s="45">
        <f>IFERROR(__xludf.DUMMYFUNCTION("""COMPUTED_VALUE"""),"Colombo")</f>
        <v/>
      </c>
      <c r="B279" s="45" t="n"/>
      <c r="C279" s="45">
        <f>IFERROR(__xludf.DUMMYFUNCTION("""COMPUTED_VALUE"""),3254506)</f>
        <v/>
      </c>
      <c r="D279" s="45" t="n"/>
      <c r="E279" s="45">
        <f>IFERROR(__xludf.DUMMYFUNCTION("""COMPUTED_VALUE"""),"CFS")</f>
        <v/>
      </c>
      <c r="F279" s="45">
        <f>IFERROR(__xludf.DUMMYFUNCTION("""COMPUTED_VALUE"""),"Inqube Global (PVT) Ltd")</f>
        <v/>
      </c>
      <c r="G279" s="45">
        <f>IFERROR(__xludf.DUMMYFUNCTION("""COMPUTED_VALUE"""),"Quantum Clothing Lanka (Pvt) Ltd")</f>
        <v/>
      </c>
      <c r="H279" s="43">
        <f>IFERROR(__xludf.DUMMYFUNCTION("""COMPUTED_VALUE"""),452338733738)</f>
        <v/>
      </c>
      <c r="I279" s="45">
        <f>IFERROR(__xludf.DUMMYFUNCTION("""COMPUTED_VALUE"""),19876190)</f>
        <v/>
      </c>
      <c r="J279" s="45">
        <f>IFERROR(__xludf.DUMMYFUNCTION("""COMPUTED_VALUE"""),"LW9FUES")</f>
        <v/>
      </c>
      <c r="K279" s="45">
        <f>IFERROR(__xludf.DUMMYFUNCTION("""COMPUTED_VALUE"""),"LW9FUES-0001")</f>
        <v/>
      </c>
      <c r="L279" s="45">
        <f>IFERROR(__xludf.DUMMYFUNCTION("""COMPUTED_VALUE"""),1)</f>
        <v/>
      </c>
      <c r="M279" s="45">
        <f>IFERROR(__xludf.DUMMYFUNCTION("""COMPUTED_VALUE"""),45)</f>
        <v/>
      </c>
      <c r="N279" s="45">
        <f>IFERROR(__xludf.DUMMYFUNCTION("""COMPUTED_VALUE"""),4.153)</f>
        <v/>
      </c>
      <c r="O279" s="45">
        <f>IFERROR(__xludf.DUMMYFUNCTION("""COMPUTED_VALUE"""),0.04)</f>
        <v/>
      </c>
      <c r="P279" s="45">
        <f>IFERROR(__xludf.DUMMYFUNCTION("""COMPUTED_VALUE"""),"Colombo, LK")</f>
        <v/>
      </c>
      <c r="Q279" s="45">
        <f>IFERROR(__xludf.DUMMYFUNCTION("""COMPUTED_VALUE"""),"New York, NY, US")</f>
        <v/>
      </c>
      <c r="R279" s="44">
        <f>IFERROR(__xludf.DUMMYFUNCTION("""COMPUTED_VALUE"""),45824)</f>
        <v/>
      </c>
      <c r="S279" s="44">
        <f>IFERROR(__xludf.DUMMYFUNCTION("""COMPUTED_VALUE"""),45883)</f>
        <v/>
      </c>
      <c r="T279" s="45">
        <f>IFERROR(__xludf.DUMMYFUNCTION("""COMPUTED_VALUE"""),"Mississauga, ON, CA")</f>
        <v/>
      </c>
      <c r="U279" s="45" t="n"/>
      <c r="V279" s="45" t="n"/>
      <c r="W279" s="45" t="n"/>
      <c r="X279" s="45" t="n"/>
      <c r="Y279" s="46">
        <f>IFERROR(__xludf.DUMMYFUNCTION("""COMPUTED_VALUE"""),45832)</f>
        <v/>
      </c>
      <c r="Z279" s="46">
        <f>IFERROR(__xludf.DUMMYFUNCTION("""COMPUTED_VALUE"""),45861)</f>
        <v/>
      </c>
      <c r="AA279" s="46">
        <f>IFERROR(__xludf.DUMMYFUNCTION("""COMPUTED_VALUE"""),45874)</f>
        <v/>
      </c>
      <c r="AB279" s="45">
        <f>IFERROR(__xludf.DUMMYFUNCTION("""COMPUTED_VALUE"""),"3500 Argentia Road")</f>
        <v/>
      </c>
      <c r="AC279" s="45" t="n"/>
      <c r="AD279" s="45">
        <f>IFERROR(__xludf.DUMMYFUNCTION("""COMPUTED_VALUE"""),"OCEAN")</f>
        <v/>
      </c>
      <c r="AE279" s="45">
        <f>IFERROR(__xludf.DUMMYFUNCTION("""COMPUTED_VALUE"""),"N")</f>
        <v/>
      </c>
      <c r="AF279" s="45" t="n"/>
      <c r="AG279" s="49">
        <f>IFERROR(__xludf.DUMMYFUNCTION("IFNA(vlookup(H279,IMPORTRANGE(""1vUGwO1n0QQGx9kKbO0_M5gmuhXZ6-LaxQxgrmJnzgP0"",""'TP# look up'!A:C""),3,0),"""")"),"")</f>
        <v/>
      </c>
      <c r="AH279" s="49">
        <f>LEFT(J279,2)</f>
        <v/>
      </c>
    </row>
    <row r="280" hidden="1" ht="12.75" customHeight="1">
      <c r="A280" s="45">
        <f>IFERROR(__xludf.DUMMYFUNCTION("""COMPUTED_VALUE"""),"Colombo")</f>
        <v/>
      </c>
      <c r="B280" s="45" t="n"/>
      <c r="C280" s="45">
        <f>IFERROR(__xludf.DUMMYFUNCTION("""COMPUTED_VALUE"""),3254506)</f>
        <v/>
      </c>
      <c r="D280" s="45" t="n"/>
      <c r="E280" s="45">
        <f>IFERROR(__xludf.DUMMYFUNCTION("""COMPUTED_VALUE"""),"CFS")</f>
        <v/>
      </c>
      <c r="F280" s="45">
        <f>IFERROR(__xludf.DUMMYFUNCTION("""COMPUTED_VALUE"""),"Inqube Global (PVT) Ltd")</f>
        <v/>
      </c>
      <c r="G280" s="45">
        <f>IFERROR(__xludf.DUMMYFUNCTION("""COMPUTED_VALUE"""),"Quantum Clothing Lanka (Pvt) Ltd")</f>
        <v/>
      </c>
      <c r="H280" s="43">
        <f>IFERROR(__xludf.DUMMYFUNCTION("""COMPUTED_VALUE"""),452339268805)</f>
        <v/>
      </c>
      <c r="I280" s="45">
        <f>IFERROR(__xludf.DUMMYFUNCTION("""COMPUTED_VALUE"""),19877071)</f>
        <v/>
      </c>
      <c r="J280" s="45">
        <f>IFERROR(__xludf.DUMMYFUNCTION("""COMPUTED_VALUE"""),"LW9FUES")</f>
        <v/>
      </c>
      <c r="K280" s="45">
        <f>IFERROR(__xludf.DUMMYFUNCTION("""COMPUTED_VALUE"""),"LW9FUES-0001")</f>
        <v/>
      </c>
      <c r="L280" s="45">
        <f>IFERROR(__xludf.DUMMYFUNCTION("""COMPUTED_VALUE"""),1)</f>
        <v/>
      </c>
      <c r="M280" s="45">
        <f>IFERROR(__xludf.DUMMYFUNCTION("""COMPUTED_VALUE"""),129)</f>
        <v/>
      </c>
      <c r="N280" s="45">
        <f>IFERROR(__xludf.DUMMYFUNCTION("""COMPUTED_VALUE"""),10.143)</f>
        <v/>
      </c>
      <c r="O280" s="45">
        <f>IFERROR(__xludf.DUMMYFUNCTION("""COMPUTED_VALUE"""),0.04)</f>
        <v/>
      </c>
      <c r="P280" s="45">
        <f>IFERROR(__xludf.DUMMYFUNCTION("""COMPUTED_VALUE"""),"Colombo, LK")</f>
        <v/>
      </c>
      <c r="Q280" s="45">
        <f>IFERROR(__xludf.DUMMYFUNCTION("""COMPUTED_VALUE"""),"New York, NY, US")</f>
        <v/>
      </c>
      <c r="R280" s="44">
        <f>IFERROR(__xludf.DUMMYFUNCTION("""COMPUTED_VALUE"""),45824)</f>
        <v/>
      </c>
      <c r="S280" s="44">
        <f>IFERROR(__xludf.DUMMYFUNCTION("""COMPUTED_VALUE"""),45883)</f>
        <v/>
      </c>
      <c r="T280" s="45">
        <f>IFERROR(__xludf.DUMMYFUNCTION("""COMPUTED_VALUE"""),"Mississauga, ON, CA")</f>
        <v/>
      </c>
      <c r="U280" s="45" t="n"/>
      <c r="V280" s="45" t="n"/>
      <c r="W280" s="45" t="n"/>
      <c r="X280" s="45" t="n"/>
      <c r="Y280" s="46">
        <f>IFERROR(__xludf.DUMMYFUNCTION("""COMPUTED_VALUE"""),45832)</f>
        <v/>
      </c>
      <c r="Z280" s="46">
        <f>IFERROR(__xludf.DUMMYFUNCTION("""COMPUTED_VALUE"""),45861)</f>
        <v/>
      </c>
      <c r="AA280" s="46">
        <f>IFERROR(__xludf.DUMMYFUNCTION("""COMPUTED_VALUE"""),45874)</f>
        <v/>
      </c>
      <c r="AB280" s="45">
        <f>IFERROR(__xludf.DUMMYFUNCTION("""COMPUTED_VALUE"""),"3500 Argentia Road")</f>
        <v/>
      </c>
      <c r="AC280" s="45" t="n"/>
      <c r="AD280" s="45">
        <f>IFERROR(__xludf.DUMMYFUNCTION("""COMPUTED_VALUE"""),"OCEAN")</f>
        <v/>
      </c>
      <c r="AE280" s="45">
        <f>IFERROR(__xludf.DUMMYFUNCTION("""COMPUTED_VALUE"""),"N")</f>
        <v/>
      </c>
      <c r="AF280" s="45" t="n"/>
      <c r="AG280" s="49">
        <f>IFERROR(__xludf.DUMMYFUNCTION("IFNA(vlookup(H280,IMPORTRANGE(""1vUGwO1n0QQGx9kKbO0_M5gmuhXZ6-LaxQxgrmJnzgP0"",""'TP# look up'!A:C""),3,0),"""")"),"")</f>
        <v/>
      </c>
      <c r="AH280" s="49">
        <f>LEFT(J280,2)</f>
        <v/>
      </c>
    </row>
    <row r="281" hidden="1" ht="12.75" customHeight="1">
      <c r="A281" s="45">
        <f>IFERROR(__xludf.DUMMYFUNCTION("""COMPUTED_VALUE"""),"Colombo")</f>
        <v/>
      </c>
      <c r="B281" s="45" t="n"/>
      <c r="C281" s="45">
        <f>IFERROR(__xludf.DUMMYFUNCTION("""COMPUTED_VALUE"""),3254506)</f>
        <v/>
      </c>
      <c r="D281" s="45" t="n"/>
      <c r="E281" s="45">
        <f>IFERROR(__xludf.DUMMYFUNCTION("""COMPUTED_VALUE"""),"CFS")</f>
        <v/>
      </c>
      <c r="F281" s="45">
        <f>IFERROR(__xludf.DUMMYFUNCTION("""COMPUTED_VALUE"""),"Inqube Global (PVT) Ltd")</f>
        <v/>
      </c>
      <c r="G281" s="45">
        <f>IFERROR(__xludf.DUMMYFUNCTION("""COMPUTED_VALUE"""),"Quantum Clothing Lanka (Pvt) Ltd")</f>
        <v/>
      </c>
      <c r="H281" s="43">
        <f>IFERROR(__xludf.DUMMYFUNCTION("""COMPUTED_VALUE"""),452340224599)</f>
        <v/>
      </c>
      <c r="I281" s="45">
        <f>IFERROR(__xludf.DUMMYFUNCTION("""COMPUTED_VALUE"""),19877072)</f>
        <v/>
      </c>
      <c r="J281" s="45">
        <f>IFERROR(__xludf.DUMMYFUNCTION("""COMPUTED_VALUE"""),"LW9FUES")</f>
        <v/>
      </c>
      <c r="K281" s="45">
        <f>IFERROR(__xludf.DUMMYFUNCTION("""COMPUTED_VALUE"""),"LW9FUES-0001")</f>
        <v/>
      </c>
      <c r="L281" s="45">
        <f>IFERROR(__xludf.DUMMYFUNCTION("""COMPUTED_VALUE"""),1)</f>
        <v/>
      </c>
      <c r="M281" s="45">
        <f>IFERROR(__xludf.DUMMYFUNCTION("""COMPUTED_VALUE"""),85)</f>
        <v/>
      </c>
      <c r="N281" s="45">
        <f>IFERROR(__xludf.DUMMYFUNCTION("""COMPUTED_VALUE"""),7)</f>
        <v/>
      </c>
      <c r="O281" s="45">
        <f>IFERROR(__xludf.DUMMYFUNCTION("""COMPUTED_VALUE"""),0.04)</f>
        <v/>
      </c>
      <c r="P281" s="45">
        <f>IFERROR(__xludf.DUMMYFUNCTION("""COMPUTED_VALUE"""),"Colombo, LK")</f>
        <v/>
      </c>
      <c r="Q281" s="45">
        <f>IFERROR(__xludf.DUMMYFUNCTION("""COMPUTED_VALUE"""),"New York, NY, US")</f>
        <v/>
      </c>
      <c r="R281" s="44">
        <f>IFERROR(__xludf.DUMMYFUNCTION("""COMPUTED_VALUE"""),45824)</f>
        <v/>
      </c>
      <c r="S281" s="44">
        <f>IFERROR(__xludf.DUMMYFUNCTION("""COMPUTED_VALUE"""),45883)</f>
        <v/>
      </c>
      <c r="T281" s="45">
        <f>IFERROR(__xludf.DUMMYFUNCTION("""COMPUTED_VALUE"""),"Mississauga, ON, CA")</f>
        <v/>
      </c>
      <c r="U281" s="45" t="n"/>
      <c r="V281" s="45" t="n"/>
      <c r="W281" s="45" t="n"/>
      <c r="X281" s="45" t="n"/>
      <c r="Y281" s="46">
        <f>IFERROR(__xludf.DUMMYFUNCTION("""COMPUTED_VALUE"""),45832)</f>
        <v/>
      </c>
      <c r="Z281" s="46">
        <f>IFERROR(__xludf.DUMMYFUNCTION("""COMPUTED_VALUE"""),45861)</f>
        <v/>
      </c>
      <c r="AA281" s="46">
        <f>IFERROR(__xludf.DUMMYFUNCTION("""COMPUTED_VALUE"""),45874)</f>
        <v/>
      </c>
      <c r="AB281" s="45">
        <f>IFERROR(__xludf.DUMMYFUNCTION("""COMPUTED_VALUE"""),"3500 Argentia Road")</f>
        <v/>
      </c>
      <c r="AC281" s="45" t="n"/>
      <c r="AD281" s="45">
        <f>IFERROR(__xludf.DUMMYFUNCTION("""COMPUTED_VALUE"""),"OCEAN")</f>
        <v/>
      </c>
      <c r="AE281" s="45">
        <f>IFERROR(__xludf.DUMMYFUNCTION("""COMPUTED_VALUE"""),"N")</f>
        <v/>
      </c>
      <c r="AF281" s="45" t="n"/>
      <c r="AG281" s="49">
        <f>IFERROR(__xludf.DUMMYFUNCTION("IFNA(vlookup(H281,IMPORTRANGE(""1vUGwO1n0QQGx9kKbO0_M5gmuhXZ6-LaxQxgrmJnzgP0"",""'TP# look up'!A:C""),3,0),"""")"),"")</f>
        <v/>
      </c>
      <c r="AH281" s="49">
        <f>LEFT(J281,2)</f>
        <v/>
      </c>
    </row>
    <row r="282" hidden="1" ht="12.75" customHeight="1">
      <c r="A282" s="45">
        <f>IFERROR(__xludf.DUMMYFUNCTION("""COMPUTED_VALUE"""),"Colombo")</f>
        <v/>
      </c>
      <c r="B282" s="45" t="n"/>
      <c r="C282" s="45">
        <f>IFERROR(__xludf.DUMMYFUNCTION("""COMPUTED_VALUE"""),3254506)</f>
        <v/>
      </c>
      <c r="D282" s="45" t="n"/>
      <c r="E282" s="45">
        <f>IFERROR(__xludf.DUMMYFUNCTION("""COMPUTED_VALUE"""),"CFS")</f>
        <v/>
      </c>
      <c r="F282" s="45">
        <f>IFERROR(__xludf.DUMMYFUNCTION("""COMPUTED_VALUE"""),"Inqube Global (PVT) Ltd")</f>
        <v/>
      </c>
      <c r="G282" s="45">
        <f>IFERROR(__xludf.DUMMYFUNCTION("""COMPUTED_VALUE"""),"Quantum Clothing Lanka (Pvt) Ltd")</f>
        <v/>
      </c>
      <c r="H282" s="43">
        <f>IFERROR(__xludf.DUMMYFUNCTION("""COMPUTED_VALUE"""),452342044538)</f>
        <v/>
      </c>
      <c r="I282" s="45">
        <f>IFERROR(__xludf.DUMMYFUNCTION("""COMPUTED_VALUE"""),19876212)</f>
        <v/>
      </c>
      <c r="J282" s="45">
        <f>IFERROR(__xludf.DUMMYFUNCTION("""COMPUTED_VALUE"""),"LW9FUES")</f>
        <v/>
      </c>
      <c r="K282" s="45">
        <f>IFERROR(__xludf.DUMMYFUNCTION("""COMPUTED_VALUE"""),"LW9FUES-068585")</f>
        <v/>
      </c>
      <c r="L282" s="45">
        <f>IFERROR(__xludf.DUMMYFUNCTION("""COMPUTED_VALUE"""),1)</f>
        <v/>
      </c>
      <c r="M282" s="45">
        <f>IFERROR(__xludf.DUMMYFUNCTION("""COMPUTED_VALUE"""),54)</f>
        <v/>
      </c>
      <c r="N282" s="45">
        <f>IFERROR(__xludf.DUMMYFUNCTION("""COMPUTED_VALUE"""),4.789)</f>
        <v/>
      </c>
      <c r="O282" s="45">
        <f>IFERROR(__xludf.DUMMYFUNCTION("""COMPUTED_VALUE"""),0.04)</f>
        <v/>
      </c>
      <c r="P282" s="45">
        <f>IFERROR(__xludf.DUMMYFUNCTION("""COMPUTED_VALUE"""),"Colombo, LK")</f>
        <v/>
      </c>
      <c r="Q282" s="45">
        <f>IFERROR(__xludf.DUMMYFUNCTION("""COMPUTED_VALUE"""),"New York, NY, US")</f>
        <v/>
      </c>
      <c r="R282" s="44">
        <f>IFERROR(__xludf.DUMMYFUNCTION("""COMPUTED_VALUE"""),45824)</f>
        <v/>
      </c>
      <c r="S282" s="44">
        <f>IFERROR(__xludf.DUMMYFUNCTION("""COMPUTED_VALUE"""),45883)</f>
        <v/>
      </c>
      <c r="T282" s="45">
        <f>IFERROR(__xludf.DUMMYFUNCTION("""COMPUTED_VALUE"""),"Mississauga, ON, CA")</f>
        <v/>
      </c>
      <c r="U282" s="45" t="n"/>
      <c r="V282" s="45" t="n"/>
      <c r="W282" s="45" t="n"/>
      <c r="X282" s="45" t="n"/>
      <c r="Y282" s="46">
        <f>IFERROR(__xludf.DUMMYFUNCTION("""COMPUTED_VALUE"""),45832)</f>
        <v/>
      </c>
      <c r="Z282" s="46">
        <f>IFERROR(__xludf.DUMMYFUNCTION("""COMPUTED_VALUE"""),45861)</f>
        <v/>
      </c>
      <c r="AA282" s="46">
        <f>IFERROR(__xludf.DUMMYFUNCTION("""COMPUTED_VALUE"""),45874)</f>
        <v/>
      </c>
      <c r="AB282" s="45">
        <f>IFERROR(__xludf.DUMMYFUNCTION("""COMPUTED_VALUE"""),"3500 Argentia Road")</f>
        <v/>
      </c>
      <c r="AC282" s="45" t="n"/>
      <c r="AD282" s="45">
        <f>IFERROR(__xludf.DUMMYFUNCTION("""COMPUTED_VALUE"""),"OCEAN")</f>
        <v/>
      </c>
      <c r="AE282" s="45">
        <f>IFERROR(__xludf.DUMMYFUNCTION("""COMPUTED_VALUE"""),"N")</f>
        <v/>
      </c>
      <c r="AF282" s="45" t="n"/>
      <c r="AG282" s="49">
        <f>IFERROR(__xludf.DUMMYFUNCTION("IFNA(vlookup(H282,IMPORTRANGE(""1vUGwO1n0QQGx9kKbO0_M5gmuhXZ6-LaxQxgrmJnzgP0"",""'TP# look up'!A:C""),3,0),"""")"),"")</f>
        <v/>
      </c>
      <c r="AH282" s="49">
        <f>LEFT(J282,2)</f>
        <v/>
      </c>
    </row>
    <row r="283" hidden="1" ht="12.75" customHeight="1">
      <c r="A283" s="45">
        <f>IFERROR(__xludf.DUMMYFUNCTION("""COMPUTED_VALUE"""),"Colombo")</f>
        <v/>
      </c>
      <c r="B283" s="45" t="n"/>
      <c r="C283" s="45">
        <f>IFERROR(__xludf.DUMMYFUNCTION("""COMPUTED_VALUE"""),3254506)</f>
        <v/>
      </c>
      <c r="D283" s="45" t="n"/>
      <c r="E283" s="45">
        <f>IFERROR(__xludf.DUMMYFUNCTION("""COMPUTED_VALUE"""),"CFS")</f>
        <v/>
      </c>
      <c r="F283" s="45">
        <f>IFERROR(__xludf.DUMMYFUNCTION("""COMPUTED_VALUE"""),"Inqube Global (PVT) Ltd")</f>
        <v/>
      </c>
      <c r="G283" s="45">
        <f>IFERROR(__xludf.DUMMYFUNCTION("""COMPUTED_VALUE"""),"Quantum Clothing Lanka (Pvt) Ltd")</f>
        <v/>
      </c>
      <c r="H283" s="43">
        <f>IFERROR(__xludf.DUMMYFUNCTION("""COMPUTED_VALUE"""),452342279624)</f>
        <v/>
      </c>
      <c r="I283" s="45">
        <f>IFERROR(__xludf.DUMMYFUNCTION("""COMPUTED_VALUE"""),19876211)</f>
        <v/>
      </c>
      <c r="J283" s="45">
        <f>IFERROR(__xludf.DUMMYFUNCTION("""COMPUTED_VALUE"""),"LW9FUES")</f>
        <v/>
      </c>
      <c r="K283" s="45">
        <f>IFERROR(__xludf.DUMMYFUNCTION("""COMPUTED_VALUE"""),"LW9FUES-068585")</f>
        <v/>
      </c>
      <c r="L283" s="45">
        <f>IFERROR(__xludf.DUMMYFUNCTION("""COMPUTED_VALUE"""),1)</f>
        <v/>
      </c>
      <c r="M283" s="45">
        <f>IFERROR(__xludf.DUMMYFUNCTION("""COMPUTED_VALUE"""),46)</f>
        <v/>
      </c>
      <c r="N283" s="45">
        <f>IFERROR(__xludf.DUMMYFUNCTION("""COMPUTED_VALUE"""),4.22)</f>
        <v/>
      </c>
      <c r="O283" s="45">
        <f>IFERROR(__xludf.DUMMYFUNCTION("""COMPUTED_VALUE"""),0.04)</f>
        <v/>
      </c>
      <c r="P283" s="45">
        <f>IFERROR(__xludf.DUMMYFUNCTION("""COMPUTED_VALUE"""),"Colombo, LK")</f>
        <v/>
      </c>
      <c r="Q283" s="45">
        <f>IFERROR(__xludf.DUMMYFUNCTION("""COMPUTED_VALUE"""),"New York, NY, US")</f>
        <v/>
      </c>
      <c r="R283" s="44">
        <f>IFERROR(__xludf.DUMMYFUNCTION("""COMPUTED_VALUE"""),45824)</f>
        <v/>
      </c>
      <c r="S283" s="44">
        <f>IFERROR(__xludf.DUMMYFUNCTION("""COMPUTED_VALUE"""),45883)</f>
        <v/>
      </c>
      <c r="T283" s="45">
        <f>IFERROR(__xludf.DUMMYFUNCTION("""COMPUTED_VALUE"""),"Mississauga, ON, CA")</f>
        <v/>
      </c>
      <c r="U283" s="45" t="n"/>
      <c r="V283" s="45" t="n"/>
      <c r="W283" s="45" t="n"/>
      <c r="X283" s="45" t="n"/>
      <c r="Y283" s="46">
        <f>IFERROR(__xludf.DUMMYFUNCTION("""COMPUTED_VALUE"""),45832)</f>
        <v/>
      </c>
      <c r="Z283" s="46">
        <f>IFERROR(__xludf.DUMMYFUNCTION("""COMPUTED_VALUE"""),45861)</f>
        <v/>
      </c>
      <c r="AA283" s="46">
        <f>IFERROR(__xludf.DUMMYFUNCTION("""COMPUTED_VALUE"""),45874)</f>
        <v/>
      </c>
      <c r="AB283" s="45">
        <f>IFERROR(__xludf.DUMMYFUNCTION("""COMPUTED_VALUE"""),"3500 Argentia Road")</f>
        <v/>
      </c>
      <c r="AC283" s="45" t="n"/>
      <c r="AD283" s="45">
        <f>IFERROR(__xludf.DUMMYFUNCTION("""COMPUTED_VALUE"""),"OCEAN")</f>
        <v/>
      </c>
      <c r="AE283" s="45">
        <f>IFERROR(__xludf.DUMMYFUNCTION("""COMPUTED_VALUE"""),"N")</f>
        <v/>
      </c>
      <c r="AF283" s="45" t="n"/>
      <c r="AG283" s="49">
        <f>IFERROR(__xludf.DUMMYFUNCTION("IFNA(vlookup(H283,IMPORTRANGE(""1vUGwO1n0QQGx9kKbO0_M5gmuhXZ6-LaxQxgrmJnzgP0"",""'TP# look up'!A:C""),3,0),"""")"),"")</f>
        <v/>
      </c>
      <c r="AH283" s="49">
        <f>LEFT(J283,2)</f>
        <v/>
      </c>
    </row>
    <row r="284" hidden="1" ht="12.75" customHeight="1">
      <c r="A284" s="45">
        <f>IFERROR(__xludf.DUMMYFUNCTION("""COMPUTED_VALUE"""),"Colombo")</f>
        <v/>
      </c>
      <c r="B284" s="45" t="n"/>
      <c r="C284" s="45">
        <f>IFERROR(__xludf.DUMMYFUNCTION("""COMPUTED_VALUE"""),3254506)</f>
        <v/>
      </c>
      <c r="D284" s="45" t="n"/>
      <c r="E284" s="45">
        <f>IFERROR(__xludf.DUMMYFUNCTION("""COMPUTED_VALUE"""),"CFS")</f>
        <v/>
      </c>
      <c r="F284" s="45">
        <f>IFERROR(__xludf.DUMMYFUNCTION("""COMPUTED_VALUE"""),"Inqube Global (PVT) Ltd")</f>
        <v/>
      </c>
      <c r="G284" s="45">
        <f>IFERROR(__xludf.DUMMYFUNCTION("""COMPUTED_VALUE"""),"Quantum Clothing Lanka (Pvt) Ltd")</f>
        <v/>
      </c>
      <c r="H284" s="43">
        <f>IFERROR(__xludf.DUMMYFUNCTION("""COMPUTED_VALUE"""),452343218294)</f>
        <v/>
      </c>
      <c r="I284" s="45">
        <f>IFERROR(__xludf.DUMMYFUNCTION("""COMPUTED_VALUE"""),19877131)</f>
        <v/>
      </c>
      <c r="J284" s="45">
        <f>IFERROR(__xludf.DUMMYFUNCTION("""COMPUTED_VALUE"""),"LW9FUES")</f>
        <v/>
      </c>
      <c r="K284" s="45">
        <f>IFERROR(__xludf.DUMMYFUNCTION("""COMPUTED_VALUE"""),"LW9FUES-068585")</f>
        <v/>
      </c>
      <c r="L284" s="45">
        <f>IFERROR(__xludf.DUMMYFUNCTION("""COMPUTED_VALUE"""),1)</f>
        <v/>
      </c>
      <c r="M284" s="45">
        <f>IFERROR(__xludf.DUMMYFUNCTION("""COMPUTED_VALUE"""),56)</f>
        <v/>
      </c>
      <c r="N284" s="45">
        <f>IFERROR(__xludf.DUMMYFUNCTION("""COMPUTED_VALUE"""),4.926)</f>
        <v/>
      </c>
      <c r="O284" s="45">
        <f>IFERROR(__xludf.DUMMYFUNCTION("""COMPUTED_VALUE"""),0.04)</f>
        <v/>
      </c>
      <c r="P284" s="45">
        <f>IFERROR(__xludf.DUMMYFUNCTION("""COMPUTED_VALUE"""),"Colombo, LK")</f>
        <v/>
      </c>
      <c r="Q284" s="45">
        <f>IFERROR(__xludf.DUMMYFUNCTION("""COMPUTED_VALUE"""),"New York, NY, US")</f>
        <v/>
      </c>
      <c r="R284" s="44">
        <f>IFERROR(__xludf.DUMMYFUNCTION("""COMPUTED_VALUE"""),45824)</f>
        <v/>
      </c>
      <c r="S284" s="44">
        <f>IFERROR(__xludf.DUMMYFUNCTION("""COMPUTED_VALUE"""),45883)</f>
        <v/>
      </c>
      <c r="T284" s="45">
        <f>IFERROR(__xludf.DUMMYFUNCTION("""COMPUTED_VALUE"""),"Mississauga, ON, CA")</f>
        <v/>
      </c>
      <c r="U284" s="45" t="n"/>
      <c r="V284" s="45" t="n"/>
      <c r="W284" s="45" t="n"/>
      <c r="X284" s="45" t="n"/>
      <c r="Y284" s="46">
        <f>IFERROR(__xludf.DUMMYFUNCTION("""COMPUTED_VALUE"""),45832)</f>
        <v/>
      </c>
      <c r="Z284" s="46">
        <f>IFERROR(__xludf.DUMMYFUNCTION("""COMPUTED_VALUE"""),45861)</f>
        <v/>
      </c>
      <c r="AA284" s="46">
        <f>IFERROR(__xludf.DUMMYFUNCTION("""COMPUTED_VALUE"""),45874)</f>
        <v/>
      </c>
      <c r="AB284" s="45">
        <f>IFERROR(__xludf.DUMMYFUNCTION("""COMPUTED_VALUE"""),"3500 Argentia Road")</f>
        <v/>
      </c>
      <c r="AC284" s="45" t="n"/>
      <c r="AD284" s="45">
        <f>IFERROR(__xludf.DUMMYFUNCTION("""COMPUTED_VALUE"""),"OCEAN")</f>
        <v/>
      </c>
      <c r="AE284" s="45">
        <f>IFERROR(__xludf.DUMMYFUNCTION("""COMPUTED_VALUE"""),"N")</f>
        <v/>
      </c>
      <c r="AF284" s="45" t="n"/>
      <c r="AG284" s="49">
        <f>IFERROR(__xludf.DUMMYFUNCTION("IFNA(vlookup(H284,IMPORTRANGE(""1vUGwO1n0QQGx9kKbO0_M5gmuhXZ6-LaxQxgrmJnzgP0"",""'TP# look up'!A:C""),3,0),"""")"),"")</f>
        <v/>
      </c>
      <c r="AH284" s="49">
        <f>LEFT(J284,2)</f>
        <v/>
      </c>
    </row>
    <row r="285" hidden="1" ht="12.75" customHeight="1">
      <c r="A285" s="45">
        <f>IFERROR(__xludf.DUMMYFUNCTION("""COMPUTED_VALUE"""),"Colombo")</f>
        <v/>
      </c>
      <c r="B285" s="45" t="n"/>
      <c r="C285" s="45">
        <f>IFERROR(__xludf.DUMMYFUNCTION("""COMPUTED_VALUE"""),3254506)</f>
        <v/>
      </c>
      <c r="D285" s="45" t="n"/>
      <c r="E285" s="45">
        <f>IFERROR(__xludf.DUMMYFUNCTION("""COMPUTED_VALUE"""),"CFS")</f>
        <v/>
      </c>
      <c r="F285" s="45">
        <f>IFERROR(__xludf.DUMMYFUNCTION("""COMPUTED_VALUE"""),"Inqube Global (PVT) Ltd")</f>
        <v/>
      </c>
      <c r="G285" s="45">
        <f>IFERROR(__xludf.DUMMYFUNCTION("""COMPUTED_VALUE"""),"Quantum Clothing Lanka (Pvt) Ltd")</f>
        <v/>
      </c>
      <c r="H285" s="43">
        <f>IFERROR(__xludf.DUMMYFUNCTION("""COMPUTED_VALUE"""),452343456868)</f>
        <v/>
      </c>
      <c r="I285" s="45">
        <f>IFERROR(__xludf.DUMMYFUNCTION("""COMPUTED_VALUE"""),19877127)</f>
        <v/>
      </c>
      <c r="J285" s="45">
        <f>IFERROR(__xludf.DUMMYFUNCTION("""COMPUTED_VALUE"""),"LW9FUES")</f>
        <v/>
      </c>
      <c r="K285" s="45">
        <f>IFERROR(__xludf.DUMMYFUNCTION("""COMPUTED_VALUE"""),"LW9FUES-068585")</f>
        <v/>
      </c>
      <c r="L285" s="45">
        <f>IFERROR(__xludf.DUMMYFUNCTION("""COMPUTED_VALUE"""),1)</f>
        <v/>
      </c>
      <c r="M285" s="45">
        <f>IFERROR(__xludf.DUMMYFUNCTION("""COMPUTED_VALUE"""),91)</f>
        <v/>
      </c>
      <c r="N285" s="45">
        <f>IFERROR(__xludf.DUMMYFUNCTION("""COMPUTED_VALUE"""),7.43)</f>
        <v/>
      </c>
      <c r="O285" s="45">
        <f>IFERROR(__xludf.DUMMYFUNCTION("""COMPUTED_VALUE"""),0.04)</f>
        <v/>
      </c>
      <c r="P285" s="45">
        <f>IFERROR(__xludf.DUMMYFUNCTION("""COMPUTED_VALUE"""),"Colombo, LK")</f>
        <v/>
      </c>
      <c r="Q285" s="45">
        <f>IFERROR(__xludf.DUMMYFUNCTION("""COMPUTED_VALUE"""),"New York, NY, US")</f>
        <v/>
      </c>
      <c r="R285" s="44">
        <f>IFERROR(__xludf.DUMMYFUNCTION("""COMPUTED_VALUE"""),45824)</f>
        <v/>
      </c>
      <c r="S285" s="44">
        <f>IFERROR(__xludf.DUMMYFUNCTION("""COMPUTED_VALUE"""),45883)</f>
        <v/>
      </c>
      <c r="T285" s="45">
        <f>IFERROR(__xludf.DUMMYFUNCTION("""COMPUTED_VALUE"""),"Mississauga, ON, CA")</f>
        <v/>
      </c>
      <c r="U285" s="45" t="n"/>
      <c r="V285" s="45" t="n"/>
      <c r="W285" s="45" t="n"/>
      <c r="X285" s="45" t="n"/>
      <c r="Y285" s="46">
        <f>IFERROR(__xludf.DUMMYFUNCTION("""COMPUTED_VALUE"""),45832)</f>
        <v/>
      </c>
      <c r="Z285" s="46">
        <f>IFERROR(__xludf.DUMMYFUNCTION("""COMPUTED_VALUE"""),45861)</f>
        <v/>
      </c>
      <c r="AA285" s="46">
        <f>IFERROR(__xludf.DUMMYFUNCTION("""COMPUTED_VALUE"""),45874)</f>
        <v/>
      </c>
      <c r="AB285" s="45">
        <f>IFERROR(__xludf.DUMMYFUNCTION("""COMPUTED_VALUE"""),"3500 Argentia Road")</f>
        <v/>
      </c>
      <c r="AC285" s="45" t="n"/>
      <c r="AD285" s="45">
        <f>IFERROR(__xludf.DUMMYFUNCTION("""COMPUTED_VALUE"""),"OCEAN")</f>
        <v/>
      </c>
      <c r="AE285" s="45">
        <f>IFERROR(__xludf.DUMMYFUNCTION("""COMPUTED_VALUE"""),"N")</f>
        <v/>
      </c>
      <c r="AF285" s="45" t="n"/>
      <c r="AG285" s="49">
        <f>IFERROR(__xludf.DUMMYFUNCTION("IFNA(vlookup(H285,IMPORTRANGE(""1vUGwO1n0QQGx9kKbO0_M5gmuhXZ6-LaxQxgrmJnzgP0"",""'TP# look up'!A:C""),3,0),"""")"),"")</f>
        <v/>
      </c>
      <c r="AH285" s="49">
        <f>LEFT(J285,2)</f>
        <v/>
      </c>
    </row>
    <row r="286" hidden="1" ht="12.75" customHeight="1">
      <c r="A286" s="45">
        <f>IFERROR(__xludf.DUMMYFUNCTION("""COMPUTED_VALUE"""),"Colombo")</f>
        <v/>
      </c>
      <c r="B286" s="45" t="n"/>
      <c r="C286" s="45">
        <f>IFERROR(__xludf.DUMMYFUNCTION("""COMPUTED_VALUE"""),3254506)</f>
        <v/>
      </c>
      <c r="D286" s="45" t="n"/>
      <c r="E286" s="45">
        <f>IFERROR(__xludf.DUMMYFUNCTION("""COMPUTED_VALUE"""),"CFS")</f>
        <v/>
      </c>
      <c r="F286" s="45">
        <f>IFERROR(__xludf.DUMMYFUNCTION("""COMPUTED_VALUE"""),"Inqube Global (PVT) Ltd")</f>
        <v/>
      </c>
      <c r="G286" s="45">
        <f>IFERROR(__xludf.DUMMYFUNCTION("""COMPUTED_VALUE"""),"Quantum Clothing Lanka (Pvt) Ltd")</f>
        <v/>
      </c>
      <c r="H286" s="43">
        <f>IFERROR(__xludf.DUMMYFUNCTION("""COMPUTED_VALUE"""),452345792788)</f>
        <v/>
      </c>
      <c r="I286" s="45">
        <f>IFERROR(__xludf.DUMMYFUNCTION("""COMPUTED_VALUE"""),19876195)</f>
        <v/>
      </c>
      <c r="J286" s="45">
        <f>IFERROR(__xludf.DUMMYFUNCTION("""COMPUTED_VALUE"""),"LW9FUES")</f>
        <v/>
      </c>
      <c r="K286" s="45">
        <f>IFERROR(__xludf.DUMMYFUNCTION("""COMPUTED_VALUE"""),"LW9FUES-071150")</f>
        <v/>
      </c>
      <c r="L286" s="45">
        <f>IFERROR(__xludf.DUMMYFUNCTION("""COMPUTED_VALUE"""),1)</f>
        <v/>
      </c>
      <c r="M286" s="45">
        <f>IFERROR(__xludf.DUMMYFUNCTION("""COMPUTED_VALUE"""),30)</f>
        <v/>
      </c>
      <c r="N286" s="45">
        <f>IFERROR(__xludf.DUMMYFUNCTION("""COMPUTED_VALUE"""),3.071)</f>
        <v/>
      </c>
      <c r="O286" s="45">
        <f>IFERROR(__xludf.DUMMYFUNCTION("""COMPUTED_VALUE"""),0.04)</f>
        <v/>
      </c>
      <c r="P286" s="45">
        <f>IFERROR(__xludf.DUMMYFUNCTION("""COMPUTED_VALUE"""),"Colombo, LK")</f>
        <v/>
      </c>
      <c r="Q286" s="45">
        <f>IFERROR(__xludf.DUMMYFUNCTION("""COMPUTED_VALUE"""),"New York, NY, US")</f>
        <v/>
      </c>
      <c r="R286" s="44">
        <f>IFERROR(__xludf.DUMMYFUNCTION("""COMPUTED_VALUE"""),45824)</f>
        <v/>
      </c>
      <c r="S286" s="44">
        <f>IFERROR(__xludf.DUMMYFUNCTION("""COMPUTED_VALUE"""),45883)</f>
        <v/>
      </c>
      <c r="T286" s="45">
        <f>IFERROR(__xludf.DUMMYFUNCTION("""COMPUTED_VALUE"""),"Mississauga, ON, CA")</f>
        <v/>
      </c>
      <c r="U286" s="45" t="n"/>
      <c r="V286" s="45" t="n"/>
      <c r="W286" s="45" t="n"/>
      <c r="X286" s="45" t="n"/>
      <c r="Y286" s="46">
        <f>IFERROR(__xludf.DUMMYFUNCTION("""COMPUTED_VALUE"""),45832)</f>
        <v/>
      </c>
      <c r="Z286" s="46">
        <f>IFERROR(__xludf.DUMMYFUNCTION("""COMPUTED_VALUE"""),45861)</f>
        <v/>
      </c>
      <c r="AA286" s="46">
        <f>IFERROR(__xludf.DUMMYFUNCTION("""COMPUTED_VALUE"""),45874)</f>
        <v/>
      </c>
      <c r="AB286" s="45">
        <f>IFERROR(__xludf.DUMMYFUNCTION("""COMPUTED_VALUE"""),"3500 Argentia Road")</f>
        <v/>
      </c>
      <c r="AC286" s="45" t="n"/>
      <c r="AD286" s="45">
        <f>IFERROR(__xludf.DUMMYFUNCTION("""COMPUTED_VALUE"""),"OCEAN")</f>
        <v/>
      </c>
      <c r="AE286" s="45">
        <f>IFERROR(__xludf.DUMMYFUNCTION("""COMPUTED_VALUE"""),"N")</f>
        <v/>
      </c>
      <c r="AF286" s="45" t="n"/>
      <c r="AG286" s="49">
        <f>IFERROR(__xludf.DUMMYFUNCTION("IFNA(vlookup(H286,IMPORTRANGE(""1vUGwO1n0QQGx9kKbO0_M5gmuhXZ6-LaxQxgrmJnzgP0"",""'TP# look up'!A:C""),3,0),"""")"),"")</f>
        <v/>
      </c>
      <c r="AH286" s="49">
        <f>LEFT(J286,2)</f>
        <v/>
      </c>
    </row>
    <row r="287" hidden="1" ht="12.75" customHeight="1">
      <c r="A287" s="45">
        <f>IFERROR(__xludf.DUMMYFUNCTION("""COMPUTED_VALUE"""),"Colombo")</f>
        <v/>
      </c>
      <c r="B287" s="45" t="n"/>
      <c r="C287" s="45">
        <f>IFERROR(__xludf.DUMMYFUNCTION("""COMPUTED_VALUE"""),3254506)</f>
        <v/>
      </c>
      <c r="D287" s="45" t="n"/>
      <c r="E287" s="45">
        <f>IFERROR(__xludf.DUMMYFUNCTION("""COMPUTED_VALUE"""),"CFS")</f>
        <v/>
      </c>
      <c r="F287" s="45">
        <f>IFERROR(__xludf.DUMMYFUNCTION("""COMPUTED_VALUE"""),"Inqube Global (PVT) Ltd")</f>
        <v/>
      </c>
      <c r="G287" s="45">
        <f>IFERROR(__xludf.DUMMYFUNCTION("""COMPUTED_VALUE"""),"Quantum Clothing Lanka (Pvt) Ltd")</f>
        <v/>
      </c>
      <c r="H287" s="43">
        <f>IFERROR(__xludf.DUMMYFUNCTION("""COMPUTED_VALUE"""),452347475679)</f>
        <v/>
      </c>
      <c r="I287" s="45">
        <f>IFERROR(__xludf.DUMMYFUNCTION("""COMPUTED_VALUE"""),19877091)</f>
        <v/>
      </c>
      <c r="J287" s="45">
        <f>IFERROR(__xludf.DUMMYFUNCTION("""COMPUTED_VALUE"""),"LW9FUES")</f>
        <v/>
      </c>
      <c r="K287" s="45">
        <f>IFERROR(__xludf.DUMMYFUNCTION("""COMPUTED_VALUE"""),"LW9FUES-071150")</f>
        <v/>
      </c>
      <c r="L287" s="45">
        <f>IFERROR(__xludf.DUMMYFUNCTION("""COMPUTED_VALUE"""),1)</f>
        <v/>
      </c>
      <c r="M287" s="45">
        <f>IFERROR(__xludf.DUMMYFUNCTION("""COMPUTED_VALUE"""),132)</f>
        <v/>
      </c>
      <c r="N287" s="45">
        <f>IFERROR(__xludf.DUMMYFUNCTION("""COMPUTED_VALUE"""),10.364)</f>
        <v/>
      </c>
      <c r="O287" s="45">
        <f>IFERROR(__xludf.DUMMYFUNCTION("""COMPUTED_VALUE"""),0.04)</f>
        <v/>
      </c>
      <c r="P287" s="45">
        <f>IFERROR(__xludf.DUMMYFUNCTION("""COMPUTED_VALUE"""),"Colombo, LK")</f>
        <v/>
      </c>
      <c r="Q287" s="45">
        <f>IFERROR(__xludf.DUMMYFUNCTION("""COMPUTED_VALUE"""),"New York, NY, US")</f>
        <v/>
      </c>
      <c r="R287" s="44">
        <f>IFERROR(__xludf.DUMMYFUNCTION("""COMPUTED_VALUE"""),45824)</f>
        <v/>
      </c>
      <c r="S287" s="44">
        <f>IFERROR(__xludf.DUMMYFUNCTION("""COMPUTED_VALUE"""),45883)</f>
        <v/>
      </c>
      <c r="T287" s="45">
        <f>IFERROR(__xludf.DUMMYFUNCTION("""COMPUTED_VALUE"""),"Mississauga, ON, CA")</f>
        <v/>
      </c>
      <c r="U287" s="45" t="n"/>
      <c r="V287" s="45" t="n"/>
      <c r="W287" s="45" t="n"/>
      <c r="X287" s="45" t="n"/>
      <c r="Y287" s="46">
        <f>IFERROR(__xludf.DUMMYFUNCTION("""COMPUTED_VALUE"""),45832)</f>
        <v/>
      </c>
      <c r="Z287" s="46">
        <f>IFERROR(__xludf.DUMMYFUNCTION("""COMPUTED_VALUE"""),45861)</f>
        <v/>
      </c>
      <c r="AA287" s="46">
        <f>IFERROR(__xludf.DUMMYFUNCTION("""COMPUTED_VALUE"""),45874)</f>
        <v/>
      </c>
      <c r="AB287" s="45">
        <f>IFERROR(__xludf.DUMMYFUNCTION("""COMPUTED_VALUE"""),"3500 Argentia Road")</f>
        <v/>
      </c>
      <c r="AC287" s="45" t="n"/>
      <c r="AD287" s="45">
        <f>IFERROR(__xludf.DUMMYFUNCTION("""COMPUTED_VALUE"""),"OCEAN")</f>
        <v/>
      </c>
      <c r="AE287" s="45">
        <f>IFERROR(__xludf.DUMMYFUNCTION("""COMPUTED_VALUE"""),"N")</f>
        <v/>
      </c>
      <c r="AF287" s="45" t="n"/>
      <c r="AG287" s="49">
        <f>IFERROR(__xludf.DUMMYFUNCTION("IFNA(vlookup(H287,IMPORTRANGE(""1vUGwO1n0QQGx9kKbO0_M5gmuhXZ6-LaxQxgrmJnzgP0"",""'TP# look up'!A:C""),3,0),"""")"),"")</f>
        <v/>
      </c>
      <c r="AH287" s="49">
        <f>LEFT(J287,2)</f>
        <v/>
      </c>
    </row>
    <row r="288" hidden="1" ht="12.75" customHeight="1">
      <c r="A288" s="45">
        <f>IFERROR(__xludf.DUMMYFUNCTION("""COMPUTED_VALUE"""),"Colombo")</f>
        <v/>
      </c>
      <c r="B288" s="45" t="n"/>
      <c r="C288" s="45">
        <f>IFERROR(__xludf.DUMMYFUNCTION("""COMPUTED_VALUE"""),3254506)</f>
        <v/>
      </c>
      <c r="D288" s="45" t="n"/>
      <c r="E288" s="45">
        <f>IFERROR(__xludf.DUMMYFUNCTION("""COMPUTED_VALUE"""),"CFS")</f>
        <v/>
      </c>
      <c r="F288" s="45">
        <f>IFERROR(__xludf.DUMMYFUNCTION("""COMPUTED_VALUE"""),"Bodyline Trading (Private) Limited")</f>
        <v/>
      </c>
      <c r="G288" s="45">
        <f>IFERROR(__xludf.DUMMYFUNCTION("""COMPUTED_VALUE"""),"Bodyline (Private) Limited")</f>
        <v/>
      </c>
      <c r="H288" s="43">
        <f>IFERROR(__xludf.DUMMYFUNCTION("""COMPUTED_VALUE"""),452711175976)</f>
        <v/>
      </c>
      <c r="I288" s="45">
        <f>IFERROR(__xludf.DUMMYFUNCTION("""COMPUTED_VALUE"""),19878100)</f>
        <v/>
      </c>
      <c r="J288" s="45">
        <f>IFERROR(__xludf.DUMMYFUNCTION("""COMPUTED_VALUE"""),"LW9FLRS")</f>
        <v/>
      </c>
      <c r="K288" s="45">
        <f>IFERROR(__xludf.DUMMYFUNCTION("""COMPUTED_VALUE"""),"LW9FLRS-066526")</f>
        <v/>
      </c>
      <c r="L288" s="45">
        <f>IFERROR(__xludf.DUMMYFUNCTION("""COMPUTED_VALUE"""),4)</f>
        <v/>
      </c>
      <c r="M288" s="45">
        <f>IFERROR(__xludf.DUMMYFUNCTION("""COMPUTED_VALUE"""),81)</f>
        <v/>
      </c>
      <c r="N288" s="45">
        <f>IFERROR(__xludf.DUMMYFUNCTION("""COMPUTED_VALUE"""),17.892)</f>
        <v/>
      </c>
      <c r="O288" s="45">
        <f>IFERROR(__xludf.DUMMYFUNCTION("""COMPUTED_VALUE"""),0.176)</f>
        <v/>
      </c>
      <c r="P288" s="45">
        <f>IFERROR(__xludf.DUMMYFUNCTION("""COMPUTED_VALUE"""),"Colombo, LK")</f>
        <v/>
      </c>
      <c r="Q288" s="45">
        <f>IFERROR(__xludf.DUMMYFUNCTION("""COMPUTED_VALUE"""),"New York, NY, US")</f>
        <v/>
      </c>
      <c r="R288" s="44">
        <f>IFERROR(__xludf.DUMMYFUNCTION("""COMPUTED_VALUE"""),45824)</f>
        <v/>
      </c>
      <c r="S288" s="44">
        <f>IFERROR(__xludf.DUMMYFUNCTION("""COMPUTED_VALUE"""),45883)</f>
        <v/>
      </c>
      <c r="T288" s="45">
        <f>IFERROR(__xludf.DUMMYFUNCTION("""COMPUTED_VALUE"""),"Milton, ON, CA")</f>
        <v/>
      </c>
      <c r="U288" s="45" t="n"/>
      <c r="V288" s="45" t="n"/>
      <c r="W288" s="45" t="n"/>
      <c r="X288" s="45" t="n"/>
      <c r="Y288" s="46">
        <f>IFERROR(__xludf.DUMMYFUNCTION("""COMPUTED_VALUE"""),45832)</f>
        <v/>
      </c>
      <c r="Z288" s="46">
        <f>IFERROR(__xludf.DUMMYFUNCTION("""COMPUTED_VALUE"""),45861)</f>
        <v/>
      </c>
      <c r="AA288" s="46">
        <f>IFERROR(__xludf.DUMMYFUNCTION("""COMPUTED_VALUE"""),45874)</f>
        <v/>
      </c>
      <c r="AB288" s="45">
        <f>IFERROR(__xludf.DUMMYFUNCTION("""COMPUTED_VALUE"""),"7211 Fifth Line")</f>
        <v/>
      </c>
      <c r="AC288" s="45" t="n"/>
      <c r="AD288" s="45">
        <f>IFERROR(__xludf.DUMMYFUNCTION("""COMPUTED_VALUE"""),"OCEAN")</f>
        <v/>
      </c>
      <c r="AE288" s="45">
        <f>IFERROR(__xludf.DUMMYFUNCTION("""COMPUTED_VALUE"""),"N")</f>
        <v/>
      </c>
      <c r="AF288" s="45" t="n"/>
      <c r="AG288" s="49">
        <f>IFERROR(__xludf.DUMMYFUNCTION("IFNA(vlookup(H288,IMPORTRANGE(""1vUGwO1n0QQGx9kKbO0_M5gmuhXZ6-LaxQxgrmJnzgP0"",""'TP# look up'!A:C""),3,0),"""")"),"")</f>
        <v/>
      </c>
      <c r="AH288" s="49">
        <f>LEFT(J288,2)</f>
        <v/>
      </c>
    </row>
    <row r="289" hidden="1" ht="12.75" customHeight="1">
      <c r="A289" s="45">
        <f>IFERROR(__xludf.DUMMYFUNCTION("""COMPUTED_VALUE"""),"Colombo")</f>
        <v/>
      </c>
      <c r="B289" s="45" t="n"/>
      <c r="C289" s="45">
        <f>IFERROR(__xludf.DUMMYFUNCTION("""COMPUTED_VALUE"""),3254506)</f>
        <v/>
      </c>
      <c r="D289" s="45" t="n"/>
      <c r="E289" s="45">
        <f>IFERROR(__xludf.DUMMYFUNCTION("""COMPUTED_VALUE"""),"CFS")</f>
        <v/>
      </c>
      <c r="F289" s="45">
        <f>IFERROR(__xludf.DUMMYFUNCTION("""COMPUTED_VALUE"""),"Bodyline Trading (Private) Limited")</f>
        <v/>
      </c>
      <c r="G289" s="45">
        <f>IFERROR(__xludf.DUMMYFUNCTION("""COMPUTED_VALUE"""),"Bodyline (Private) Limited")</f>
        <v/>
      </c>
      <c r="H289" s="43">
        <f>IFERROR(__xludf.DUMMYFUNCTION("""COMPUTED_VALUE"""),452711781089)</f>
        <v/>
      </c>
      <c r="I289" s="45">
        <f>IFERROR(__xludf.DUMMYFUNCTION("""COMPUTED_VALUE"""),19878118)</f>
        <v/>
      </c>
      <c r="J289" s="45">
        <f>IFERROR(__xludf.DUMMYFUNCTION("""COMPUTED_VALUE"""),"LW9FLRS")</f>
        <v/>
      </c>
      <c r="K289" s="45">
        <f>IFERROR(__xludf.DUMMYFUNCTION("""COMPUTED_VALUE"""),"LW9FLRS-066526")</f>
        <v/>
      </c>
      <c r="L289" s="45">
        <f>IFERROR(__xludf.DUMMYFUNCTION("""COMPUTED_VALUE"""),3)</f>
        <v/>
      </c>
      <c r="M289" s="45">
        <f>IFERROR(__xludf.DUMMYFUNCTION("""COMPUTED_VALUE"""),45)</f>
        <v/>
      </c>
      <c r="N289" s="45">
        <f>IFERROR(__xludf.DUMMYFUNCTION("""COMPUTED_VALUE"""),10.71)</f>
        <v/>
      </c>
      <c r="O289" s="45">
        <f>IFERROR(__xludf.DUMMYFUNCTION("""COMPUTED_VALUE"""),0.132)</f>
        <v/>
      </c>
      <c r="P289" s="45">
        <f>IFERROR(__xludf.DUMMYFUNCTION("""COMPUTED_VALUE"""),"Colombo, LK")</f>
        <v/>
      </c>
      <c r="Q289" s="45">
        <f>IFERROR(__xludf.DUMMYFUNCTION("""COMPUTED_VALUE"""),"New York, NY, US")</f>
        <v/>
      </c>
      <c r="R289" s="44">
        <f>IFERROR(__xludf.DUMMYFUNCTION("""COMPUTED_VALUE"""),45824)</f>
        <v/>
      </c>
      <c r="S289" s="44">
        <f>IFERROR(__xludf.DUMMYFUNCTION("""COMPUTED_VALUE"""),45883)</f>
        <v/>
      </c>
      <c r="T289" s="45">
        <f>IFERROR(__xludf.DUMMYFUNCTION("""COMPUTED_VALUE"""),"Mississauga, ON, CA")</f>
        <v/>
      </c>
      <c r="U289" s="45" t="n"/>
      <c r="V289" s="45" t="n"/>
      <c r="W289" s="45" t="n"/>
      <c r="X289" s="45" t="n"/>
      <c r="Y289" s="46">
        <f>IFERROR(__xludf.DUMMYFUNCTION("""COMPUTED_VALUE"""),45832)</f>
        <v/>
      </c>
      <c r="Z289" s="46">
        <f>IFERROR(__xludf.DUMMYFUNCTION("""COMPUTED_VALUE"""),45861)</f>
        <v/>
      </c>
      <c r="AA289" s="46">
        <f>IFERROR(__xludf.DUMMYFUNCTION("""COMPUTED_VALUE"""),45874)</f>
        <v/>
      </c>
      <c r="AB289" s="45">
        <f>IFERROR(__xludf.DUMMYFUNCTION("""COMPUTED_VALUE"""),"3500 Argentia Road")</f>
        <v/>
      </c>
      <c r="AC289" s="45" t="n"/>
      <c r="AD289" s="45">
        <f>IFERROR(__xludf.DUMMYFUNCTION("""COMPUTED_VALUE"""),"OCEAN")</f>
        <v/>
      </c>
      <c r="AE289" s="45">
        <f>IFERROR(__xludf.DUMMYFUNCTION("""COMPUTED_VALUE"""),"N")</f>
        <v/>
      </c>
      <c r="AF289" s="45" t="n"/>
      <c r="AG289" s="49">
        <f>IFERROR(__xludf.DUMMYFUNCTION("IFNA(vlookup(H289,IMPORTRANGE(""1vUGwO1n0QQGx9kKbO0_M5gmuhXZ6-LaxQxgrmJnzgP0"",""'TP# look up'!A:C""),3,0),"""")"),"")</f>
        <v/>
      </c>
      <c r="AH289" s="49">
        <f>LEFT(J289,2)</f>
        <v/>
      </c>
    </row>
    <row r="290" hidden="1" ht="12.75" customHeight="1">
      <c r="A290" s="45">
        <f>IFERROR(__xludf.DUMMYFUNCTION("""COMPUTED_VALUE"""),"Colombo")</f>
        <v/>
      </c>
      <c r="B290" s="45" t="n"/>
      <c r="C290" s="45">
        <f>IFERROR(__xludf.DUMMYFUNCTION("""COMPUTED_VALUE"""),3254506)</f>
        <v/>
      </c>
      <c r="D290" s="45" t="n"/>
      <c r="E290" s="45">
        <f>IFERROR(__xludf.DUMMYFUNCTION("""COMPUTED_VALUE"""),"CFS")</f>
        <v/>
      </c>
      <c r="F290" s="45">
        <f>IFERROR(__xludf.DUMMYFUNCTION("""COMPUTED_VALUE"""),"Bodyline Trading (Private) Limited")</f>
        <v/>
      </c>
      <c r="G290" s="45">
        <f>IFERROR(__xludf.DUMMYFUNCTION("""COMPUTED_VALUE"""),"Bodyline (Private) Limited")</f>
        <v/>
      </c>
      <c r="H290" s="43">
        <f>IFERROR(__xludf.DUMMYFUNCTION("""COMPUTED_VALUE"""),452713380372)</f>
        <v/>
      </c>
      <c r="I290" s="45">
        <f>IFERROR(__xludf.DUMMYFUNCTION("""COMPUTED_VALUE"""),19878511)</f>
        <v/>
      </c>
      <c r="J290" s="45">
        <f>IFERROR(__xludf.DUMMYFUNCTION("""COMPUTED_VALUE"""),"LW9FLRS")</f>
        <v/>
      </c>
      <c r="K290" s="45">
        <f>IFERROR(__xludf.DUMMYFUNCTION("""COMPUTED_VALUE"""),"LW9FLRS-066526")</f>
        <v/>
      </c>
      <c r="L290" s="45">
        <f>IFERROR(__xludf.DUMMYFUNCTION("""COMPUTED_VALUE"""),4)</f>
        <v/>
      </c>
      <c r="M290" s="45">
        <f>IFERROR(__xludf.DUMMYFUNCTION("""COMPUTED_VALUE"""),77)</f>
        <v/>
      </c>
      <c r="N290" s="45">
        <f>IFERROR(__xludf.DUMMYFUNCTION("""COMPUTED_VALUE"""),17.284)</f>
        <v/>
      </c>
      <c r="O290" s="45">
        <f>IFERROR(__xludf.DUMMYFUNCTION("""COMPUTED_VALUE"""),0.176)</f>
        <v/>
      </c>
      <c r="P290" s="45">
        <f>IFERROR(__xludf.DUMMYFUNCTION("""COMPUTED_VALUE"""),"Colombo, LK")</f>
        <v/>
      </c>
      <c r="Q290" s="45">
        <f>IFERROR(__xludf.DUMMYFUNCTION("""COMPUTED_VALUE"""),"New York, NY, US")</f>
        <v/>
      </c>
      <c r="R290" s="44">
        <f>IFERROR(__xludf.DUMMYFUNCTION("""COMPUTED_VALUE"""),45824)</f>
        <v/>
      </c>
      <c r="S290" s="44">
        <f>IFERROR(__xludf.DUMMYFUNCTION("""COMPUTED_VALUE"""),45883)</f>
        <v/>
      </c>
      <c r="T290" s="45">
        <f>IFERROR(__xludf.DUMMYFUNCTION("""COMPUTED_VALUE"""),"Mississauga, ON, CA")</f>
        <v/>
      </c>
      <c r="U290" s="45" t="n"/>
      <c r="V290" s="45" t="n"/>
      <c r="W290" s="45" t="n"/>
      <c r="X290" s="45" t="n"/>
      <c r="Y290" s="46">
        <f>IFERROR(__xludf.DUMMYFUNCTION("""COMPUTED_VALUE"""),45832)</f>
        <v/>
      </c>
      <c r="Z290" s="46">
        <f>IFERROR(__xludf.DUMMYFUNCTION("""COMPUTED_VALUE"""),45861)</f>
        <v/>
      </c>
      <c r="AA290" s="46">
        <f>IFERROR(__xludf.DUMMYFUNCTION("""COMPUTED_VALUE"""),45874)</f>
        <v/>
      </c>
      <c r="AB290" s="45">
        <f>IFERROR(__xludf.DUMMYFUNCTION("""COMPUTED_VALUE"""),"3500 Argentia Road")</f>
        <v/>
      </c>
      <c r="AC290" s="45" t="n"/>
      <c r="AD290" s="45">
        <f>IFERROR(__xludf.DUMMYFUNCTION("""COMPUTED_VALUE"""),"OCEAN")</f>
        <v/>
      </c>
      <c r="AE290" s="45">
        <f>IFERROR(__xludf.DUMMYFUNCTION("""COMPUTED_VALUE"""),"N")</f>
        <v/>
      </c>
      <c r="AF290" s="45" t="n"/>
      <c r="AG290" s="49">
        <f>IFERROR(__xludf.DUMMYFUNCTION("IFNA(vlookup(H290,IMPORTRANGE(""1vUGwO1n0QQGx9kKbO0_M5gmuhXZ6-LaxQxgrmJnzgP0"",""'TP# look up'!A:C""),3,0),"""")"),"")</f>
        <v/>
      </c>
      <c r="AH290" s="49">
        <f>LEFT(J290,2)</f>
        <v/>
      </c>
    </row>
    <row r="291" hidden="1" ht="12.75" customHeight="1">
      <c r="A291" s="45">
        <f>IFERROR(__xludf.DUMMYFUNCTION("""COMPUTED_VALUE"""),"Colombo")</f>
        <v/>
      </c>
      <c r="B291" s="45" t="n"/>
      <c r="C291" s="45">
        <f>IFERROR(__xludf.DUMMYFUNCTION("""COMPUTED_VALUE"""),3254506)</f>
        <v/>
      </c>
      <c r="D291" s="45" t="n"/>
      <c r="E291" s="45">
        <f>IFERROR(__xludf.DUMMYFUNCTION("""COMPUTED_VALUE"""),"CFS")</f>
        <v/>
      </c>
      <c r="F291" s="45">
        <f>IFERROR(__xludf.DUMMYFUNCTION("""COMPUTED_VALUE"""),"Bodyline Trading (Private) Limited")</f>
        <v/>
      </c>
      <c r="G291" s="45">
        <f>IFERROR(__xludf.DUMMYFUNCTION("""COMPUTED_VALUE"""),"Bodyline (Private) Limited")</f>
        <v/>
      </c>
      <c r="H291" s="43">
        <f>IFERROR(__xludf.DUMMYFUNCTION("""COMPUTED_VALUE"""),452714007820)</f>
        <v/>
      </c>
      <c r="I291" s="45">
        <f>IFERROR(__xludf.DUMMYFUNCTION("""COMPUTED_VALUE"""),19843725)</f>
        <v/>
      </c>
      <c r="J291" s="45">
        <f>IFERROR(__xludf.DUMMYFUNCTION("""COMPUTED_VALUE"""),"LW1FF7S")</f>
        <v/>
      </c>
      <c r="K291" s="45">
        <f>IFERROR(__xludf.DUMMYFUNCTION("""COMPUTED_VALUE"""),"LW1FF7S-0001")</f>
        <v/>
      </c>
      <c r="L291" s="45">
        <f>IFERROR(__xludf.DUMMYFUNCTION("""COMPUTED_VALUE"""),5)</f>
        <v/>
      </c>
      <c r="M291" s="45">
        <f>IFERROR(__xludf.DUMMYFUNCTION("""COMPUTED_VALUE"""),139)</f>
        <v/>
      </c>
      <c r="N291" s="45">
        <f>IFERROR(__xludf.DUMMYFUNCTION("""COMPUTED_VALUE"""),21.39)</f>
        <v/>
      </c>
      <c r="O291" s="45">
        <f>IFERROR(__xludf.DUMMYFUNCTION("""COMPUTED_VALUE"""),0.22)</f>
        <v/>
      </c>
      <c r="P291" s="45">
        <f>IFERROR(__xludf.DUMMYFUNCTION("""COMPUTED_VALUE"""),"Colombo, LK")</f>
        <v/>
      </c>
      <c r="Q291" s="45">
        <f>IFERROR(__xludf.DUMMYFUNCTION("""COMPUTED_VALUE"""),"New York, NY, US")</f>
        <v/>
      </c>
      <c r="R291" s="44">
        <f>IFERROR(__xludf.DUMMYFUNCTION("""COMPUTED_VALUE"""),45824)</f>
        <v/>
      </c>
      <c r="S291" s="44">
        <f>IFERROR(__xludf.DUMMYFUNCTION("""COMPUTED_VALUE"""),45883)</f>
        <v/>
      </c>
      <c r="T291" s="45">
        <f>IFERROR(__xludf.DUMMYFUNCTION("""COMPUTED_VALUE"""),"Mississauga, ON, CA")</f>
        <v/>
      </c>
      <c r="U291" s="45" t="n"/>
      <c r="V291" s="45" t="n"/>
      <c r="W291" s="45" t="n"/>
      <c r="X291" s="45" t="n"/>
      <c r="Y291" s="46">
        <f>IFERROR(__xludf.DUMMYFUNCTION("""COMPUTED_VALUE"""),45832)</f>
        <v/>
      </c>
      <c r="Z291" s="46">
        <f>IFERROR(__xludf.DUMMYFUNCTION("""COMPUTED_VALUE"""),45861)</f>
        <v/>
      </c>
      <c r="AA291" s="46">
        <f>IFERROR(__xludf.DUMMYFUNCTION("""COMPUTED_VALUE"""),45874)</f>
        <v/>
      </c>
      <c r="AB291" s="45">
        <f>IFERROR(__xludf.DUMMYFUNCTION("""COMPUTED_VALUE"""),"3500 Argentia Road")</f>
        <v/>
      </c>
      <c r="AC291" s="45" t="n"/>
      <c r="AD291" s="45">
        <f>IFERROR(__xludf.DUMMYFUNCTION("""COMPUTED_VALUE"""),"OCEAN")</f>
        <v/>
      </c>
      <c r="AE291" s="45">
        <f>IFERROR(__xludf.DUMMYFUNCTION("""COMPUTED_VALUE"""),"N")</f>
        <v/>
      </c>
      <c r="AF291" s="45" t="n"/>
      <c r="AG291" s="49">
        <f>IFERROR(__xludf.DUMMYFUNCTION("IFNA(vlookup(H291,IMPORTRANGE(""1vUGwO1n0QQGx9kKbO0_M5gmuhXZ6-LaxQxgrmJnzgP0"",""'TP# look up'!A:C""),3,0),"""")"),"")</f>
        <v/>
      </c>
      <c r="AH291" s="49">
        <f>LEFT(J291,2)</f>
        <v/>
      </c>
    </row>
    <row r="292" hidden="1" ht="12.75" customHeight="1">
      <c r="A292" s="45">
        <f>IFERROR(__xludf.DUMMYFUNCTION("""COMPUTED_VALUE"""),"Colombo")</f>
        <v/>
      </c>
      <c r="B292" s="45" t="n"/>
      <c r="C292" s="45">
        <f>IFERROR(__xludf.DUMMYFUNCTION("""COMPUTED_VALUE"""),3254506)</f>
        <v/>
      </c>
      <c r="D292" s="45" t="n"/>
      <c r="E292" s="45">
        <f>IFERROR(__xludf.DUMMYFUNCTION("""COMPUTED_VALUE"""),"CFS")</f>
        <v/>
      </c>
      <c r="F292" s="45">
        <f>IFERROR(__xludf.DUMMYFUNCTION("""COMPUTED_VALUE"""),"Bodyline Trading (Private) Limited")</f>
        <v/>
      </c>
      <c r="G292" s="45">
        <f>IFERROR(__xludf.DUMMYFUNCTION("""COMPUTED_VALUE"""),"Bodyline (Private) Limited")</f>
        <v/>
      </c>
      <c r="H292" s="43">
        <f>IFERROR(__xludf.DUMMYFUNCTION("""COMPUTED_VALUE"""),452714470923)</f>
        <v/>
      </c>
      <c r="I292" s="45">
        <f>IFERROR(__xludf.DUMMYFUNCTION("""COMPUTED_VALUE"""),19843810)</f>
        <v/>
      </c>
      <c r="J292" s="45">
        <f>IFERROR(__xludf.DUMMYFUNCTION("""COMPUTED_VALUE"""),"LW1FF7S")</f>
        <v/>
      </c>
      <c r="K292" s="45">
        <f>IFERROR(__xludf.DUMMYFUNCTION("""COMPUTED_VALUE"""),"LW1FF7S-0001")</f>
        <v/>
      </c>
      <c r="L292" s="45">
        <f>IFERROR(__xludf.DUMMYFUNCTION("""COMPUTED_VALUE"""),11)</f>
        <v/>
      </c>
      <c r="M292" s="45">
        <f>IFERROR(__xludf.DUMMYFUNCTION("""COMPUTED_VALUE"""),386)</f>
        <v/>
      </c>
      <c r="N292" s="45">
        <f>IFERROR(__xludf.DUMMYFUNCTION("""COMPUTED_VALUE"""),56.275)</f>
        <v/>
      </c>
      <c r="O292" s="45">
        <f>IFERROR(__xludf.DUMMYFUNCTION("""COMPUTED_VALUE"""),0.483)</f>
        <v/>
      </c>
      <c r="P292" s="45">
        <f>IFERROR(__xludf.DUMMYFUNCTION("""COMPUTED_VALUE"""),"Colombo, LK")</f>
        <v/>
      </c>
      <c r="Q292" s="45">
        <f>IFERROR(__xludf.DUMMYFUNCTION("""COMPUTED_VALUE"""),"New York, NY, US")</f>
        <v/>
      </c>
      <c r="R292" s="44">
        <f>IFERROR(__xludf.DUMMYFUNCTION("""COMPUTED_VALUE"""),45824)</f>
        <v/>
      </c>
      <c r="S292" s="44">
        <f>IFERROR(__xludf.DUMMYFUNCTION("""COMPUTED_VALUE"""),45883)</f>
        <v/>
      </c>
      <c r="T292" s="45">
        <f>IFERROR(__xludf.DUMMYFUNCTION("""COMPUTED_VALUE"""),"Mississauga, ON, CA")</f>
        <v/>
      </c>
      <c r="U292" s="45" t="n"/>
      <c r="V292" s="45" t="n"/>
      <c r="W292" s="45" t="n"/>
      <c r="X292" s="45" t="n"/>
      <c r="Y292" s="46">
        <f>IFERROR(__xludf.DUMMYFUNCTION("""COMPUTED_VALUE"""),45832)</f>
        <v/>
      </c>
      <c r="Z292" s="46">
        <f>IFERROR(__xludf.DUMMYFUNCTION("""COMPUTED_VALUE"""),45861)</f>
        <v/>
      </c>
      <c r="AA292" s="46">
        <f>IFERROR(__xludf.DUMMYFUNCTION("""COMPUTED_VALUE"""),45874)</f>
        <v/>
      </c>
      <c r="AB292" s="45">
        <f>IFERROR(__xludf.DUMMYFUNCTION("""COMPUTED_VALUE"""),"3500 Argentia Road")</f>
        <v/>
      </c>
      <c r="AC292" s="45" t="n"/>
      <c r="AD292" s="45">
        <f>IFERROR(__xludf.DUMMYFUNCTION("""COMPUTED_VALUE"""),"OCEAN")</f>
        <v/>
      </c>
      <c r="AE292" s="45">
        <f>IFERROR(__xludf.DUMMYFUNCTION("""COMPUTED_VALUE"""),"N")</f>
        <v/>
      </c>
      <c r="AF292" s="45" t="n"/>
      <c r="AG292" s="49">
        <f>IFERROR(__xludf.DUMMYFUNCTION("IFNA(vlookup(H292,IMPORTRANGE(""1vUGwO1n0QQGx9kKbO0_M5gmuhXZ6-LaxQxgrmJnzgP0"",""'TP# look up'!A:C""),3,0),"""")"),"")</f>
        <v/>
      </c>
      <c r="AH292" s="49">
        <f>LEFT(J292,2)</f>
        <v/>
      </c>
    </row>
    <row r="293" hidden="1" ht="12.75" customHeight="1">
      <c r="A293" s="45">
        <f>IFERROR(__xludf.DUMMYFUNCTION("""COMPUTED_VALUE"""),"Colombo")</f>
        <v/>
      </c>
      <c r="B293" s="45" t="n"/>
      <c r="C293" s="45">
        <f>IFERROR(__xludf.DUMMYFUNCTION("""COMPUTED_VALUE"""),3254506)</f>
        <v/>
      </c>
      <c r="D293" s="45" t="n"/>
      <c r="E293" s="45">
        <f>IFERROR(__xludf.DUMMYFUNCTION("""COMPUTED_VALUE"""),"CFS")</f>
        <v/>
      </c>
      <c r="F293" s="45">
        <f>IFERROR(__xludf.DUMMYFUNCTION("""COMPUTED_VALUE"""),"Bodyline Trading (Private) Limited")</f>
        <v/>
      </c>
      <c r="G293" s="45">
        <f>IFERROR(__xludf.DUMMYFUNCTION("""COMPUTED_VALUE"""),"Bodyline (Private) Limited")</f>
        <v/>
      </c>
      <c r="H293" s="43">
        <f>IFERROR(__xludf.DUMMYFUNCTION("""COMPUTED_VALUE"""),452715829365)</f>
        <v/>
      </c>
      <c r="I293" s="45">
        <f>IFERROR(__xludf.DUMMYFUNCTION("""COMPUTED_VALUE"""),19843733)</f>
        <v/>
      </c>
      <c r="J293" s="45">
        <f>IFERROR(__xludf.DUMMYFUNCTION("""COMPUTED_VALUE"""),"LW1FF7S")</f>
        <v/>
      </c>
      <c r="K293" s="45">
        <f>IFERROR(__xludf.DUMMYFUNCTION("""COMPUTED_VALUE"""),"LW1FF7S-033454")</f>
        <v/>
      </c>
      <c r="L293" s="45">
        <f>IFERROR(__xludf.DUMMYFUNCTION("""COMPUTED_VALUE"""),3)</f>
        <v/>
      </c>
      <c r="M293" s="45">
        <f>IFERROR(__xludf.DUMMYFUNCTION("""COMPUTED_VALUE"""),80)</f>
        <v/>
      </c>
      <c r="N293" s="45">
        <f>IFERROR(__xludf.DUMMYFUNCTION("""COMPUTED_VALUE"""),12.43)</f>
        <v/>
      </c>
      <c r="O293" s="45">
        <f>IFERROR(__xludf.DUMMYFUNCTION("""COMPUTED_VALUE"""),0.132)</f>
        <v/>
      </c>
      <c r="P293" s="45">
        <f>IFERROR(__xludf.DUMMYFUNCTION("""COMPUTED_VALUE"""),"Colombo, LK")</f>
        <v/>
      </c>
      <c r="Q293" s="45">
        <f>IFERROR(__xludf.DUMMYFUNCTION("""COMPUTED_VALUE"""),"New York, NY, US")</f>
        <v/>
      </c>
      <c r="R293" s="44">
        <f>IFERROR(__xludf.DUMMYFUNCTION("""COMPUTED_VALUE"""),45824)</f>
        <v/>
      </c>
      <c r="S293" s="44">
        <f>IFERROR(__xludf.DUMMYFUNCTION("""COMPUTED_VALUE"""),45883)</f>
        <v/>
      </c>
      <c r="T293" s="45">
        <f>IFERROR(__xludf.DUMMYFUNCTION("""COMPUTED_VALUE"""),"Mississauga, ON, CA")</f>
        <v/>
      </c>
      <c r="U293" s="45" t="n"/>
      <c r="V293" s="45" t="n"/>
      <c r="W293" s="45" t="n"/>
      <c r="X293" s="45" t="n"/>
      <c r="Y293" s="46">
        <f>IFERROR(__xludf.DUMMYFUNCTION("""COMPUTED_VALUE"""),45832)</f>
        <v/>
      </c>
      <c r="Z293" s="46">
        <f>IFERROR(__xludf.DUMMYFUNCTION("""COMPUTED_VALUE"""),45861)</f>
        <v/>
      </c>
      <c r="AA293" s="46">
        <f>IFERROR(__xludf.DUMMYFUNCTION("""COMPUTED_VALUE"""),45874)</f>
        <v/>
      </c>
      <c r="AB293" s="45">
        <f>IFERROR(__xludf.DUMMYFUNCTION("""COMPUTED_VALUE"""),"3500 Argentia Road")</f>
        <v/>
      </c>
      <c r="AC293" s="45" t="n"/>
      <c r="AD293" s="45">
        <f>IFERROR(__xludf.DUMMYFUNCTION("""COMPUTED_VALUE"""),"OCEAN")</f>
        <v/>
      </c>
      <c r="AE293" s="45">
        <f>IFERROR(__xludf.DUMMYFUNCTION("""COMPUTED_VALUE"""),"N")</f>
        <v/>
      </c>
      <c r="AF293" s="45" t="n"/>
      <c r="AG293" s="49">
        <f>IFERROR(__xludf.DUMMYFUNCTION("IFNA(vlookup(H293,IMPORTRANGE(""1vUGwO1n0QQGx9kKbO0_M5gmuhXZ6-LaxQxgrmJnzgP0"",""'TP# look up'!A:C""),3,0),"""")"),"")</f>
        <v/>
      </c>
      <c r="AH293" s="49">
        <f>LEFT(J293,2)</f>
        <v/>
      </c>
    </row>
    <row r="294" hidden="1" ht="12.75" customHeight="1">
      <c r="A294" s="45">
        <f>IFERROR(__xludf.DUMMYFUNCTION("""COMPUTED_VALUE"""),"Colombo")</f>
        <v/>
      </c>
      <c r="B294" s="45" t="n"/>
      <c r="C294" s="45">
        <f>IFERROR(__xludf.DUMMYFUNCTION("""COMPUTED_VALUE"""),3254506)</f>
        <v/>
      </c>
      <c r="D294" s="45" t="n"/>
      <c r="E294" s="45">
        <f>IFERROR(__xludf.DUMMYFUNCTION("""COMPUTED_VALUE"""),"CFS")</f>
        <v/>
      </c>
      <c r="F294" s="45">
        <f>IFERROR(__xludf.DUMMYFUNCTION("""COMPUTED_VALUE"""),"Bodyline Trading (Private) Limited")</f>
        <v/>
      </c>
      <c r="G294" s="45">
        <f>IFERROR(__xludf.DUMMYFUNCTION("""COMPUTED_VALUE"""),"Bodyline (Private) Limited")</f>
        <v/>
      </c>
      <c r="H294" s="43">
        <f>IFERROR(__xludf.DUMMYFUNCTION("""COMPUTED_VALUE"""),452716558693)</f>
        <v/>
      </c>
      <c r="I294" s="45">
        <f>IFERROR(__xludf.DUMMYFUNCTION("""COMPUTED_VALUE"""),19843826)</f>
        <v/>
      </c>
      <c r="J294" s="45">
        <f>IFERROR(__xludf.DUMMYFUNCTION("""COMPUTED_VALUE"""),"LW1FF7S")</f>
        <v/>
      </c>
      <c r="K294" s="45">
        <f>IFERROR(__xludf.DUMMYFUNCTION("""COMPUTED_VALUE"""),"LW1FF7S-033454")</f>
        <v/>
      </c>
      <c r="L294" s="45">
        <f>IFERROR(__xludf.DUMMYFUNCTION("""COMPUTED_VALUE"""),9)</f>
        <v/>
      </c>
      <c r="M294" s="45">
        <f>IFERROR(__xludf.DUMMYFUNCTION("""COMPUTED_VALUE"""),301)</f>
        <v/>
      </c>
      <c r="N294" s="45">
        <f>IFERROR(__xludf.DUMMYFUNCTION("""COMPUTED_VALUE"""),44.269)</f>
        <v/>
      </c>
      <c r="O294" s="45">
        <f>IFERROR(__xludf.DUMMYFUNCTION("""COMPUTED_VALUE"""),0.395)</f>
        <v/>
      </c>
      <c r="P294" s="45">
        <f>IFERROR(__xludf.DUMMYFUNCTION("""COMPUTED_VALUE"""),"Colombo, LK")</f>
        <v/>
      </c>
      <c r="Q294" s="45">
        <f>IFERROR(__xludf.DUMMYFUNCTION("""COMPUTED_VALUE"""),"New York, NY, US")</f>
        <v/>
      </c>
      <c r="R294" s="44">
        <f>IFERROR(__xludf.DUMMYFUNCTION("""COMPUTED_VALUE"""),45824)</f>
        <v/>
      </c>
      <c r="S294" s="44">
        <f>IFERROR(__xludf.DUMMYFUNCTION("""COMPUTED_VALUE"""),45883)</f>
        <v/>
      </c>
      <c r="T294" s="45">
        <f>IFERROR(__xludf.DUMMYFUNCTION("""COMPUTED_VALUE"""),"Mississauga, ON, CA")</f>
        <v/>
      </c>
      <c r="U294" s="45" t="n"/>
      <c r="V294" s="45" t="n"/>
      <c r="W294" s="45" t="n"/>
      <c r="X294" s="45" t="n"/>
      <c r="Y294" s="46">
        <f>IFERROR(__xludf.DUMMYFUNCTION("""COMPUTED_VALUE"""),45832)</f>
        <v/>
      </c>
      <c r="Z294" s="46">
        <f>IFERROR(__xludf.DUMMYFUNCTION("""COMPUTED_VALUE"""),45861)</f>
        <v/>
      </c>
      <c r="AA294" s="46">
        <f>IFERROR(__xludf.DUMMYFUNCTION("""COMPUTED_VALUE"""),45874)</f>
        <v/>
      </c>
      <c r="AB294" s="45">
        <f>IFERROR(__xludf.DUMMYFUNCTION("""COMPUTED_VALUE"""),"3500 Argentia Road")</f>
        <v/>
      </c>
      <c r="AC294" s="45" t="n"/>
      <c r="AD294" s="45">
        <f>IFERROR(__xludf.DUMMYFUNCTION("""COMPUTED_VALUE"""),"OCEAN")</f>
        <v/>
      </c>
      <c r="AE294" s="45">
        <f>IFERROR(__xludf.DUMMYFUNCTION("""COMPUTED_VALUE"""),"N")</f>
        <v/>
      </c>
      <c r="AF294" s="45" t="n"/>
      <c r="AG294" s="49">
        <f>IFERROR(__xludf.DUMMYFUNCTION("IFNA(vlookup(H294,IMPORTRANGE(""1vUGwO1n0QQGx9kKbO0_M5gmuhXZ6-LaxQxgrmJnzgP0"",""'TP# look up'!A:C""),3,0),"""")"),"")</f>
        <v/>
      </c>
      <c r="AH294" s="49">
        <f>LEFT(J294,2)</f>
        <v/>
      </c>
    </row>
    <row r="295" hidden="1" ht="12.75" customHeight="1">
      <c r="A295" s="45">
        <f>IFERROR(__xludf.DUMMYFUNCTION("""COMPUTED_VALUE"""),"Colombo")</f>
        <v/>
      </c>
      <c r="B295" s="45" t="n"/>
      <c r="C295" s="45">
        <f>IFERROR(__xludf.DUMMYFUNCTION("""COMPUTED_VALUE"""),3254506)</f>
        <v/>
      </c>
      <c r="D295" s="45" t="n"/>
      <c r="E295" s="45">
        <f>IFERROR(__xludf.DUMMYFUNCTION("""COMPUTED_VALUE"""),"CFS")</f>
        <v/>
      </c>
      <c r="F295" s="45">
        <f>IFERROR(__xludf.DUMMYFUNCTION("""COMPUTED_VALUE"""),"Bodyline Trading (Private) Limited")</f>
        <v/>
      </c>
      <c r="G295" s="45">
        <f>IFERROR(__xludf.DUMMYFUNCTION("""COMPUTED_VALUE"""),"Bodyline (Private) Limited")</f>
        <v/>
      </c>
      <c r="H295" s="43">
        <f>IFERROR(__xludf.DUMMYFUNCTION("""COMPUTED_VALUE"""),452716917986)</f>
        <v/>
      </c>
      <c r="I295" s="45">
        <f>IFERROR(__xludf.DUMMYFUNCTION("""COMPUTED_VALUE"""),19843754)</f>
        <v/>
      </c>
      <c r="J295" s="45">
        <f>IFERROR(__xludf.DUMMYFUNCTION("""COMPUTED_VALUE"""),"LW1FM7S")</f>
        <v/>
      </c>
      <c r="K295" s="45">
        <f>IFERROR(__xludf.DUMMYFUNCTION("""COMPUTED_VALUE"""),"LW1FM7S-033454")</f>
        <v/>
      </c>
      <c r="L295" s="45">
        <f>IFERROR(__xludf.DUMMYFUNCTION("""COMPUTED_VALUE"""),4)</f>
        <v/>
      </c>
      <c r="M295" s="45">
        <f>IFERROR(__xludf.DUMMYFUNCTION("""COMPUTED_VALUE"""),161)</f>
        <v/>
      </c>
      <c r="N295" s="45">
        <f>IFERROR(__xludf.DUMMYFUNCTION("""COMPUTED_VALUE"""),17.168)</f>
        <v/>
      </c>
      <c r="O295" s="45">
        <f>IFERROR(__xludf.DUMMYFUNCTION("""COMPUTED_VALUE"""),0.176)</f>
        <v/>
      </c>
      <c r="P295" s="45">
        <f>IFERROR(__xludf.DUMMYFUNCTION("""COMPUTED_VALUE"""),"Colombo, LK")</f>
        <v/>
      </c>
      <c r="Q295" s="45">
        <f>IFERROR(__xludf.DUMMYFUNCTION("""COMPUTED_VALUE"""),"New York, NY, US")</f>
        <v/>
      </c>
      <c r="R295" s="44">
        <f>IFERROR(__xludf.DUMMYFUNCTION("""COMPUTED_VALUE"""),45824)</f>
        <v/>
      </c>
      <c r="S295" s="44">
        <f>IFERROR(__xludf.DUMMYFUNCTION("""COMPUTED_VALUE"""),45883)</f>
        <v/>
      </c>
      <c r="T295" s="45">
        <f>IFERROR(__xludf.DUMMYFUNCTION("""COMPUTED_VALUE"""),"Mississauga, ON, CA")</f>
        <v/>
      </c>
      <c r="U295" s="45" t="n"/>
      <c r="V295" s="45" t="n"/>
      <c r="W295" s="45" t="n"/>
      <c r="X295" s="45" t="n"/>
      <c r="Y295" s="46">
        <f>IFERROR(__xludf.DUMMYFUNCTION("""COMPUTED_VALUE"""),45832)</f>
        <v/>
      </c>
      <c r="Z295" s="46">
        <f>IFERROR(__xludf.DUMMYFUNCTION("""COMPUTED_VALUE"""),45861)</f>
        <v/>
      </c>
      <c r="AA295" s="46">
        <f>IFERROR(__xludf.DUMMYFUNCTION("""COMPUTED_VALUE"""),45874)</f>
        <v/>
      </c>
      <c r="AB295" s="45">
        <f>IFERROR(__xludf.DUMMYFUNCTION("""COMPUTED_VALUE"""),"3500 Argentia Road")</f>
        <v/>
      </c>
      <c r="AC295" s="45" t="n"/>
      <c r="AD295" s="45">
        <f>IFERROR(__xludf.DUMMYFUNCTION("""COMPUTED_VALUE"""),"OCEAN")</f>
        <v/>
      </c>
      <c r="AE295" s="45">
        <f>IFERROR(__xludf.DUMMYFUNCTION("""COMPUTED_VALUE"""),"N")</f>
        <v/>
      </c>
      <c r="AF295" s="45" t="n"/>
      <c r="AG295" s="49">
        <f>IFERROR(__xludf.DUMMYFUNCTION("IFNA(vlookup(H295,IMPORTRANGE(""1vUGwO1n0QQGx9kKbO0_M5gmuhXZ6-LaxQxgrmJnzgP0"",""'TP# look up'!A:C""),3,0),"""")"),"")</f>
        <v/>
      </c>
      <c r="AH295" s="49">
        <f>LEFT(J295,2)</f>
        <v/>
      </c>
    </row>
    <row r="296" hidden="1" ht="12.75" customHeight="1">
      <c r="A296" s="45">
        <f>IFERROR(__xludf.DUMMYFUNCTION("""COMPUTED_VALUE"""),"Colombo")</f>
        <v/>
      </c>
      <c r="B296" s="45" t="n"/>
      <c r="C296" s="45">
        <f>IFERROR(__xludf.DUMMYFUNCTION("""COMPUTED_VALUE"""),3254506)</f>
        <v/>
      </c>
      <c r="D296" s="45" t="n"/>
      <c r="E296" s="45">
        <f>IFERROR(__xludf.DUMMYFUNCTION("""COMPUTED_VALUE"""),"CFS")</f>
        <v/>
      </c>
      <c r="F296" s="45">
        <f>IFERROR(__xludf.DUMMYFUNCTION("""COMPUTED_VALUE"""),"Bodyline Trading (Private) Limited")</f>
        <v/>
      </c>
      <c r="G296" s="45">
        <f>IFERROR(__xludf.DUMMYFUNCTION("""COMPUTED_VALUE"""),"Bodyline (Private) Limited")</f>
        <v/>
      </c>
      <c r="H296" s="43">
        <f>IFERROR(__xludf.DUMMYFUNCTION("""COMPUTED_VALUE"""),452717677611)</f>
        <v/>
      </c>
      <c r="I296" s="45">
        <f>IFERROR(__xludf.DUMMYFUNCTION("""COMPUTED_VALUE"""),19843863)</f>
        <v/>
      </c>
      <c r="J296" s="45">
        <f>IFERROR(__xludf.DUMMYFUNCTION("""COMPUTED_VALUE"""),"LW1FM7S")</f>
        <v/>
      </c>
      <c r="K296" s="45">
        <f>IFERROR(__xludf.DUMMYFUNCTION("""COMPUTED_VALUE"""),"LW1FM7S-033454")</f>
        <v/>
      </c>
      <c r="L296" s="45">
        <f>IFERROR(__xludf.DUMMYFUNCTION("""COMPUTED_VALUE"""),13)</f>
        <v/>
      </c>
      <c r="M296" s="45">
        <f>IFERROR(__xludf.DUMMYFUNCTION("""COMPUTED_VALUE"""),734)</f>
        <v/>
      </c>
      <c r="N296" s="45">
        <f>IFERROR(__xludf.DUMMYFUNCTION("""COMPUTED_VALUE"""),73.587)</f>
        <v/>
      </c>
      <c r="O296" s="45">
        <f>IFERROR(__xludf.DUMMYFUNCTION("""COMPUTED_VALUE"""),0.571)</f>
        <v/>
      </c>
      <c r="P296" s="45">
        <f>IFERROR(__xludf.DUMMYFUNCTION("""COMPUTED_VALUE"""),"Colombo, LK")</f>
        <v/>
      </c>
      <c r="Q296" s="45">
        <f>IFERROR(__xludf.DUMMYFUNCTION("""COMPUTED_VALUE"""),"New York, NY, US")</f>
        <v/>
      </c>
      <c r="R296" s="44">
        <f>IFERROR(__xludf.DUMMYFUNCTION("""COMPUTED_VALUE"""),45824)</f>
        <v/>
      </c>
      <c r="S296" s="44">
        <f>IFERROR(__xludf.DUMMYFUNCTION("""COMPUTED_VALUE"""),45883)</f>
        <v/>
      </c>
      <c r="T296" s="45">
        <f>IFERROR(__xludf.DUMMYFUNCTION("""COMPUTED_VALUE"""),"Mississauga, ON, CA")</f>
        <v/>
      </c>
      <c r="U296" s="45" t="n"/>
      <c r="V296" s="45" t="n"/>
      <c r="W296" s="45" t="n"/>
      <c r="X296" s="45" t="n"/>
      <c r="Y296" s="46">
        <f>IFERROR(__xludf.DUMMYFUNCTION("""COMPUTED_VALUE"""),45832)</f>
        <v/>
      </c>
      <c r="Z296" s="46">
        <f>IFERROR(__xludf.DUMMYFUNCTION("""COMPUTED_VALUE"""),45861)</f>
        <v/>
      </c>
      <c r="AA296" s="46">
        <f>IFERROR(__xludf.DUMMYFUNCTION("""COMPUTED_VALUE"""),45874)</f>
        <v/>
      </c>
      <c r="AB296" s="45">
        <f>IFERROR(__xludf.DUMMYFUNCTION("""COMPUTED_VALUE"""),"3500 Argentia Road")</f>
        <v/>
      </c>
      <c r="AC296" s="45" t="n"/>
      <c r="AD296" s="45">
        <f>IFERROR(__xludf.DUMMYFUNCTION("""COMPUTED_VALUE"""),"OCEAN")</f>
        <v/>
      </c>
      <c r="AE296" s="45">
        <f>IFERROR(__xludf.DUMMYFUNCTION("""COMPUTED_VALUE"""),"N")</f>
        <v/>
      </c>
      <c r="AF296" s="45" t="n"/>
      <c r="AG296" s="49">
        <f>IFERROR(__xludf.DUMMYFUNCTION("IFNA(vlookup(H296,IMPORTRANGE(""1vUGwO1n0QQGx9kKbO0_M5gmuhXZ6-LaxQxgrmJnzgP0"",""'TP# look up'!A:C""),3,0),"""")"),"")</f>
        <v/>
      </c>
      <c r="AH296" s="49">
        <f>LEFT(J296,2)</f>
        <v/>
      </c>
    </row>
    <row r="297" hidden="1" ht="12.75" customHeight="1">
      <c r="A297" s="45">
        <f>IFERROR(__xludf.DUMMYFUNCTION("""COMPUTED_VALUE"""),"Colombo")</f>
        <v/>
      </c>
      <c r="B297" s="45" t="n"/>
      <c r="C297" s="45">
        <f>IFERROR(__xludf.DUMMYFUNCTION("""COMPUTED_VALUE"""),3254506)</f>
        <v/>
      </c>
      <c r="D297" s="45" t="n"/>
      <c r="E297" s="45">
        <f>IFERROR(__xludf.DUMMYFUNCTION("""COMPUTED_VALUE"""),"CFS")</f>
        <v/>
      </c>
      <c r="F297" s="45">
        <f>IFERROR(__xludf.DUMMYFUNCTION("""COMPUTED_VALUE"""),"Bodyline Trading (Private) Limited")</f>
        <v/>
      </c>
      <c r="G297" s="45">
        <f>IFERROR(__xludf.DUMMYFUNCTION("""COMPUTED_VALUE"""),"Bodyline (Private) Limited")</f>
        <v/>
      </c>
      <c r="H297" s="43">
        <f>IFERROR(__xludf.DUMMYFUNCTION("""COMPUTED_VALUE"""),452718209567)</f>
        <v/>
      </c>
      <c r="I297" s="45">
        <f>IFERROR(__xludf.DUMMYFUNCTION("""COMPUTED_VALUE"""),19843867)</f>
        <v/>
      </c>
      <c r="J297" s="45">
        <f>IFERROR(__xludf.DUMMYFUNCTION("""COMPUTED_VALUE"""),"LW1FM7S")</f>
        <v/>
      </c>
      <c r="K297" s="45">
        <f>IFERROR(__xludf.DUMMYFUNCTION("""COMPUTED_VALUE"""),"LW1FM7S-033454")</f>
        <v/>
      </c>
      <c r="L297" s="45">
        <f>IFERROR(__xludf.DUMMYFUNCTION("""COMPUTED_VALUE"""),12)</f>
        <v/>
      </c>
      <c r="M297" s="45">
        <f>IFERROR(__xludf.DUMMYFUNCTION("""COMPUTED_VALUE"""),706)</f>
        <v/>
      </c>
      <c r="N297" s="45">
        <f>IFERROR(__xludf.DUMMYFUNCTION("""COMPUTED_VALUE"""),70.328)</f>
        <v/>
      </c>
      <c r="O297" s="45">
        <f>IFERROR(__xludf.DUMMYFUNCTION("""COMPUTED_VALUE"""),0.527)</f>
        <v/>
      </c>
      <c r="P297" s="45">
        <f>IFERROR(__xludf.DUMMYFUNCTION("""COMPUTED_VALUE"""),"Colombo, LK")</f>
        <v/>
      </c>
      <c r="Q297" s="45">
        <f>IFERROR(__xludf.DUMMYFUNCTION("""COMPUTED_VALUE"""),"New York, NY, US")</f>
        <v/>
      </c>
      <c r="R297" s="44">
        <f>IFERROR(__xludf.DUMMYFUNCTION("""COMPUTED_VALUE"""),45824)</f>
        <v/>
      </c>
      <c r="S297" s="44">
        <f>IFERROR(__xludf.DUMMYFUNCTION("""COMPUTED_VALUE"""),45883)</f>
        <v/>
      </c>
      <c r="T297" s="45">
        <f>IFERROR(__xludf.DUMMYFUNCTION("""COMPUTED_VALUE"""),"Mississauga, ON, CA")</f>
        <v/>
      </c>
      <c r="U297" s="45" t="n"/>
      <c r="V297" s="45" t="n"/>
      <c r="W297" s="45" t="n"/>
      <c r="X297" s="45" t="n"/>
      <c r="Y297" s="46">
        <f>IFERROR(__xludf.DUMMYFUNCTION("""COMPUTED_VALUE"""),45832)</f>
        <v/>
      </c>
      <c r="Z297" s="46">
        <f>IFERROR(__xludf.DUMMYFUNCTION("""COMPUTED_VALUE"""),45861)</f>
        <v/>
      </c>
      <c r="AA297" s="46">
        <f>IFERROR(__xludf.DUMMYFUNCTION("""COMPUTED_VALUE"""),45874)</f>
        <v/>
      </c>
      <c r="AB297" s="45">
        <f>IFERROR(__xludf.DUMMYFUNCTION("""COMPUTED_VALUE"""),"3500 Argentia Road")</f>
        <v/>
      </c>
      <c r="AC297" s="45" t="n"/>
      <c r="AD297" s="45">
        <f>IFERROR(__xludf.DUMMYFUNCTION("""COMPUTED_VALUE"""),"OCEAN")</f>
        <v/>
      </c>
      <c r="AE297" s="45">
        <f>IFERROR(__xludf.DUMMYFUNCTION("""COMPUTED_VALUE"""),"N")</f>
        <v/>
      </c>
      <c r="AF297" s="45" t="n"/>
      <c r="AG297" s="49">
        <f>IFERROR(__xludf.DUMMYFUNCTION("IFNA(vlookup(H297,IMPORTRANGE(""1vUGwO1n0QQGx9kKbO0_M5gmuhXZ6-LaxQxgrmJnzgP0"",""'TP# look up'!A:C""),3,0),"""")"),"")</f>
        <v/>
      </c>
      <c r="AH297" s="49">
        <f>LEFT(J297,2)</f>
        <v/>
      </c>
    </row>
    <row r="298" hidden="1" ht="12.75" customHeight="1">
      <c r="A298" s="45">
        <f>IFERROR(__xludf.DUMMYFUNCTION("""COMPUTED_VALUE"""),"Colombo")</f>
        <v/>
      </c>
      <c r="B298" s="45" t="n"/>
      <c r="C298" s="45">
        <f>IFERROR(__xludf.DUMMYFUNCTION("""COMPUTED_VALUE"""),3254506)</f>
        <v/>
      </c>
      <c r="D298" s="45" t="n"/>
      <c r="E298" s="45">
        <f>IFERROR(__xludf.DUMMYFUNCTION("""COMPUTED_VALUE"""),"CFS")</f>
        <v/>
      </c>
      <c r="F298" s="45">
        <f>IFERROR(__xludf.DUMMYFUNCTION("""COMPUTED_VALUE"""),"Bodyline Trading (Private) Limited")</f>
        <v/>
      </c>
      <c r="G298" s="45">
        <f>IFERROR(__xludf.DUMMYFUNCTION("""COMPUTED_VALUE"""),"Bodyline (Private) Limited")</f>
        <v/>
      </c>
      <c r="H298" s="43">
        <f>IFERROR(__xludf.DUMMYFUNCTION("""COMPUTED_VALUE"""),452719229489)</f>
        <v/>
      </c>
      <c r="I298" s="45">
        <f>IFERROR(__xludf.DUMMYFUNCTION("""COMPUTED_VALUE"""),19878633)</f>
        <v/>
      </c>
      <c r="J298" s="45">
        <f>IFERROR(__xludf.DUMMYFUNCTION("""COMPUTED_VALUE"""),"LW2CRHS")</f>
        <v/>
      </c>
      <c r="K298" s="45">
        <f>IFERROR(__xludf.DUMMYFUNCTION("""COMPUTED_VALUE"""),"LW2CRHS-068585")</f>
        <v/>
      </c>
      <c r="L298" s="45">
        <f>IFERROR(__xludf.DUMMYFUNCTION("""COMPUTED_VALUE"""),12)</f>
        <v/>
      </c>
      <c r="M298" s="45">
        <f>IFERROR(__xludf.DUMMYFUNCTION("""COMPUTED_VALUE"""),679)</f>
        <v/>
      </c>
      <c r="N298" s="45">
        <f>IFERROR(__xludf.DUMMYFUNCTION("""COMPUTED_VALUE"""),80.736)</f>
        <v/>
      </c>
      <c r="O298" s="45">
        <f>IFERROR(__xludf.DUMMYFUNCTION("""COMPUTED_VALUE"""),0.93)</f>
        <v/>
      </c>
      <c r="P298" s="45">
        <f>IFERROR(__xludf.DUMMYFUNCTION("""COMPUTED_VALUE"""),"Colombo, LK")</f>
        <v/>
      </c>
      <c r="Q298" s="45">
        <f>IFERROR(__xludf.DUMMYFUNCTION("""COMPUTED_VALUE"""),"New York, NY, US")</f>
        <v/>
      </c>
      <c r="R298" s="44">
        <f>IFERROR(__xludf.DUMMYFUNCTION("""COMPUTED_VALUE"""),45824)</f>
        <v/>
      </c>
      <c r="S298" s="44">
        <f>IFERROR(__xludf.DUMMYFUNCTION("""COMPUTED_VALUE"""),45883)</f>
        <v/>
      </c>
      <c r="T298" s="45">
        <f>IFERROR(__xludf.DUMMYFUNCTION("""COMPUTED_VALUE"""),"Mississauga, ON, CA")</f>
        <v/>
      </c>
      <c r="U298" s="45" t="n"/>
      <c r="V298" s="45" t="n"/>
      <c r="W298" s="45" t="n"/>
      <c r="X298" s="45" t="n"/>
      <c r="Y298" s="46">
        <f>IFERROR(__xludf.DUMMYFUNCTION("""COMPUTED_VALUE"""),45832)</f>
        <v/>
      </c>
      <c r="Z298" s="46">
        <f>IFERROR(__xludf.DUMMYFUNCTION("""COMPUTED_VALUE"""),45861)</f>
        <v/>
      </c>
      <c r="AA298" s="46">
        <f>IFERROR(__xludf.DUMMYFUNCTION("""COMPUTED_VALUE"""),45874)</f>
        <v/>
      </c>
      <c r="AB298" s="45">
        <f>IFERROR(__xludf.DUMMYFUNCTION("""COMPUTED_VALUE"""),"3500 Argentia Road")</f>
        <v/>
      </c>
      <c r="AC298" s="45" t="n"/>
      <c r="AD298" s="45">
        <f>IFERROR(__xludf.DUMMYFUNCTION("""COMPUTED_VALUE"""),"OCEAN")</f>
        <v/>
      </c>
      <c r="AE298" s="45">
        <f>IFERROR(__xludf.DUMMYFUNCTION("""COMPUTED_VALUE"""),"N")</f>
        <v/>
      </c>
      <c r="AF298" s="45" t="n"/>
      <c r="AG298" s="49">
        <f>IFERROR(__xludf.DUMMYFUNCTION("IFNA(vlookup(H298,IMPORTRANGE(""1vUGwO1n0QQGx9kKbO0_M5gmuhXZ6-LaxQxgrmJnzgP0"",""'TP# look up'!A:C""),3,0),"""")"),"")</f>
        <v/>
      </c>
      <c r="AH298" s="49">
        <f>LEFT(J298,2)</f>
        <v/>
      </c>
    </row>
    <row r="299" hidden="1" ht="12.75" customHeight="1">
      <c r="A299" s="45">
        <f>IFERROR(__xludf.DUMMYFUNCTION("""COMPUTED_VALUE"""),"Colombo")</f>
        <v/>
      </c>
      <c r="B299" s="45" t="n"/>
      <c r="C299" s="45">
        <f>IFERROR(__xludf.DUMMYFUNCTION("""COMPUTED_VALUE"""),3254506)</f>
        <v/>
      </c>
      <c r="D299" s="45" t="n"/>
      <c r="E299" s="45">
        <f>IFERROR(__xludf.DUMMYFUNCTION("""COMPUTED_VALUE"""),"CFS")</f>
        <v/>
      </c>
      <c r="F299" s="45">
        <f>IFERROR(__xludf.DUMMYFUNCTION("""COMPUTED_VALUE"""),"Bodyline Trading (Private) Limited")</f>
        <v/>
      </c>
      <c r="G299" s="45">
        <f>IFERROR(__xludf.DUMMYFUNCTION("""COMPUTED_VALUE"""),"Bodyline (Private) Limited")</f>
        <v/>
      </c>
      <c r="H299" s="43">
        <f>IFERROR(__xludf.DUMMYFUNCTION("""COMPUTED_VALUE"""),452720877605)</f>
        <v/>
      </c>
      <c r="I299" s="45">
        <f>IFERROR(__xludf.DUMMYFUNCTION("""COMPUTED_VALUE"""),19878628)</f>
        <v/>
      </c>
      <c r="J299" s="45">
        <f>IFERROR(__xludf.DUMMYFUNCTION("""COMPUTED_VALUE"""),"LW2DW4S")</f>
        <v/>
      </c>
      <c r="K299" s="45">
        <f>IFERROR(__xludf.DUMMYFUNCTION("""COMPUTED_VALUE"""),"LW2DW4S-071189")</f>
        <v/>
      </c>
      <c r="L299" s="45">
        <f>IFERROR(__xludf.DUMMYFUNCTION("""COMPUTED_VALUE"""),1)</f>
        <v/>
      </c>
      <c r="M299" s="45">
        <f>IFERROR(__xludf.DUMMYFUNCTION("""COMPUTED_VALUE"""),27)</f>
        <v/>
      </c>
      <c r="N299" s="45">
        <f>IFERROR(__xludf.DUMMYFUNCTION("""COMPUTED_VALUE"""),3.757)</f>
        <v/>
      </c>
      <c r="O299" s="45">
        <f>IFERROR(__xludf.DUMMYFUNCTION("""COMPUTED_VALUE"""),0.044)</f>
        <v/>
      </c>
      <c r="P299" s="45">
        <f>IFERROR(__xludf.DUMMYFUNCTION("""COMPUTED_VALUE"""),"Colombo, LK")</f>
        <v/>
      </c>
      <c r="Q299" s="45">
        <f>IFERROR(__xludf.DUMMYFUNCTION("""COMPUTED_VALUE"""),"New York, NY, US")</f>
        <v/>
      </c>
      <c r="R299" s="44">
        <f>IFERROR(__xludf.DUMMYFUNCTION("""COMPUTED_VALUE"""),45824)</f>
        <v/>
      </c>
      <c r="S299" s="44">
        <f>IFERROR(__xludf.DUMMYFUNCTION("""COMPUTED_VALUE"""),45883)</f>
        <v/>
      </c>
      <c r="T299" s="45">
        <f>IFERROR(__xludf.DUMMYFUNCTION("""COMPUTED_VALUE"""),"Mississauga, ON, CA")</f>
        <v/>
      </c>
      <c r="U299" s="45" t="n"/>
      <c r="V299" s="45" t="n"/>
      <c r="W299" s="45" t="n"/>
      <c r="X299" s="45" t="n"/>
      <c r="Y299" s="46">
        <f>IFERROR(__xludf.DUMMYFUNCTION("""COMPUTED_VALUE"""),45825)</f>
        <v/>
      </c>
      <c r="Z299" s="46">
        <f>IFERROR(__xludf.DUMMYFUNCTION("""COMPUTED_VALUE"""),45861)</f>
        <v/>
      </c>
      <c r="AA299" s="46">
        <f>IFERROR(__xludf.DUMMYFUNCTION("""COMPUTED_VALUE"""),45874)</f>
        <v/>
      </c>
      <c r="AB299" s="45">
        <f>IFERROR(__xludf.DUMMYFUNCTION("""COMPUTED_VALUE"""),"3500 Argentia Road")</f>
        <v/>
      </c>
      <c r="AC299" s="45" t="n"/>
      <c r="AD299" s="45">
        <f>IFERROR(__xludf.DUMMYFUNCTION("""COMPUTED_VALUE"""),"OCEAN")</f>
        <v/>
      </c>
      <c r="AE299" s="45">
        <f>IFERROR(__xludf.DUMMYFUNCTION("""COMPUTED_VALUE"""),"N")</f>
        <v/>
      </c>
      <c r="AF299" s="45" t="n"/>
      <c r="AG299" s="49">
        <f>IFERROR(__xludf.DUMMYFUNCTION("IFNA(vlookup(H299,IMPORTRANGE(""1vUGwO1n0QQGx9kKbO0_M5gmuhXZ6-LaxQxgrmJnzgP0"",""'TP# look up'!A:C""),3,0),"""")"),"")</f>
        <v/>
      </c>
      <c r="AH299" s="49">
        <f>LEFT(J299,2)</f>
        <v/>
      </c>
    </row>
    <row r="300" hidden="1" ht="12.75" customHeight="1">
      <c r="A300" s="45">
        <f>IFERROR(__xludf.DUMMYFUNCTION("""COMPUTED_VALUE"""),"Colombo")</f>
        <v/>
      </c>
      <c r="B300" s="45" t="n"/>
      <c r="C300" s="45">
        <f>IFERROR(__xludf.DUMMYFUNCTION("""COMPUTED_VALUE"""),3254506)</f>
        <v/>
      </c>
      <c r="D300" s="45" t="n"/>
      <c r="E300" s="45">
        <f>IFERROR(__xludf.DUMMYFUNCTION("""COMPUTED_VALUE"""),"CFS")</f>
        <v/>
      </c>
      <c r="F300" s="45">
        <f>IFERROR(__xludf.DUMMYFUNCTION("""COMPUTED_VALUE"""),"Bodyline Trading (Private) Limited")</f>
        <v/>
      </c>
      <c r="G300" s="45">
        <f>IFERROR(__xludf.DUMMYFUNCTION("""COMPUTED_VALUE"""),"Bodyline (Private) Limited")</f>
        <v/>
      </c>
      <c r="H300" s="43">
        <f>IFERROR(__xludf.DUMMYFUNCTION("""COMPUTED_VALUE"""),452721772655)</f>
        <v/>
      </c>
      <c r="I300" s="45">
        <f>IFERROR(__xludf.DUMMYFUNCTION("""COMPUTED_VALUE"""),19911482)</f>
        <v/>
      </c>
      <c r="J300" s="45">
        <f>IFERROR(__xludf.DUMMYFUNCTION("""COMPUTED_VALUE"""),"LW2ELMS")</f>
        <v/>
      </c>
      <c r="K300" s="45">
        <f>IFERROR(__xludf.DUMMYFUNCTION("""COMPUTED_VALUE"""),"LW2ELMS-0001")</f>
        <v/>
      </c>
      <c r="L300" s="45">
        <f>IFERROR(__xludf.DUMMYFUNCTION("""COMPUTED_VALUE"""),3)</f>
        <v/>
      </c>
      <c r="M300" s="45">
        <f>IFERROR(__xludf.DUMMYFUNCTION("""COMPUTED_VALUE"""),118)</f>
        <v/>
      </c>
      <c r="N300" s="45">
        <f>IFERROR(__xludf.DUMMYFUNCTION("""COMPUTED_VALUE"""),21.852)</f>
        <v/>
      </c>
      <c r="O300" s="45">
        <f>IFERROR(__xludf.DUMMYFUNCTION("""COMPUTED_VALUE"""),0.242)</f>
        <v/>
      </c>
      <c r="P300" s="45">
        <f>IFERROR(__xludf.DUMMYFUNCTION("""COMPUTED_VALUE"""),"Colombo, LK")</f>
        <v/>
      </c>
      <c r="Q300" s="45">
        <f>IFERROR(__xludf.DUMMYFUNCTION("""COMPUTED_VALUE"""),"New York, NY, US")</f>
        <v/>
      </c>
      <c r="R300" s="44">
        <f>IFERROR(__xludf.DUMMYFUNCTION("""COMPUTED_VALUE"""),45824)</f>
        <v/>
      </c>
      <c r="S300" s="44">
        <f>IFERROR(__xludf.DUMMYFUNCTION("""COMPUTED_VALUE"""),45883)</f>
        <v/>
      </c>
      <c r="T300" s="45">
        <f>IFERROR(__xludf.DUMMYFUNCTION("""COMPUTED_VALUE"""),"Mississauga, ON, CA")</f>
        <v/>
      </c>
      <c r="U300" s="45" t="n"/>
      <c r="V300" s="45" t="n"/>
      <c r="W300" s="45" t="n"/>
      <c r="X300" s="45" t="n"/>
      <c r="Y300" s="46">
        <f>IFERROR(__xludf.DUMMYFUNCTION("""COMPUTED_VALUE"""),45825)</f>
        <v/>
      </c>
      <c r="Z300" s="46">
        <f>IFERROR(__xludf.DUMMYFUNCTION("""COMPUTED_VALUE"""),45861)</f>
        <v/>
      </c>
      <c r="AA300" s="46">
        <f>IFERROR(__xludf.DUMMYFUNCTION("""COMPUTED_VALUE"""),45874)</f>
        <v/>
      </c>
      <c r="AB300" s="45">
        <f>IFERROR(__xludf.DUMMYFUNCTION("""COMPUTED_VALUE"""),"3500 Argentia Road")</f>
        <v/>
      </c>
      <c r="AC300" s="45" t="n"/>
      <c r="AD300" s="45">
        <f>IFERROR(__xludf.DUMMYFUNCTION("""COMPUTED_VALUE"""),"OCEAN")</f>
        <v/>
      </c>
      <c r="AE300" s="45">
        <f>IFERROR(__xludf.DUMMYFUNCTION("""COMPUTED_VALUE"""),"N")</f>
        <v/>
      </c>
      <c r="AF300" s="45" t="n"/>
      <c r="AG300" s="49">
        <f>IFERROR(__xludf.DUMMYFUNCTION("IFNA(vlookup(H300,IMPORTRANGE(""1vUGwO1n0QQGx9kKbO0_M5gmuhXZ6-LaxQxgrmJnzgP0"",""'TP# look up'!A:C""),3,0),"""")"),"")</f>
        <v/>
      </c>
      <c r="AH300" s="49">
        <f>LEFT(J300,2)</f>
        <v/>
      </c>
    </row>
    <row r="301" hidden="1" ht="12.75" customHeight="1">
      <c r="A301" s="45">
        <f>IFERROR(__xludf.DUMMYFUNCTION("""COMPUTED_VALUE"""),"Colombo")</f>
        <v/>
      </c>
      <c r="B301" s="45" t="n"/>
      <c r="C301" s="45">
        <f>IFERROR(__xludf.DUMMYFUNCTION("""COMPUTED_VALUE"""),3254506)</f>
        <v/>
      </c>
      <c r="D301" s="45" t="n"/>
      <c r="E301" s="45">
        <f>IFERROR(__xludf.DUMMYFUNCTION("""COMPUTED_VALUE"""),"CFS")</f>
        <v/>
      </c>
      <c r="F301" s="45">
        <f>IFERROR(__xludf.DUMMYFUNCTION("""COMPUTED_VALUE"""),"Bodyline Trading (Private) Limited")</f>
        <v/>
      </c>
      <c r="G301" s="45">
        <f>IFERROR(__xludf.DUMMYFUNCTION("""COMPUTED_VALUE"""),"Bodyline (Private) Limited")</f>
        <v/>
      </c>
      <c r="H301" s="43">
        <f>IFERROR(__xludf.DUMMYFUNCTION("""COMPUTED_VALUE"""),452721779178)</f>
        <v/>
      </c>
      <c r="I301" s="45">
        <f>IFERROR(__xludf.DUMMYFUNCTION("""COMPUTED_VALUE"""),19931837)</f>
        <v/>
      </c>
      <c r="J301" s="45">
        <f>IFERROR(__xludf.DUMMYFUNCTION("""COMPUTED_VALUE"""),"LW2ELMS")</f>
        <v/>
      </c>
      <c r="K301" s="45">
        <f>IFERROR(__xludf.DUMMYFUNCTION("""COMPUTED_VALUE"""),"LW2ELMS-0001")</f>
        <v/>
      </c>
      <c r="L301" s="45">
        <f>IFERROR(__xludf.DUMMYFUNCTION("""COMPUTED_VALUE"""),6)</f>
        <v/>
      </c>
      <c r="M301" s="45">
        <f>IFERROR(__xludf.DUMMYFUNCTION("""COMPUTED_VALUE"""),294)</f>
        <v/>
      </c>
      <c r="N301" s="45">
        <f>IFERROR(__xludf.DUMMYFUNCTION("""COMPUTED_VALUE"""),52.708)</f>
        <v/>
      </c>
      <c r="O301" s="45">
        <f>IFERROR(__xludf.DUMMYFUNCTION("""COMPUTED_VALUE"""),0.447)</f>
        <v/>
      </c>
      <c r="P301" s="45">
        <f>IFERROR(__xludf.DUMMYFUNCTION("""COMPUTED_VALUE"""),"Colombo, LK")</f>
        <v/>
      </c>
      <c r="Q301" s="45">
        <f>IFERROR(__xludf.DUMMYFUNCTION("""COMPUTED_VALUE"""),"New York, NY, US")</f>
        <v/>
      </c>
      <c r="R301" s="44">
        <f>IFERROR(__xludf.DUMMYFUNCTION("""COMPUTED_VALUE"""),45824)</f>
        <v/>
      </c>
      <c r="S301" s="44">
        <f>IFERROR(__xludf.DUMMYFUNCTION("""COMPUTED_VALUE"""),45883)</f>
        <v/>
      </c>
      <c r="T301" s="45">
        <f>IFERROR(__xludf.DUMMYFUNCTION("""COMPUTED_VALUE"""),"Mississauga, ON, CA")</f>
        <v/>
      </c>
      <c r="U301" s="45" t="n"/>
      <c r="V301" s="45" t="n"/>
      <c r="W301" s="45" t="n"/>
      <c r="X301" s="45" t="n"/>
      <c r="Y301" s="46">
        <f>IFERROR(__xludf.DUMMYFUNCTION("""COMPUTED_VALUE"""),45825)</f>
        <v/>
      </c>
      <c r="Z301" s="46">
        <f>IFERROR(__xludf.DUMMYFUNCTION("""COMPUTED_VALUE"""),45861)</f>
        <v/>
      </c>
      <c r="AA301" s="46">
        <f>IFERROR(__xludf.DUMMYFUNCTION("""COMPUTED_VALUE"""),45874)</f>
        <v/>
      </c>
      <c r="AB301" s="45">
        <f>IFERROR(__xludf.DUMMYFUNCTION("""COMPUTED_VALUE"""),"3500 Argentia Road")</f>
        <v/>
      </c>
      <c r="AC301" s="45" t="n"/>
      <c r="AD301" s="45">
        <f>IFERROR(__xludf.DUMMYFUNCTION("""COMPUTED_VALUE"""),"OCEAN")</f>
        <v/>
      </c>
      <c r="AE301" s="45">
        <f>IFERROR(__xludf.DUMMYFUNCTION("""COMPUTED_VALUE"""),"N")</f>
        <v/>
      </c>
      <c r="AF301" s="45" t="n"/>
      <c r="AG301" s="49">
        <f>IFERROR(__xludf.DUMMYFUNCTION("IFNA(vlookup(H301,IMPORTRANGE(""1vUGwO1n0QQGx9kKbO0_M5gmuhXZ6-LaxQxgrmJnzgP0"",""'TP# look up'!A:C""),3,0),"""")"),"")</f>
        <v/>
      </c>
      <c r="AH301" s="49">
        <f>LEFT(J301,2)</f>
        <v/>
      </c>
    </row>
    <row r="302" hidden="1" ht="12.75" customHeight="1">
      <c r="A302" s="45">
        <f>IFERROR(__xludf.DUMMYFUNCTION("""COMPUTED_VALUE"""),"Colombo")</f>
        <v/>
      </c>
      <c r="B302" s="45" t="n"/>
      <c r="C302" s="45">
        <f>IFERROR(__xludf.DUMMYFUNCTION("""COMPUTED_VALUE"""),3254506)</f>
        <v/>
      </c>
      <c r="D302" s="45" t="n"/>
      <c r="E302" s="45">
        <f>IFERROR(__xludf.DUMMYFUNCTION("""COMPUTED_VALUE"""),"CFS")</f>
        <v/>
      </c>
      <c r="F302" s="45">
        <f>IFERROR(__xludf.DUMMYFUNCTION("""COMPUTED_VALUE"""),"Bodyline Trading (Private) Limited")</f>
        <v/>
      </c>
      <c r="G302" s="45">
        <f>IFERROR(__xludf.DUMMYFUNCTION("""COMPUTED_VALUE"""),"Bodyline (Private) Limited")</f>
        <v/>
      </c>
      <c r="H302" s="43">
        <f>IFERROR(__xludf.DUMMYFUNCTION("""COMPUTED_VALUE"""),452723321938)</f>
        <v/>
      </c>
      <c r="I302" s="45">
        <f>IFERROR(__xludf.DUMMYFUNCTION("""COMPUTED_VALUE"""),19878927)</f>
        <v/>
      </c>
      <c r="J302" s="45">
        <f>IFERROR(__xludf.DUMMYFUNCTION("""COMPUTED_VALUE"""),"LW2EB8S")</f>
        <v/>
      </c>
      <c r="K302" s="45">
        <f>IFERROR(__xludf.DUMMYFUNCTION("""COMPUTED_VALUE"""),"LW2EB8S-071150")</f>
        <v/>
      </c>
      <c r="L302" s="45">
        <f>IFERROR(__xludf.DUMMYFUNCTION("""COMPUTED_VALUE"""),8)</f>
        <v/>
      </c>
      <c r="M302" s="45">
        <f>IFERROR(__xludf.DUMMYFUNCTION("""COMPUTED_VALUE"""),433)</f>
        <v/>
      </c>
      <c r="N302" s="45">
        <f>IFERROR(__xludf.DUMMYFUNCTION("""COMPUTED_VALUE"""),65.287)</f>
        <v/>
      </c>
      <c r="O302" s="45">
        <f>IFERROR(__xludf.DUMMYFUNCTION("""COMPUTED_VALUE"""),0.644)</f>
        <v/>
      </c>
      <c r="P302" s="45">
        <f>IFERROR(__xludf.DUMMYFUNCTION("""COMPUTED_VALUE"""),"Colombo, LK")</f>
        <v/>
      </c>
      <c r="Q302" s="45">
        <f>IFERROR(__xludf.DUMMYFUNCTION("""COMPUTED_VALUE"""),"New York, NY, US")</f>
        <v/>
      </c>
      <c r="R302" s="44">
        <f>IFERROR(__xludf.DUMMYFUNCTION("""COMPUTED_VALUE"""),45824)</f>
        <v/>
      </c>
      <c r="S302" s="44">
        <f>IFERROR(__xludf.DUMMYFUNCTION("""COMPUTED_VALUE"""),45883)</f>
        <v/>
      </c>
      <c r="T302" s="45">
        <f>IFERROR(__xludf.DUMMYFUNCTION("""COMPUTED_VALUE"""),"Mississauga, ON, CA")</f>
        <v/>
      </c>
      <c r="U302" s="45" t="n"/>
      <c r="V302" s="45" t="n"/>
      <c r="W302" s="45" t="n"/>
      <c r="X302" s="45" t="n"/>
      <c r="Y302" s="46">
        <f>IFERROR(__xludf.DUMMYFUNCTION("""COMPUTED_VALUE"""),45825)</f>
        <v/>
      </c>
      <c r="Z302" s="46">
        <f>IFERROR(__xludf.DUMMYFUNCTION("""COMPUTED_VALUE"""),45861)</f>
        <v/>
      </c>
      <c r="AA302" s="46">
        <f>IFERROR(__xludf.DUMMYFUNCTION("""COMPUTED_VALUE"""),45874)</f>
        <v/>
      </c>
      <c r="AB302" s="45">
        <f>IFERROR(__xludf.DUMMYFUNCTION("""COMPUTED_VALUE"""),"3500 Argentia Road")</f>
        <v/>
      </c>
      <c r="AC302" s="45" t="n"/>
      <c r="AD302" s="45">
        <f>IFERROR(__xludf.DUMMYFUNCTION("""COMPUTED_VALUE"""),"OCEAN")</f>
        <v/>
      </c>
      <c r="AE302" s="45">
        <f>IFERROR(__xludf.DUMMYFUNCTION("""COMPUTED_VALUE"""),"N")</f>
        <v/>
      </c>
      <c r="AF302" s="45" t="n"/>
      <c r="AG302" s="49">
        <f>IFERROR(__xludf.DUMMYFUNCTION("IFNA(vlookup(H302,IMPORTRANGE(""1vUGwO1n0QQGx9kKbO0_M5gmuhXZ6-LaxQxgrmJnzgP0"",""'TP# look up'!A:C""),3,0),"""")"),"")</f>
        <v/>
      </c>
      <c r="AH302" s="49">
        <f>LEFT(J302,2)</f>
        <v/>
      </c>
    </row>
    <row r="303" hidden="1" ht="12.75" customHeight="1">
      <c r="A303" s="45">
        <f>IFERROR(__xludf.DUMMYFUNCTION("""COMPUTED_VALUE"""),"Colombo")</f>
        <v/>
      </c>
      <c r="B303" s="45" t="n"/>
      <c r="C303" s="45">
        <f>IFERROR(__xludf.DUMMYFUNCTION("""COMPUTED_VALUE"""),3254506)</f>
        <v/>
      </c>
      <c r="D303" s="45" t="n"/>
      <c r="E303" s="45">
        <f>IFERROR(__xludf.DUMMYFUNCTION("""COMPUTED_VALUE"""),"CFS")</f>
        <v/>
      </c>
      <c r="F303" s="45">
        <f>IFERROR(__xludf.DUMMYFUNCTION("""COMPUTED_VALUE"""),"Bodyline Trading (Private) Limited")</f>
        <v/>
      </c>
      <c r="G303" s="45">
        <f>IFERROR(__xludf.DUMMYFUNCTION("""COMPUTED_VALUE"""),"Bodyline (Private) Limited")</f>
        <v/>
      </c>
      <c r="H303" s="43">
        <f>IFERROR(__xludf.DUMMYFUNCTION("""COMPUTED_VALUE"""),452725636619)</f>
        <v/>
      </c>
      <c r="I303" s="45">
        <f>IFERROR(__xludf.DUMMYFUNCTION("""COMPUTED_VALUE"""),19877410)</f>
        <v/>
      </c>
      <c r="J303" s="45">
        <f>IFERROR(__xludf.DUMMYFUNCTION("""COMPUTED_VALUE"""),"LW2ED2S")</f>
        <v/>
      </c>
      <c r="K303" s="45">
        <f>IFERROR(__xludf.DUMMYFUNCTION("""COMPUTED_VALUE"""),"LW2ED2S-0002")</f>
        <v/>
      </c>
      <c r="L303" s="45">
        <f>IFERROR(__xludf.DUMMYFUNCTION("""COMPUTED_VALUE"""),1)</f>
        <v/>
      </c>
      <c r="M303" s="45">
        <f>IFERROR(__xludf.DUMMYFUNCTION("""COMPUTED_VALUE"""),38)</f>
        <v/>
      </c>
      <c r="N303" s="45">
        <f>IFERROR(__xludf.DUMMYFUNCTION("""COMPUTED_VALUE"""),7.174)</f>
        <v/>
      </c>
      <c r="O303" s="45">
        <f>IFERROR(__xludf.DUMMYFUNCTION("""COMPUTED_VALUE"""),0.081)</f>
        <v/>
      </c>
      <c r="P303" s="45">
        <f>IFERROR(__xludf.DUMMYFUNCTION("""COMPUTED_VALUE"""),"Colombo, LK")</f>
        <v/>
      </c>
      <c r="Q303" s="45">
        <f>IFERROR(__xludf.DUMMYFUNCTION("""COMPUTED_VALUE"""),"New York, NY, US")</f>
        <v/>
      </c>
      <c r="R303" s="44">
        <f>IFERROR(__xludf.DUMMYFUNCTION("""COMPUTED_VALUE"""),45824)</f>
        <v/>
      </c>
      <c r="S303" s="44">
        <f>IFERROR(__xludf.DUMMYFUNCTION("""COMPUTED_VALUE"""),45883)</f>
        <v/>
      </c>
      <c r="T303" s="45">
        <f>IFERROR(__xludf.DUMMYFUNCTION("""COMPUTED_VALUE"""),"Mississauga, ON, CA")</f>
        <v/>
      </c>
      <c r="U303" s="45" t="n"/>
      <c r="V303" s="45" t="n"/>
      <c r="W303" s="45" t="n"/>
      <c r="X303" s="45" t="n"/>
      <c r="Y303" s="46">
        <f>IFERROR(__xludf.DUMMYFUNCTION("""COMPUTED_VALUE"""),45825)</f>
        <v/>
      </c>
      <c r="Z303" s="46">
        <f>IFERROR(__xludf.DUMMYFUNCTION("""COMPUTED_VALUE"""),45861)</f>
        <v/>
      </c>
      <c r="AA303" s="46">
        <f>IFERROR(__xludf.DUMMYFUNCTION("""COMPUTED_VALUE"""),45874)</f>
        <v/>
      </c>
      <c r="AB303" s="45">
        <f>IFERROR(__xludf.DUMMYFUNCTION("""COMPUTED_VALUE"""),"3500 Argentia Road")</f>
        <v/>
      </c>
      <c r="AC303" s="45" t="n"/>
      <c r="AD303" s="45">
        <f>IFERROR(__xludf.DUMMYFUNCTION("""COMPUTED_VALUE"""),"OCEAN")</f>
        <v/>
      </c>
      <c r="AE303" s="45">
        <f>IFERROR(__xludf.DUMMYFUNCTION("""COMPUTED_VALUE"""),"N")</f>
        <v/>
      </c>
      <c r="AF303" s="45" t="n"/>
      <c r="AG303" s="49">
        <f>IFERROR(__xludf.DUMMYFUNCTION("IFNA(vlookup(H303,IMPORTRANGE(""1vUGwO1n0QQGx9kKbO0_M5gmuhXZ6-LaxQxgrmJnzgP0"",""'TP# look up'!A:C""),3,0),"""")"),"")</f>
        <v/>
      </c>
      <c r="AH303" s="49">
        <f>LEFT(J303,2)</f>
        <v/>
      </c>
    </row>
    <row r="304" hidden="1" ht="12.75" customHeight="1">
      <c r="A304" s="45">
        <f>IFERROR(__xludf.DUMMYFUNCTION("""COMPUTED_VALUE"""),"Colombo")</f>
        <v/>
      </c>
      <c r="B304" s="45" t="n"/>
      <c r="C304" s="45">
        <f>IFERROR(__xludf.DUMMYFUNCTION("""COMPUTED_VALUE"""),3254506)</f>
        <v/>
      </c>
      <c r="D304" s="45" t="n"/>
      <c r="E304" s="45">
        <f>IFERROR(__xludf.DUMMYFUNCTION("""COMPUTED_VALUE"""),"CFS")</f>
        <v/>
      </c>
      <c r="F304" s="45">
        <f>IFERROR(__xludf.DUMMYFUNCTION("""COMPUTED_VALUE"""),"Bodyline Trading (Private) Limited")</f>
        <v/>
      </c>
      <c r="G304" s="45">
        <f>IFERROR(__xludf.DUMMYFUNCTION("""COMPUTED_VALUE"""),"Bodyline (Private) Limited")</f>
        <v/>
      </c>
      <c r="H304" s="43">
        <f>IFERROR(__xludf.DUMMYFUNCTION("""COMPUTED_VALUE"""),452726113321)</f>
        <v/>
      </c>
      <c r="I304" s="45">
        <f>IFERROR(__xludf.DUMMYFUNCTION("""COMPUTED_VALUE"""),19878967)</f>
        <v/>
      </c>
      <c r="J304" s="45">
        <f>IFERROR(__xludf.DUMMYFUNCTION("""COMPUTED_VALUE"""),"LW2ED2S")</f>
        <v/>
      </c>
      <c r="K304" s="45">
        <f>IFERROR(__xludf.DUMMYFUNCTION("""COMPUTED_VALUE"""),"LW2ED2S-0002")</f>
        <v/>
      </c>
      <c r="L304" s="45">
        <f>IFERROR(__xludf.DUMMYFUNCTION("""COMPUTED_VALUE"""),3)</f>
        <v/>
      </c>
      <c r="M304" s="45">
        <f>IFERROR(__xludf.DUMMYFUNCTION("""COMPUTED_VALUE"""),113)</f>
        <v/>
      </c>
      <c r="N304" s="45">
        <f>IFERROR(__xludf.DUMMYFUNCTION("""COMPUTED_VALUE"""),21.286)</f>
        <v/>
      </c>
      <c r="O304" s="45">
        <f>IFERROR(__xludf.DUMMYFUNCTION("""COMPUTED_VALUE"""),0.242)</f>
        <v/>
      </c>
      <c r="P304" s="45">
        <f>IFERROR(__xludf.DUMMYFUNCTION("""COMPUTED_VALUE"""),"Colombo, LK")</f>
        <v/>
      </c>
      <c r="Q304" s="45">
        <f>IFERROR(__xludf.DUMMYFUNCTION("""COMPUTED_VALUE"""),"New York, NY, US")</f>
        <v/>
      </c>
      <c r="R304" s="44">
        <f>IFERROR(__xludf.DUMMYFUNCTION("""COMPUTED_VALUE"""),45824)</f>
        <v/>
      </c>
      <c r="S304" s="44">
        <f>IFERROR(__xludf.DUMMYFUNCTION("""COMPUTED_VALUE"""),45883)</f>
        <v/>
      </c>
      <c r="T304" s="45">
        <f>IFERROR(__xludf.DUMMYFUNCTION("""COMPUTED_VALUE"""),"Mississauga, ON, CA")</f>
        <v/>
      </c>
      <c r="U304" s="45" t="n"/>
      <c r="V304" s="45" t="n"/>
      <c r="W304" s="45" t="n"/>
      <c r="X304" s="45" t="n"/>
      <c r="Y304" s="46">
        <f>IFERROR(__xludf.DUMMYFUNCTION("""COMPUTED_VALUE"""),45825)</f>
        <v/>
      </c>
      <c r="Z304" s="46">
        <f>IFERROR(__xludf.DUMMYFUNCTION("""COMPUTED_VALUE"""),45861)</f>
        <v/>
      </c>
      <c r="AA304" s="46">
        <f>IFERROR(__xludf.DUMMYFUNCTION("""COMPUTED_VALUE"""),45874)</f>
        <v/>
      </c>
      <c r="AB304" s="45">
        <f>IFERROR(__xludf.DUMMYFUNCTION("""COMPUTED_VALUE"""),"3500 Argentia Road")</f>
        <v/>
      </c>
      <c r="AC304" s="45" t="n"/>
      <c r="AD304" s="45">
        <f>IFERROR(__xludf.DUMMYFUNCTION("""COMPUTED_VALUE"""),"OCEAN")</f>
        <v/>
      </c>
      <c r="AE304" s="45">
        <f>IFERROR(__xludf.DUMMYFUNCTION("""COMPUTED_VALUE"""),"N")</f>
        <v/>
      </c>
      <c r="AF304" s="45" t="n"/>
      <c r="AG304" s="49">
        <f>IFERROR(__xludf.DUMMYFUNCTION("IFNA(vlookup(H304,IMPORTRANGE(""1vUGwO1n0QQGx9kKbO0_M5gmuhXZ6-LaxQxgrmJnzgP0"",""'TP# look up'!A:C""),3,0),"""")"),"")</f>
        <v/>
      </c>
      <c r="AH304" s="49">
        <f>LEFT(J304,2)</f>
        <v/>
      </c>
    </row>
    <row r="305" hidden="1" ht="12.75" customHeight="1">
      <c r="A305" s="45">
        <f>IFERROR(__xludf.DUMMYFUNCTION("""COMPUTED_VALUE"""),"Colombo")</f>
        <v/>
      </c>
      <c r="B305" s="45" t="n"/>
      <c r="C305" s="45">
        <f>IFERROR(__xludf.DUMMYFUNCTION("""COMPUTED_VALUE"""),3254506)</f>
        <v/>
      </c>
      <c r="D305" s="45" t="n"/>
      <c r="E305" s="45">
        <f>IFERROR(__xludf.DUMMYFUNCTION("""COMPUTED_VALUE"""),"CFS")</f>
        <v/>
      </c>
      <c r="F305" s="45">
        <f>IFERROR(__xludf.DUMMYFUNCTION("""COMPUTED_VALUE"""),"Bodyline Trading (Private) Limited")</f>
        <v/>
      </c>
      <c r="G305" s="45">
        <f>IFERROR(__xludf.DUMMYFUNCTION("""COMPUTED_VALUE"""),"Bodyline (Private) Limited")</f>
        <v/>
      </c>
      <c r="H305" s="43">
        <f>IFERROR(__xludf.DUMMYFUNCTION("""COMPUTED_VALUE"""),452727167451)</f>
        <v/>
      </c>
      <c r="I305" s="45">
        <f>IFERROR(__xludf.DUMMYFUNCTION("""COMPUTED_VALUE"""),19843746)</f>
        <v/>
      </c>
      <c r="J305" s="45">
        <f>IFERROR(__xludf.DUMMYFUNCTION("""COMPUTED_VALUE"""),"LW1FM7S")</f>
        <v/>
      </c>
      <c r="K305" s="45">
        <f>IFERROR(__xludf.DUMMYFUNCTION("""COMPUTED_VALUE"""),"LW1FM7S-0001")</f>
        <v/>
      </c>
      <c r="L305" s="45">
        <f>IFERROR(__xludf.DUMMYFUNCTION("""COMPUTED_VALUE"""),6)</f>
        <v/>
      </c>
      <c r="M305" s="45">
        <f>IFERROR(__xludf.DUMMYFUNCTION("""COMPUTED_VALUE"""),280)</f>
        <v/>
      </c>
      <c r="N305" s="45">
        <f>IFERROR(__xludf.DUMMYFUNCTION("""COMPUTED_VALUE"""),28.996)</f>
        <v/>
      </c>
      <c r="O305" s="45">
        <f>IFERROR(__xludf.DUMMYFUNCTION("""COMPUTED_VALUE"""),0.264)</f>
        <v/>
      </c>
      <c r="P305" s="45">
        <f>IFERROR(__xludf.DUMMYFUNCTION("""COMPUTED_VALUE"""),"Colombo, LK")</f>
        <v/>
      </c>
      <c r="Q305" s="45">
        <f>IFERROR(__xludf.DUMMYFUNCTION("""COMPUTED_VALUE"""),"New York, NY, US")</f>
        <v/>
      </c>
      <c r="R305" s="44">
        <f>IFERROR(__xludf.DUMMYFUNCTION("""COMPUTED_VALUE"""),45824)</f>
        <v/>
      </c>
      <c r="S305" s="44">
        <f>IFERROR(__xludf.DUMMYFUNCTION("""COMPUTED_VALUE"""),45883)</f>
        <v/>
      </c>
      <c r="T305" s="45">
        <f>IFERROR(__xludf.DUMMYFUNCTION("""COMPUTED_VALUE"""),"Mississauga, ON, CA")</f>
        <v/>
      </c>
      <c r="U305" s="45" t="n"/>
      <c r="V305" s="45" t="n"/>
      <c r="W305" s="45" t="n"/>
      <c r="X305" s="45" t="n"/>
      <c r="Y305" s="46">
        <f>IFERROR(__xludf.DUMMYFUNCTION("""COMPUTED_VALUE"""),45825)</f>
        <v/>
      </c>
      <c r="Z305" s="46">
        <f>IFERROR(__xludf.DUMMYFUNCTION("""COMPUTED_VALUE"""),45861)</f>
        <v/>
      </c>
      <c r="AA305" s="46">
        <f>IFERROR(__xludf.DUMMYFUNCTION("""COMPUTED_VALUE"""),45874)</f>
        <v/>
      </c>
      <c r="AB305" s="45">
        <f>IFERROR(__xludf.DUMMYFUNCTION("""COMPUTED_VALUE"""),"3500 Argentia Road")</f>
        <v/>
      </c>
      <c r="AC305" s="45" t="n"/>
      <c r="AD305" s="45">
        <f>IFERROR(__xludf.DUMMYFUNCTION("""COMPUTED_VALUE"""),"OCEAN")</f>
        <v/>
      </c>
      <c r="AE305" s="45">
        <f>IFERROR(__xludf.DUMMYFUNCTION("""COMPUTED_VALUE"""),"N")</f>
        <v/>
      </c>
      <c r="AF305" s="45" t="n"/>
      <c r="AG305" s="49">
        <f>IFERROR(__xludf.DUMMYFUNCTION("IFNA(vlookup(H305,IMPORTRANGE(""1vUGwO1n0QQGx9kKbO0_M5gmuhXZ6-LaxQxgrmJnzgP0"",""'TP# look up'!A:C""),3,0),"""")"),"")</f>
        <v/>
      </c>
      <c r="AH305" s="49">
        <f>LEFT(J305,2)</f>
        <v/>
      </c>
    </row>
    <row r="306" hidden="1" ht="12.75" customHeight="1">
      <c r="A306" s="45">
        <f>IFERROR(__xludf.DUMMYFUNCTION("""COMPUTED_VALUE"""),"Colombo")</f>
        <v/>
      </c>
      <c r="B306" s="45" t="n"/>
      <c r="C306" s="45">
        <f>IFERROR(__xludf.DUMMYFUNCTION("""COMPUTED_VALUE"""),3254506)</f>
        <v/>
      </c>
      <c r="D306" s="45" t="n"/>
      <c r="E306" s="45">
        <f>IFERROR(__xludf.DUMMYFUNCTION("""COMPUTED_VALUE"""),"CFS")</f>
        <v/>
      </c>
      <c r="F306" s="45">
        <f>IFERROR(__xludf.DUMMYFUNCTION("""COMPUTED_VALUE"""),"Bodyline Trading (Private) Limited")</f>
        <v/>
      </c>
      <c r="G306" s="45">
        <f>IFERROR(__xludf.DUMMYFUNCTION("""COMPUTED_VALUE"""),"Bodyline (Private) Limited")</f>
        <v/>
      </c>
      <c r="H306" s="43">
        <f>IFERROR(__xludf.DUMMYFUNCTION("""COMPUTED_VALUE"""),452727371750)</f>
        <v/>
      </c>
      <c r="I306" s="45">
        <f>IFERROR(__xludf.DUMMYFUNCTION("""COMPUTED_VALUE"""),19843848)</f>
        <v/>
      </c>
      <c r="J306" s="45">
        <f>IFERROR(__xludf.DUMMYFUNCTION("""COMPUTED_VALUE"""),"LW1FM7S")</f>
        <v/>
      </c>
      <c r="K306" s="45">
        <f>IFERROR(__xludf.DUMMYFUNCTION("""COMPUTED_VALUE"""),"LW1FM7S-0001")</f>
        <v/>
      </c>
      <c r="L306" s="45">
        <f>IFERROR(__xludf.DUMMYFUNCTION("""COMPUTED_VALUE"""),18)</f>
        <v/>
      </c>
      <c r="M306" s="45">
        <f>IFERROR(__xludf.DUMMYFUNCTION("""COMPUTED_VALUE"""),1056)</f>
        <v/>
      </c>
      <c r="N306" s="45">
        <f>IFERROR(__xludf.DUMMYFUNCTION("""COMPUTED_VALUE"""),105.247)</f>
        <v/>
      </c>
      <c r="O306" s="45">
        <f>IFERROR(__xludf.DUMMYFUNCTION("""COMPUTED_VALUE"""),0.791)</f>
        <v/>
      </c>
      <c r="P306" s="45">
        <f>IFERROR(__xludf.DUMMYFUNCTION("""COMPUTED_VALUE"""),"Colombo, LK")</f>
        <v/>
      </c>
      <c r="Q306" s="45">
        <f>IFERROR(__xludf.DUMMYFUNCTION("""COMPUTED_VALUE"""),"New York, NY, US")</f>
        <v/>
      </c>
      <c r="R306" s="44">
        <f>IFERROR(__xludf.DUMMYFUNCTION("""COMPUTED_VALUE"""),45824)</f>
        <v/>
      </c>
      <c r="S306" s="44">
        <f>IFERROR(__xludf.DUMMYFUNCTION("""COMPUTED_VALUE"""),45883)</f>
        <v/>
      </c>
      <c r="T306" s="45">
        <f>IFERROR(__xludf.DUMMYFUNCTION("""COMPUTED_VALUE"""),"Mississauga, ON, CA")</f>
        <v/>
      </c>
      <c r="U306" s="45" t="n"/>
      <c r="V306" s="45" t="n"/>
      <c r="W306" s="45" t="n"/>
      <c r="X306" s="45" t="n"/>
      <c r="Y306" s="46">
        <f>IFERROR(__xludf.DUMMYFUNCTION("""COMPUTED_VALUE"""),45825)</f>
        <v/>
      </c>
      <c r="Z306" s="46">
        <f>IFERROR(__xludf.DUMMYFUNCTION("""COMPUTED_VALUE"""),45861)</f>
        <v/>
      </c>
      <c r="AA306" s="46">
        <f>IFERROR(__xludf.DUMMYFUNCTION("""COMPUTED_VALUE"""),45874)</f>
        <v/>
      </c>
      <c r="AB306" s="45">
        <f>IFERROR(__xludf.DUMMYFUNCTION("""COMPUTED_VALUE"""),"3500 Argentia Road")</f>
        <v/>
      </c>
      <c r="AC306" s="45" t="n"/>
      <c r="AD306" s="45">
        <f>IFERROR(__xludf.DUMMYFUNCTION("""COMPUTED_VALUE"""),"OCEAN")</f>
        <v/>
      </c>
      <c r="AE306" s="45">
        <f>IFERROR(__xludf.DUMMYFUNCTION("""COMPUTED_VALUE"""),"N")</f>
        <v/>
      </c>
      <c r="AF306" s="45" t="n"/>
      <c r="AG306" s="49">
        <f>IFERROR(__xludf.DUMMYFUNCTION("IFNA(vlookup(H306,IMPORTRANGE(""1vUGwO1n0QQGx9kKbO0_M5gmuhXZ6-LaxQxgrmJnzgP0"",""'TP# look up'!A:C""),3,0),"""")"),"")</f>
        <v/>
      </c>
      <c r="AH306" s="49">
        <f>LEFT(J306,2)</f>
        <v/>
      </c>
    </row>
    <row r="307" hidden="1" ht="12.75" customHeight="1">
      <c r="A307" s="45">
        <f>IFERROR(__xludf.DUMMYFUNCTION("""COMPUTED_VALUE"""),"Colombo")</f>
        <v/>
      </c>
      <c r="B307" s="45" t="n"/>
      <c r="C307" s="45">
        <f>IFERROR(__xludf.DUMMYFUNCTION("""COMPUTED_VALUE"""),3254506)</f>
        <v/>
      </c>
      <c r="D307" s="45" t="n"/>
      <c r="E307" s="45">
        <f>IFERROR(__xludf.DUMMYFUNCTION("""COMPUTED_VALUE"""),"CFS")</f>
        <v/>
      </c>
      <c r="F307" s="45">
        <f>IFERROR(__xludf.DUMMYFUNCTION("""COMPUTED_VALUE"""),"Bodyline Trading (Private) Limited")</f>
        <v/>
      </c>
      <c r="G307" s="45">
        <f>IFERROR(__xludf.DUMMYFUNCTION("""COMPUTED_VALUE"""),"Bodyline (Private) Limited")</f>
        <v/>
      </c>
      <c r="H307" s="43">
        <f>IFERROR(__xludf.DUMMYFUNCTION("""COMPUTED_VALUE"""),452727619708)</f>
        <v/>
      </c>
      <c r="I307" s="45">
        <f>IFERROR(__xludf.DUMMYFUNCTION("""COMPUTED_VALUE"""),19843747)</f>
        <v/>
      </c>
      <c r="J307" s="45">
        <f>IFERROR(__xludf.DUMMYFUNCTION("""COMPUTED_VALUE"""),"LW1FM7S")</f>
        <v/>
      </c>
      <c r="K307" s="45">
        <f>IFERROR(__xludf.DUMMYFUNCTION("""COMPUTED_VALUE"""),"LW1FM7S-0001")</f>
        <v/>
      </c>
      <c r="L307" s="45">
        <f>IFERROR(__xludf.DUMMYFUNCTION("""COMPUTED_VALUE"""),7)</f>
        <v/>
      </c>
      <c r="M307" s="45">
        <f>IFERROR(__xludf.DUMMYFUNCTION("""COMPUTED_VALUE"""),343)</f>
        <v/>
      </c>
      <c r="N307" s="45">
        <f>IFERROR(__xludf.DUMMYFUNCTION("""COMPUTED_VALUE"""),35.226)</f>
        <v/>
      </c>
      <c r="O307" s="45">
        <f>IFERROR(__xludf.DUMMYFUNCTION("""COMPUTED_VALUE"""),0.307)</f>
        <v/>
      </c>
      <c r="P307" s="45">
        <f>IFERROR(__xludf.DUMMYFUNCTION("""COMPUTED_VALUE"""),"Colombo, LK")</f>
        <v/>
      </c>
      <c r="Q307" s="45">
        <f>IFERROR(__xludf.DUMMYFUNCTION("""COMPUTED_VALUE"""),"New York, NY, US")</f>
        <v/>
      </c>
      <c r="R307" s="44">
        <f>IFERROR(__xludf.DUMMYFUNCTION("""COMPUTED_VALUE"""),45824)</f>
        <v/>
      </c>
      <c r="S307" s="44">
        <f>IFERROR(__xludf.DUMMYFUNCTION("""COMPUTED_VALUE"""),45883)</f>
        <v/>
      </c>
      <c r="T307" s="45">
        <f>IFERROR(__xludf.DUMMYFUNCTION("""COMPUTED_VALUE"""),"Mississauga, ON, CA")</f>
        <v/>
      </c>
      <c r="U307" s="45" t="n"/>
      <c r="V307" s="45" t="n"/>
      <c r="W307" s="45" t="n"/>
      <c r="X307" s="45" t="n"/>
      <c r="Y307" s="46">
        <f>IFERROR(__xludf.DUMMYFUNCTION("""COMPUTED_VALUE"""),45825)</f>
        <v/>
      </c>
      <c r="Z307" s="46">
        <f>IFERROR(__xludf.DUMMYFUNCTION("""COMPUTED_VALUE"""),45861)</f>
        <v/>
      </c>
      <c r="AA307" s="46">
        <f>IFERROR(__xludf.DUMMYFUNCTION("""COMPUTED_VALUE"""),45874)</f>
        <v/>
      </c>
      <c r="AB307" s="45">
        <f>IFERROR(__xludf.DUMMYFUNCTION("""COMPUTED_VALUE"""),"3500 Argentia Road")</f>
        <v/>
      </c>
      <c r="AC307" s="45" t="n"/>
      <c r="AD307" s="45">
        <f>IFERROR(__xludf.DUMMYFUNCTION("""COMPUTED_VALUE"""),"OCEAN")</f>
        <v/>
      </c>
      <c r="AE307" s="45">
        <f>IFERROR(__xludf.DUMMYFUNCTION("""COMPUTED_VALUE"""),"N")</f>
        <v/>
      </c>
      <c r="AF307" s="45" t="n"/>
      <c r="AG307" s="49">
        <f>IFERROR(__xludf.DUMMYFUNCTION("IFNA(vlookup(H307,IMPORTRANGE(""1vUGwO1n0QQGx9kKbO0_M5gmuhXZ6-LaxQxgrmJnzgP0"",""'TP# look up'!A:C""),3,0),"""")"),"")</f>
        <v/>
      </c>
      <c r="AH307" s="49">
        <f>LEFT(J307,2)</f>
        <v/>
      </c>
    </row>
    <row r="308" hidden="1" ht="12.75" customHeight="1">
      <c r="A308" s="45">
        <f>IFERROR(__xludf.DUMMYFUNCTION("""COMPUTED_VALUE"""),"Colombo")</f>
        <v/>
      </c>
      <c r="B308" s="45" t="n"/>
      <c r="C308" s="45">
        <f>IFERROR(__xludf.DUMMYFUNCTION("""COMPUTED_VALUE"""),3254506)</f>
        <v/>
      </c>
      <c r="D308" s="45" t="n"/>
      <c r="E308" s="45">
        <f>IFERROR(__xludf.DUMMYFUNCTION("""COMPUTED_VALUE"""),"CFS")</f>
        <v/>
      </c>
      <c r="F308" s="45">
        <f>IFERROR(__xludf.DUMMYFUNCTION("""COMPUTED_VALUE"""),"Bodyline Trading (Private) Limited")</f>
        <v/>
      </c>
      <c r="G308" s="45">
        <f>IFERROR(__xludf.DUMMYFUNCTION("""COMPUTED_VALUE"""),"Bodyline (Private) Limited")</f>
        <v/>
      </c>
      <c r="H308" s="43">
        <f>IFERROR(__xludf.DUMMYFUNCTION("""COMPUTED_VALUE"""),452729349357)</f>
        <v/>
      </c>
      <c r="I308" s="45">
        <f>IFERROR(__xludf.DUMMYFUNCTION("""COMPUTED_VALUE"""),19878340)</f>
        <v/>
      </c>
      <c r="J308" s="45">
        <f>IFERROR(__xludf.DUMMYFUNCTION("""COMPUTED_VALUE"""),"LW2670S")</f>
        <v/>
      </c>
      <c r="K308" s="45">
        <f>IFERROR(__xludf.DUMMYFUNCTION("""COMPUTED_VALUE"""),"LW2670S-0001")</f>
        <v/>
      </c>
      <c r="L308" s="45">
        <f>IFERROR(__xludf.DUMMYFUNCTION("""COMPUTED_VALUE"""),4)</f>
        <v/>
      </c>
      <c r="M308" s="45">
        <f>IFERROR(__xludf.DUMMYFUNCTION("""COMPUTED_VALUE"""),136)</f>
        <v/>
      </c>
      <c r="N308" s="45">
        <f>IFERROR(__xludf.DUMMYFUNCTION("""COMPUTED_VALUE"""),15.688)</f>
        <v/>
      </c>
      <c r="O308" s="45">
        <f>IFERROR(__xludf.DUMMYFUNCTION("""COMPUTED_VALUE"""),0.322)</f>
        <v/>
      </c>
      <c r="P308" s="45">
        <f>IFERROR(__xludf.DUMMYFUNCTION("""COMPUTED_VALUE"""),"Colombo, LK")</f>
        <v/>
      </c>
      <c r="Q308" s="45">
        <f>IFERROR(__xludf.DUMMYFUNCTION("""COMPUTED_VALUE"""),"New York, NY, US")</f>
        <v/>
      </c>
      <c r="R308" s="44">
        <f>IFERROR(__xludf.DUMMYFUNCTION("""COMPUTED_VALUE"""),45824)</f>
        <v/>
      </c>
      <c r="S308" s="44">
        <f>IFERROR(__xludf.DUMMYFUNCTION("""COMPUTED_VALUE"""),45883)</f>
        <v/>
      </c>
      <c r="T308" s="45">
        <f>IFERROR(__xludf.DUMMYFUNCTION("""COMPUTED_VALUE"""),"Mississauga, ON, CA")</f>
        <v/>
      </c>
      <c r="U308" s="45" t="n"/>
      <c r="V308" s="45" t="n"/>
      <c r="W308" s="45" t="n"/>
      <c r="X308" s="45" t="n"/>
      <c r="Y308" s="46">
        <f>IFERROR(__xludf.DUMMYFUNCTION("""COMPUTED_VALUE"""),45825)</f>
        <v/>
      </c>
      <c r="Z308" s="46">
        <f>IFERROR(__xludf.DUMMYFUNCTION("""COMPUTED_VALUE"""),45861)</f>
        <v/>
      </c>
      <c r="AA308" s="46">
        <f>IFERROR(__xludf.DUMMYFUNCTION("""COMPUTED_VALUE"""),45874)</f>
        <v/>
      </c>
      <c r="AB308" s="45">
        <f>IFERROR(__xludf.DUMMYFUNCTION("""COMPUTED_VALUE"""),"3500 Argentia Road")</f>
        <v/>
      </c>
      <c r="AC308" s="45" t="n"/>
      <c r="AD308" s="45">
        <f>IFERROR(__xludf.DUMMYFUNCTION("""COMPUTED_VALUE"""),"OCEAN")</f>
        <v/>
      </c>
      <c r="AE308" s="45">
        <f>IFERROR(__xludf.DUMMYFUNCTION("""COMPUTED_VALUE"""),"N")</f>
        <v/>
      </c>
      <c r="AF308" s="45" t="n"/>
      <c r="AG308" s="49">
        <f>IFERROR(__xludf.DUMMYFUNCTION("IFNA(vlookup(H308,IMPORTRANGE(""1vUGwO1n0QQGx9kKbO0_M5gmuhXZ6-LaxQxgrmJnzgP0"",""'TP# look up'!A:C""),3,0),"""")"),"")</f>
        <v/>
      </c>
      <c r="AH308" s="49">
        <f>LEFT(J308,2)</f>
        <v/>
      </c>
    </row>
    <row r="309" hidden="1" ht="12.75" customHeight="1">
      <c r="A309" s="45">
        <f>IFERROR(__xludf.DUMMYFUNCTION("""COMPUTED_VALUE"""),"Colombo")</f>
        <v/>
      </c>
      <c r="B309" s="45" t="n"/>
      <c r="C309" s="45">
        <f>IFERROR(__xludf.DUMMYFUNCTION("""COMPUTED_VALUE"""),3254506)</f>
        <v/>
      </c>
      <c r="D309" s="45" t="n"/>
      <c r="E309" s="45">
        <f>IFERROR(__xludf.DUMMYFUNCTION("""COMPUTED_VALUE"""),"CFS")</f>
        <v/>
      </c>
      <c r="F309" s="45">
        <f>IFERROR(__xludf.DUMMYFUNCTION("""COMPUTED_VALUE"""),"Bodyline Trading (Private) Limited")</f>
        <v/>
      </c>
      <c r="G309" s="45">
        <f>IFERROR(__xludf.DUMMYFUNCTION("""COMPUTED_VALUE"""),"Bodyline (Private) Limited")</f>
        <v/>
      </c>
      <c r="H309" s="43">
        <f>IFERROR(__xludf.DUMMYFUNCTION("""COMPUTED_VALUE"""),452733135781)</f>
        <v/>
      </c>
      <c r="I309" s="45">
        <f>IFERROR(__xludf.DUMMYFUNCTION("""COMPUTED_VALUE"""),19878355)</f>
        <v/>
      </c>
      <c r="J309" s="45">
        <f>IFERROR(__xludf.DUMMYFUNCTION("""COMPUTED_VALUE"""),"LW2670S")</f>
        <v/>
      </c>
      <c r="K309" s="45">
        <f>IFERROR(__xludf.DUMMYFUNCTION("""COMPUTED_VALUE"""),"LW2670S-071150")</f>
        <v/>
      </c>
      <c r="L309" s="45">
        <f>IFERROR(__xludf.DUMMYFUNCTION("""COMPUTED_VALUE"""),10)</f>
        <v/>
      </c>
      <c r="M309" s="45">
        <f>IFERROR(__xludf.DUMMYFUNCTION("""COMPUTED_VALUE"""),579)</f>
        <v/>
      </c>
      <c r="N309" s="45">
        <f>IFERROR(__xludf.DUMMYFUNCTION("""COMPUTED_VALUE"""),60.041)</f>
        <v/>
      </c>
      <c r="O309" s="45">
        <f>IFERROR(__xludf.DUMMYFUNCTION("""COMPUTED_VALUE"""),0.805)</f>
        <v/>
      </c>
      <c r="P309" s="45">
        <f>IFERROR(__xludf.DUMMYFUNCTION("""COMPUTED_VALUE"""),"Colombo, LK")</f>
        <v/>
      </c>
      <c r="Q309" s="45">
        <f>IFERROR(__xludf.DUMMYFUNCTION("""COMPUTED_VALUE"""),"New York, NY, US")</f>
        <v/>
      </c>
      <c r="R309" s="44">
        <f>IFERROR(__xludf.DUMMYFUNCTION("""COMPUTED_VALUE"""),45824)</f>
        <v/>
      </c>
      <c r="S309" s="44">
        <f>IFERROR(__xludf.DUMMYFUNCTION("""COMPUTED_VALUE"""),45883)</f>
        <v/>
      </c>
      <c r="T309" s="45">
        <f>IFERROR(__xludf.DUMMYFUNCTION("""COMPUTED_VALUE"""),"Mississauga, ON, CA")</f>
        <v/>
      </c>
      <c r="U309" s="45" t="n"/>
      <c r="V309" s="45" t="n"/>
      <c r="W309" s="45" t="n"/>
      <c r="X309" s="45" t="n"/>
      <c r="Y309" s="46">
        <f>IFERROR(__xludf.DUMMYFUNCTION("""COMPUTED_VALUE"""),45825)</f>
        <v/>
      </c>
      <c r="Z309" s="46">
        <f>IFERROR(__xludf.DUMMYFUNCTION("""COMPUTED_VALUE"""),45861)</f>
        <v/>
      </c>
      <c r="AA309" s="46">
        <f>IFERROR(__xludf.DUMMYFUNCTION("""COMPUTED_VALUE"""),45874)</f>
        <v/>
      </c>
      <c r="AB309" s="45">
        <f>IFERROR(__xludf.DUMMYFUNCTION("""COMPUTED_VALUE"""),"3500 Argentia Road")</f>
        <v/>
      </c>
      <c r="AC309" s="45" t="n"/>
      <c r="AD309" s="45">
        <f>IFERROR(__xludf.DUMMYFUNCTION("""COMPUTED_VALUE"""),"OCEAN")</f>
        <v/>
      </c>
      <c r="AE309" s="45">
        <f>IFERROR(__xludf.DUMMYFUNCTION("""COMPUTED_VALUE"""),"N")</f>
        <v/>
      </c>
      <c r="AF309" s="45" t="n"/>
      <c r="AG309" s="49">
        <f>IFERROR(__xludf.DUMMYFUNCTION("IFNA(vlookup(H309,IMPORTRANGE(""1vUGwO1n0QQGx9kKbO0_M5gmuhXZ6-LaxQxgrmJnzgP0"",""'TP# look up'!A:C""),3,0),"""")"),"")</f>
        <v/>
      </c>
      <c r="AH309" s="49">
        <f>LEFT(J309,2)</f>
        <v/>
      </c>
    </row>
    <row r="310" hidden="1" ht="12.75" customHeight="1">
      <c r="A310" s="45">
        <f>IFERROR(__xludf.DUMMYFUNCTION("""COMPUTED_VALUE"""),"Colombo")</f>
        <v/>
      </c>
      <c r="B310" s="45" t="n"/>
      <c r="C310" s="45">
        <f>IFERROR(__xludf.DUMMYFUNCTION("""COMPUTED_VALUE"""),3254506)</f>
        <v/>
      </c>
      <c r="D310" s="45" t="n"/>
      <c r="E310" s="45">
        <f>IFERROR(__xludf.DUMMYFUNCTION("""COMPUTED_VALUE"""),"CFS")</f>
        <v/>
      </c>
      <c r="F310" s="45">
        <f>IFERROR(__xludf.DUMMYFUNCTION("""COMPUTED_VALUE"""),"Bodyline Trading (Private) Limited")</f>
        <v/>
      </c>
      <c r="G310" s="45">
        <f>IFERROR(__xludf.DUMMYFUNCTION("""COMPUTED_VALUE"""),"Bodyline (Private) Limited")</f>
        <v/>
      </c>
      <c r="H310" s="43">
        <f>IFERROR(__xludf.DUMMYFUNCTION("""COMPUTED_VALUE"""),452734215822)</f>
        <v/>
      </c>
      <c r="I310" s="45">
        <f>IFERROR(__xludf.DUMMYFUNCTION("""COMPUTED_VALUE"""),19878571)</f>
        <v/>
      </c>
      <c r="J310" s="45">
        <f>IFERROR(__xludf.DUMMYFUNCTION("""COMPUTED_VALUE"""),"LW2670S")</f>
        <v/>
      </c>
      <c r="K310" s="45">
        <f>IFERROR(__xludf.DUMMYFUNCTION("""COMPUTED_VALUE"""),"LW2670S-071150")</f>
        <v/>
      </c>
      <c r="L310" s="45">
        <f>IFERROR(__xludf.DUMMYFUNCTION("""COMPUTED_VALUE"""),21)</f>
        <v/>
      </c>
      <c r="M310" s="45">
        <f>IFERROR(__xludf.DUMMYFUNCTION("""COMPUTED_VALUE"""),1252)</f>
        <v/>
      </c>
      <c r="N310" s="45">
        <f>IFERROR(__xludf.DUMMYFUNCTION("""COMPUTED_VALUE"""),127.597)</f>
        <v/>
      </c>
      <c r="O310" s="45">
        <f>IFERROR(__xludf.DUMMYFUNCTION("""COMPUTED_VALUE"""),1.691)</f>
        <v/>
      </c>
      <c r="P310" s="45">
        <f>IFERROR(__xludf.DUMMYFUNCTION("""COMPUTED_VALUE"""),"Colombo, LK")</f>
        <v/>
      </c>
      <c r="Q310" s="45">
        <f>IFERROR(__xludf.DUMMYFUNCTION("""COMPUTED_VALUE"""),"New York, NY, US")</f>
        <v/>
      </c>
      <c r="R310" s="44">
        <f>IFERROR(__xludf.DUMMYFUNCTION("""COMPUTED_VALUE"""),45824)</f>
        <v/>
      </c>
      <c r="S310" s="44">
        <f>IFERROR(__xludf.DUMMYFUNCTION("""COMPUTED_VALUE"""),45883)</f>
        <v/>
      </c>
      <c r="T310" s="45">
        <f>IFERROR(__xludf.DUMMYFUNCTION("""COMPUTED_VALUE"""),"Mississauga, ON, CA")</f>
        <v/>
      </c>
      <c r="U310" s="45" t="n"/>
      <c r="V310" s="45" t="n"/>
      <c r="W310" s="45" t="n"/>
      <c r="X310" s="45" t="n"/>
      <c r="Y310" s="46">
        <f>IFERROR(__xludf.DUMMYFUNCTION("""COMPUTED_VALUE"""),45832)</f>
        <v/>
      </c>
      <c r="Z310" s="46">
        <f>IFERROR(__xludf.DUMMYFUNCTION("""COMPUTED_VALUE"""),45861)</f>
        <v/>
      </c>
      <c r="AA310" s="46">
        <f>IFERROR(__xludf.DUMMYFUNCTION("""COMPUTED_VALUE"""),45874)</f>
        <v/>
      </c>
      <c r="AB310" s="45">
        <f>IFERROR(__xludf.DUMMYFUNCTION("""COMPUTED_VALUE"""),"3500 Argentia Road")</f>
        <v/>
      </c>
      <c r="AC310" s="45" t="n"/>
      <c r="AD310" s="45">
        <f>IFERROR(__xludf.DUMMYFUNCTION("""COMPUTED_VALUE"""),"OCEAN")</f>
        <v/>
      </c>
      <c r="AE310" s="45">
        <f>IFERROR(__xludf.DUMMYFUNCTION("""COMPUTED_VALUE"""),"N")</f>
        <v/>
      </c>
      <c r="AF310" s="45" t="n"/>
      <c r="AG310" s="49">
        <f>IFERROR(__xludf.DUMMYFUNCTION("IFNA(vlookup(H310,IMPORTRANGE(""1vUGwO1n0QQGx9kKbO0_M5gmuhXZ6-LaxQxgrmJnzgP0"",""'TP# look up'!A:C""),3,0),"""")"),"")</f>
        <v/>
      </c>
      <c r="AH310" s="49">
        <f>LEFT(J310,2)</f>
        <v/>
      </c>
    </row>
    <row r="311" hidden="1" ht="12.75" customHeight="1">
      <c r="A311" s="45">
        <f>IFERROR(__xludf.DUMMYFUNCTION("""COMPUTED_VALUE"""),"Colombo")</f>
        <v/>
      </c>
      <c r="B311" s="45" t="n"/>
      <c r="C311" s="45">
        <f>IFERROR(__xludf.DUMMYFUNCTION("""COMPUTED_VALUE"""),3254506)</f>
        <v/>
      </c>
      <c r="D311" s="45" t="n"/>
      <c r="E311" s="45">
        <f>IFERROR(__xludf.DUMMYFUNCTION("""COMPUTED_VALUE"""),"CFS")</f>
        <v/>
      </c>
      <c r="F311" s="45">
        <f>IFERROR(__xludf.DUMMYFUNCTION("""COMPUTED_VALUE"""),"Bodyline Trading (Private) Limited")</f>
        <v/>
      </c>
      <c r="G311" s="45">
        <f>IFERROR(__xludf.DUMMYFUNCTION("""COMPUTED_VALUE"""),"Bodyline (Private) Limited")</f>
        <v/>
      </c>
      <c r="H311" s="43">
        <f>IFERROR(__xludf.DUMMYFUNCTION("""COMPUTED_VALUE"""),452734741401)</f>
        <v/>
      </c>
      <c r="I311" s="45">
        <f>IFERROR(__xludf.DUMMYFUNCTION("""COMPUTED_VALUE"""),19878560)</f>
        <v/>
      </c>
      <c r="J311" s="45">
        <f>IFERROR(__xludf.DUMMYFUNCTION("""COMPUTED_VALUE"""),"LW2DQ0S")</f>
        <v/>
      </c>
      <c r="K311" s="45">
        <f>IFERROR(__xludf.DUMMYFUNCTION("""COMPUTED_VALUE"""),"LW2DQ0S-0001")</f>
        <v/>
      </c>
      <c r="L311" s="45">
        <f>IFERROR(__xludf.DUMMYFUNCTION("""COMPUTED_VALUE"""),4)</f>
        <v/>
      </c>
      <c r="M311" s="45">
        <f>IFERROR(__xludf.DUMMYFUNCTION("""COMPUTED_VALUE"""),150)</f>
        <v/>
      </c>
      <c r="N311" s="45">
        <f>IFERROR(__xludf.DUMMYFUNCTION("""COMPUTED_VALUE"""),19.593)</f>
        <v/>
      </c>
      <c r="O311" s="45">
        <f>IFERROR(__xludf.DUMMYFUNCTION("""COMPUTED_VALUE"""),0.285)</f>
        <v/>
      </c>
      <c r="P311" s="45">
        <f>IFERROR(__xludf.DUMMYFUNCTION("""COMPUTED_VALUE"""),"Colombo, LK")</f>
        <v/>
      </c>
      <c r="Q311" s="45">
        <f>IFERROR(__xludf.DUMMYFUNCTION("""COMPUTED_VALUE"""),"New York, NY, US")</f>
        <v/>
      </c>
      <c r="R311" s="44">
        <f>IFERROR(__xludf.DUMMYFUNCTION("""COMPUTED_VALUE"""),45824)</f>
        <v/>
      </c>
      <c r="S311" s="44">
        <f>IFERROR(__xludf.DUMMYFUNCTION("""COMPUTED_VALUE"""),45883)</f>
        <v/>
      </c>
      <c r="T311" s="45">
        <f>IFERROR(__xludf.DUMMYFUNCTION("""COMPUTED_VALUE"""),"Mississauga, ON, CA")</f>
        <v/>
      </c>
      <c r="U311" s="45" t="n"/>
      <c r="V311" s="45" t="n"/>
      <c r="W311" s="45" t="n"/>
      <c r="X311" s="45" t="n"/>
      <c r="Y311" s="46">
        <f>IFERROR(__xludf.DUMMYFUNCTION("""COMPUTED_VALUE"""),45832)</f>
        <v/>
      </c>
      <c r="Z311" s="46">
        <f>IFERROR(__xludf.DUMMYFUNCTION("""COMPUTED_VALUE"""),45861)</f>
        <v/>
      </c>
      <c r="AA311" s="46">
        <f>IFERROR(__xludf.DUMMYFUNCTION("""COMPUTED_VALUE"""),45874)</f>
        <v/>
      </c>
      <c r="AB311" s="45">
        <f>IFERROR(__xludf.DUMMYFUNCTION("""COMPUTED_VALUE"""),"3500 Argentia Road")</f>
        <v/>
      </c>
      <c r="AC311" s="45" t="n"/>
      <c r="AD311" s="45">
        <f>IFERROR(__xludf.DUMMYFUNCTION("""COMPUTED_VALUE"""),"OCEAN")</f>
        <v/>
      </c>
      <c r="AE311" s="45">
        <f>IFERROR(__xludf.DUMMYFUNCTION("""COMPUTED_VALUE"""),"N")</f>
        <v/>
      </c>
      <c r="AF311" s="45" t="n"/>
      <c r="AG311" s="49">
        <f>IFERROR(__xludf.DUMMYFUNCTION("IFNA(vlookup(H311,IMPORTRANGE(""1vUGwO1n0QQGx9kKbO0_M5gmuhXZ6-LaxQxgrmJnzgP0"",""'TP# look up'!A:C""),3,0),"""")"),"")</f>
        <v/>
      </c>
      <c r="AH311" s="49">
        <f>LEFT(J311,2)</f>
        <v/>
      </c>
    </row>
    <row r="312" hidden="1" ht="12.75" customHeight="1">
      <c r="A312" s="45">
        <f>IFERROR(__xludf.DUMMYFUNCTION("""COMPUTED_VALUE"""),"Colombo")</f>
        <v/>
      </c>
      <c r="B312" s="45" t="n"/>
      <c r="C312" s="45">
        <f>IFERROR(__xludf.DUMMYFUNCTION("""COMPUTED_VALUE"""),3254506)</f>
        <v/>
      </c>
      <c r="D312" s="45" t="n"/>
      <c r="E312" s="45">
        <f>IFERROR(__xludf.DUMMYFUNCTION("""COMPUTED_VALUE"""),"CFS")</f>
        <v/>
      </c>
      <c r="F312" s="45">
        <f>IFERROR(__xludf.DUMMYFUNCTION("""COMPUTED_VALUE"""),"Bodyline Trading (Private) Limited")</f>
        <v/>
      </c>
      <c r="G312" s="45">
        <f>IFERROR(__xludf.DUMMYFUNCTION("""COMPUTED_VALUE"""),"Bodyline (Private) Limited")</f>
        <v/>
      </c>
      <c r="H312" s="43">
        <f>IFERROR(__xludf.DUMMYFUNCTION("""COMPUTED_VALUE"""),452735845068)</f>
        <v/>
      </c>
      <c r="I312" s="45">
        <f>IFERROR(__xludf.DUMMYFUNCTION("""COMPUTED_VALUE"""),19878580)</f>
        <v/>
      </c>
      <c r="J312" s="45">
        <f>IFERROR(__xludf.DUMMYFUNCTION("""COMPUTED_VALUE"""),"LW2DQ0S")</f>
        <v/>
      </c>
      <c r="K312" s="45">
        <f>IFERROR(__xludf.DUMMYFUNCTION("""COMPUTED_VALUE"""),"LW2DQ0S-049106")</f>
        <v/>
      </c>
      <c r="L312" s="45">
        <f>IFERROR(__xludf.DUMMYFUNCTION("""COMPUTED_VALUE"""),3)</f>
        <v/>
      </c>
      <c r="M312" s="45">
        <f>IFERROR(__xludf.DUMMYFUNCTION("""COMPUTED_VALUE"""),104)</f>
        <v/>
      </c>
      <c r="N312" s="45">
        <f>IFERROR(__xludf.DUMMYFUNCTION("""COMPUTED_VALUE"""),13.416)</f>
        <v/>
      </c>
      <c r="O312" s="45">
        <f>IFERROR(__xludf.DUMMYFUNCTION("""COMPUTED_VALUE"""),0.205)</f>
        <v/>
      </c>
      <c r="P312" s="45">
        <f>IFERROR(__xludf.DUMMYFUNCTION("""COMPUTED_VALUE"""),"Colombo, LK")</f>
        <v/>
      </c>
      <c r="Q312" s="45">
        <f>IFERROR(__xludf.DUMMYFUNCTION("""COMPUTED_VALUE"""),"New York, NY, US")</f>
        <v/>
      </c>
      <c r="R312" s="44">
        <f>IFERROR(__xludf.DUMMYFUNCTION("""COMPUTED_VALUE"""),45824)</f>
        <v/>
      </c>
      <c r="S312" s="44">
        <f>IFERROR(__xludf.DUMMYFUNCTION("""COMPUTED_VALUE"""),45883)</f>
        <v/>
      </c>
      <c r="T312" s="45">
        <f>IFERROR(__xludf.DUMMYFUNCTION("""COMPUTED_VALUE"""),"Mississauga, ON, CA")</f>
        <v/>
      </c>
      <c r="U312" s="45" t="n"/>
      <c r="V312" s="45" t="n"/>
      <c r="W312" s="45" t="n"/>
      <c r="X312" s="45" t="n"/>
      <c r="Y312" s="46">
        <f>IFERROR(__xludf.DUMMYFUNCTION("""COMPUTED_VALUE"""),45832)</f>
        <v/>
      </c>
      <c r="Z312" s="46">
        <f>IFERROR(__xludf.DUMMYFUNCTION("""COMPUTED_VALUE"""),45861)</f>
        <v/>
      </c>
      <c r="AA312" s="46">
        <f>IFERROR(__xludf.DUMMYFUNCTION("""COMPUTED_VALUE"""),45874)</f>
        <v/>
      </c>
      <c r="AB312" s="45">
        <f>IFERROR(__xludf.DUMMYFUNCTION("""COMPUTED_VALUE"""),"3500 Argentia Road")</f>
        <v/>
      </c>
      <c r="AC312" s="45" t="n"/>
      <c r="AD312" s="45">
        <f>IFERROR(__xludf.DUMMYFUNCTION("""COMPUTED_VALUE"""),"OCEAN")</f>
        <v/>
      </c>
      <c r="AE312" s="45">
        <f>IFERROR(__xludf.DUMMYFUNCTION("""COMPUTED_VALUE"""),"N")</f>
        <v/>
      </c>
      <c r="AF312" s="45" t="n"/>
      <c r="AG312" s="49">
        <f>IFERROR(__xludf.DUMMYFUNCTION("IFNA(vlookup(H312,IMPORTRANGE(""1vUGwO1n0QQGx9kKbO0_M5gmuhXZ6-LaxQxgrmJnzgP0"",""'TP# look up'!A:C""),3,0),"""")"),"")</f>
        <v/>
      </c>
      <c r="AH312" s="49">
        <f>LEFT(J312,2)</f>
        <v/>
      </c>
    </row>
    <row r="313" hidden="1" ht="12.75" customHeight="1">
      <c r="A313" s="45">
        <f>IFERROR(__xludf.DUMMYFUNCTION("""COMPUTED_VALUE"""),"Colombo")</f>
        <v/>
      </c>
      <c r="B313" s="45" t="n"/>
      <c r="C313" s="45">
        <f>IFERROR(__xludf.DUMMYFUNCTION("""COMPUTED_VALUE"""),3254506)</f>
        <v/>
      </c>
      <c r="D313" s="45" t="n"/>
      <c r="E313" s="45">
        <f>IFERROR(__xludf.DUMMYFUNCTION("""COMPUTED_VALUE"""),"CFS")</f>
        <v/>
      </c>
      <c r="F313" s="45">
        <f>IFERROR(__xludf.DUMMYFUNCTION("""COMPUTED_VALUE"""),"Bodyline Trading (Private) Limited")</f>
        <v/>
      </c>
      <c r="G313" s="45">
        <f>IFERROR(__xludf.DUMMYFUNCTION("""COMPUTED_VALUE"""),"Bodyline (Private) Limited")</f>
        <v/>
      </c>
      <c r="H313" s="43">
        <f>IFERROR(__xludf.DUMMYFUNCTION("""COMPUTED_VALUE"""),452736545832)</f>
        <v/>
      </c>
      <c r="I313" s="45">
        <f>IFERROR(__xludf.DUMMYFUNCTION("""COMPUTED_VALUE"""),19878576)</f>
        <v/>
      </c>
      <c r="J313" s="45">
        <f>IFERROR(__xludf.DUMMYFUNCTION("""COMPUTED_VALUE"""),"LW2DQ0S")</f>
        <v/>
      </c>
      <c r="K313" s="45">
        <f>IFERROR(__xludf.DUMMYFUNCTION("""COMPUTED_VALUE"""),"LW2DQ0S-049106")</f>
        <v/>
      </c>
      <c r="L313" s="45">
        <f>IFERROR(__xludf.DUMMYFUNCTION("""COMPUTED_VALUE"""),4)</f>
        <v/>
      </c>
      <c r="M313" s="45">
        <f>IFERROR(__xludf.DUMMYFUNCTION("""COMPUTED_VALUE"""),191)</f>
        <v/>
      </c>
      <c r="N313" s="45">
        <f>IFERROR(__xludf.DUMMYFUNCTION("""COMPUTED_VALUE"""),23.259)</f>
        <v/>
      </c>
      <c r="O313" s="45">
        <f>IFERROR(__xludf.DUMMYFUNCTION("""COMPUTED_VALUE"""),0.322)</f>
        <v/>
      </c>
      <c r="P313" s="45">
        <f>IFERROR(__xludf.DUMMYFUNCTION("""COMPUTED_VALUE"""),"Colombo, LK")</f>
        <v/>
      </c>
      <c r="Q313" s="45">
        <f>IFERROR(__xludf.DUMMYFUNCTION("""COMPUTED_VALUE"""),"New York, NY, US")</f>
        <v/>
      </c>
      <c r="R313" s="44">
        <f>IFERROR(__xludf.DUMMYFUNCTION("""COMPUTED_VALUE"""),45824)</f>
        <v/>
      </c>
      <c r="S313" s="44">
        <f>IFERROR(__xludf.DUMMYFUNCTION("""COMPUTED_VALUE"""),45883)</f>
        <v/>
      </c>
      <c r="T313" s="45">
        <f>IFERROR(__xludf.DUMMYFUNCTION("""COMPUTED_VALUE"""),"Milton, ON, CA")</f>
        <v/>
      </c>
      <c r="U313" s="45" t="n"/>
      <c r="V313" s="45" t="n"/>
      <c r="W313" s="45" t="n"/>
      <c r="X313" s="45" t="n"/>
      <c r="Y313" s="46">
        <f>IFERROR(__xludf.DUMMYFUNCTION("""COMPUTED_VALUE"""),45832)</f>
        <v/>
      </c>
      <c r="Z313" s="46">
        <f>IFERROR(__xludf.DUMMYFUNCTION("""COMPUTED_VALUE"""),45861)</f>
        <v/>
      </c>
      <c r="AA313" s="46">
        <f>IFERROR(__xludf.DUMMYFUNCTION("""COMPUTED_VALUE"""),45874)</f>
        <v/>
      </c>
      <c r="AB313" s="45">
        <f>IFERROR(__xludf.DUMMYFUNCTION("""COMPUTED_VALUE"""),"7211 Fifth Line")</f>
        <v/>
      </c>
      <c r="AC313" s="45" t="n"/>
      <c r="AD313" s="45">
        <f>IFERROR(__xludf.DUMMYFUNCTION("""COMPUTED_VALUE"""),"OCEAN")</f>
        <v/>
      </c>
      <c r="AE313" s="45">
        <f>IFERROR(__xludf.DUMMYFUNCTION("""COMPUTED_VALUE"""),"N")</f>
        <v/>
      </c>
      <c r="AF313" s="45" t="n"/>
      <c r="AG313" s="49">
        <f>IFERROR(__xludf.DUMMYFUNCTION("IFNA(vlookup(H313,IMPORTRANGE(""1vUGwO1n0QQGx9kKbO0_M5gmuhXZ6-LaxQxgrmJnzgP0"",""'TP# look up'!A:C""),3,0),"""")"),"")</f>
        <v/>
      </c>
      <c r="AH313" s="49">
        <f>LEFT(J313,2)</f>
        <v/>
      </c>
    </row>
    <row r="314" hidden="1" ht="12.75" customHeight="1">
      <c r="A314" s="45">
        <f>IFERROR(__xludf.DUMMYFUNCTION("""COMPUTED_VALUE"""),"Colombo")</f>
        <v/>
      </c>
      <c r="B314" s="45" t="n"/>
      <c r="C314" s="45">
        <f>IFERROR(__xludf.DUMMYFUNCTION("""COMPUTED_VALUE"""),3254506)</f>
        <v/>
      </c>
      <c r="D314" s="45" t="n"/>
      <c r="E314" s="45">
        <f>IFERROR(__xludf.DUMMYFUNCTION("""COMPUTED_VALUE"""),"CFS")</f>
        <v/>
      </c>
      <c r="F314" s="45">
        <f>IFERROR(__xludf.DUMMYFUNCTION("""COMPUTED_VALUE"""),"Bodyline Trading (Private) Limited")</f>
        <v/>
      </c>
      <c r="G314" s="45">
        <f>IFERROR(__xludf.DUMMYFUNCTION("""COMPUTED_VALUE"""),"Bodyline (Private) Limited")</f>
        <v/>
      </c>
      <c r="H314" s="43">
        <f>IFERROR(__xludf.DUMMYFUNCTION("""COMPUTED_VALUE"""),452736795357)</f>
        <v/>
      </c>
      <c r="I314" s="45">
        <f>IFERROR(__xludf.DUMMYFUNCTION("""COMPUTED_VALUE"""),19878808)</f>
        <v/>
      </c>
      <c r="J314" s="45">
        <f>IFERROR(__xludf.DUMMYFUNCTION("""COMPUTED_VALUE"""),"LW2DQ0S")</f>
        <v/>
      </c>
      <c r="K314" s="45">
        <f>IFERROR(__xludf.DUMMYFUNCTION("""COMPUTED_VALUE"""),"LW2DQ0S-049106")</f>
        <v/>
      </c>
      <c r="L314" s="45">
        <f>IFERROR(__xludf.DUMMYFUNCTION("""COMPUTED_VALUE"""),6)</f>
        <v/>
      </c>
      <c r="M314" s="45">
        <f>IFERROR(__xludf.DUMMYFUNCTION("""COMPUTED_VALUE"""),272)</f>
        <v/>
      </c>
      <c r="N314" s="45">
        <f>IFERROR(__xludf.DUMMYFUNCTION("""COMPUTED_VALUE"""),33.176)</f>
        <v/>
      </c>
      <c r="O314" s="45">
        <f>IFERROR(__xludf.DUMMYFUNCTION("""COMPUTED_VALUE"""),0.447)</f>
        <v/>
      </c>
      <c r="P314" s="45">
        <f>IFERROR(__xludf.DUMMYFUNCTION("""COMPUTED_VALUE"""),"Colombo, LK")</f>
        <v/>
      </c>
      <c r="Q314" s="45">
        <f>IFERROR(__xludf.DUMMYFUNCTION("""COMPUTED_VALUE"""),"New York, NY, US")</f>
        <v/>
      </c>
      <c r="R314" s="44">
        <f>IFERROR(__xludf.DUMMYFUNCTION("""COMPUTED_VALUE"""),45824)</f>
        <v/>
      </c>
      <c r="S314" s="44">
        <f>IFERROR(__xludf.DUMMYFUNCTION("""COMPUTED_VALUE"""),45883)</f>
        <v/>
      </c>
      <c r="T314" s="45">
        <f>IFERROR(__xludf.DUMMYFUNCTION("""COMPUTED_VALUE"""),"Mississauga, ON, CA")</f>
        <v/>
      </c>
      <c r="U314" s="45" t="n"/>
      <c r="V314" s="45" t="n"/>
      <c r="W314" s="45" t="n"/>
      <c r="X314" s="45" t="n"/>
      <c r="Y314" s="46">
        <f>IFERROR(__xludf.DUMMYFUNCTION("""COMPUTED_VALUE"""),45832)</f>
        <v/>
      </c>
      <c r="Z314" s="46">
        <f>IFERROR(__xludf.DUMMYFUNCTION("""COMPUTED_VALUE"""),45861)</f>
        <v/>
      </c>
      <c r="AA314" s="46">
        <f>IFERROR(__xludf.DUMMYFUNCTION("""COMPUTED_VALUE"""),45874)</f>
        <v/>
      </c>
      <c r="AB314" s="45">
        <f>IFERROR(__xludf.DUMMYFUNCTION("""COMPUTED_VALUE"""),"3500 Argentia Road")</f>
        <v/>
      </c>
      <c r="AC314" s="45" t="n"/>
      <c r="AD314" s="45">
        <f>IFERROR(__xludf.DUMMYFUNCTION("""COMPUTED_VALUE"""),"OCEAN")</f>
        <v/>
      </c>
      <c r="AE314" s="45">
        <f>IFERROR(__xludf.DUMMYFUNCTION("""COMPUTED_VALUE"""),"N")</f>
        <v/>
      </c>
      <c r="AF314" s="45" t="n"/>
      <c r="AG314" s="49">
        <f>IFERROR(__xludf.DUMMYFUNCTION("IFNA(vlookup(H314,IMPORTRANGE(""1vUGwO1n0QQGx9kKbO0_M5gmuhXZ6-LaxQxgrmJnzgP0"",""'TP# look up'!A:C""),3,0),"""")"),"")</f>
        <v/>
      </c>
      <c r="AH314" s="49">
        <f>LEFT(J314,2)</f>
        <v/>
      </c>
    </row>
    <row r="315" hidden="1" ht="12.75" customHeight="1">
      <c r="A315" s="45">
        <f>IFERROR(__xludf.DUMMYFUNCTION("""COMPUTED_VALUE"""),"Colombo")</f>
        <v/>
      </c>
      <c r="B315" s="45" t="n"/>
      <c r="C315" s="45">
        <f>IFERROR(__xludf.DUMMYFUNCTION("""COMPUTED_VALUE"""),3254506)</f>
        <v/>
      </c>
      <c r="D315" s="45" t="n"/>
      <c r="E315" s="45">
        <f>IFERROR(__xludf.DUMMYFUNCTION("""COMPUTED_VALUE"""),"CFS")</f>
        <v/>
      </c>
      <c r="F315" s="45">
        <f>IFERROR(__xludf.DUMMYFUNCTION("""COMPUTED_VALUE"""),"Bodyline Trading (Private) Limited")</f>
        <v/>
      </c>
      <c r="G315" s="45">
        <f>IFERROR(__xludf.DUMMYFUNCTION("""COMPUTED_VALUE"""),"Bodyline (Private) Limited")</f>
        <v/>
      </c>
      <c r="H315" s="43">
        <f>IFERROR(__xludf.DUMMYFUNCTION("""COMPUTED_VALUE"""),452737645478)</f>
        <v/>
      </c>
      <c r="I315" s="45">
        <f>IFERROR(__xludf.DUMMYFUNCTION("""COMPUTED_VALUE"""),19878588)</f>
        <v/>
      </c>
      <c r="J315" s="45">
        <f>IFERROR(__xludf.DUMMYFUNCTION("""COMPUTED_VALUE"""),"LW2DQ0S")</f>
        <v/>
      </c>
      <c r="K315" s="45">
        <f>IFERROR(__xludf.DUMMYFUNCTION("""COMPUTED_VALUE"""),"LW2DQ0S-031382")</f>
        <v/>
      </c>
      <c r="L315" s="45">
        <f>IFERROR(__xludf.DUMMYFUNCTION("""COMPUTED_VALUE"""),3)</f>
        <v/>
      </c>
      <c r="M315" s="45">
        <f>IFERROR(__xludf.DUMMYFUNCTION("""COMPUTED_VALUE"""),118)</f>
        <v/>
      </c>
      <c r="N315" s="45">
        <f>IFERROR(__xludf.DUMMYFUNCTION("""COMPUTED_VALUE"""),14.82)</f>
        <v/>
      </c>
      <c r="O315" s="45">
        <f>IFERROR(__xludf.DUMMYFUNCTION("""COMPUTED_VALUE"""),0.205)</f>
        <v/>
      </c>
      <c r="P315" s="45">
        <f>IFERROR(__xludf.DUMMYFUNCTION("""COMPUTED_VALUE"""),"Colombo, LK")</f>
        <v/>
      </c>
      <c r="Q315" s="45">
        <f>IFERROR(__xludf.DUMMYFUNCTION("""COMPUTED_VALUE"""),"New York, NY, US")</f>
        <v/>
      </c>
      <c r="R315" s="44">
        <f>IFERROR(__xludf.DUMMYFUNCTION("""COMPUTED_VALUE"""),45824)</f>
        <v/>
      </c>
      <c r="S315" s="44">
        <f>IFERROR(__xludf.DUMMYFUNCTION("""COMPUTED_VALUE"""),45883)</f>
        <v/>
      </c>
      <c r="T315" s="45">
        <f>IFERROR(__xludf.DUMMYFUNCTION("""COMPUTED_VALUE"""),"Mississauga, ON, CA")</f>
        <v/>
      </c>
      <c r="U315" s="45" t="n"/>
      <c r="V315" s="45" t="n"/>
      <c r="W315" s="45" t="n"/>
      <c r="X315" s="45" t="n"/>
      <c r="Y315" s="46">
        <f>IFERROR(__xludf.DUMMYFUNCTION("""COMPUTED_VALUE"""),45832)</f>
        <v/>
      </c>
      <c r="Z315" s="46">
        <f>IFERROR(__xludf.DUMMYFUNCTION("""COMPUTED_VALUE"""),45861)</f>
        <v/>
      </c>
      <c r="AA315" s="46">
        <f>IFERROR(__xludf.DUMMYFUNCTION("""COMPUTED_VALUE"""),45874)</f>
        <v/>
      </c>
      <c r="AB315" s="45">
        <f>IFERROR(__xludf.DUMMYFUNCTION("""COMPUTED_VALUE"""),"3500 Argentia Road")</f>
        <v/>
      </c>
      <c r="AC315" s="45" t="n"/>
      <c r="AD315" s="45">
        <f>IFERROR(__xludf.DUMMYFUNCTION("""COMPUTED_VALUE"""),"OCEAN")</f>
        <v/>
      </c>
      <c r="AE315" s="45">
        <f>IFERROR(__xludf.DUMMYFUNCTION("""COMPUTED_VALUE"""),"N")</f>
        <v/>
      </c>
      <c r="AF315" s="45" t="n"/>
      <c r="AG315" s="49">
        <f>IFERROR(__xludf.DUMMYFUNCTION("IFNA(vlookup(H315,IMPORTRANGE(""1vUGwO1n0QQGx9kKbO0_M5gmuhXZ6-LaxQxgrmJnzgP0"",""'TP# look up'!A:C""),3,0),"""")"),"")</f>
        <v/>
      </c>
      <c r="AH315" s="49">
        <f>LEFT(J315,2)</f>
        <v/>
      </c>
    </row>
    <row r="316" hidden="1" ht="12.75" customHeight="1">
      <c r="A316" s="45">
        <f>IFERROR(__xludf.DUMMYFUNCTION("""COMPUTED_VALUE"""),"Colombo")</f>
        <v/>
      </c>
      <c r="B316" s="45" t="n"/>
      <c r="C316" s="45">
        <f>IFERROR(__xludf.DUMMYFUNCTION("""COMPUTED_VALUE"""),3254506)</f>
        <v/>
      </c>
      <c r="D316" s="45" t="n"/>
      <c r="E316" s="45">
        <f>IFERROR(__xludf.DUMMYFUNCTION("""COMPUTED_VALUE"""),"CFS")</f>
        <v/>
      </c>
      <c r="F316" s="45">
        <f>IFERROR(__xludf.DUMMYFUNCTION("""COMPUTED_VALUE"""),"Bodyline Trading (Private) Limited")</f>
        <v/>
      </c>
      <c r="G316" s="45">
        <f>IFERROR(__xludf.DUMMYFUNCTION("""COMPUTED_VALUE"""),"Bodyline (Private) Limited")</f>
        <v/>
      </c>
      <c r="H316" s="43">
        <f>IFERROR(__xludf.DUMMYFUNCTION("""COMPUTED_VALUE"""),452738863860)</f>
        <v/>
      </c>
      <c r="I316" s="45">
        <f>IFERROR(__xludf.DUMMYFUNCTION("""COMPUTED_VALUE"""),19878816)</f>
        <v/>
      </c>
      <c r="J316" s="45">
        <f>IFERROR(__xludf.DUMMYFUNCTION("""COMPUTED_VALUE"""),"LW2DQ0S")</f>
        <v/>
      </c>
      <c r="K316" s="45">
        <f>IFERROR(__xludf.DUMMYFUNCTION("""COMPUTED_VALUE"""),"LW2DQ0S-031382")</f>
        <v/>
      </c>
      <c r="L316" s="45">
        <f>IFERROR(__xludf.DUMMYFUNCTION("""COMPUTED_VALUE"""),6)</f>
        <v/>
      </c>
      <c r="M316" s="45">
        <f>IFERROR(__xludf.DUMMYFUNCTION("""COMPUTED_VALUE"""),247)</f>
        <v/>
      </c>
      <c r="N316" s="45">
        <f>IFERROR(__xludf.DUMMYFUNCTION("""COMPUTED_VALUE"""),30.482)</f>
        <v/>
      </c>
      <c r="O316" s="45">
        <f>IFERROR(__xludf.DUMMYFUNCTION("""COMPUTED_VALUE"""),0.41)</f>
        <v/>
      </c>
      <c r="P316" s="45">
        <f>IFERROR(__xludf.DUMMYFUNCTION("""COMPUTED_VALUE"""),"Colombo, LK")</f>
        <v/>
      </c>
      <c r="Q316" s="45">
        <f>IFERROR(__xludf.DUMMYFUNCTION("""COMPUTED_VALUE"""),"New York, NY, US")</f>
        <v/>
      </c>
      <c r="R316" s="44">
        <f>IFERROR(__xludf.DUMMYFUNCTION("""COMPUTED_VALUE"""),45824)</f>
        <v/>
      </c>
      <c r="S316" s="44">
        <f>IFERROR(__xludf.DUMMYFUNCTION("""COMPUTED_VALUE"""),45883)</f>
        <v/>
      </c>
      <c r="T316" s="45">
        <f>IFERROR(__xludf.DUMMYFUNCTION("""COMPUTED_VALUE"""),"Mississauga, ON, CA")</f>
        <v/>
      </c>
      <c r="U316" s="45" t="n"/>
      <c r="V316" s="45" t="n"/>
      <c r="W316" s="45" t="n"/>
      <c r="X316" s="45" t="n"/>
      <c r="Y316" s="46">
        <f>IFERROR(__xludf.DUMMYFUNCTION("""COMPUTED_VALUE"""),45832)</f>
        <v/>
      </c>
      <c r="Z316" s="46">
        <f>IFERROR(__xludf.DUMMYFUNCTION("""COMPUTED_VALUE"""),45861)</f>
        <v/>
      </c>
      <c r="AA316" s="46">
        <f>IFERROR(__xludf.DUMMYFUNCTION("""COMPUTED_VALUE"""),45874)</f>
        <v/>
      </c>
      <c r="AB316" s="45">
        <f>IFERROR(__xludf.DUMMYFUNCTION("""COMPUTED_VALUE"""),"3500 Argentia Road")</f>
        <v/>
      </c>
      <c r="AC316" s="45" t="n"/>
      <c r="AD316" s="45">
        <f>IFERROR(__xludf.DUMMYFUNCTION("""COMPUTED_VALUE"""),"OCEAN")</f>
        <v/>
      </c>
      <c r="AE316" s="45">
        <f>IFERROR(__xludf.DUMMYFUNCTION("""COMPUTED_VALUE"""),"N")</f>
        <v/>
      </c>
      <c r="AF316" s="45" t="n"/>
      <c r="AG316" s="49">
        <f>IFERROR(__xludf.DUMMYFUNCTION("IFNA(vlookup(H316,IMPORTRANGE(""1vUGwO1n0QQGx9kKbO0_M5gmuhXZ6-LaxQxgrmJnzgP0"",""'TP# look up'!A:C""),3,0),"""")"),"")</f>
        <v/>
      </c>
      <c r="AH316" s="49">
        <f>LEFT(J316,2)</f>
        <v/>
      </c>
    </row>
    <row r="317" hidden="1" ht="12.75" customHeight="1">
      <c r="A317" s="45">
        <f>IFERROR(__xludf.DUMMYFUNCTION("""COMPUTED_VALUE"""),"Colombo")</f>
        <v/>
      </c>
      <c r="B317" s="45" t="n"/>
      <c r="C317" s="45">
        <f>IFERROR(__xludf.DUMMYFUNCTION("""COMPUTED_VALUE"""),3254506)</f>
        <v/>
      </c>
      <c r="D317" s="45" t="n"/>
      <c r="E317" s="45">
        <f>IFERROR(__xludf.DUMMYFUNCTION("""COMPUTED_VALUE"""),"CFS")</f>
        <v/>
      </c>
      <c r="F317" s="45">
        <f>IFERROR(__xludf.DUMMYFUNCTION("""COMPUTED_VALUE"""),"Bodyline Trading (Private) Limited")</f>
        <v/>
      </c>
      <c r="G317" s="45">
        <f>IFERROR(__xludf.DUMMYFUNCTION("""COMPUTED_VALUE"""),"Bodyline (Private) Limited")</f>
        <v/>
      </c>
      <c r="H317" s="43">
        <f>IFERROR(__xludf.DUMMYFUNCTION("""COMPUTED_VALUE"""),452740193164)</f>
        <v/>
      </c>
      <c r="I317" s="45">
        <f>IFERROR(__xludf.DUMMYFUNCTION("""COMPUTED_VALUE"""),19878609)</f>
        <v/>
      </c>
      <c r="J317" s="45">
        <f>IFERROR(__xludf.DUMMYFUNCTION("""COMPUTED_VALUE"""),"LW2DQ0S")</f>
        <v/>
      </c>
      <c r="K317" s="45">
        <f>IFERROR(__xludf.DUMMYFUNCTION("""COMPUTED_VALUE"""),"LW2DQ0S-041179")</f>
        <v/>
      </c>
      <c r="L317" s="45">
        <f>IFERROR(__xludf.DUMMYFUNCTION("""COMPUTED_VALUE"""),4)</f>
        <v/>
      </c>
      <c r="M317" s="45">
        <f>IFERROR(__xludf.DUMMYFUNCTION("""COMPUTED_VALUE"""),146)</f>
        <v/>
      </c>
      <c r="N317" s="45">
        <f>IFERROR(__xludf.DUMMYFUNCTION("""COMPUTED_VALUE"""),18.641)</f>
        <v/>
      </c>
      <c r="O317" s="45">
        <f>IFERROR(__xludf.DUMMYFUNCTION("""COMPUTED_VALUE"""),0.285)</f>
        <v/>
      </c>
      <c r="P317" s="45">
        <f>IFERROR(__xludf.DUMMYFUNCTION("""COMPUTED_VALUE"""),"Colombo, LK")</f>
        <v/>
      </c>
      <c r="Q317" s="45">
        <f>IFERROR(__xludf.DUMMYFUNCTION("""COMPUTED_VALUE"""),"New York, NY, US")</f>
        <v/>
      </c>
      <c r="R317" s="44">
        <f>IFERROR(__xludf.DUMMYFUNCTION("""COMPUTED_VALUE"""),45824)</f>
        <v/>
      </c>
      <c r="S317" s="44">
        <f>IFERROR(__xludf.DUMMYFUNCTION("""COMPUTED_VALUE"""),45883)</f>
        <v/>
      </c>
      <c r="T317" s="45">
        <f>IFERROR(__xludf.DUMMYFUNCTION("""COMPUTED_VALUE"""),"Mississauga, ON, CA")</f>
        <v/>
      </c>
      <c r="U317" s="45" t="n"/>
      <c r="V317" s="45" t="n"/>
      <c r="W317" s="45" t="n"/>
      <c r="X317" s="45" t="n"/>
      <c r="Y317" s="46">
        <f>IFERROR(__xludf.DUMMYFUNCTION("""COMPUTED_VALUE"""),45832)</f>
        <v/>
      </c>
      <c r="Z317" s="46">
        <f>IFERROR(__xludf.DUMMYFUNCTION("""COMPUTED_VALUE"""),45861)</f>
        <v/>
      </c>
      <c r="AA317" s="46">
        <f>IFERROR(__xludf.DUMMYFUNCTION("""COMPUTED_VALUE"""),45874)</f>
        <v/>
      </c>
      <c r="AB317" s="45">
        <f>IFERROR(__xludf.DUMMYFUNCTION("""COMPUTED_VALUE"""),"3500 Argentia Road")</f>
        <v/>
      </c>
      <c r="AC317" s="45" t="n"/>
      <c r="AD317" s="45">
        <f>IFERROR(__xludf.DUMMYFUNCTION("""COMPUTED_VALUE"""),"OCEAN")</f>
        <v/>
      </c>
      <c r="AE317" s="45">
        <f>IFERROR(__xludf.DUMMYFUNCTION("""COMPUTED_VALUE"""),"N")</f>
        <v/>
      </c>
      <c r="AF317" s="45" t="n"/>
      <c r="AG317" s="49">
        <f>IFERROR(__xludf.DUMMYFUNCTION("IFNA(vlookup(H317,IMPORTRANGE(""1vUGwO1n0QQGx9kKbO0_M5gmuhXZ6-LaxQxgrmJnzgP0"",""'TP# look up'!A:C""),3,0),"""")"),"")</f>
        <v/>
      </c>
      <c r="AH317" s="49">
        <f>LEFT(J317,2)</f>
        <v/>
      </c>
    </row>
    <row r="318" hidden="1" ht="12.75" customHeight="1">
      <c r="A318" s="45">
        <f>IFERROR(__xludf.DUMMYFUNCTION("""COMPUTED_VALUE"""),"Colombo")</f>
        <v/>
      </c>
      <c r="B318" s="45" t="n"/>
      <c r="C318" s="45">
        <f>IFERROR(__xludf.DUMMYFUNCTION("""COMPUTED_VALUE"""),3254506)</f>
        <v/>
      </c>
      <c r="D318" s="45" t="n"/>
      <c r="E318" s="45">
        <f>IFERROR(__xludf.DUMMYFUNCTION("""COMPUTED_VALUE"""),"CFS")</f>
        <v/>
      </c>
      <c r="F318" s="45">
        <f>IFERROR(__xludf.DUMMYFUNCTION("""COMPUTED_VALUE"""),"Bodyline Trading (Private) Limited")</f>
        <v/>
      </c>
      <c r="G318" s="45">
        <f>IFERROR(__xludf.DUMMYFUNCTION("""COMPUTED_VALUE"""),"Bodyline (Private) Limited")</f>
        <v/>
      </c>
      <c r="H318" s="43">
        <f>IFERROR(__xludf.DUMMYFUNCTION("""COMPUTED_VALUE"""),452740193438)</f>
        <v/>
      </c>
      <c r="I318" s="45">
        <f>IFERROR(__xludf.DUMMYFUNCTION("""COMPUTED_VALUE"""),19878607)</f>
        <v/>
      </c>
      <c r="J318" s="45">
        <f>IFERROR(__xludf.DUMMYFUNCTION("""COMPUTED_VALUE"""),"LW2DQ0S")</f>
        <v/>
      </c>
      <c r="K318" s="45">
        <f>IFERROR(__xludf.DUMMYFUNCTION("""COMPUTED_VALUE"""),"LW2DQ0S-041179")</f>
        <v/>
      </c>
      <c r="L318" s="45">
        <f>IFERROR(__xludf.DUMMYFUNCTION("""COMPUTED_VALUE"""),11)</f>
        <v/>
      </c>
      <c r="M318" s="45">
        <f>IFERROR(__xludf.DUMMYFUNCTION("""COMPUTED_VALUE"""),716)</f>
        <v/>
      </c>
      <c r="N318" s="45">
        <f>IFERROR(__xludf.DUMMYFUNCTION("""COMPUTED_VALUE"""),83.268)</f>
        <v/>
      </c>
      <c r="O318" s="45">
        <f>IFERROR(__xludf.DUMMYFUNCTION("""COMPUTED_VALUE"""),0.886)</f>
        <v/>
      </c>
      <c r="P318" s="45">
        <f>IFERROR(__xludf.DUMMYFUNCTION("""COMPUTED_VALUE"""),"Colombo, LK")</f>
        <v/>
      </c>
      <c r="Q318" s="45">
        <f>IFERROR(__xludf.DUMMYFUNCTION("""COMPUTED_VALUE"""),"New York, NY, US")</f>
        <v/>
      </c>
      <c r="R318" s="44">
        <f>IFERROR(__xludf.DUMMYFUNCTION("""COMPUTED_VALUE"""),45824)</f>
        <v/>
      </c>
      <c r="S318" s="44">
        <f>IFERROR(__xludf.DUMMYFUNCTION("""COMPUTED_VALUE"""),45883)</f>
        <v/>
      </c>
      <c r="T318" s="45">
        <f>IFERROR(__xludf.DUMMYFUNCTION("""COMPUTED_VALUE"""),"Milton, ON, CA")</f>
        <v/>
      </c>
      <c r="U318" s="45" t="n"/>
      <c r="V318" s="45" t="n"/>
      <c r="W318" s="45" t="n"/>
      <c r="X318" s="45" t="n"/>
      <c r="Y318" s="46">
        <f>IFERROR(__xludf.DUMMYFUNCTION("""COMPUTED_VALUE"""),45832)</f>
        <v/>
      </c>
      <c r="Z318" s="46">
        <f>IFERROR(__xludf.DUMMYFUNCTION("""COMPUTED_VALUE"""),45861)</f>
        <v/>
      </c>
      <c r="AA318" s="46">
        <f>IFERROR(__xludf.DUMMYFUNCTION("""COMPUTED_VALUE"""),45874)</f>
        <v/>
      </c>
      <c r="AB318" s="45">
        <f>IFERROR(__xludf.DUMMYFUNCTION("""COMPUTED_VALUE"""),"7211 Fifth Line")</f>
        <v/>
      </c>
      <c r="AC318" s="45" t="n"/>
      <c r="AD318" s="45">
        <f>IFERROR(__xludf.DUMMYFUNCTION("""COMPUTED_VALUE"""),"OCEAN")</f>
        <v/>
      </c>
      <c r="AE318" s="45">
        <f>IFERROR(__xludf.DUMMYFUNCTION("""COMPUTED_VALUE"""),"N")</f>
        <v/>
      </c>
      <c r="AF318" s="45" t="n"/>
      <c r="AG318" s="49">
        <f>IFERROR(__xludf.DUMMYFUNCTION("IFNA(vlookup(H318,IMPORTRANGE(""1vUGwO1n0QQGx9kKbO0_M5gmuhXZ6-LaxQxgrmJnzgP0"",""'TP# look up'!A:C""),3,0),"""")"),"")</f>
        <v/>
      </c>
      <c r="AH318" s="49">
        <f>LEFT(J318,2)</f>
        <v/>
      </c>
    </row>
    <row r="319" hidden="1" ht="12.75" customHeight="1">
      <c r="A319" s="45">
        <f>IFERROR(__xludf.DUMMYFUNCTION("""COMPUTED_VALUE"""),"Colombo")</f>
        <v/>
      </c>
      <c r="B319" s="45" t="n"/>
      <c r="C319" s="45">
        <f>IFERROR(__xludf.DUMMYFUNCTION("""COMPUTED_VALUE"""),3254506)</f>
        <v/>
      </c>
      <c r="D319" s="45" t="n"/>
      <c r="E319" s="45">
        <f>IFERROR(__xludf.DUMMYFUNCTION("""COMPUTED_VALUE"""),"CFS")</f>
        <v/>
      </c>
      <c r="F319" s="45">
        <f>IFERROR(__xludf.DUMMYFUNCTION("""COMPUTED_VALUE"""),"Bodyline Trading (Private) Limited")</f>
        <v/>
      </c>
      <c r="G319" s="45">
        <f>IFERROR(__xludf.DUMMYFUNCTION("""COMPUTED_VALUE"""),"Bodyline (Private) Limited")</f>
        <v/>
      </c>
      <c r="H319" s="43">
        <f>IFERROR(__xludf.DUMMYFUNCTION("""COMPUTED_VALUE"""),452741267767)</f>
        <v/>
      </c>
      <c r="I319" s="45">
        <f>IFERROR(__xludf.DUMMYFUNCTION("""COMPUTED_VALUE"""),19878827)</f>
        <v/>
      </c>
      <c r="J319" s="45">
        <f>IFERROR(__xludf.DUMMYFUNCTION("""COMPUTED_VALUE"""),"LW2DQ0S")</f>
        <v/>
      </c>
      <c r="K319" s="45">
        <f>IFERROR(__xludf.DUMMYFUNCTION("""COMPUTED_VALUE"""),"LW2DQ0S-041179")</f>
        <v/>
      </c>
      <c r="L319" s="45">
        <f>IFERROR(__xludf.DUMMYFUNCTION("""COMPUTED_VALUE"""),6)</f>
        <v/>
      </c>
      <c r="M319" s="45">
        <f>IFERROR(__xludf.DUMMYFUNCTION("""COMPUTED_VALUE"""),272)</f>
        <v/>
      </c>
      <c r="N319" s="45">
        <f>IFERROR(__xludf.DUMMYFUNCTION("""COMPUTED_VALUE"""),33.188)</f>
        <v/>
      </c>
      <c r="O319" s="45">
        <f>IFERROR(__xludf.DUMMYFUNCTION("""COMPUTED_VALUE"""),0.447)</f>
        <v/>
      </c>
      <c r="P319" s="45">
        <f>IFERROR(__xludf.DUMMYFUNCTION("""COMPUTED_VALUE"""),"Colombo, LK")</f>
        <v/>
      </c>
      <c r="Q319" s="45">
        <f>IFERROR(__xludf.DUMMYFUNCTION("""COMPUTED_VALUE"""),"New York, NY, US")</f>
        <v/>
      </c>
      <c r="R319" s="44">
        <f>IFERROR(__xludf.DUMMYFUNCTION("""COMPUTED_VALUE"""),45824)</f>
        <v/>
      </c>
      <c r="S319" s="44">
        <f>IFERROR(__xludf.DUMMYFUNCTION("""COMPUTED_VALUE"""),45883)</f>
        <v/>
      </c>
      <c r="T319" s="45">
        <f>IFERROR(__xludf.DUMMYFUNCTION("""COMPUTED_VALUE"""),"Mississauga, ON, CA")</f>
        <v/>
      </c>
      <c r="U319" s="45" t="n"/>
      <c r="V319" s="45" t="n"/>
      <c r="W319" s="45" t="n"/>
      <c r="X319" s="45" t="n"/>
      <c r="Y319" s="46">
        <f>IFERROR(__xludf.DUMMYFUNCTION("""COMPUTED_VALUE"""),45832)</f>
        <v/>
      </c>
      <c r="Z319" s="46">
        <f>IFERROR(__xludf.DUMMYFUNCTION("""COMPUTED_VALUE"""),45861)</f>
        <v/>
      </c>
      <c r="AA319" s="46">
        <f>IFERROR(__xludf.DUMMYFUNCTION("""COMPUTED_VALUE"""),45874)</f>
        <v/>
      </c>
      <c r="AB319" s="45">
        <f>IFERROR(__xludf.DUMMYFUNCTION("""COMPUTED_VALUE"""),"3500 Argentia Road")</f>
        <v/>
      </c>
      <c r="AC319" s="45" t="n"/>
      <c r="AD319" s="45">
        <f>IFERROR(__xludf.DUMMYFUNCTION("""COMPUTED_VALUE"""),"OCEAN")</f>
        <v/>
      </c>
      <c r="AE319" s="45">
        <f>IFERROR(__xludf.DUMMYFUNCTION("""COMPUTED_VALUE"""),"N")</f>
        <v/>
      </c>
      <c r="AF319" s="45" t="n"/>
      <c r="AG319" s="49">
        <f>IFERROR(__xludf.DUMMYFUNCTION("IFNA(vlookup(H319,IMPORTRANGE(""1vUGwO1n0QQGx9kKbO0_M5gmuhXZ6-LaxQxgrmJnzgP0"",""'TP# look up'!A:C""),3,0),"""")"),"")</f>
        <v/>
      </c>
      <c r="AH319" s="49">
        <f>LEFT(J319,2)</f>
        <v/>
      </c>
    </row>
    <row r="320" hidden="1" ht="12.75" customHeight="1">
      <c r="A320" s="45">
        <f>IFERROR(__xludf.DUMMYFUNCTION("""COMPUTED_VALUE"""),"Colombo")</f>
        <v/>
      </c>
      <c r="B320" s="45" t="n"/>
      <c r="C320" s="45">
        <f>IFERROR(__xludf.DUMMYFUNCTION("""COMPUTED_VALUE"""),3254506)</f>
        <v/>
      </c>
      <c r="D320" s="45" t="n"/>
      <c r="E320" s="45">
        <f>IFERROR(__xludf.DUMMYFUNCTION("""COMPUTED_VALUE"""),"CFS")</f>
        <v/>
      </c>
      <c r="F320" s="45">
        <f>IFERROR(__xludf.DUMMYFUNCTION("""COMPUTED_VALUE"""),"Bodyline Trading (Private) Limited")</f>
        <v/>
      </c>
      <c r="G320" s="45">
        <f>IFERROR(__xludf.DUMMYFUNCTION("""COMPUTED_VALUE"""),"Bodyline (Private) Limited")</f>
        <v/>
      </c>
      <c r="H320" s="43">
        <f>IFERROR(__xludf.DUMMYFUNCTION("""COMPUTED_VALUE"""),452742081047)</f>
        <v/>
      </c>
      <c r="I320" s="45">
        <f>IFERROR(__xludf.DUMMYFUNCTION("""COMPUTED_VALUE"""),19878360)</f>
        <v/>
      </c>
      <c r="J320" s="45">
        <f>IFERROR(__xludf.DUMMYFUNCTION("""COMPUTED_VALUE"""),"LW2731S")</f>
        <v/>
      </c>
      <c r="K320" s="45">
        <f>IFERROR(__xludf.DUMMYFUNCTION("""COMPUTED_VALUE"""),"LW2731S-0002")</f>
        <v/>
      </c>
      <c r="L320" s="45">
        <f>IFERROR(__xludf.DUMMYFUNCTION("""COMPUTED_VALUE"""),4)</f>
        <v/>
      </c>
      <c r="M320" s="45">
        <f>IFERROR(__xludf.DUMMYFUNCTION("""COMPUTED_VALUE"""),165)</f>
        <v/>
      </c>
      <c r="N320" s="45">
        <f>IFERROR(__xludf.DUMMYFUNCTION("""COMPUTED_VALUE"""),18.219)</f>
        <v/>
      </c>
      <c r="O320" s="45">
        <f>IFERROR(__xludf.DUMMYFUNCTION("""COMPUTED_VALUE"""),0.322)</f>
        <v/>
      </c>
      <c r="P320" s="45">
        <f>IFERROR(__xludf.DUMMYFUNCTION("""COMPUTED_VALUE"""),"Colombo, LK")</f>
        <v/>
      </c>
      <c r="Q320" s="45">
        <f>IFERROR(__xludf.DUMMYFUNCTION("""COMPUTED_VALUE"""),"New York, NY, US")</f>
        <v/>
      </c>
      <c r="R320" s="44">
        <f>IFERROR(__xludf.DUMMYFUNCTION("""COMPUTED_VALUE"""),45824)</f>
        <v/>
      </c>
      <c r="S320" s="44">
        <f>IFERROR(__xludf.DUMMYFUNCTION("""COMPUTED_VALUE"""),45883)</f>
        <v/>
      </c>
      <c r="T320" s="45">
        <f>IFERROR(__xludf.DUMMYFUNCTION("""COMPUTED_VALUE"""),"Mississauga, ON, CA")</f>
        <v/>
      </c>
      <c r="U320" s="45" t="n"/>
      <c r="V320" s="45" t="n"/>
      <c r="W320" s="45" t="n"/>
      <c r="X320" s="45" t="n"/>
      <c r="Y320" s="46">
        <f>IFERROR(__xludf.DUMMYFUNCTION("""COMPUTED_VALUE"""),45832)</f>
        <v/>
      </c>
      <c r="Z320" s="46">
        <f>IFERROR(__xludf.DUMMYFUNCTION("""COMPUTED_VALUE"""),45861)</f>
        <v/>
      </c>
      <c r="AA320" s="46">
        <f>IFERROR(__xludf.DUMMYFUNCTION("""COMPUTED_VALUE"""),45874)</f>
        <v/>
      </c>
      <c r="AB320" s="45">
        <f>IFERROR(__xludf.DUMMYFUNCTION("""COMPUTED_VALUE"""),"3500 Argentia Road")</f>
        <v/>
      </c>
      <c r="AC320" s="45" t="n"/>
      <c r="AD320" s="45">
        <f>IFERROR(__xludf.DUMMYFUNCTION("""COMPUTED_VALUE"""),"OCEAN")</f>
        <v/>
      </c>
      <c r="AE320" s="45">
        <f>IFERROR(__xludf.DUMMYFUNCTION("""COMPUTED_VALUE"""),"N")</f>
        <v/>
      </c>
      <c r="AF320" s="45" t="n"/>
      <c r="AG320" s="49">
        <f>IFERROR(__xludf.DUMMYFUNCTION("IFNA(vlookup(H320,IMPORTRANGE(""1vUGwO1n0QQGx9kKbO0_M5gmuhXZ6-LaxQxgrmJnzgP0"",""'TP# look up'!A:C""),3,0),"""")"),"")</f>
        <v/>
      </c>
      <c r="AH320" s="49">
        <f>LEFT(J320,2)</f>
        <v/>
      </c>
    </row>
    <row r="321" hidden="1" ht="12.75" customHeight="1">
      <c r="A321" s="45">
        <f>IFERROR(__xludf.DUMMYFUNCTION("""COMPUTED_VALUE"""),"Colombo")</f>
        <v/>
      </c>
      <c r="B321" s="45" t="n"/>
      <c r="C321" s="45">
        <f>IFERROR(__xludf.DUMMYFUNCTION("""COMPUTED_VALUE"""),3254506)</f>
        <v/>
      </c>
      <c r="D321" s="45" t="n"/>
      <c r="E321" s="45">
        <f>IFERROR(__xludf.DUMMYFUNCTION("""COMPUTED_VALUE"""),"CFS")</f>
        <v/>
      </c>
      <c r="F321" s="45">
        <f>IFERROR(__xludf.DUMMYFUNCTION("""COMPUTED_VALUE"""),"Bodyline Trading (Private) Limited")</f>
        <v/>
      </c>
      <c r="G321" s="45">
        <f>IFERROR(__xludf.DUMMYFUNCTION("""COMPUTED_VALUE"""),"Bodyline (Private) Limited")</f>
        <v/>
      </c>
      <c r="H321" s="43">
        <f>IFERROR(__xludf.DUMMYFUNCTION("""COMPUTED_VALUE"""),452743736213)</f>
        <v/>
      </c>
      <c r="I321" s="45">
        <f>IFERROR(__xludf.DUMMYFUNCTION("""COMPUTED_VALUE"""),19877462)</f>
        <v/>
      </c>
      <c r="J321" s="45">
        <f>IFERROR(__xludf.DUMMYFUNCTION("""COMPUTED_VALUE"""),"LW9DC3S")</f>
        <v/>
      </c>
      <c r="K321" s="45">
        <f>IFERROR(__xludf.DUMMYFUNCTION("""COMPUTED_VALUE"""),"LW9DC3S-068971")</f>
        <v/>
      </c>
      <c r="L321" s="45">
        <f>IFERROR(__xludf.DUMMYFUNCTION("""COMPUTED_VALUE"""),3)</f>
        <v/>
      </c>
      <c r="M321" s="45">
        <f>IFERROR(__xludf.DUMMYFUNCTION("""COMPUTED_VALUE"""),73)</f>
        <v/>
      </c>
      <c r="N321" s="45">
        <f>IFERROR(__xludf.DUMMYFUNCTION("""COMPUTED_VALUE"""),7.123)</f>
        <v/>
      </c>
      <c r="O321" s="45">
        <f>IFERROR(__xludf.DUMMYFUNCTION("""COMPUTED_VALUE"""),0.132)</f>
        <v/>
      </c>
      <c r="P321" s="45">
        <f>IFERROR(__xludf.DUMMYFUNCTION("""COMPUTED_VALUE"""),"Colombo, LK")</f>
        <v/>
      </c>
      <c r="Q321" s="45">
        <f>IFERROR(__xludf.DUMMYFUNCTION("""COMPUTED_VALUE"""),"New York, NY, US")</f>
        <v/>
      </c>
      <c r="R321" s="44">
        <f>IFERROR(__xludf.DUMMYFUNCTION("""COMPUTED_VALUE"""),45824)</f>
        <v/>
      </c>
      <c r="S321" s="44">
        <f>IFERROR(__xludf.DUMMYFUNCTION("""COMPUTED_VALUE"""),45883)</f>
        <v/>
      </c>
      <c r="T321" s="45">
        <f>IFERROR(__xludf.DUMMYFUNCTION("""COMPUTED_VALUE"""),"Mississauga, ON, CA")</f>
        <v/>
      </c>
      <c r="U321" s="45" t="n"/>
      <c r="V321" s="45" t="n"/>
      <c r="W321" s="45" t="n"/>
      <c r="X321" s="45" t="n"/>
      <c r="Y321" s="46">
        <f>IFERROR(__xludf.DUMMYFUNCTION("""COMPUTED_VALUE"""),45832)</f>
        <v/>
      </c>
      <c r="Z321" s="46">
        <f>IFERROR(__xludf.DUMMYFUNCTION("""COMPUTED_VALUE"""),45861)</f>
        <v/>
      </c>
      <c r="AA321" s="46">
        <f>IFERROR(__xludf.DUMMYFUNCTION("""COMPUTED_VALUE"""),45874)</f>
        <v/>
      </c>
      <c r="AB321" s="45">
        <f>IFERROR(__xludf.DUMMYFUNCTION("""COMPUTED_VALUE"""),"3500 Argentia Road")</f>
        <v/>
      </c>
      <c r="AC321" s="45" t="n"/>
      <c r="AD321" s="45">
        <f>IFERROR(__xludf.DUMMYFUNCTION("""COMPUTED_VALUE"""),"OCEAN")</f>
        <v/>
      </c>
      <c r="AE321" s="45">
        <f>IFERROR(__xludf.DUMMYFUNCTION("""COMPUTED_VALUE"""),"N")</f>
        <v/>
      </c>
      <c r="AF321" s="45" t="n"/>
      <c r="AG321" s="49">
        <f>IFERROR(__xludf.DUMMYFUNCTION("IFNA(vlookup(H321,IMPORTRANGE(""1vUGwO1n0QQGx9kKbO0_M5gmuhXZ6-LaxQxgrmJnzgP0"",""'TP# look up'!A:C""),3,0),"""")"),"")</f>
        <v/>
      </c>
      <c r="AH321" s="49">
        <f>LEFT(J321,2)</f>
        <v/>
      </c>
    </row>
    <row r="322" hidden="1" ht="12.75" customHeight="1">
      <c r="A322" s="45">
        <f>IFERROR(__xludf.DUMMYFUNCTION("""COMPUTED_VALUE"""),"Colombo")</f>
        <v/>
      </c>
      <c r="B322" s="45" t="n"/>
      <c r="C322" s="45">
        <f>IFERROR(__xludf.DUMMYFUNCTION("""COMPUTED_VALUE"""),3254506)</f>
        <v/>
      </c>
      <c r="D322" s="45" t="n"/>
      <c r="E322" s="45">
        <f>IFERROR(__xludf.DUMMYFUNCTION("""COMPUTED_VALUE"""),"CFS")</f>
        <v/>
      </c>
      <c r="F322" s="45">
        <f>IFERROR(__xludf.DUMMYFUNCTION("""COMPUTED_VALUE"""),"Bodyline Trading (Private) Limited")</f>
        <v/>
      </c>
      <c r="G322" s="45">
        <f>IFERROR(__xludf.DUMMYFUNCTION("""COMPUTED_VALUE"""),"Bodyline (Private) Limited")</f>
        <v/>
      </c>
      <c r="H322" s="43">
        <f>IFERROR(__xludf.DUMMYFUNCTION("""COMPUTED_VALUE"""),452744235914)</f>
        <v/>
      </c>
      <c r="I322" s="45">
        <f>IFERROR(__xludf.DUMMYFUNCTION("""COMPUTED_VALUE"""),19877730)</f>
        <v/>
      </c>
      <c r="J322" s="45">
        <f>IFERROR(__xludf.DUMMYFUNCTION("""COMPUTED_VALUE"""),"LW9DC3S")</f>
        <v/>
      </c>
      <c r="K322" s="45">
        <f>IFERROR(__xludf.DUMMYFUNCTION("""COMPUTED_VALUE"""),"LW9DC3S-068971")</f>
        <v/>
      </c>
      <c r="L322" s="45">
        <f>IFERROR(__xludf.DUMMYFUNCTION("""COMPUTED_VALUE"""),4)</f>
        <v/>
      </c>
      <c r="M322" s="45">
        <f>IFERROR(__xludf.DUMMYFUNCTION("""COMPUTED_VALUE"""),184)</f>
        <v/>
      </c>
      <c r="N322" s="45">
        <f>IFERROR(__xludf.DUMMYFUNCTION("""COMPUTED_VALUE"""),14.622)</f>
        <v/>
      </c>
      <c r="O322" s="45">
        <f>IFERROR(__xludf.DUMMYFUNCTION("""COMPUTED_VALUE"""),0.176)</f>
        <v/>
      </c>
      <c r="P322" s="45">
        <f>IFERROR(__xludf.DUMMYFUNCTION("""COMPUTED_VALUE"""),"Colombo, LK")</f>
        <v/>
      </c>
      <c r="Q322" s="45">
        <f>IFERROR(__xludf.DUMMYFUNCTION("""COMPUTED_VALUE"""),"New York, NY, US")</f>
        <v/>
      </c>
      <c r="R322" s="44">
        <f>IFERROR(__xludf.DUMMYFUNCTION("""COMPUTED_VALUE"""),45824)</f>
        <v/>
      </c>
      <c r="S322" s="44">
        <f>IFERROR(__xludf.DUMMYFUNCTION("""COMPUTED_VALUE"""),45883)</f>
        <v/>
      </c>
      <c r="T322" s="45">
        <f>IFERROR(__xludf.DUMMYFUNCTION("""COMPUTED_VALUE"""),"Mississauga, ON, CA")</f>
        <v/>
      </c>
      <c r="U322" s="45" t="n"/>
      <c r="V322" s="45" t="n"/>
      <c r="W322" s="45" t="n"/>
      <c r="X322" s="45" t="n"/>
      <c r="Y322" s="46">
        <f>IFERROR(__xludf.DUMMYFUNCTION("""COMPUTED_VALUE"""),45832)</f>
        <v/>
      </c>
      <c r="Z322" s="46">
        <f>IFERROR(__xludf.DUMMYFUNCTION("""COMPUTED_VALUE"""),45861)</f>
        <v/>
      </c>
      <c r="AA322" s="46">
        <f>IFERROR(__xludf.DUMMYFUNCTION("""COMPUTED_VALUE"""),45874)</f>
        <v/>
      </c>
      <c r="AB322" s="45">
        <f>IFERROR(__xludf.DUMMYFUNCTION("""COMPUTED_VALUE"""),"3500 Argentia Road")</f>
        <v/>
      </c>
      <c r="AC322" s="45" t="n"/>
      <c r="AD322" s="45">
        <f>IFERROR(__xludf.DUMMYFUNCTION("""COMPUTED_VALUE"""),"OCEAN")</f>
        <v/>
      </c>
      <c r="AE322" s="45">
        <f>IFERROR(__xludf.DUMMYFUNCTION("""COMPUTED_VALUE"""),"N")</f>
        <v/>
      </c>
      <c r="AF322" s="45" t="n"/>
      <c r="AG322" s="49">
        <f>IFERROR(__xludf.DUMMYFUNCTION("IFNA(vlookup(H322,IMPORTRANGE(""1vUGwO1n0QQGx9kKbO0_M5gmuhXZ6-LaxQxgrmJnzgP0"",""'TP# look up'!A:C""),3,0),"""")"),"")</f>
        <v/>
      </c>
      <c r="AH322" s="49">
        <f>LEFT(J322,2)</f>
        <v/>
      </c>
    </row>
    <row r="323" hidden="1" ht="12.75" customHeight="1">
      <c r="A323" s="45">
        <f>IFERROR(__xludf.DUMMYFUNCTION("""COMPUTED_VALUE"""),"Colombo")</f>
        <v/>
      </c>
      <c r="B323" s="45" t="n"/>
      <c r="C323" s="45">
        <f>IFERROR(__xludf.DUMMYFUNCTION("""COMPUTED_VALUE"""),3254506)</f>
        <v/>
      </c>
      <c r="D323" s="45" t="n"/>
      <c r="E323" s="45">
        <f>IFERROR(__xludf.DUMMYFUNCTION("""COMPUTED_VALUE"""),"CFS")</f>
        <v/>
      </c>
      <c r="F323" s="45">
        <f>IFERROR(__xludf.DUMMYFUNCTION("""COMPUTED_VALUE"""),"Bodyline Trading (Private) Limited")</f>
        <v/>
      </c>
      <c r="G323" s="45">
        <f>IFERROR(__xludf.DUMMYFUNCTION("""COMPUTED_VALUE"""),"Bodyline (Private) Limited")</f>
        <v/>
      </c>
      <c r="H323" s="43">
        <f>IFERROR(__xludf.DUMMYFUNCTION("""COMPUTED_VALUE"""),452744631950)</f>
        <v/>
      </c>
      <c r="I323" s="45">
        <f>IFERROR(__xludf.DUMMYFUNCTION("""COMPUTED_VALUE"""),19877438)</f>
        <v/>
      </c>
      <c r="J323" s="45">
        <f>IFERROR(__xludf.DUMMYFUNCTION("""COMPUTED_VALUE"""),"LW9DC3S")</f>
        <v/>
      </c>
      <c r="K323" s="45">
        <f>IFERROR(__xludf.DUMMYFUNCTION("""COMPUTED_VALUE"""),"LW9DC3S-068971")</f>
        <v/>
      </c>
      <c r="L323" s="45">
        <f>IFERROR(__xludf.DUMMYFUNCTION("""COMPUTED_VALUE"""),3)</f>
        <v/>
      </c>
      <c r="M323" s="45">
        <f>IFERROR(__xludf.DUMMYFUNCTION("""COMPUTED_VALUE"""),177)</f>
        <v/>
      </c>
      <c r="N323" s="45">
        <f>IFERROR(__xludf.DUMMYFUNCTION("""COMPUTED_VALUE"""),13.271)</f>
        <v/>
      </c>
      <c r="O323" s="45">
        <f>IFERROR(__xludf.DUMMYFUNCTION("""COMPUTED_VALUE"""),0.132)</f>
        <v/>
      </c>
      <c r="P323" s="45">
        <f>IFERROR(__xludf.DUMMYFUNCTION("""COMPUTED_VALUE"""),"Colombo, LK")</f>
        <v/>
      </c>
      <c r="Q323" s="45">
        <f>IFERROR(__xludf.DUMMYFUNCTION("""COMPUTED_VALUE"""),"New York, NY, US")</f>
        <v/>
      </c>
      <c r="R323" s="44">
        <f>IFERROR(__xludf.DUMMYFUNCTION("""COMPUTED_VALUE"""),45824)</f>
        <v/>
      </c>
      <c r="S323" s="44">
        <f>IFERROR(__xludf.DUMMYFUNCTION("""COMPUTED_VALUE"""),45883)</f>
        <v/>
      </c>
      <c r="T323" s="45">
        <f>IFERROR(__xludf.DUMMYFUNCTION("""COMPUTED_VALUE"""),"Milton, ON, CA")</f>
        <v/>
      </c>
      <c r="U323" s="45" t="n"/>
      <c r="V323" s="45" t="n"/>
      <c r="W323" s="45" t="n"/>
      <c r="X323" s="45" t="n"/>
      <c r="Y323" s="46">
        <f>IFERROR(__xludf.DUMMYFUNCTION("""COMPUTED_VALUE"""),45832)</f>
        <v/>
      </c>
      <c r="Z323" s="46">
        <f>IFERROR(__xludf.DUMMYFUNCTION("""COMPUTED_VALUE"""),45861)</f>
        <v/>
      </c>
      <c r="AA323" s="46">
        <f>IFERROR(__xludf.DUMMYFUNCTION("""COMPUTED_VALUE"""),45874)</f>
        <v/>
      </c>
      <c r="AB323" s="45">
        <f>IFERROR(__xludf.DUMMYFUNCTION("""COMPUTED_VALUE"""),"7211 Fifth Line")</f>
        <v/>
      </c>
      <c r="AC323" s="45" t="n"/>
      <c r="AD323" s="45">
        <f>IFERROR(__xludf.DUMMYFUNCTION("""COMPUTED_VALUE"""),"OCEAN")</f>
        <v/>
      </c>
      <c r="AE323" s="45">
        <f>IFERROR(__xludf.DUMMYFUNCTION("""COMPUTED_VALUE"""),"N")</f>
        <v/>
      </c>
      <c r="AF323" s="45" t="n"/>
      <c r="AG323" s="49">
        <f>IFERROR(__xludf.DUMMYFUNCTION("IFNA(vlookup(H323,IMPORTRANGE(""1vUGwO1n0QQGx9kKbO0_M5gmuhXZ6-LaxQxgrmJnzgP0"",""'TP# look up'!A:C""),3,0),"""")"),"")</f>
        <v/>
      </c>
      <c r="AH323" s="49">
        <f>LEFT(J323,2)</f>
        <v/>
      </c>
    </row>
    <row r="324" hidden="1" ht="12.75" customHeight="1">
      <c r="A324" s="45">
        <f>IFERROR(__xludf.DUMMYFUNCTION("""COMPUTED_VALUE"""),"Colombo")</f>
        <v/>
      </c>
      <c r="B324" s="45" t="n"/>
      <c r="C324" s="45">
        <f>IFERROR(__xludf.DUMMYFUNCTION("""COMPUTED_VALUE"""),3254506)</f>
        <v/>
      </c>
      <c r="D324" s="45" t="n"/>
      <c r="E324" s="45">
        <f>IFERROR(__xludf.DUMMYFUNCTION("""COMPUTED_VALUE"""),"CFS")</f>
        <v/>
      </c>
      <c r="F324" s="45">
        <f>IFERROR(__xludf.DUMMYFUNCTION("""COMPUTED_VALUE"""),"Bodyline Trading (Private) Limited")</f>
        <v/>
      </c>
      <c r="G324" s="45">
        <f>IFERROR(__xludf.DUMMYFUNCTION("""COMPUTED_VALUE"""),"Bodyline (Private) Limited")</f>
        <v/>
      </c>
      <c r="H324" s="43">
        <f>IFERROR(__xludf.DUMMYFUNCTION("""COMPUTED_VALUE"""),452745107166)</f>
        <v/>
      </c>
      <c r="I324" s="45">
        <f>IFERROR(__xludf.DUMMYFUNCTION("""COMPUTED_VALUE"""),19877398)</f>
        <v/>
      </c>
      <c r="J324" s="45">
        <f>IFERROR(__xludf.DUMMYFUNCTION("""COMPUTED_VALUE"""),"LW9DC3S")</f>
        <v/>
      </c>
      <c r="K324" s="45">
        <f>IFERROR(__xludf.DUMMYFUNCTION("""COMPUTED_VALUE"""),"LW9DC3S-073330")</f>
        <v/>
      </c>
      <c r="L324" s="45">
        <f>IFERROR(__xludf.DUMMYFUNCTION("""COMPUTED_VALUE"""),3)</f>
        <v/>
      </c>
      <c r="M324" s="45">
        <f>IFERROR(__xludf.DUMMYFUNCTION("""COMPUTED_VALUE"""),173)</f>
        <v/>
      </c>
      <c r="N324" s="45">
        <f>IFERROR(__xludf.DUMMYFUNCTION("""COMPUTED_VALUE"""),13.035)</f>
        <v/>
      </c>
      <c r="O324" s="45">
        <f>IFERROR(__xludf.DUMMYFUNCTION("""COMPUTED_VALUE"""),0.132)</f>
        <v/>
      </c>
      <c r="P324" s="45">
        <f>IFERROR(__xludf.DUMMYFUNCTION("""COMPUTED_VALUE"""),"Colombo, LK")</f>
        <v/>
      </c>
      <c r="Q324" s="45">
        <f>IFERROR(__xludf.DUMMYFUNCTION("""COMPUTED_VALUE"""),"New York, NY, US")</f>
        <v/>
      </c>
      <c r="R324" s="44">
        <f>IFERROR(__xludf.DUMMYFUNCTION("""COMPUTED_VALUE"""),45824)</f>
        <v/>
      </c>
      <c r="S324" s="44">
        <f>IFERROR(__xludf.DUMMYFUNCTION("""COMPUTED_VALUE"""),45883)</f>
        <v/>
      </c>
      <c r="T324" s="45">
        <f>IFERROR(__xludf.DUMMYFUNCTION("""COMPUTED_VALUE"""),"Milton, ON, CA")</f>
        <v/>
      </c>
      <c r="U324" s="45" t="n"/>
      <c r="V324" s="45" t="n"/>
      <c r="W324" s="45" t="n"/>
      <c r="X324" s="45" t="n"/>
      <c r="Y324" s="46">
        <f>IFERROR(__xludf.DUMMYFUNCTION("""COMPUTED_VALUE"""),45832)</f>
        <v/>
      </c>
      <c r="Z324" s="46">
        <f>IFERROR(__xludf.DUMMYFUNCTION("""COMPUTED_VALUE"""),45861)</f>
        <v/>
      </c>
      <c r="AA324" s="46">
        <f>IFERROR(__xludf.DUMMYFUNCTION("""COMPUTED_VALUE"""),45874)</f>
        <v/>
      </c>
      <c r="AB324" s="45">
        <f>IFERROR(__xludf.DUMMYFUNCTION("""COMPUTED_VALUE"""),"7211 Fifth Line")</f>
        <v/>
      </c>
      <c r="AC324" s="45" t="n"/>
      <c r="AD324" s="45">
        <f>IFERROR(__xludf.DUMMYFUNCTION("""COMPUTED_VALUE"""),"OCEAN")</f>
        <v/>
      </c>
      <c r="AE324" s="45">
        <f>IFERROR(__xludf.DUMMYFUNCTION("""COMPUTED_VALUE"""),"N")</f>
        <v/>
      </c>
      <c r="AF324" s="45" t="n"/>
      <c r="AG324" s="49">
        <f>IFERROR(__xludf.DUMMYFUNCTION("IFNA(vlookup(H324,IMPORTRANGE(""1vUGwO1n0QQGx9kKbO0_M5gmuhXZ6-LaxQxgrmJnzgP0"",""'TP# look up'!A:C""),3,0),"""")"),"")</f>
        <v/>
      </c>
      <c r="AH324" s="49">
        <f>LEFT(J324,2)</f>
        <v/>
      </c>
    </row>
    <row r="325" hidden="1" ht="12.75" customHeight="1">
      <c r="A325" s="45">
        <f>IFERROR(__xludf.DUMMYFUNCTION("""COMPUTED_VALUE"""),"Colombo")</f>
        <v/>
      </c>
      <c r="B325" s="45" t="n"/>
      <c r="C325" s="45">
        <f>IFERROR(__xludf.DUMMYFUNCTION("""COMPUTED_VALUE"""),3254506)</f>
        <v/>
      </c>
      <c r="D325" s="45" t="n"/>
      <c r="E325" s="45">
        <f>IFERROR(__xludf.DUMMYFUNCTION("""COMPUTED_VALUE"""),"CFS")</f>
        <v/>
      </c>
      <c r="F325" s="45">
        <f>IFERROR(__xludf.DUMMYFUNCTION("""COMPUTED_VALUE"""),"Bodyline Trading (Private) Limited")</f>
        <v/>
      </c>
      <c r="G325" s="45">
        <f>IFERROR(__xludf.DUMMYFUNCTION("""COMPUTED_VALUE"""),"Bodyline (Private) Limited")</f>
        <v/>
      </c>
      <c r="H325" s="43">
        <f>IFERROR(__xludf.DUMMYFUNCTION("""COMPUTED_VALUE"""),452746746441)</f>
        <v/>
      </c>
      <c r="I325" s="45">
        <f>IFERROR(__xludf.DUMMYFUNCTION("""COMPUTED_VALUE"""),19877700)</f>
        <v/>
      </c>
      <c r="J325" s="45">
        <f>IFERROR(__xludf.DUMMYFUNCTION("""COMPUTED_VALUE"""),"LW9DC3S")</f>
        <v/>
      </c>
      <c r="K325" s="45">
        <f>IFERROR(__xludf.DUMMYFUNCTION("""COMPUTED_VALUE"""),"LW9DC3S-073330")</f>
        <v/>
      </c>
      <c r="L325" s="45">
        <f>IFERROR(__xludf.DUMMYFUNCTION("""COMPUTED_VALUE"""),3)</f>
        <v/>
      </c>
      <c r="M325" s="45">
        <f>IFERROR(__xludf.DUMMYFUNCTION("""COMPUTED_VALUE"""),110)</f>
        <v/>
      </c>
      <c r="N325" s="45">
        <f>IFERROR(__xludf.DUMMYFUNCTION("""COMPUTED_VALUE"""),9.302)</f>
        <v/>
      </c>
      <c r="O325" s="45">
        <f>IFERROR(__xludf.DUMMYFUNCTION("""COMPUTED_VALUE"""),0.132)</f>
        <v/>
      </c>
      <c r="P325" s="45">
        <f>IFERROR(__xludf.DUMMYFUNCTION("""COMPUTED_VALUE"""),"Colombo, LK")</f>
        <v/>
      </c>
      <c r="Q325" s="45">
        <f>IFERROR(__xludf.DUMMYFUNCTION("""COMPUTED_VALUE"""),"New York, NY, US")</f>
        <v/>
      </c>
      <c r="R325" s="44">
        <f>IFERROR(__xludf.DUMMYFUNCTION("""COMPUTED_VALUE"""),45824)</f>
        <v/>
      </c>
      <c r="S325" s="44">
        <f>IFERROR(__xludf.DUMMYFUNCTION("""COMPUTED_VALUE"""),45883)</f>
        <v/>
      </c>
      <c r="T325" s="45">
        <f>IFERROR(__xludf.DUMMYFUNCTION("""COMPUTED_VALUE"""),"Mississauga, ON, CA")</f>
        <v/>
      </c>
      <c r="U325" s="45" t="n"/>
      <c r="V325" s="45" t="n"/>
      <c r="W325" s="45" t="n"/>
      <c r="X325" s="45" t="n"/>
      <c r="Y325" s="46">
        <f>IFERROR(__xludf.DUMMYFUNCTION("""COMPUTED_VALUE"""),45832)</f>
        <v/>
      </c>
      <c r="Z325" s="46">
        <f>IFERROR(__xludf.DUMMYFUNCTION("""COMPUTED_VALUE"""),45861)</f>
        <v/>
      </c>
      <c r="AA325" s="46">
        <f>IFERROR(__xludf.DUMMYFUNCTION("""COMPUTED_VALUE"""),45874)</f>
        <v/>
      </c>
      <c r="AB325" s="45">
        <f>IFERROR(__xludf.DUMMYFUNCTION("""COMPUTED_VALUE"""),"3500 Argentia Road")</f>
        <v/>
      </c>
      <c r="AC325" s="45" t="n"/>
      <c r="AD325" s="45">
        <f>IFERROR(__xludf.DUMMYFUNCTION("""COMPUTED_VALUE"""),"OCEAN")</f>
        <v/>
      </c>
      <c r="AE325" s="45">
        <f>IFERROR(__xludf.DUMMYFUNCTION("""COMPUTED_VALUE"""),"N")</f>
        <v/>
      </c>
      <c r="AF325" s="45" t="n"/>
      <c r="AG325" s="49">
        <f>IFERROR(__xludf.DUMMYFUNCTION("IFNA(vlookup(H325,IMPORTRANGE(""1vUGwO1n0QQGx9kKbO0_M5gmuhXZ6-LaxQxgrmJnzgP0"",""'TP# look up'!A:C""),3,0),"""")"),"")</f>
        <v/>
      </c>
      <c r="AH325" s="49">
        <f>LEFT(J325,2)</f>
        <v/>
      </c>
    </row>
    <row r="326" hidden="1" ht="12.75" customHeight="1">
      <c r="A326" s="45">
        <f>IFERROR(__xludf.DUMMYFUNCTION("""COMPUTED_VALUE"""),"Colombo")</f>
        <v/>
      </c>
      <c r="B326" s="45" t="n"/>
      <c r="C326" s="45">
        <f>IFERROR(__xludf.DUMMYFUNCTION("""COMPUTED_VALUE"""),3254506)</f>
        <v/>
      </c>
      <c r="D326" s="45" t="n"/>
      <c r="E326" s="45">
        <f>IFERROR(__xludf.DUMMYFUNCTION("""COMPUTED_VALUE"""),"CFS")</f>
        <v/>
      </c>
      <c r="F326" s="45">
        <f>IFERROR(__xludf.DUMMYFUNCTION("""COMPUTED_VALUE"""),"Bodyline Trading (Private) Limited")</f>
        <v/>
      </c>
      <c r="G326" s="45">
        <f>IFERROR(__xludf.DUMMYFUNCTION("""COMPUTED_VALUE"""),"Bodyline (Private) Limited")</f>
        <v/>
      </c>
      <c r="H326" s="43">
        <f>IFERROR(__xludf.DUMMYFUNCTION("""COMPUTED_VALUE"""),452747570082)</f>
        <v/>
      </c>
      <c r="I326" s="45">
        <f>IFERROR(__xludf.DUMMYFUNCTION("""COMPUTED_VALUE"""),19877518)</f>
        <v/>
      </c>
      <c r="J326" s="45">
        <f>IFERROR(__xludf.DUMMYFUNCTION("""COMPUTED_VALUE"""),"LW9DCIS")</f>
        <v/>
      </c>
      <c r="K326" s="45">
        <f>IFERROR(__xludf.DUMMYFUNCTION("""COMPUTED_VALUE"""),"LW9DCIS-0001")</f>
        <v/>
      </c>
      <c r="L326" s="45">
        <f>IFERROR(__xludf.DUMMYFUNCTION("""COMPUTED_VALUE"""),2)</f>
        <v/>
      </c>
      <c r="M326" s="45">
        <f>IFERROR(__xludf.DUMMYFUNCTION("""COMPUTED_VALUE"""),75)</f>
        <v/>
      </c>
      <c r="N326" s="45">
        <f>IFERROR(__xludf.DUMMYFUNCTION("""COMPUTED_VALUE"""),7.436)</f>
        <v/>
      </c>
      <c r="O326" s="45">
        <f>IFERROR(__xludf.DUMMYFUNCTION("""COMPUTED_VALUE"""),0.088)</f>
        <v/>
      </c>
      <c r="P326" s="45">
        <f>IFERROR(__xludf.DUMMYFUNCTION("""COMPUTED_VALUE"""),"Colombo, LK")</f>
        <v/>
      </c>
      <c r="Q326" s="45">
        <f>IFERROR(__xludf.DUMMYFUNCTION("""COMPUTED_VALUE"""),"New York, NY, US")</f>
        <v/>
      </c>
      <c r="R326" s="44">
        <f>IFERROR(__xludf.DUMMYFUNCTION("""COMPUTED_VALUE"""),45824)</f>
        <v/>
      </c>
      <c r="S326" s="44">
        <f>IFERROR(__xludf.DUMMYFUNCTION("""COMPUTED_VALUE"""),45883)</f>
        <v/>
      </c>
      <c r="T326" s="45">
        <f>IFERROR(__xludf.DUMMYFUNCTION("""COMPUTED_VALUE"""),"Mississauga, ON, CA")</f>
        <v/>
      </c>
      <c r="U326" s="45" t="n"/>
      <c r="V326" s="45" t="n"/>
      <c r="W326" s="45" t="n"/>
      <c r="X326" s="45" t="n"/>
      <c r="Y326" s="46">
        <f>IFERROR(__xludf.DUMMYFUNCTION("""COMPUTED_VALUE"""),45832)</f>
        <v/>
      </c>
      <c r="Z326" s="46">
        <f>IFERROR(__xludf.DUMMYFUNCTION("""COMPUTED_VALUE"""),45861)</f>
        <v/>
      </c>
      <c r="AA326" s="46">
        <f>IFERROR(__xludf.DUMMYFUNCTION("""COMPUTED_VALUE"""),45874)</f>
        <v/>
      </c>
      <c r="AB326" s="45">
        <f>IFERROR(__xludf.DUMMYFUNCTION("""COMPUTED_VALUE"""),"3500 Argentia Road")</f>
        <v/>
      </c>
      <c r="AC326" s="45" t="n"/>
      <c r="AD326" s="45">
        <f>IFERROR(__xludf.DUMMYFUNCTION("""COMPUTED_VALUE"""),"OCEAN")</f>
        <v/>
      </c>
      <c r="AE326" s="45">
        <f>IFERROR(__xludf.DUMMYFUNCTION("""COMPUTED_VALUE"""),"N")</f>
        <v/>
      </c>
      <c r="AF326" s="45" t="n"/>
      <c r="AG326" s="49">
        <f>IFERROR(__xludf.DUMMYFUNCTION("IFNA(vlookup(H326,IMPORTRANGE(""1vUGwO1n0QQGx9kKbO0_M5gmuhXZ6-LaxQxgrmJnzgP0"",""'TP# look up'!A:C""),3,0),"""")"),"")</f>
        <v/>
      </c>
      <c r="AH326" s="49">
        <f>LEFT(J326,2)</f>
        <v/>
      </c>
    </row>
    <row r="327" hidden="1" ht="12.75" customHeight="1">
      <c r="A327" s="45">
        <f>IFERROR(__xludf.DUMMYFUNCTION("""COMPUTED_VALUE"""),"Colombo")</f>
        <v/>
      </c>
      <c r="B327" s="45" t="n"/>
      <c r="C327" s="45">
        <f>IFERROR(__xludf.DUMMYFUNCTION("""COMPUTED_VALUE"""),3254506)</f>
        <v/>
      </c>
      <c r="D327" s="45" t="n"/>
      <c r="E327" s="45">
        <f>IFERROR(__xludf.DUMMYFUNCTION("""COMPUTED_VALUE"""),"CFS")</f>
        <v/>
      </c>
      <c r="F327" s="45">
        <f>IFERROR(__xludf.DUMMYFUNCTION("""COMPUTED_VALUE"""),"Bodyline Trading (Private) Limited")</f>
        <v/>
      </c>
      <c r="G327" s="45">
        <f>IFERROR(__xludf.DUMMYFUNCTION("""COMPUTED_VALUE"""),"Bodyline (Private) Limited")</f>
        <v/>
      </c>
      <c r="H327" s="43">
        <f>IFERROR(__xludf.DUMMYFUNCTION("""COMPUTED_VALUE"""),452748628444)</f>
        <v/>
      </c>
      <c r="I327" s="45">
        <f>IFERROR(__xludf.DUMMYFUNCTION("""COMPUTED_VALUE"""),19877802)</f>
        <v/>
      </c>
      <c r="J327" s="45">
        <f>IFERROR(__xludf.DUMMYFUNCTION("""COMPUTED_VALUE"""),"LW9DCIS")</f>
        <v/>
      </c>
      <c r="K327" s="45">
        <f>IFERROR(__xludf.DUMMYFUNCTION("""COMPUTED_VALUE"""),"LW9DCIS-0001")</f>
        <v/>
      </c>
      <c r="L327" s="45">
        <f>IFERROR(__xludf.DUMMYFUNCTION("""COMPUTED_VALUE"""),4)</f>
        <v/>
      </c>
      <c r="M327" s="45">
        <f>IFERROR(__xludf.DUMMYFUNCTION("""COMPUTED_VALUE"""),135)</f>
        <v/>
      </c>
      <c r="N327" s="45">
        <f>IFERROR(__xludf.DUMMYFUNCTION("""COMPUTED_VALUE"""),13.729)</f>
        <v/>
      </c>
      <c r="O327" s="45">
        <f>IFERROR(__xludf.DUMMYFUNCTION("""COMPUTED_VALUE"""),0.176)</f>
        <v/>
      </c>
      <c r="P327" s="45">
        <f>IFERROR(__xludf.DUMMYFUNCTION("""COMPUTED_VALUE"""),"Colombo, LK")</f>
        <v/>
      </c>
      <c r="Q327" s="45">
        <f>IFERROR(__xludf.DUMMYFUNCTION("""COMPUTED_VALUE"""),"New York, NY, US")</f>
        <v/>
      </c>
      <c r="R327" s="44">
        <f>IFERROR(__xludf.DUMMYFUNCTION("""COMPUTED_VALUE"""),45824)</f>
        <v/>
      </c>
      <c r="S327" s="44">
        <f>IFERROR(__xludf.DUMMYFUNCTION("""COMPUTED_VALUE"""),45883)</f>
        <v/>
      </c>
      <c r="T327" s="45">
        <f>IFERROR(__xludf.DUMMYFUNCTION("""COMPUTED_VALUE"""),"Mississauga, ON, CA")</f>
        <v/>
      </c>
      <c r="U327" s="45" t="n"/>
      <c r="V327" s="45" t="n"/>
      <c r="W327" s="45" t="n"/>
      <c r="X327" s="45" t="n"/>
      <c r="Y327" s="46">
        <f>IFERROR(__xludf.DUMMYFUNCTION("""COMPUTED_VALUE"""),45832)</f>
        <v/>
      </c>
      <c r="Z327" s="46">
        <f>IFERROR(__xludf.DUMMYFUNCTION("""COMPUTED_VALUE"""),45861)</f>
        <v/>
      </c>
      <c r="AA327" s="46">
        <f>IFERROR(__xludf.DUMMYFUNCTION("""COMPUTED_VALUE"""),45874)</f>
        <v/>
      </c>
      <c r="AB327" s="45">
        <f>IFERROR(__xludf.DUMMYFUNCTION("""COMPUTED_VALUE"""),"3500 Argentia Road")</f>
        <v/>
      </c>
      <c r="AC327" s="45" t="n"/>
      <c r="AD327" s="45">
        <f>IFERROR(__xludf.DUMMYFUNCTION("""COMPUTED_VALUE"""),"OCEAN")</f>
        <v/>
      </c>
      <c r="AE327" s="45">
        <f>IFERROR(__xludf.DUMMYFUNCTION("""COMPUTED_VALUE"""),"N")</f>
        <v/>
      </c>
      <c r="AF327" s="45" t="n"/>
      <c r="AG327" s="49">
        <f>IFERROR(__xludf.DUMMYFUNCTION("IFNA(vlookup(H327,IMPORTRANGE(""1vUGwO1n0QQGx9kKbO0_M5gmuhXZ6-LaxQxgrmJnzgP0"",""'TP# look up'!A:C""),3,0),"""")"),"")</f>
        <v/>
      </c>
      <c r="AH327" s="49">
        <f>LEFT(J327,2)</f>
        <v/>
      </c>
    </row>
    <row r="328" hidden="1" ht="12.75" customHeight="1">
      <c r="A328" s="45">
        <f>IFERROR(__xludf.DUMMYFUNCTION("""COMPUTED_VALUE"""),"Colombo")</f>
        <v/>
      </c>
      <c r="B328" s="45" t="n"/>
      <c r="C328" s="45">
        <f>IFERROR(__xludf.DUMMYFUNCTION("""COMPUTED_VALUE"""),3254506)</f>
        <v/>
      </c>
      <c r="D328" s="45" t="n"/>
      <c r="E328" s="45">
        <f>IFERROR(__xludf.DUMMYFUNCTION("""COMPUTED_VALUE"""),"CFS")</f>
        <v/>
      </c>
      <c r="F328" s="45">
        <f>IFERROR(__xludf.DUMMYFUNCTION("""COMPUTED_VALUE"""),"Bodyline Trading (Private) Limited")</f>
        <v/>
      </c>
      <c r="G328" s="45">
        <f>IFERROR(__xludf.DUMMYFUNCTION("""COMPUTED_VALUE"""),"Bodyline (Private) Limited")</f>
        <v/>
      </c>
      <c r="H328" s="43">
        <f>IFERROR(__xludf.DUMMYFUNCTION("""COMPUTED_VALUE"""),452749289399)</f>
        <v/>
      </c>
      <c r="I328" s="45">
        <f>IFERROR(__xludf.DUMMYFUNCTION("""COMPUTED_VALUE"""),19877586)</f>
        <v/>
      </c>
      <c r="J328" s="45">
        <f>IFERROR(__xludf.DUMMYFUNCTION("""COMPUTED_VALUE"""),"LW9DCIS")</f>
        <v/>
      </c>
      <c r="K328" s="45">
        <f>IFERROR(__xludf.DUMMYFUNCTION("""COMPUTED_VALUE"""),"LW9DCIS-068971")</f>
        <v/>
      </c>
      <c r="L328" s="45">
        <f>IFERROR(__xludf.DUMMYFUNCTION("""COMPUTED_VALUE"""),2)</f>
        <v/>
      </c>
      <c r="M328" s="45">
        <f>IFERROR(__xludf.DUMMYFUNCTION("""COMPUTED_VALUE"""),52)</f>
        <v/>
      </c>
      <c r="N328" s="45">
        <f>IFERROR(__xludf.DUMMYFUNCTION("""COMPUTED_VALUE"""),5.714)</f>
        <v/>
      </c>
      <c r="O328" s="45">
        <f>IFERROR(__xludf.DUMMYFUNCTION("""COMPUTED_VALUE"""),0.088)</f>
        <v/>
      </c>
      <c r="P328" s="45">
        <f>IFERROR(__xludf.DUMMYFUNCTION("""COMPUTED_VALUE"""),"Colombo, LK")</f>
        <v/>
      </c>
      <c r="Q328" s="45">
        <f>IFERROR(__xludf.DUMMYFUNCTION("""COMPUTED_VALUE"""),"New York, NY, US")</f>
        <v/>
      </c>
      <c r="R328" s="44">
        <f>IFERROR(__xludf.DUMMYFUNCTION("""COMPUTED_VALUE"""),45824)</f>
        <v/>
      </c>
      <c r="S328" s="44">
        <f>IFERROR(__xludf.DUMMYFUNCTION("""COMPUTED_VALUE"""),45883)</f>
        <v/>
      </c>
      <c r="T328" s="45">
        <f>IFERROR(__xludf.DUMMYFUNCTION("""COMPUTED_VALUE"""),"Mississauga, ON, CA")</f>
        <v/>
      </c>
      <c r="U328" s="45" t="n"/>
      <c r="V328" s="45" t="n"/>
      <c r="W328" s="45" t="n"/>
      <c r="X328" s="45" t="n"/>
      <c r="Y328" s="46">
        <f>IFERROR(__xludf.DUMMYFUNCTION("""COMPUTED_VALUE"""),45832)</f>
        <v/>
      </c>
      <c r="Z328" s="46">
        <f>IFERROR(__xludf.DUMMYFUNCTION("""COMPUTED_VALUE"""),45861)</f>
        <v/>
      </c>
      <c r="AA328" s="46">
        <f>IFERROR(__xludf.DUMMYFUNCTION("""COMPUTED_VALUE"""),45874)</f>
        <v/>
      </c>
      <c r="AB328" s="45">
        <f>IFERROR(__xludf.DUMMYFUNCTION("""COMPUTED_VALUE"""),"3500 Argentia Road")</f>
        <v/>
      </c>
      <c r="AC328" s="45" t="n"/>
      <c r="AD328" s="45">
        <f>IFERROR(__xludf.DUMMYFUNCTION("""COMPUTED_VALUE"""),"OCEAN")</f>
        <v/>
      </c>
      <c r="AE328" s="45">
        <f>IFERROR(__xludf.DUMMYFUNCTION("""COMPUTED_VALUE"""),"N")</f>
        <v/>
      </c>
      <c r="AF328" s="45" t="n"/>
      <c r="AG328" s="49">
        <f>IFERROR(__xludf.DUMMYFUNCTION("IFNA(vlookup(H328,IMPORTRANGE(""1vUGwO1n0QQGx9kKbO0_M5gmuhXZ6-LaxQxgrmJnzgP0"",""'TP# look up'!A:C""),3,0),"""")"),"")</f>
        <v/>
      </c>
      <c r="AH328" s="49">
        <f>LEFT(J328,2)</f>
        <v/>
      </c>
    </row>
    <row r="329" hidden="1" ht="12.75" customHeight="1">
      <c r="A329" s="45">
        <f>IFERROR(__xludf.DUMMYFUNCTION("""COMPUTED_VALUE"""),"Colombo")</f>
        <v/>
      </c>
      <c r="B329" s="45" t="n"/>
      <c r="C329" s="45">
        <f>IFERROR(__xludf.DUMMYFUNCTION("""COMPUTED_VALUE"""),3254506)</f>
        <v/>
      </c>
      <c r="D329" s="45" t="n"/>
      <c r="E329" s="45">
        <f>IFERROR(__xludf.DUMMYFUNCTION("""COMPUTED_VALUE"""),"CFS")</f>
        <v/>
      </c>
      <c r="F329" s="45">
        <f>IFERROR(__xludf.DUMMYFUNCTION("""COMPUTED_VALUE"""),"Bodyline Trading (Private) Limited")</f>
        <v/>
      </c>
      <c r="G329" s="45">
        <f>IFERROR(__xludf.DUMMYFUNCTION("""COMPUTED_VALUE"""),"Bodyline (Private) Limited")</f>
        <v/>
      </c>
      <c r="H329" s="43">
        <f>IFERROR(__xludf.DUMMYFUNCTION("""COMPUTED_VALUE"""),452749827433)</f>
        <v/>
      </c>
      <c r="I329" s="45">
        <f>IFERROR(__xludf.DUMMYFUNCTION("""COMPUTED_VALUE"""),19877568)</f>
        <v/>
      </c>
      <c r="J329" s="45">
        <f>IFERROR(__xludf.DUMMYFUNCTION("""COMPUTED_VALUE"""),"LW9DCIS")</f>
        <v/>
      </c>
      <c r="K329" s="45">
        <f>IFERROR(__xludf.DUMMYFUNCTION("""COMPUTED_VALUE"""),"LW9DCIS-068971")</f>
        <v/>
      </c>
      <c r="L329" s="45">
        <f>IFERROR(__xludf.DUMMYFUNCTION("""COMPUTED_VALUE"""),2)</f>
        <v/>
      </c>
      <c r="M329" s="45">
        <f>IFERROR(__xludf.DUMMYFUNCTION("""COMPUTED_VALUE"""),55)</f>
        <v/>
      </c>
      <c r="N329" s="45">
        <f>IFERROR(__xludf.DUMMYFUNCTION("""COMPUTED_VALUE"""),5.834)</f>
        <v/>
      </c>
      <c r="O329" s="45">
        <f>IFERROR(__xludf.DUMMYFUNCTION("""COMPUTED_VALUE"""),0.088)</f>
        <v/>
      </c>
      <c r="P329" s="45">
        <f>IFERROR(__xludf.DUMMYFUNCTION("""COMPUTED_VALUE"""),"Colombo, LK")</f>
        <v/>
      </c>
      <c r="Q329" s="45">
        <f>IFERROR(__xludf.DUMMYFUNCTION("""COMPUTED_VALUE"""),"New York, NY, US")</f>
        <v/>
      </c>
      <c r="R329" s="44">
        <f>IFERROR(__xludf.DUMMYFUNCTION("""COMPUTED_VALUE"""),45824)</f>
        <v/>
      </c>
      <c r="S329" s="44">
        <f>IFERROR(__xludf.DUMMYFUNCTION("""COMPUTED_VALUE"""),45883)</f>
        <v/>
      </c>
      <c r="T329" s="45">
        <f>IFERROR(__xludf.DUMMYFUNCTION("""COMPUTED_VALUE"""),"Milton, ON, CA")</f>
        <v/>
      </c>
      <c r="U329" s="45" t="n"/>
      <c r="V329" s="45" t="n"/>
      <c r="W329" s="45" t="n"/>
      <c r="X329" s="45" t="n"/>
      <c r="Y329" s="46">
        <f>IFERROR(__xludf.DUMMYFUNCTION("""COMPUTED_VALUE"""),45832)</f>
        <v/>
      </c>
      <c r="Z329" s="46">
        <f>IFERROR(__xludf.DUMMYFUNCTION("""COMPUTED_VALUE"""),45861)</f>
        <v/>
      </c>
      <c r="AA329" s="46">
        <f>IFERROR(__xludf.DUMMYFUNCTION("""COMPUTED_VALUE"""),45874)</f>
        <v/>
      </c>
      <c r="AB329" s="45">
        <f>IFERROR(__xludf.DUMMYFUNCTION("""COMPUTED_VALUE"""),"7211 Fifth Line")</f>
        <v/>
      </c>
      <c r="AC329" s="45" t="n"/>
      <c r="AD329" s="45">
        <f>IFERROR(__xludf.DUMMYFUNCTION("""COMPUTED_VALUE"""),"OCEAN")</f>
        <v/>
      </c>
      <c r="AE329" s="45">
        <f>IFERROR(__xludf.DUMMYFUNCTION("""COMPUTED_VALUE"""),"N")</f>
        <v/>
      </c>
      <c r="AF329" s="45" t="n"/>
      <c r="AG329" s="49">
        <f>IFERROR(__xludf.DUMMYFUNCTION("IFNA(vlookup(H329,IMPORTRANGE(""1vUGwO1n0QQGx9kKbO0_M5gmuhXZ6-LaxQxgrmJnzgP0"",""'TP# look up'!A:C""),3,0),"""")"),"")</f>
        <v/>
      </c>
      <c r="AH329" s="49">
        <f>LEFT(J329,2)</f>
        <v/>
      </c>
    </row>
    <row r="330" hidden="1" ht="12.75" customHeight="1">
      <c r="A330" s="45">
        <f>IFERROR(__xludf.DUMMYFUNCTION("""COMPUTED_VALUE"""),"Colombo")</f>
        <v/>
      </c>
      <c r="B330" s="45" t="n"/>
      <c r="C330" s="45">
        <f>IFERROR(__xludf.DUMMYFUNCTION("""COMPUTED_VALUE"""),3254506)</f>
        <v/>
      </c>
      <c r="D330" s="45" t="n"/>
      <c r="E330" s="45">
        <f>IFERROR(__xludf.DUMMYFUNCTION("""COMPUTED_VALUE"""),"CFS")</f>
        <v/>
      </c>
      <c r="F330" s="45">
        <f>IFERROR(__xludf.DUMMYFUNCTION("""COMPUTED_VALUE"""),"Bodyline Trading (Private) Limited")</f>
        <v/>
      </c>
      <c r="G330" s="45">
        <f>IFERROR(__xludf.DUMMYFUNCTION("""COMPUTED_VALUE"""),"Bodyline (Private) Limited")</f>
        <v/>
      </c>
      <c r="H330" s="43">
        <f>IFERROR(__xludf.DUMMYFUNCTION("""COMPUTED_VALUE"""),452751542760)</f>
        <v/>
      </c>
      <c r="I330" s="45">
        <f>IFERROR(__xludf.DUMMYFUNCTION("""COMPUTED_VALUE"""),19878305)</f>
        <v/>
      </c>
      <c r="J330" s="45">
        <f>IFERROR(__xludf.DUMMYFUNCTION("""COMPUTED_VALUE"""),"LW9DCIS")</f>
        <v/>
      </c>
      <c r="K330" s="45">
        <f>IFERROR(__xludf.DUMMYFUNCTION("""COMPUTED_VALUE"""),"LW9DCIS-068971")</f>
        <v/>
      </c>
      <c r="L330" s="45">
        <f>IFERROR(__xludf.DUMMYFUNCTION("""COMPUTED_VALUE"""),3)</f>
        <v/>
      </c>
      <c r="M330" s="45">
        <f>IFERROR(__xludf.DUMMYFUNCTION("""COMPUTED_VALUE"""),125)</f>
        <v/>
      </c>
      <c r="N330" s="45">
        <f>IFERROR(__xludf.DUMMYFUNCTION("""COMPUTED_VALUE"""),11.942)</f>
        <v/>
      </c>
      <c r="O330" s="45">
        <f>IFERROR(__xludf.DUMMYFUNCTION("""COMPUTED_VALUE"""),0.132)</f>
        <v/>
      </c>
      <c r="P330" s="45">
        <f>IFERROR(__xludf.DUMMYFUNCTION("""COMPUTED_VALUE"""),"Colombo, LK")</f>
        <v/>
      </c>
      <c r="Q330" s="45">
        <f>IFERROR(__xludf.DUMMYFUNCTION("""COMPUTED_VALUE"""),"New York, NY, US")</f>
        <v/>
      </c>
      <c r="R330" s="44">
        <f>IFERROR(__xludf.DUMMYFUNCTION("""COMPUTED_VALUE"""),45824)</f>
        <v/>
      </c>
      <c r="S330" s="44">
        <f>IFERROR(__xludf.DUMMYFUNCTION("""COMPUTED_VALUE"""),45883)</f>
        <v/>
      </c>
      <c r="T330" s="45">
        <f>IFERROR(__xludf.DUMMYFUNCTION("""COMPUTED_VALUE"""),"Mississauga, ON, CA")</f>
        <v/>
      </c>
      <c r="U330" s="45" t="n"/>
      <c r="V330" s="45" t="n"/>
      <c r="W330" s="45" t="n"/>
      <c r="X330" s="45" t="n"/>
      <c r="Y330" s="46">
        <f>IFERROR(__xludf.DUMMYFUNCTION("""COMPUTED_VALUE"""),45832)</f>
        <v/>
      </c>
      <c r="Z330" s="46">
        <f>IFERROR(__xludf.DUMMYFUNCTION("""COMPUTED_VALUE"""),45861)</f>
        <v/>
      </c>
      <c r="AA330" s="46">
        <f>IFERROR(__xludf.DUMMYFUNCTION("""COMPUTED_VALUE"""),45874)</f>
        <v/>
      </c>
      <c r="AB330" s="45">
        <f>IFERROR(__xludf.DUMMYFUNCTION("""COMPUTED_VALUE"""),"3500 Argentia Road")</f>
        <v/>
      </c>
      <c r="AC330" s="45" t="n"/>
      <c r="AD330" s="45">
        <f>IFERROR(__xludf.DUMMYFUNCTION("""COMPUTED_VALUE"""),"OCEAN")</f>
        <v/>
      </c>
      <c r="AE330" s="45">
        <f>IFERROR(__xludf.DUMMYFUNCTION("""COMPUTED_VALUE"""),"N")</f>
        <v/>
      </c>
      <c r="AF330" s="45" t="n"/>
      <c r="AG330" s="49">
        <f>IFERROR(__xludf.DUMMYFUNCTION("IFNA(vlookup(H330,IMPORTRANGE(""1vUGwO1n0QQGx9kKbO0_M5gmuhXZ6-LaxQxgrmJnzgP0"",""'TP# look up'!A:C""),3,0),"""")"),"")</f>
        <v/>
      </c>
      <c r="AH330" s="49">
        <f>LEFT(J330,2)</f>
        <v/>
      </c>
    </row>
    <row r="331" hidden="1" ht="12.75" customHeight="1">
      <c r="A331" s="45">
        <f>IFERROR(__xludf.DUMMYFUNCTION("""COMPUTED_VALUE"""),"Colombo")</f>
        <v/>
      </c>
      <c r="B331" s="45" t="n"/>
      <c r="C331" s="45">
        <f>IFERROR(__xludf.DUMMYFUNCTION("""COMPUTED_VALUE"""),3254506)</f>
        <v/>
      </c>
      <c r="D331" s="45" t="n"/>
      <c r="E331" s="45">
        <f>IFERROR(__xludf.DUMMYFUNCTION("""COMPUTED_VALUE"""),"CFS")</f>
        <v/>
      </c>
      <c r="F331" s="45">
        <f>IFERROR(__xludf.DUMMYFUNCTION("""COMPUTED_VALUE"""),"Bodyline Trading (Private) Limited")</f>
        <v/>
      </c>
      <c r="G331" s="45">
        <f>IFERROR(__xludf.DUMMYFUNCTION("""COMPUTED_VALUE"""),"Bodyline (Private) Limited")</f>
        <v/>
      </c>
      <c r="H331" s="43">
        <f>IFERROR(__xludf.DUMMYFUNCTION("""COMPUTED_VALUE"""),452752403153)</f>
        <v/>
      </c>
      <c r="I331" s="45">
        <f>IFERROR(__xludf.DUMMYFUNCTION("""COMPUTED_VALUE"""),19877633)</f>
        <v/>
      </c>
      <c r="J331" s="45">
        <f>IFERROR(__xludf.DUMMYFUNCTION("""COMPUTED_VALUE"""),"LW9DCLS")</f>
        <v/>
      </c>
      <c r="K331" s="45">
        <f>IFERROR(__xludf.DUMMYFUNCTION("""COMPUTED_VALUE"""),"LW9DCLS-068971")</f>
        <v/>
      </c>
      <c r="L331" s="45">
        <f>IFERROR(__xludf.DUMMYFUNCTION("""COMPUTED_VALUE"""),2)</f>
        <v/>
      </c>
      <c r="M331" s="45">
        <f>IFERROR(__xludf.DUMMYFUNCTION("""COMPUTED_VALUE"""),76)</f>
        <v/>
      </c>
      <c r="N331" s="45">
        <f>IFERROR(__xludf.DUMMYFUNCTION("""COMPUTED_VALUE"""),9.157)</f>
        <v/>
      </c>
      <c r="O331" s="45">
        <f>IFERROR(__xludf.DUMMYFUNCTION("""COMPUTED_VALUE"""),0.088)</f>
        <v/>
      </c>
      <c r="P331" s="45">
        <f>IFERROR(__xludf.DUMMYFUNCTION("""COMPUTED_VALUE"""),"Colombo, LK")</f>
        <v/>
      </c>
      <c r="Q331" s="45">
        <f>IFERROR(__xludf.DUMMYFUNCTION("""COMPUTED_VALUE"""),"New York, NY, US")</f>
        <v/>
      </c>
      <c r="R331" s="44">
        <f>IFERROR(__xludf.DUMMYFUNCTION("""COMPUTED_VALUE"""),45824)</f>
        <v/>
      </c>
      <c r="S331" s="44">
        <f>IFERROR(__xludf.DUMMYFUNCTION("""COMPUTED_VALUE"""),45883)</f>
        <v/>
      </c>
      <c r="T331" s="45">
        <f>IFERROR(__xludf.DUMMYFUNCTION("""COMPUTED_VALUE"""),"Mississauga, ON, CA")</f>
        <v/>
      </c>
      <c r="U331" s="45" t="n"/>
      <c r="V331" s="45" t="n"/>
      <c r="W331" s="45" t="n"/>
      <c r="X331" s="45" t="n"/>
      <c r="Y331" s="46">
        <f>IFERROR(__xludf.DUMMYFUNCTION("""COMPUTED_VALUE"""),45832)</f>
        <v/>
      </c>
      <c r="Z331" s="46">
        <f>IFERROR(__xludf.DUMMYFUNCTION("""COMPUTED_VALUE"""),45861)</f>
        <v/>
      </c>
      <c r="AA331" s="46">
        <f>IFERROR(__xludf.DUMMYFUNCTION("""COMPUTED_VALUE"""),45874)</f>
        <v/>
      </c>
      <c r="AB331" s="45">
        <f>IFERROR(__xludf.DUMMYFUNCTION("""COMPUTED_VALUE"""),"3500 Argentia Road")</f>
        <v/>
      </c>
      <c r="AC331" s="45" t="n"/>
      <c r="AD331" s="45">
        <f>IFERROR(__xludf.DUMMYFUNCTION("""COMPUTED_VALUE"""),"OCEAN")</f>
        <v/>
      </c>
      <c r="AE331" s="45">
        <f>IFERROR(__xludf.DUMMYFUNCTION("""COMPUTED_VALUE"""),"N")</f>
        <v/>
      </c>
      <c r="AF331" s="45" t="n"/>
      <c r="AG331" s="49">
        <f>IFERROR(__xludf.DUMMYFUNCTION("IFNA(vlookup(H331,IMPORTRANGE(""1vUGwO1n0QQGx9kKbO0_M5gmuhXZ6-LaxQxgrmJnzgP0"",""'TP# look up'!A:C""),3,0),"""")"),"")</f>
        <v/>
      </c>
      <c r="AH331" s="49">
        <f>LEFT(J331,2)</f>
        <v/>
      </c>
    </row>
    <row r="332" hidden="1" ht="12.75" customHeight="1">
      <c r="A332" s="45">
        <f>IFERROR(__xludf.DUMMYFUNCTION("""COMPUTED_VALUE"""),"Colombo")</f>
        <v/>
      </c>
      <c r="B332" s="45" t="n"/>
      <c r="C332" s="45">
        <f>IFERROR(__xludf.DUMMYFUNCTION("""COMPUTED_VALUE"""),3254506)</f>
        <v/>
      </c>
      <c r="D332" s="45" t="n"/>
      <c r="E332" s="45">
        <f>IFERROR(__xludf.DUMMYFUNCTION("""COMPUTED_VALUE"""),"CFS")</f>
        <v/>
      </c>
      <c r="F332" s="45">
        <f>IFERROR(__xludf.DUMMYFUNCTION("""COMPUTED_VALUE"""),"Bodyline Trading (Private) Limited")</f>
        <v/>
      </c>
      <c r="G332" s="45">
        <f>IFERROR(__xludf.DUMMYFUNCTION("""COMPUTED_VALUE"""),"Bodyline (Private) Limited")</f>
        <v/>
      </c>
      <c r="H332" s="43">
        <f>IFERROR(__xludf.DUMMYFUNCTION("""COMPUTED_VALUE"""),452752403390)</f>
        <v/>
      </c>
      <c r="I332" s="45">
        <f>IFERROR(__xludf.DUMMYFUNCTION("""COMPUTED_VALUE"""),19877621)</f>
        <v/>
      </c>
      <c r="J332" s="45">
        <f>IFERROR(__xludf.DUMMYFUNCTION("""COMPUTED_VALUE"""),"LW9DCLS")</f>
        <v/>
      </c>
      <c r="K332" s="45">
        <f>IFERROR(__xludf.DUMMYFUNCTION("""COMPUTED_VALUE"""),"LW9DCLS-068971")</f>
        <v/>
      </c>
      <c r="L332" s="45">
        <f>IFERROR(__xludf.DUMMYFUNCTION("""COMPUTED_VALUE"""),2)</f>
        <v/>
      </c>
      <c r="M332" s="45">
        <f>IFERROR(__xludf.DUMMYFUNCTION("""COMPUTED_VALUE"""),63)</f>
        <v/>
      </c>
      <c r="N332" s="45">
        <f>IFERROR(__xludf.DUMMYFUNCTION("""COMPUTED_VALUE"""),7.539)</f>
        <v/>
      </c>
      <c r="O332" s="45">
        <f>IFERROR(__xludf.DUMMYFUNCTION("""COMPUTED_VALUE"""),0.088)</f>
        <v/>
      </c>
      <c r="P332" s="45">
        <f>IFERROR(__xludf.DUMMYFUNCTION("""COMPUTED_VALUE"""),"Colombo, LK")</f>
        <v/>
      </c>
      <c r="Q332" s="45">
        <f>IFERROR(__xludf.DUMMYFUNCTION("""COMPUTED_VALUE"""),"New York, NY, US")</f>
        <v/>
      </c>
      <c r="R332" s="44">
        <f>IFERROR(__xludf.DUMMYFUNCTION("""COMPUTED_VALUE"""),45824)</f>
        <v/>
      </c>
      <c r="S332" s="44">
        <f>IFERROR(__xludf.DUMMYFUNCTION("""COMPUTED_VALUE"""),45883)</f>
        <v/>
      </c>
      <c r="T332" s="45">
        <f>IFERROR(__xludf.DUMMYFUNCTION("""COMPUTED_VALUE"""),"Milton, ON, CA")</f>
        <v/>
      </c>
      <c r="U332" s="45" t="n"/>
      <c r="V332" s="45" t="n"/>
      <c r="W332" s="45" t="n"/>
      <c r="X332" s="45" t="n"/>
      <c r="Y332" s="46">
        <f>IFERROR(__xludf.DUMMYFUNCTION("""COMPUTED_VALUE"""),45832)</f>
        <v/>
      </c>
      <c r="Z332" s="46">
        <f>IFERROR(__xludf.DUMMYFUNCTION("""COMPUTED_VALUE"""),45861)</f>
        <v/>
      </c>
      <c r="AA332" s="46">
        <f>IFERROR(__xludf.DUMMYFUNCTION("""COMPUTED_VALUE"""),45874)</f>
        <v/>
      </c>
      <c r="AB332" s="45">
        <f>IFERROR(__xludf.DUMMYFUNCTION("""COMPUTED_VALUE"""),"7211 Fifth Line")</f>
        <v/>
      </c>
      <c r="AC332" s="45" t="n"/>
      <c r="AD332" s="45">
        <f>IFERROR(__xludf.DUMMYFUNCTION("""COMPUTED_VALUE"""),"OCEAN")</f>
        <v/>
      </c>
      <c r="AE332" s="45">
        <f>IFERROR(__xludf.DUMMYFUNCTION("""COMPUTED_VALUE"""),"N")</f>
        <v/>
      </c>
      <c r="AF332" s="45" t="n"/>
      <c r="AG332" s="49">
        <f>IFERROR(__xludf.DUMMYFUNCTION("IFNA(vlookup(H332,IMPORTRANGE(""1vUGwO1n0QQGx9kKbO0_M5gmuhXZ6-LaxQxgrmJnzgP0"",""'TP# look up'!A:C""),3,0),"""")"),"")</f>
        <v/>
      </c>
      <c r="AH332" s="49">
        <f>LEFT(J332,2)</f>
        <v/>
      </c>
    </row>
    <row r="333" hidden="1" ht="12.75" customHeight="1">
      <c r="A333" s="45">
        <f>IFERROR(__xludf.DUMMYFUNCTION("""COMPUTED_VALUE"""),"Colombo")</f>
        <v/>
      </c>
      <c r="B333" s="45" t="n"/>
      <c r="C333" s="45">
        <f>IFERROR(__xludf.DUMMYFUNCTION("""COMPUTED_VALUE"""),3254506)</f>
        <v/>
      </c>
      <c r="D333" s="45" t="n"/>
      <c r="E333" s="45">
        <f>IFERROR(__xludf.DUMMYFUNCTION("""COMPUTED_VALUE"""),"CFS")</f>
        <v/>
      </c>
      <c r="F333" s="45">
        <f>IFERROR(__xludf.DUMMYFUNCTION("""COMPUTED_VALUE"""),"Bodyline Trading (Private) Limited")</f>
        <v/>
      </c>
      <c r="G333" s="45">
        <f>IFERROR(__xludf.DUMMYFUNCTION("""COMPUTED_VALUE"""),"Bodyline (Private) Limited")</f>
        <v/>
      </c>
      <c r="H333" s="43">
        <f>IFERROR(__xludf.DUMMYFUNCTION("""COMPUTED_VALUE"""),452757140834)</f>
        <v/>
      </c>
      <c r="I333" s="45">
        <f>IFERROR(__xludf.DUMMYFUNCTION("""COMPUTED_VALUE"""),19877610)</f>
        <v/>
      </c>
      <c r="J333" s="45">
        <f>IFERROR(__xludf.DUMMYFUNCTION("""COMPUTED_VALUE"""),"LW9DCLS")</f>
        <v/>
      </c>
      <c r="K333" s="45">
        <f>IFERROR(__xludf.DUMMYFUNCTION("""COMPUTED_VALUE"""),"LW9DCLS-073357")</f>
        <v/>
      </c>
      <c r="L333" s="45">
        <f>IFERROR(__xludf.DUMMYFUNCTION("""COMPUTED_VALUE"""),2)</f>
        <v/>
      </c>
      <c r="M333" s="45">
        <f>IFERROR(__xludf.DUMMYFUNCTION("""COMPUTED_VALUE"""),84)</f>
        <v/>
      </c>
      <c r="N333" s="45">
        <f>IFERROR(__xludf.DUMMYFUNCTION("""COMPUTED_VALUE"""),9.907)</f>
        <v/>
      </c>
      <c r="O333" s="45">
        <f>IFERROR(__xludf.DUMMYFUNCTION("""COMPUTED_VALUE"""),0.088)</f>
        <v/>
      </c>
      <c r="P333" s="45">
        <f>IFERROR(__xludf.DUMMYFUNCTION("""COMPUTED_VALUE"""),"Colombo, LK")</f>
        <v/>
      </c>
      <c r="Q333" s="45">
        <f>IFERROR(__xludf.DUMMYFUNCTION("""COMPUTED_VALUE"""),"New York, NY, US")</f>
        <v/>
      </c>
      <c r="R333" s="44">
        <f>IFERROR(__xludf.DUMMYFUNCTION("""COMPUTED_VALUE"""),45824)</f>
        <v/>
      </c>
      <c r="S333" s="44">
        <f>IFERROR(__xludf.DUMMYFUNCTION("""COMPUTED_VALUE"""),45883)</f>
        <v/>
      </c>
      <c r="T333" s="45">
        <f>IFERROR(__xludf.DUMMYFUNCTION("""COMPUTED_VALUE"""),"Mississauga, ON, CA")</f>
        <v/>
      </c>
      <c r="U333" s="45" t="n"/>
      <c r="V333" s="45" t="n"/>
      <c r="W333" s="45" t="n"/>
      <c r="X333" s="45" t="n"/>
      <c r="Y333" s="46">
        <f>IFERROR(__xludf.DUMMYFUNCTION("""COMPUTED_VALUE"""),45832)</f>
        <v/>
      </c>
      <c r="Z333" s="46">
        <f>IFERROR(__xludf.DUMMYFUNCTION("""COMPUTED_VALUE"""),45861)</f>
        <v/>
      </c>
      <c r="AA333" s="46">
        <f>IFERROR(__xludf.DUMMYFUNCTION("""COMPUTED_VALUE"""),45874)</f>
        <v/>
      </c>
      <c r="AB333" s="45">
        <f>IFERROR(__xludf.DUMMYFUNCTION("""COMPUTED_VALUE"""),"3500 Argentia Road")</f>
        <v/>
      </c>
      <c r="AC333" s="45" t="n"/>
      <c r="AD333" s="45">
        <f>IFERROR(__xludf.DUMMYFUNCTION("""COMPUTED_VALUE"""),"OCEAN")</f>
        <v/>
      </c>
      <c r="AE333" s="45">
        <f>IFERROR(__xludf.DUMMYFUNCTION("""COMPUTED_VALUE"""),"N")</f>
        <v/>
      </c>
      <c r="AF333" s="45" t="n"/>
      <c r="AG333" s="49">
        <f>IFERROR(__xludf.DUMMYFUNCTION("IFNA(vlookup(H333,IMPORTRANGE(""1vUGwO1n0QQGx9kKbO0_M5gmuhXZ6-LaxQxgrmJnzgP0"",""'TP# look up'!A:C""),3,0),"""")"),"")</f>
        <v/>
      </c>
      <c r="AH333" s="49">
        <f>LEFT(J333,2)</f>
        <v/>
      </c>
    </row>
    <row r="334" hidden="1" ht="12.75" customHeight="1">
      <c r="A334" s="45">
        <f>IFERROR(__xludf.DUMMYFUNCTION("""COMPUTED_VALUE"""),"Colombo")</f>
        <v/>
      </c>
      <c r="B334" s="45" t="n"/>
      <c r="C334" s="45">
        <f>IFERROR(__xludf.DUMMYFUNCTION("""COMPUTED_VALUE"""),3254506)</f>
        <v/>
      </c>
      <c r="D334" s="45" t="n"/>
      <c r="E334" s="45">
        <f>IFERROR(__xludf.DUMMYFUNCTION("""COMPUTED_VALUE"""),"CFS")</f>
        <v/>
      </c>
      <c r="F334" s="45">
        <f>IFERROR(__xludf.DUMMYFUNCTION("""COMPUTED_VALUE"""),"Bodyline Trading (Private) Limited")</f>
        <v/>
      </c>
      <c r="G334" s="45">
        <f>IFERROR(__xludf.DUMMYFUNCTION("""COMPUTED_VALUE"""),"Bodyline (Private) Limited")</f>
        <v/>
      </c>
      <c r="H334" s="43">
        <f>IFERROR(__xludf.DUMMYFUNCTION("""COMPUTED_VALUE"""),452757659944)</f>
        <v/>
      </c>
      <c r="I334" s="45">
        <f>IFERROR(__xludf.DUMMYFUNCTION("""COMPUTED_VALUE"""),19878331)</f>
        <v/>
      </c>
      <c r="J334" s="45">
        <f>IFERROR(__xludf.DUMMYFUNCTION("""COMPUTED_VALUE"""),"LW9DCLS")</f>
        <v/>
      </c>
      <c r="K334" s="45">
        <f>IFERROR(__xludf.DUMMYFUNCTION("""COMPUTED_VALUE"""),"LW9DCLS-073357")</f>
        <v/>
      </c>
      <c r="L334" s="45">
        <f>IFERROR(__xludf.DUMMYFUNCTION("""COMPUTED_VALUE"""),3)</f>
        <v/>
      </c>
      <c r="M334" s="45">
        <f>IFERROR(__xludf.DUMMYFUNCTION("""COMPUTED_VALUE"""),109)</f>
        <v/>
      </c>
      <c r="N334" s="45">
        <f>IFERROR(__xludf.DUMMYFUNCTION("""COMPUTED_VALUE"""),12.848)</f>
        <v/>
      </c>
      <c r="O334" s="45">
        <f>IFERROR(__xludf.DUMMYFUNCTION("""COMPUTED_VALUE"""),0.132)</f>
        <v/>
      </c>
      <c r="P334" s="45">
        <f>IFERROR(__xludf.DUMMYFUNCTION("""COMPUTED_VALUE"""),"Colombo, LK")</f>
        <v/>
      </c>
      <c r="Q334" s="45">
        <f>IFERROR(__xludf.DUMMYFUNCTION("""COMPUTED_VALUE"""),"New York, NY, US")</f>
        <v/>
      </c>
      <c r="R334" s="44">
        <f>IFERROR(__xludf.DUMMYFUNCTION("""COMPUTED_VALUE"""),45824)</f>
        <v/>
      </c>
      <c r="S334" s="44">
        <f>IFERROR(__xludf.DUMMYFUNCTION("""COMPUTED_VALUE"""),45883)</f>
        <v/>
      </c>
      <c r="T334" s="45">
        <f>IFERROR(__xludf.DUMMYFUNCTION("""COMPUTED_VALUE"""),"Mississauga, ON, CA")</f>
        <v/>
      </c>
      <c r="U334" s="45" t="n"/>
      <c r="V334" s="45" t="n"/>
      <c r="W334" s="45" t="n"/>
      <c r="X334" s="45" t="n"/>
      <c r="Y334" s="46">
        <f>IFERROR(__xludf.DUMMYFUNCTION("""COMPUTED_VALUE"""),45832)</f>
        <v/>
      </c>
      <c r="Z334" s="46">
        <f>IFERROR(__xludf.DUMMYFUNCTION("""COMPUTED_VALUE"""),45861)</f>
        <v/>
      </c>
      <c r="AA334" s="46">
        <f>IFERROR(__xludf.DUMMYFUNCTION("""COMPUTED_VALUE"""),45874)</f>
        <v/>
      </c>
      <c r="AB334" s="45">
        <f>IFERROR(__xludf.DUMMYFUNCTION("""COMPUTED_VALUE"""),"3500 Argentia Road")</f>
        <v/>
      </c>
      <c r="AC334" s="45" t="n"/>
      <c r="AD334" s="45">
        <f>IFERROR(__xludf.DUMMYFUNCTION("""COMPUTED_VALUE"""),"OCEAN")</f>
        <v/>
      </c>
      <c r="AE334" s="45">
        <f>IFERROR(__xludf.DUMMYFUNCTION("""COMPUTED_VALUE"""),"N")</f>
        <v/>
      </c>
      <c r="AF334" s="45" t="n"/>
      <c r="AG334" s="49">
        <f>IFERROR(__xludf.DUMMYFUNCTION("IFNA(vlookup(H334,IMPORTRANGE(""1vUGwO1n0QQGx9kKbO0_M5gmuhXZ6-LaxQxgrmJnzgP0"",""'TP# look up'!A:C""),3,0),"""")"),"")</f>
        <v/>
      </c>
      <c r="AH334" s="49">
        <f>LEFT(J334,2)</f>
        <v/>
      </c>
    </row>
    <row r="335" hidden="1" ht="12.75" customHeight="1">
      <c r="A335" s="45">
        <f>IFERROR(__xludf.DUMMYFUNCTION("""COMPUTED_VALUE"""),"Colombo")</f>
        <v/>
      </c>
      <c r="B335" s="45" t="n"/>
      <c r="C335" s="45">
        <f>IFERROR(__xludf.DUMMYFUNCTION("""COMPUTED_VALUE"""),3254506)</f>
        <v/>
      </c>
      <c r="D335" s="45" t="n"/>
      <c r="E335" s="45">
        <f>IFERROR(__xludf.DUMMYFUNCTION("""COMPUTED_VALUE"""),"CFS")</f>
        <v/>
      </c>
      <c r="F335" s="45">
        <f>IFERROR(__xludf.DUMMYFUNCTION("""COMPUTED_VALUE"""),"Bodyline Trading (Private) Limited")</f>
        <v/>
      </c>
      <c r="G335" s="45">
        <f>IFERROR(__xludf.DUMMYFUNCTION("""COMPUTED_VALUE"""),"Bodyline (Private) Limited")</f>
        <v/>
      </c>
      <c r="H335" s="43">
        <f>IFERROR(__xludf.DUMMYFUNCTION("""COMPUTED_VALUE"""),452757662388)</f>
        <v/>
      </c>
      <c r="I335" s="45">
        <f>IFERROR(__xludf.DUMMYFUNCTION("""COMPUTED_VALUE"""),19877767)</f>
        <v/>
      </c>
      <c r="J335" s="45">
        <f>IFERROR(__xludf.DUMMYFUNCTION("""COMPUTED_VALUE"""),"LW9DTYS")</f>
        <v/>
      </c>
      <c r="K335" s="45">
        <f>IFERROR(__xludf.DUMMYFUNCTION("""COMPUTED_VALUE"""),"LW9DTYS-071140")</f>
        <v/>
      </c>
      <c r="L335" s="45">
        <f>IFERROR(__xludf.DUMMYFUNCTION("""COMPUTED_VALUE"""),1)</f>
        <v/>
      </c>
      <c r="M335" s="45">
        <f>IFERROR(__xludf.DUMMYFUNCTION("""COMPUTED_VALUE"""),39)</f>
        <v/>
      </c>
      <c r="N335" s="45">
        <f>IFERROR(__xludf.DUMMYFUNCTION("""COMPUTED_VALUE"""),4.169)</f>
        <v/>
      </c>
      <c r="O335" s="45">
        <f>IFERROR(__xludf.DUMMYFUNCTION("""COMPUTED_VALUE"""),0.044)</f>
        <v/>
      </c>
      <c r="P335" s="45">
        <f>IFERROR(__xludf.DUMMYFUNCTION("""COMPUTED_VALUE"""),"Colombo, LK")</f>
        <v/>
      </c>
      <c r="Q335" s="45">
        <f>IFERROR(__xludf.DUMMYFUNCTION("""COMPUTED_VALUE"""),"New York, NY, US")</f>
        <v/>
      </c>
      <c r="R335" s="44">
        <f>IFERROR(__xludf.DUMMYFUNCTION("""COMPUTED_VALUE"""),45824)</f>
        <v/>
      </c>
      <c r="S335" s="44">
        <f>IFERROR(__xludf.DUMMYFUNCTION("""COMPUTED_VALUE"""),45883)</f>
        <v/>
      </c>
      <c r="T335" s="45">
        <f>IFERROR(__xludf.DUMMYFUNCTION("""COMPUTED_VALUE"""),"Mississauga, ON, CA")</f>
        <v/>
      </c>
      <c r="U335" s="45" t="n"/>
      <c r="V335" s="45" t="n"/>
      <c r="W335" s="45" t="n"/>
      <c r="X335" s="45" t="n"/>
      <c r="Y335" s="46">
        <f>IFERROR(__xludf.DUMMYFUNCTION("""COMPUTED_VALUE"""),45832)</f>
        <v/>
      </c>
      <c r="Z335" s="46">
        <f>IFERROR(__xludf.DUMMYFUNCTION("""COMPUTED_VALUE"""),45861)</f>
        <v/>
      </c>
      <c r="AA335" s="46">
        <f>IFERROR(__xludf.DUMMYFUNCTION("""COMPUTED_VALUE"""),45874)</f>
        <v/>
      </c>
      <c r="AB335" s="45">
        <f>IFERROR(__xludf.DUMMYFUNCTION("""COMPUTED_VALUE"""),"3500 Argentia Road")</f>
        <v/>
      </c>
      <c r="AC335" s="45" t="n"/>
      <c r="AD335" s="45">
        <f>IFERROR(__xludf.DUMMYFUNCTION("""COMPUTED_VALUE"""),"OCEAN")</f>
        <v/>
      </c>
      <c r="AE335" s="45">
        <f>IFERROR(__xludf.DUMMYFUNCTION("""COMPUTED_VALUE"""),"N")</f>
        <v/>
      </c>
      <c r="AF335" s="45" t="n"/>
      <c r="AG335" s="49">
        <f>IFERROR(__xludf.DUMMYFUNCTION("IFNA(vlookup(H335,IMPORTRANGE(""1vUGwO1n0QQGx9kKbO0_M5gmuhXZ6-LaxQxgrmJnzgP0"",""'TP# look up'!A:C""),3,0),"""")"),"")</f>
        <v/>
      </c>
      <c r="AH335" s="49">
        <f>LEFT(J335,2)</f>
        <v/>
      </c>
    </row>
    <row r="336" hidden="1" ht="12.75" customHeight="1">
      <c r="A336" s="45">
        <f>IFERROR(__xludf.DUMMYFUNCTION("""COMPUTED_VALUE"""),"Colombo")</f>
        <v/>
      </c>
      <c r="B336" s="45" t="n"/>
      <c r="C336" s="45">
        <f>IFERROR(__xludf.DUMMYFUNCTION("""COMPUTED_VALUE"""),3254506)</f>
        <v/>
      </c>
      <c r="D336" s="45" t="n"/>
      <c r="E336" s="45">
        <f>IFERROR(__xludf.DUMMYFUNCTION("""COMPUTED_VALUE"""),"CFS")</f>
        <v/>
      </c>
      <c r="F336" s="45">
        <f>IFERROR(__xludf.DUMMYFUNCTION("""COMPUTED_VALUE"""),"Bodyline Trading (Private) Limited")</f>
        <v/>
      </c>
      <c r="G336" s="45">
        <f>IFERROR(__xludf.DUMMYFUNCTION("""COMPUTED_VALUE"""),"Bodyline (Private) Limited")</f>
        <v/>
      </c>
      <c r="H336" s="43">
        <f>IFERROR(__xludf.DUMMYFUNCTION("""COMPUTED_VALUE"""),452759324840)</f>
        <v/>
      </c>
      <c r="I336" s="45">
        <f>IFERROR(__xludf.DUMMYFUNCTION("""COMPUTED_VALUE"""),19877743)</f>
        <v/>
      </c>
      <c r="J336" s="45">
        <f>IFERROR(__xludf.DUMMYFUNCTION("""COMPUTED_VALUE"""),"LW9DTYS")</f>
        <v/>
      </c>
      <c r="K336" s="45">
        <f>IFERROR(__xludf.DUMMYFUNCTION("""COMPUTED_VALUE"""),"LW9DTYS-071140")</f>
        <v/>
      </c>
      <c r="L336" s="45">
        <f>IFERROR(__xludf.DUMMYFUNCTION("""COMPUTED_VALUE"""),2)</f>
        <v/>
      </c>
      <c r="M336" s="45">
        <f>IFERROR(__xludf.DUMMYFUNCTION("""COMPUTED_VALUE"""),85)</f>
        <v/>
      </c>
      <c r="N336" s="45">
        <f>IFERROR(__xludf.DUMMYFUNCTION("""COMPUTED_VALUE"""),8.556)</f>
        <v/>
      </c>
      <c r="O336" s="45">
        <f>IFERROR(__xludf.DUMMYFUNCTION("""COMPUTED_VALUE"""),0.088)</f>
        <v/>
      </c>
      <c r="P336" s="45">
        <f>IFERROR(__xludf.DUMMYFUNCTION("""COMPUTED_VALUE"""),"Colombo, LK")</f>
        <v/>
      </c>
      <c r="Q336" s="45">
        <f>IFERROR(__xludf.DUMMYFUNCTION("""COMPUTED_VALUE"""),"New York, NY, US")</f>
        <v/>
      </c>
      <c r="R336" s="44">
        <f>IFERROR(__xludf.DUMMYFUNCTION("""COMPUTED_VALUE"""),45824)</f>
        <v/>
      </c>
      <c r="S336" s="44">
        <f>IFERROR(__xludf.DUMMYFUNCTION("""COMPUTED_VALUE"""),45883)</f>
        <v/>
      </c>
      <c r="T336" s="45">
        <f>IFERROR(__xludf.DUMMYFUNCTION("""COMPUTED_VALUE"""),"Milton, ON, CA")</f>
        <v/>
      </c>
      <c r="U336" s="45" t="n"/>
      <c r="V336" s="45" t="n"/>
      <c r="W336" s="45" t="n"/>
      <c r="X336" s="45" t="n"/>
      <c r="Y336" s="46">
        <f>IFERROR(__xludf.DUMMYFUNCTION("""COMPUTED_VALUE"""),45832)</f>
        <v/>
      </c>
      <c r="Z336" s="46">
        <f>IFERROR(__xludf.DUMMYFUNCTION("""COMPUTED_VALUE"""),45861)</f>
        <v/>
      </c>
      <c r="AA336" s="46">
        <f>IFERROR(__xludf.DUMMYFUNCTION("""COMPUTED_VALUE"""),45874)</f>
        <v/>
      </c>
      <c r="AB336" s="45">
        <f>IFERROR(__xludf.DUMMYFUNCTION("""COMPUTED_VALUE"""),"7211 Fifth Line")</f>
        <v/>
      </c>
      <c r="AC336" s="45" t="n"/>
      <c r="AD336" s="45">
        <f>IFERROR(__xludf.DUMMYFUNCTION("""COMPUTED_VALUE"""),"OCEAN")</f>
        <v/>
      </c>
      <c r="AE336" s="45">
        <f>IFERROR(__xludf.DUMMYFUNCTION("""COMPUTED_VALUE"""),"N")</f>
        <v/>
      </c>
      <c r="AF336" s="45" t="n"/>
      <c r="AG336" s="49">
        <f>IFERROR(__xludf.DUMMYFUNCTION("IFNA(vlookup(H336,IMPORTRANGE(""1vUGwO1n0QQGx9kKbO0_M5gmuhXZ6-LaxQxgrmJnzgP0"",""'TP# look up'!A:C""),3,0),"""")"),"")</f>
        <v/>
      </c>
      <c r="AH336" s="49">
        <f>LEFT(J336,2)</f>
        <v/>
      </c>
    </row>
    <row r="337" hidden="1" ht="12.75" customHeight="1">
      <c r="A337" s="45">
        <f>IFERROR(__xludf.DUMMYFUNCTION("""COMPUTED_VALUE"""),"Colombo")</f>
        <v/>
      </c>
      <c r="B337" s="45" t="n"/>
      <c r="C337" s="45">
        <f>IFERROR(__xludf.DUMMYFUNCTION("""COMPUTED_VALUE"""),3254506)</f>
        <v/>
      </c>
      <c r="D337" s="45" t="n"/>
      <c r="E337" s="45">
        <f>IFERROR(__xludf.DUMMYFUNCTION("""COMPUTED_VALUE"""),"CFS")</f>
        <v/>
      </c>
      <c r="F337" s="45">
        <f>IFERROR(__xludf.DUMMYFUNCTION("""COMPUTED_VALUE"""),"Bodyline Trading (Private) Limited")</f>
        <v/>
      </c>
      <c r="G337" s="45">
        <f>IFERROR(__xludf.DUMMYFUNCTION("""COMPUTED_VALUE"""),"Bodyline (Private) Limited")</f>
        <v/>
      </c>
      <c r="H337" s="43">
        <f>IFERROR(__xludf.DUMMYFUNCTION("""COMPUTED_VALUE"""),452760763325)</f>
        <v/>
      </c>
      <c r="I337" s="45">
        <f>IFERROR(__xludf.DUMMYFUNCTION("""COMPUTED_VALUE"""),19878470)</f>
        <v/>
      </c>
      <c r="J337" s="45">
        <f>IFERROR(__xludf.DUMMYFUNCTION("""COMPUTED_VALUE"""),"LW9DTYS")</f>
        <v/>
      </c>
      <c r="K337" s="45">
        <f>IFERROR(__xludf.DUMMYFUNCTION("""COMPUTED_VALUE"""),"LW9DTYS-071140")</f>
        <v/>
      </c>
      <c r="L337" s="45">
        <f>IFERROR(__xludf.DUMMYFUNCTION("""COMPUTED_VALUE"""),2)</f>
        <v/>
      </c>
      <c r="M337" s="45">
        <f>IFERROR(__xludf.DUMMYFUNCTION("""COMPUTED_VALUE"""),66)</f>
        <v/>
      </c>
      <c r="N337" s="45">
        <f>IFERROR(__xludf.DUMMYFUNCTION("""COMPUTED_VALUE"""),7.22)</f>
        <v/>
      </c>
      <c r="O337" s="45">
        <f>IFERROR(__xludf.DUMMYFUNCTION("""COMPUTED_VALUE"""),0.088)</f>
        <v/>
      </c>
      <c r="P337" s="45">
        <f>IFERROR(__xludf.DUMMYFUNCTION("""COMPUTED_VALUE"""),"Colombo, LK")</f>
        <v/>
      </c>
      <c r="Q337" s="45">
        <f>IFERROR(__xludf.DUMMYFUNCTION("""COMPUTED_VALUE"""),"New York, NY, US")</f>
        <v/>
      </c>
      <c r="R337" s="44">
        <f>IFERROR(__xludf.DUMMYFUNCTION("""COMPUTED_VALUE"""),45824)</f>
        <v/>
      </c>
      <c r="S337" s="44">
        <f>IFERROR(__xludf.DUMMYFUNCTION("""COMPUTED_VALUE"""),45883)</f>
        <v/>
      </c>
      <c r="T337" s="45">
        <f>IFERROR(__xludf.DUMMYFUNCTION("""COMPUTED_VALUE"""),"Mississauga, ON, CA")</f>
        <v/>
      </c>
      <c r="U337" s="45" t="n"/>
      <c r="V337" s="45" t="n"/>
      <c r="W337" s="45" t="n"/>
      <c r="X337" s="45" t="n"/>
      <c r="Y337" s="46">
        <f>IFERROR(__xludf.DUMMYFUNCTION("""COMPUTED_VALUE"""),45832)</f>
        <v/>
      </c>
      <c r="Z337" s="46">
        <f>IFERROR(__xludf.DUMMYFUNCTION("""COMPUTED_VALUE"""),45861)</f>
        <v/>
      </c>
      <c r="AA337" s="46">
        <f>IFERROR(__xludf.DUMMYFUNCTION("""COMPUTED_VALUE"""),45874)</f>
        <v/>
      </c>
      <c r="AB337" s="45">
        <f>IFERROR(__xludf.DUMMYFUNCTION("""COMPUTED_VALUE"""),"3500 Argentia Road")</f>
        <v/>
      </c>
      <c r="AC337" s="45" t="n"/>
      <c r="AD337" s="45">
        <f>IFERROR(__xludf.DUMMYFUNCTION("""COMPUTED_VALUE"""),"OCEAN")</f>
        <v/>
      </c>
      <c r="AE337" s="45">
        <f>IFERROR(__xludf.DUMMYFUNCTION("""COMPUTED_VALUE"""),"N")</f>
        <v/>
      </c>
      <c r="AF337" s="45" t="n"/>
      <c r="AG337" s="49">
        <f>IFERROR(__xludf.DUMMYFUNCTION("IFNA(vlookup(H337,IMPORTRANGE(""1vUGwO1n0QQGx9kKbO0_M5gmuhXZ6-LaxQxgrmJnzgP0"",""'TP# look up'!A:C""),3,0),"""")"),"")</f>
        <v/>
      </c>
      <c r="AH337" s="49">
        <f>LEFT(J337,2)</f>
        <v/>
      </c>
    </row>
    <row r="338" hidden="1" ht="12.75" customHeight="1">
      <c r="A338" s="45">
        <f>IFERROR(__xludf.DUMMYFUNCTION("""COMPUTED_VALUE"""),"Colombo")</f>
        <v/>
      </c>
      <c r="B338" s="45" t="n"/>
      <c r="C338" s="45">
        <f>IFERROR(__xludf.DUMMYFUNCTION("""COMPUTED_VALUE"""),3254506)</f>
        <v/>
      </c>
      <c r="D338" s="45" t="n"/>
      <c r="E338" s="45">
        <f>IFERROR(__xludf.DUMMYFUNCTION("""COMPUTED_VALUE"""),"CFS")</f>
        <v/>
      </c>
      <c r="F338" s="45">
        <f>IFERROR(__xludf.DUMMYFUNCTION("""COMPUTED_VALUE"""),"Bodyline Trading (Private) Limited")</f>
        <v/>
      </c>
      <c r="G338" s="45">
        <f>IFERROR(__xludf.DUMMYFUNCTION("""COMPUTED_VALUE"""),"Bodyline (Private) Limited")</f>
        <v/>
      </c>
      <c r="H338" s="43">
        <f>IFERROR(__xludf.DUMMYFUNCTION("""COMPUTED_VALUE"""),452761326073)</f>
        <v/>
      </c>
      <c r="I338" s="45">
        <f>IFERROR(__xludf.DUMMYFUNCTION("""COMPUTED_VALUE"""),19877811)</f>
        <v/>
      </c>
      <c r="J338" s="45">
        <f>IFERROR(__xludf.DUMMYFUNCTION("""COMPUTED_VALUE"""),"LW9DTZS")</f>
        <v/>
      </c>
      <c r="K338" s="45">
        <f>IFERROR(__xludf.DUMMYFUNCTION("""COMPUTED_VALUE"""),"LW9DTZS-071140")</f>
        <v/>
      </c>
      <c r="L338" s="45">
        <f>IFERROR(__xludf.DUMMYFUNCTION("""COMPUTED_VALUE"""),2)</f>
        <v/>
      </c>
      <c r="M338" s="45">
        <f>IFERROR(__xludf.DUMMYFUNCTION("""COMPUTED_VALUE"""),58)</f>
        <v/>
      </c>
      <c r="N338" s="45">
        <f>IFERROR(__xludf.DUMMYFUNCTION("""COMPUTED_VALUE"""),7.555)</f>
        <v/>
      </c>
      <c r="O338" s="45">
        <f>IFERROR(__xludf.DUMMYFUNCTION("""COMPUTED_VALUE"""),0.088)</f>
        <v/>
      </c>
      <c r="P338" s="45">
        <f>IFERROR(__xludf.DUMMYFUNCTION("""COMPUTED_VALUE"""),"Colombo, LK")</f>
        <v/>
      </c>
      <c r="Q338" s="45">
        <f>IFERROR(__xludf.DUMMYFUNCTION("""COMPUTED_VALUE"""),"New York, NY, US")</f>
        <v/>
      </c>
      <c r="R338" s="44">
        <f>IFERROR(__xludf.DUMMYFUNCTION("""COMPUTED_VALUE"""),45824)</f>
        <v/>
      </c>
      <c r="S338" s="44">
        <f>IFERROR(__xludf.DUMMYFUNCTION("""COMPUTED_VALUE"""),45883)</f>
        <v/>
      </c>
      <c r="T338" s="45">
        <f>IFERROR(__xludf.DUMMYFUNCTION("""COMPUTED_VALUE"""),"Mississauga, ON, CA")</f>
        <v/>
      </c>
      <c r="U338" s="45" t="n"/>
      <c r="V338" s="45" t="n"/>
      <c r="W338" s="45" t="n"/>
      <c r="X338" s="45" t="n"/>
      <c r="Y338" s="46">
        <f>IFERROR(__xludf.DUMMYFUNCTION("""COMPUTED_VALUE"""),45832)</f>
        <v/>
      </c>
      <c r="Z338" s="46">
        <f>IFERROR(__xludf.DUMMYFUNCTION("""COMPUTED_VALUE"""),45861)</f>
        <v/>
      </c>
      <c r="AA338" s="46">
        <f>IFERROR(__xludf.DUMMYFUNCTION("""COMPUTED_VALUE"""),45874)</f>
        <v/>
      </c>
      <c r="AB338" s="45">
        <f>IFERROR(__xludf.DUMMYFUNCTION("""COMPUTED_VALUE"""),"3500 Argentia Road")</f>
        <v/>
      </c>
      <c r="AC338" s="45" t="n"/>
      <c r="AD338" s="45">
        <f>IFERROR(__xludf.DUMMYFUNCTION("""COMPUTED_VALUE"""),"OCEAN")</f>
        <v/>
      </c>
      <c r="AE338" s="45">
        <f>IFERROR(__xludf.DUMMYFUNCTION("""COMPUTED_VALUE"""),"N")</f>
        <v/>
      </c>
      <c r="AF338" s="45" t="n"/>
      <c r="AG338" s="49">
        <f>IFERROR(__xludf.DUMMYFUNCTION("IFNA(vlookup(H338,IMPORTRANGE(""1vUGwO1n0QQGx9kKbO0_M5gmuhXZ6-LaxQxgrmJnzgP0"",""'TP# look up'!A:C""),3,0),"""")"),"")</f>
        <v/>
      </c>
      <c r="AH338" s="49">
        <f>LEFT(J338,2)</f>
        <v/>
      </c>
    </row>
    <row r="339" hidden="1" ht="12.75" customHeight="1">
      <c r="A339" s="45">
        <f>IFERROR(__xludf.DUMMYFUNCTION("""COMPUTED_VALUE"""),"Colombo")</f>
        <v/>
      </c>
      <c r="B339" s="45" t="n"/>
      <c r="C339" s="45">
        <f>IFERROR(__xludf.DUMMYFUNCTION("""COMPUTED_VALUE"""),3254506)</f>
        <v/>
      </c>
      <c r="D339" s="45" t="n"/>
      <c r="E339" s="45">
        <f>IFERROR(__xludf.DUMMYFUNCTION("""COMPUTED_VALUE"""),"CFS")</f>
        <v/>
      </c>
      <c r="F339" s="45">
        <f>IFERROR(__xludf.DUMMYFUNCTION("""COMPUTED_VALUE"""),"Bodyline Trading (Private) Limited")</f>
        <v/>
      </c>
      <c r="G339" s="45">
        <f>IFERROR(__xludf.DUMMYFUNCTION("""COMPUTED_VALUE"""),"Bodyline (Private) Limited")</f>
        <v/>
      </c>
      <c r="H339" s="43">
        <f>IFERROR(__xludf.DUMMYFUNCTION("""COMPUTED_VALUE"""),452762125413)</f>
        <v/>
      </c>
      <c r="I339" s="45">
        <f>IFERROR(__xludf.DUMMYFUNCTION("""COMPUTED_VALUE"""),19878445)</f>
        <v/>
      </c>
      <c r="J339" s="45">
        <f>IFERROR(__xludf.DUMMYFUNCTION("""COMPUTED_VALUE"""),"LW9DTYS")</f>
        <v/>
      </c>
      <c r="K339" s="45">
        <f>IFERROR(__xludf.DUMMYFUNCTION("""COMPUTED_VALUE"""),"LW9DTYS-0001")</f>
        <v/>
      </c>
      <c r="L339" s="45">
        <f>IFERROR(__xludf.DUMMYFUNCTION("""COMPUTED_VALUE"""),2)</f>
        <v/>
      </c>
      <c r="M339" s="45">
        <f>IFERROR(__xludf.DUMMYFUNCTION("""COMPUTED_VALUE"""),122)</f>
        <v/>
      </c>
      <c r="N339" s="45">
        <f>IFERROR(__xludf.DUMMYFUNCTION("""COMPUTED_VALUE"""),11.348)</f>
        <v/>
      </c>
      <c r="O339" s="45">
        <f>IFERROR(__xludf.DUMMYFUNCTION("""COMPUTED_VALUE"""),0.088)</f>
        <v/>
      </c>
      <c r="P339" s="45">
        <f>IFERROR(__xludf.DUMMYFUNCTION("""COMPUTED_VALUE"""),"Colombo, LK")</f>
        <v/>
      </c>
      <c r="Q339" s="45">
        <f>IFERROR(__xludf.DUMMYFUNCTION("""COMPUTED_VALUE"""),"New York, NY, US")</f>
        <v/>
      </c>
      <c r="R339" s="44">
        <f>IFERROR(__xludf.DUMMYFUNCTION("""COMPUTED_VALUE"""),45824)</f>
        <v/>
      </c>
      <c r="S339" s="44">
        <f>IFERROR(__xludf.DUMMYFUNCTION("""COMPUTED_VALUE"""),45883)</f>
        <v/>
      </c>
      <c r="T339" s="45">
        <f>IFERROR(__xludf.DUMMYFUNCTION("""COMPUTED_VALUE"""),"Mississauga, ON, CA")</f>
        <v/>
      </c>
      <c r="U339" s="45" t="n"/>
      <c r="V339" s="45" t="n"/>
      <c r="W339" s="45" t="n"/>
      <c r="X339" s="45" t="n"/>
      <c r="Y339" s="46">
        <f>IFERROR(__xludf.DUMMYFUNCTION("""COMPUTED_VALUE"""),45832)</f>
        <v/>
      </c>
      <c r="Z339" s="46">
        <f>IFERROR(__xludf.DUMMYFUNCTION("""COMPUTED_VALUE"""),45861)</f>
        <v/>
      </c>
      <c r="AA339" s="46">
        <f>IFERROR(__xludf.DUMMYFUNCTION("""COMPUTED_VALUE"""),45874)</f>
        <v/>
      </c>
      <c r="AB339" s="45">
        <f>IFERROR(__xludf.DUMMYFUNCTION("""COMPUTED_VALUE"""),"3500 Argentia Road")</f>
        <v/>
      </c>
      <c r="AC339" s="45" t="n"/>
      <c r="AD339" s="45">
        <f>IFERROR(__xludf.DUMMYFUNCTION("""COMPUTED_VALUE"""),"OCEAN")</f>
        <v/>
      </c>
      <c r="AE339" s="45">
        <f>IFERROR(__xludf.DUMMYFUNCTION("""COMPUTED_VALUE"""),"N")</f>
        <v/>
      </c>
      <c r="AF339" s="45" t="n"/>
      <c r="AG339" s="49">
        <f>IFERROR(__xludf.DUMMYFUNCTION("IFNA(vlookup(H339,IMPORTRANGE(""1vUGwO1n0QQGx9kKbO0_M5gmuhXZ6-LaxQxgrmJnzgP0"",""'TP# look up'!A:C""),3,0),"""")"),"")</f>
        <v/>
      </c>
      <c r="AH339" s="49">
        <f>LEFT(J339,2)</f>
        <v/>
      </c>
    </row>
    <row r="340" hidden="1" ht="12.75" customHeight="1">
      <c r="A340" s="45">
        <f>IFERROR(__xludf.DUMMYFUNCTION("""COMPUTED_VALUE"""),"Colombo")</f>
        <v/>
      </c>
      <c r="B340" s="45" t="n"/>
      <c r="C340" s="45">
        <f>IFERROR(__xludf.DUMMYFUNCTION("""COMPUTED_VALUE"""),3254506)</f>
        <v/>
      </c>
      <c r="D340" s="45" t="n"/>
      <c r="E340" s="45">
        <f>IFERROR(__xludf.DUMMYFUNCTION("""COMPUTED_VALUE"""),"CFS")</f>
        <v/>
      </c>
      <c r="F340" s="45">
        <f>IFERROR(__xludf.DUMMYFUNCTION("""COMPUTED_VALUE"""),"Bodyline Trading (Private) Limited")</f>
        <v/>
      </c>
      <c r="G340" s="45">
        <f>IFERROR(__xludf.DUMMYFUNCTION("""COMPUTED_VALUE"""),"Bodyline (Private) Limited")</f>
        <v/>
      </c>
      <c r="H340" s="43">
        <f>IFERROR(__xludf.DUMMYFUNCTION("""COMPUTED_VALUE"""),452765721497)</f>
        <v/>
      </c>
      <c r="I340" s="45">
        <f>IFERROR(__xludf.DUMMYFUNCTION("""COMPUTED_VALUE"""),19878489)</f>
        <v/>
      </c>
      <c r="J340" s="45">
        <f>IFERROR(__xludf.DUMMYFUNCTION("""COMPUTED_VALUE"""),"LW9DTZS")</f>
        <v/>
      </c>
      <c r="K340" s="45">
        <f>IFERROR(__xludf.DUMMYFUNCTION("""COMPUTED_VALUE"""),"LW9DTZS-071140")</f>
        <v/>
      </c>
      <c r="L340" s="45">
        <f>IFERROR(__xludf.DUMMYFUNCTION("""COMPUTED_VALUE"""),3)</f>
        <v/>
      </c>
      <c r="M340" s="45">
        <f>IFERROR(__xludf.DUMMYFUNCTION("""COMPUTED_VALUE"""),107)</f>
        <v/>
      </c>
      <c r="N340" s="45">
        <f>IFERROR(__xludf.DUMMYFUNCTION("""COMPUTED_VALUE"""),13.285)</f>
        <v/>
      </c>
      <c r="O340" s="45">
        <f>IFERROR(__xludf.DUMMYFUNCTION("""COMPUTED_VALUE"""),0.132)</f>
        <v/>
      </c>
      <c r="P340" s="45">
        <f>IFERROR(__xludf.DUMMYFUNCTION("""COMPUTED_VALUE"""),"Colombo, LK")</f>
        <v/>
      </c>
      <c r="Q340" s="45">
        <f>IFERROR(__xludf.DUMMYFUNCTION("""COMPUTED_VALUE"""),"New York, NY, US")</f>
        <v/>
      </c>
      <c r="R340" s="44">
        <f>IFERROR(__xludf.DUMMYFUNCTION("""COMPUTED_VALUE"""),45824)</f>
        <v/>
      </c>
      <c r="S340" s="44">
        <f>IFERROR(__xludf.DUMMYFUNCTION("""COMPUTED_VALUE"""),45883)</f>
        <v/>
      </c>
      <c r="T340" s="45">
        <f>IFERROR(__xludf.DUMMYFUNCTION("""COMPUTED_VALUE"""),"Mississauga, ON, CA")</f>
        <v/>
      </c>
      <c r="U340" s="45" t="n"/>
      <c r="V340" s="45" t="n"/>
      <c r="W340" s="45" t="n"/>
      <c r="X340" s="45" t="n"/>
      <c r="Y340" s="46">
        <f>IFERROR(__xludf.DUMMYFUNCTION("""COMPUTED_VALUE"""),45832)</f>
        <v/>
      </c>
      <c r="Z340" s="46">
        <f>IFERROR(__xludf.DUMMYFUNCTION("""COMPUTED_VALUE"""),45861)</f>
        <v/>
      </c>
      <c r="AA340" s="46">
        <f>IFERROR(__xludf.DUMMYFUNCTION("""COMPUTED_VALUE"""),45874)</f>
        <v/>
      </c>
      <c r="AB340" s="45">
        <f>IFERROR(__xludf.DUMMYFUNCTION("""COMPUTED_VALUE"""),"3500 Argentia Road")</f>
        <v/>
      </c>
      <c r="AC340" s="45" t="n"/>
      <c r="AD340" s="45">
        <f>IFERROR(__xludf.DUMMYFUNCTION("""COMPUTED_VALUE"""),"OCEAN")</f>
        <v/>
      </c>
      <c r="AE340" s="45">
        <f>IFERROR(__xludf.DUMMYFUNCTION("""COMPUTED_VALUE"""),"N")</f>
        <v/>
      </c>
      <c r="AF340" s="45" t="n"/>
      <c r="AG340" s="49">
        <f>IFERROR(__xludf.DUMMYFUNCTION("IFNA(vlookup(H340,IMPORTRANGE(""1vUGwO1n0QQGx9kKbO0_M5gmuhXZ6-LaxQxgrmJnzgP0"",""'TP# look up'!A:C""),3,0),"""")"),"")</f>
        <v/>
      </c>
      <c r="AH340" s="49">
        <f>LEFT(J340,2)</f>
        <v/>
      </c>
    </row>
    <row r="341" hidden="1" ht="12.75" customHeight="1">
      <c r="A341" s="45">
        <f>IFERROR(__xludf.DUMMYFUNCTION("""COMPUTED_VALUE"""),"Colombo")</f>
        <v/>
      </c>
      <c r="B341" s="45" t="n"/>
      <c r="C341" s="45">
        <f>IFERROR(__xludf.DUMMYFUNCTION("""COMPUTED_VALUE"""),3254506)</f>
        <v/>
      </c>
      <c r="D341" s="45" t="n"/>
      <c r="E341" s="45">
        <f>IFERROR(__xludf.DUMMYFUNCTION("""COMPUTED_VALUE"""),"CFS")</f>
        <v/>
      </c>
      <c r="F341" s="45">
        <f>IFERROR(__xludf.DUMMYFUNCTION("""COMPUTED_VALUE"""),"Bodyline Trading (Private) Limited")</f>
        <v/>
      </c>
      <c r="G341" s="45">
        <f>IFERROR(__xludf.DUMMYFUNCTION("""COMPUTED_VALUE"""),"Bodyline (Private) Limited")</f>
        <v/>
      </c>
      <c r="H341" s="43">
        <f>IFERROR(__xludf.DUMMYFUNCTION("""COMPUTED_VALUE"""),452765724226)</f>
        <v/>
      </c>
      <c r="I341" s="45">
        <f>IFERROR(__xludf.DUMMYFUNCTION("""COMPUTED_VALUE"""),19877496)</f>
        <v/>
      </c>
      <c r="J341" s="45">
        <f>IFERROR(__xludf.DUMMYFUNCTION("""COMPUTED_VALUE"""),"LW9DC4S")</f>
        <v/>
      </c>
      <c r="K341" s="45">
        <f>IFERROR(__xludf.DUMMYFUNCTION("""COMPUTED_VALUE"""),"LW9DC4S-068971")</f>
        <v/>
      </c>
      <c r="L341" s="45">
        <f>IFERROR(__xludf.DUMMYFUNCTION("""COMPUTED_VALUE"""),2)</f>
        <v/>
      </c>
      <c r="M341" s="45">
        <f>IFERROR(__xludf.DUMMYFUNCTION("""COMPUTED_VALUE"""),84)</f>
        <v/>
      </c>
      <c r="N341" s="45">
        <f>IFERROR(__xludf.DUMMYFUNCTION("""COMPUTED_VALUE"""),8.481)</f>
        <v/>
      </c>
      <c r="O341" s="45">
        <f>IFERROR(__xludf.DUMMYFUNCTION("""COMPUTED_VALUE"""),0.088)</f>
        <v/>
      </c>
      <c r="P341" s="45">
        <f>IFERROR(__xludf.DUMMYFUNCTION("""COMPUTED_VALUE"""),"Colombo, LK")</f>
        <v/>
      </c>
      <c r="Q341" s="45">
        <f>IFERROR(__xludf.DUMMYFUNCTION("""COMPUTED_VALUE"""),"New York, NY, US")</f>
        <v/>
      </c>
      <c r="R341" s="44">
        <f>IFERROR(__xludf.DUMMYFUNCTION("""COMPUTED_VALUE"""),45824)</f>
        <v/>
      </c>
      <c r="S341" s="44">
        <f>IFERROR(__xludf.DUMMYFUNCTION("""COMPUTED_VALUE"""),45883)</f>
        <v/>
      </c>
      <c r="T341" s="45">
        <f>IFERROR(__xludf.DUMMYFUNCTION("""COMPUTED_VALUE"""),"Mississauga, ON, CA")</f>
        <v/>
      </c>
      <c r="U341" s="45" t="n"/>
      <c r="V341" s="45" t="n"/>
      <c r="W341" s="45" t="n"/>
      <c r="X341" s="45" t="n"/>
      <c r="Y341" s="46">
        <f>IFERROR(__xludf.DUMMYFUNCTION("""COMPUTED_VALUE"""),45832)</f>
        <v/>
      </c>
      <c r="Z341" s="46">
        <f>IFERROR(__xludf.DUMMYFUNCTION("""COMPUTED_VALUE"""),45861)</f>
        <v/>
      </c>
      <c r="AA341" s="46">
        <f>IFERROR(__xludf.DUMMYFUNCTION("""COMPUTED_VALUE"""),45874)</f>
        <v/>
      </c>
      <c r="AB341" s="45">
        <f>IFERROR(__xludf.DUMMYFUNCTION("""COMPUTED_VALUE"""),"3500 Argentia Road")</f>
        <v/>
      </c>
      <c r="AC341" s="45" t="n"/>
      <c r="AD341" s="45">
        <f>IFERROR(__xludf.DUMMYFUNCTION("""COMPUTED_VALUE"""),"OCEAN")</f>
        <v/>
      </c>
      <c r="AE341" s="45">
        <f>IFERROR(__xludf.DUMMYFUNCTION("""COMPUTED_VALUE"""),"N")</f>
        <v/>
      </c>
      <c r="AF341" s="45" t="n"/>
      <c r="AG341" s="49">
        <f>IFERROR(__xludf.DUMMYFUNCTION("IFNA(vlookup(H341,IMPORTRANGE(""1vUGwO1n0QQGx9kKbO0_M5gmuhXZ6-LaxQxgrmJnzgP0"",""'TP# look up'!A:C""),3,0),"""")"),"")</f>
        <v/>
      </c>
      <c r="AH341" s="49">
        <f>LEFT(J341,2)</f>
        <v/>
      </c>
    </row>
    <row r="342" hidden="1" ht="12.75" customHeight="1">
      <c r="A342" s="45">
        <f>IFERROR(__xludf.DUMMYFUNCTION("""COMPUTED_VALUE"""),"Colombo")</f>
        <v/>
      </c>
      <c r="B342" s="45" t="n"/>
      <c r="C342" s="45">
        <f>IFERROR(__xludf.DUMMYFUNCTION("""COMPUTED_VALUE"""),3254506)</f>
        <v/>
      </c>
      <c r="D342" s="45" t="n"/>
      <c r="E342" s="45">
        <f>IFERROR(__xludf.DUMMYFUNCTION("""COMPUTED_VALUE"""),"CFS")</f>
        <v/>
      </c>
      <c r="F342" s="45">
        <f>IFERROR(__xludf.DUMMYFUNCTION("""COMPUTED_VALUE"""),"Bodyline Trading (Private) Limited")</f>
        <v/>
      </c>
      <c r="G342" s="45">
        <f>IFERROR(__xludf.DUMMYFUNCTION("""COMPUTED_VALUE"""),"Bodyline (Private) Limited")</f>
        <v/>
      </c>
      <c r="H342" s="43">
        <f>IFERROR(__xludf.DUMMYFUNCTION("""COMPUTED_VALUE"""),452767134024)</f>
        <v/>
      </c>
      <c r="I342" s="45">
        <f>IFERROR(__xludf.DUMMYFUNCTION("""COMPUTED_VALUE"""),19877486)</f>
        <v/>
      </c>
      <c r="J342" s="45">
        <f>IFERROR(__xludf.DUMMYFUNCTION("""COMPUTED_VALUE"""),"LW9DC4S")</f>
        <v/>
      </c>
      <c r="K342" s="45">
        <f>IFERROR(__xludf.DUMMYFUNCTION("""COMPUTED_VALUE"""),"LW9DC4S-068971")</f>
        <v/>
      </c>
      <c r="L342" s="45">
        <f>IFERROR(__xludf.DUMMYFUNCTION("""COMPUTED_VALUE"""),3)</f>
        <v/>
      </c>
      <c r="M342" s="45">
        <f>IFERROR(__xludf.DUMMYFUNCTION("""COMPUTED_VALUE"""),167)</f>
        <v/>
      </c>
      <c r="N342" s="45">
        <f>IFERROR(__xludf.DUMMYFUNCTION("""COMPUTED_VALUE"""),15.645)</f>
        <v/>
      </c>
      <c r="O342" s="45">
        <f>IFERROR(__xludf.DUMMYFUNCTION("""COMPUTED_VALUE"""),0.132)</f>
        <v/>
      </c>
      <c r="P342" s="45">
        <f>IFERROR(__xludf.DUMMYFUNCTION("""COMPUTED_VALUE"""),"Colombo, LK")</f>
        <v/>
      </c>
      <c r="Q342" s="45">
        <f>IFERROR(__xludf.DUMMYFUNCTION("""COMPUTED_VALUE"""),"New York, NY, US")</f>
        <v/>
      </c>
      <c r="R342" s="44">
        <f>IFERROR(__xludf.DUMMYFUNCTION("""COMPUTED_VALUE"""),45824)</f>
        <v/>
      </c>
      <c r="S342" s="44">
        <f>IFERROR(__xludf.DUMMYFUNCTION("""COMPUTED_VALUE"""),45883)</f>
        <v/>
      </c>
      <c r="T342" s="45">
        <f>IFERROR(__xludf.DUMMYFUNCTION("""COMPUTED_VALUE"""),"Milton, ON, CA")</f>
        <v/>
      </c>
      <c r="U342" s="45" t="n"/>
      <c r="V342" s="45" t="n"/>
      <c r="W342" s="45" t="n"/>
      <c r="X342" s="45" t="n"/>
      <c r="Y342" s="46">
        <f>IFERROR(__xludf.DUMMYFUNCTION("""COMPUTED_VALUE"""),45819)</f>
        <v/>
      </c>
      <c r="Z342" s="46">
        <f>IFERROR(__xludf.DUMMYFUNCTION("""COMPUTED_VALUE"""),45861)</f>
        <v/>
      </c>
      <c r="AA342" s="46">
        <f>IFERROR(__xludf.DUMMYFUNCTION("""COMPUTED_VALUE"""),45874)</f>
        <v/>
      </c>
      <c r="AB342" s="45">
        <f>IFERROR(__xludf.DUMMYFUNCTION("""COMPUTED_VALUE"""),"7211 Fifth Line")</f>
        <v/>
      </c>
      <c r="AC342" s="45" t="n"/>
      <c r="AD342" s="45">
        <f>IFERROR(__xludf.DUMMYFUNCTION("""COMPUTED_VALUE"""),"OCEAN")</f>
        <v/>
      </c>
      <c r="AE342" s="45">
        <f>IFERROR(__xludf.DUMMYFUNCTION("""COMPUTED_VALUE"""),"N")</f>
        <v/>
      </c>
      <c r="AF342" s="45" t="n"/>
      <c r="AG342" s="49">
        <f>IFERROR(__xludf.DUMMYFUNCTION("IFNA(vlookup(H342,IMPORTRANGE(""1vUGwO1n0QQGx9kKbO0_M5gmuhXZ6-LaxQxgrmJnzgP0"",""'TP# look up'!A:C""),3,0),"""")"),"")</f>
        <v/>
      </c>
      <c r="AH342" s="49">
        <f>LEFT(J342,2)</f>
        <v/>
      </c>
    </row>
    <row r="343" hidden="1" ht="12.75" customHeight="1">
      <c r="A343" s="45">
        <f>IFERROR(__xludf.DUMMYFUNCTION("""COMPUTED_VALUE"""),"Colombo")</f>
        <v/>
      </c>
      <c r="B343" s="45" t="n"/>
      <c r="C343" s="45">
        <f>IFERROR(__xludf.DUMMYFUNCTION("""COMPUTED_VALUE"""),3254506)</f>
        <v/>
      </c>
      <c r="D343" s="45" t="n"/>
      <c r="E343" s="45">
        <f>IFERROR(__xludf.DUMMYFUNCTION("""COMPUTED_VALUE"""),"CFS")</f>
        <v/>
      </c>
      <c r="F343" s="45">
        <f>IFERROR(__xludf.DUMMYFUNCTION("""COMPUTED_VALUE"""),"Bodyline Trading (Private) Limited")</f>
        <v/>
      </c>
      <c r="G343" s="45">
        <f>IFERROR(__xludf.DUMMYFUNCTION("""COMPUTED_VALUE"""),"Bodyline (Private) Limited")</f>
        <v/>
      </c>
      <c r="H343" s="43">
        <f>IFERROR(__xludf.DUMMYFUNCTION("""COMPUTED_VALUE"""),452773631837)</f>
        <v/>
      </c>
      <c r="I343" s="45">
        <f>IFERROR(__xludf.DUMMYFUNCTION("""COMPUTED_VALUE"""),19878318)</f>
        <v/>
      </c>
      <c r="J343" s="45">
        <f>IFERROR(__xludf.DUMMYFUNCTION("""COMPUTED_VALUE"""),"LW9DCLS")</f>
        <v/>
      </c>
      <c r="K343" s="45">
        <f>IFERROR(__xludf.DUMMYFUNCTION("""COMPUTED_VALUE"""),"LW9DCLS-0001")</f>
        <v/>
      </c>
      <c r="L343" s="45">
        <f>IFERROR(__xludf.DUMMYFUNCTION("""COMPUTED_VALUE"""),2)</f>
        <v/>
      </c>
      <c r="M343" s="45">
        <f>IFERROR(__xludf.DUMMYFUNCTION("""COMPUTED_VALUE"""),114)</f>
        <v/>
      </c>
      <c r="N343" s="45">
        <f>IFERROR(__xludf.DUMMYFUNCTION("""COMPUTED_VALUE"""),14.053)</f>
        <v/>
      </c>
      <c r="O343" s="45">
        <f>IFERROR(__xludf.DUMMYFUNCTION("""COMPUTED_VALUE"""),0.088)</f>
        <v/>
      </c>
      <c r="P343" s="45">
        <f>IFERROR(__xludf.DUMMYFUNCTION("""COMPUTED_VALUE"""),"Colombo, LK")</f>
        <v/>
      </c>
      <c r="Q343" s="45">
        <f>IFERROR(__xludf.DUMMYFUNCTION("""COMPUTED_VALUE"""),"New York, NY, US")</f>
        <v/>
      </c>
      <c r="R343" s="44">
        <f>IFERROR(__xludf.DUMMYFUNCTION("""COMPUTED_VALUE"""),45824)</f>
        <v/>
      </c>
      <c r="S343" s="44">
        <f>IFERROR(__xludf.DUMMYFUNCTION("""COMPUTED_VALUE"""),45883)</f>
        <v/>
      </c>
      <c r="T343" s="45">
        <f>IFERROR(__xludf.DUMMYFUNCTION("""COMPUTED_VALUE"""),"Mississauga, ON, CA")</f>
        <v/>
      </c>
      <c r="U343" s="45" t="n"/>
      <c r="V343" s="45" t="n"/>
      <c r="W343" s="45" t="n"/>
      <c r="X343" s="45" t="n"/>
      <c r="Y343" s="46">
        <f>IFERROR(__xludf.DUMMYFUNCTION("""COMPUTED_VALUE"""),45832)</f>
        <v/>
      </c>
      <c r="Z343" s="46">
        <f>IFERROR(__xludf.DUMMYFUNCTION("""COMPUTED_VALUE"""),45861)</f>
        <v/>
      </c>
      <c r="AA343" s="46">
        <f>IFERROR(__xludf.DUMMYFUNCTION("""COMPUTED_VALUE"""),45874)</f>
        <v/>
      </c>
      <c r="AB343" s="45">
        <f>IFERROR(__xludf.DUMMYFUNCTION("""COMPUTED_VALUE"""),"3500 Argentia Road")</f>
        <v/>
      </c>
      <c r="AC343" s="45" t="n"/>
      <c r="AD343" s="45">
        <f>IFERROR(__xludf.DUMMYFUNCTION("""COMPUTED_VALUE"""),"OCEAN")</f>
        <v/>
      </c>
      <c r="AE343" s="45">
        <f>IFERROR(__xludf.DUMMYFUNCTION("""COMPUTED_VALUE"""),"N")</f>
        <v/>
      </c>
      <c r="AF343" s="45" t="n"/>
      <c r="AG343" s="49">
        <f>IFERROR(__xludf.DUMMYFUNCTION("IFNA(vlookup(H343,IMPORTRANGE(""1vUGwO1n0QQGx9kKbO0_M5gmuhXZ6-LaxQxgrmJnzgP0"",""'TP# look up'!A:C""),3,0),"""")"),"")</f>
        <v/>
      </c>
      <c r="AH343" s="49">
        <f>LEFT(J343,2)</f>
        <v/>
      </c>
    </row>
    <row r="344" hidden="1" ht="12.75" customHeight="1">
      <c r="A344" s="45">
        <f>IFERROR(__xludf.DUMMYFUNCTION("""COMPUTED_VALUE"""),"Colombo")</f>
        <v/>
      </c>
      <c r="B344" s="45" t="n"/>
      <c r="C344" s="45">
        <f>IFERROR(__xludf.DUMMYFUNCTION("""COMPUTED_VALUE"""),3254506)</f>
        <v/>
      </c>
      <c r="D344" s="45" t="n"/>
      <c r="E344" s="45">
        <f>IFERROR(__xludf.DUMMYFUNCTION("""COMPUTED_VALUE"""),"CFS")</f>
        <v/>
      </c>
      <c r="F344" s="45">
        <f>IFERROR(__xludf.DUMMYFUNCTION("""COMPUTED_VALUE"""),"Bodyline Trading (Private) Limited")</f>
        <v/>
      </c>
      <c r="G344" s="45">
        <f>IFERROR(__xludf.DUMMYFUNCTION("""COMPUTED_VALUE"""),"Bodyline (Private) Limited")</f>
        <v/>
      </c>
      <c r="H344" s="43">
        <f>IFERROR(__xludf.DUMMYFUNCTION("""COMPUTED_VALUE"""),452774647331)</f>
        <v/>
      </c>
      <c r="I344" s="45">
        <f>IFERROR(__xludf.DUMMYFUNCTION("""COMPUTED_VALUE"""),19877661)</f>
        <v/>
      </c>
      <c r="J344" s="45">
        <f>IFERROR(__xludf.DUMMYFUNCTION("""COMPUTED_VALUE"""),"LW9DE9S")</f>
        <v/>
      </c>
      <c r="K344" s="45">
        <f>IFERROR(__xludf.DUMMYFUNCTION("""COMPUTED_VALUE"""),"LW9DE9S-070623")</f>
        <v/>
      </c>
      <c r="L344" s="45">
        <f>IFERROR(__xludf.DUMMYFUNCTION("""COMPUTED_VALUE"""),4)</f>
        <v/>
      </c>
      <c r="M344" s="45">
        <f>IFERROR(__xludf.DUMMYFUNCTION("""COMPUTED_VALUE"""),74)</f>
        <v/>
      </c>
      <c r="N344" s="45">
        <f>IFERROR(__xludf.DUMMYFUNCTION("""COMPUTED_VALUE"""),12.536)</f>
        <v/>
      </c>
      <c r="O344" s="45">
        <f>IFERROR(__xludf.DUMMYFUNCTION("""COMPUTED_VALUE"""),0.176)</f>
        <v/>
      </c>
      <c r="P344" s="45">
        <f>IFERROR(__xludf.DUMMYFUNCTION("""COMPUTED_VALUE"""),"Colombo, LK")</f>
        <v/>
      </c>
      <c r="Q344" s="45">
        <f>IFERROR(__xludf.DUMMYFUNCTION("""COMPUTED_VALUE"""),"New York, NY, US")</f>
        <v/>
      </c>
      <c r="R344" s="44">
        <f>IFERROR(__xludf.DUMMYFUNCTION("""COMPUTED_VALUE"""),45824)</f>
        <v/>
      </c>
      <c r="S344" s="44">
        <f>IFERROR(__xludf.DUMMYFUNCTION("""COMPUTED_VALUE"""),45883)</f>
        <v/>
      </c>
      <c r="T344" s="45">
        <f>IFERROR(__xludf.DUMMYFUNCTION("""COMPUTED_VALUE"""),"Mississauga, ON, CA")</f>
        <v/>
      </c>
      <c r="U344" s="45" t="n"/>
      <c r="V344" s="45" t="n"/>
      <c r="W344" s="45" t="n"/>
      <c r="X344" s="45" t="n"/>
      <c r="Y344" s="46">
        <f>IFERROR(__xludf.DUMMYFUNCTION("""COMPUTED_VALUE"""),45832)</f>
        <v/>
      </c>
      <c r="Z344" s="46">
        <f>IFERROR(__xludf.DUMMYFUNCTION("""COMPUTED_VALUE"""),45861)</f>
        <v/>
      </c>
      <c r="AA344" s="46">
        <f>IFERROR(__xludf.DUMMYFUNCTION("""COMPUTED_VALUE"""),45874)</f>
        <v/>
      </c>
      <c r="AB344" s="45">
        <f>IFERROR(__xludf.DUMMYFUNCTION("""COMPUTED_VALUE"""),"3500 Argentia Road")</f>
        <v/>
      </c>
      <c r="AC344" s="45" t="n"/>
      <c r="AD344" s="45">
        <f>IFERROR(__xludf.DUMMYFUNCTION("""COMPUTED_VALUE"""),"OCEAN")</f>
        <v/>
      </c>
      <c r="AE344" s="45">
        <f>IFERROR(__xludf.DUMMYFUNCTION("""COMPUTED_VALUE"""),"N")</f>
        <v/>
      </c>
      <c r="AF344" s="45" t="n"/>
      <c r="AG344" s="49">
        <f>IFERROR(__xludf.DUMMYFUNCTION("IFNA(vlookup(H344,IMPORTRANGE(""1vUGwO1n0QQGx9kKbO0_M5gmuhXZ6-LaxQxgrmJnzgP0"",""'TP# look up'!A:C""),3,0),"""")"),"")</f>
        <v/>
      </c>
      <c r="AH344" s="49">
        <f>LEFT(J344,2)</f>
        <v/>
      </c>
    </row>
    <row r="345" hidden="1" ht="12.75" customHeight="1">
      <c r="A345" s="45">
        <f>IFERROR(__xludf.DUMMYFUNCTION("""COMPUTED_VALUE"""),"Colombo")</f>
        <v/>
      </c>
      <c r="B345" s="45" t="n"/>
      <c r="C345" s="45">
        <f>IFERROR(__xludf.DUMMYFUNCTION("""COMPUTED_VALUE"""),3254506)</f>
        <v/>
      </c>
      <c r="D345" s="45" t="n"/>
      <c r="E345" s="45">
        <f>IFERROR(__xludf.DUMMYFUNCTION("""COMPUTED_VALUE"""),"CFS")</f>
        <v/>
      </c>
      <c r="F345" s="45">
        <f>IFERROR(__xludf.DUMMYFUNCTION("""COMPUTED_VALUE"""),"Bodyline Trading (Private) Limited")</f>
        <v/>
      </c>
      <c r="G345" s="45">
        <f>IFERROR(__xludf.DUMMYFUNCTION("""COMPUTED_VALUE"""),"Bodyline (Private) Limited")</f>
        <v/>
      </c>
      <c r="H345" s="43">
        <f>IFERROR(__xludf.DUMMYFUNCTION("""COMPUTED_VALUE"""),452775582660)</f>
        <v/>
      </c>
      <c r="I345" s="45">
        <f>IFERROR(__xludf.DUMMYFUNCTION("""COMPUTED_VALUE"""),19877643)</f>
        <v/>
      </c>
      <c r="J345" s="45">
        <f>IFERROR(__xludf.DUMMYFUNCTION("""COMPUTED_VALUE"""),"LW9DE9S")</f>
        <v/>
      </c>
      <c r="K345" s="45">
        <f>IFERROR(__xludf.DUMMYFUNCTION("""COMPUTED_VALUE"""),"LW9DE9S-070623")</f>
        <v/>
      </c>
      <c r="L345" s="45">
        <f>IFERROR(__xludf.DUMMYFUNCTION("""COMPUTED_VALUE"""),3)</f>
        <v/>
      </c>
      <c r="M345" s="45">
        <f>IFERROR(__xludf.DUMMYFUNCTION("""COMPUTED_VALUE"""),43)</f>
        <v/>
      </c>
      <c r="N345" s="45">
        <f>IFERROR(__xludf.DUMMYFUNCTION("""COMPUTED_VALUE"""),7.695)</f>
        <v/>
      </c>
      <c r="O345" s="45">
        <f>IFERROR(__xludf.DUMMYFUNCTION("""COMPUTED_VALUE"""),0.132)</f>
        <v/>
      </c>
      <c r="P345" s="45">
        <f>IFERROR(__xludf.DUMMYFUNCTION("""COMPUTED_VALUE"""),"Colombo, LK")</f>
        <v/>
      </c>
      <c r="Q345" s="45">
        <f>IFERROR(__xludf.DUMMYFUNCTION("""COMPUTED_VALUE"""),"New York, NY, US")</f>
        <v/>
      </c>
      <c r="R345" s="44">
        <f>IFERROR(__xludf.DUMMYFUNCTION("""COMPUTED_VALUE"""),45824)</f>
        <v/>
      </c>
      <c r="S345" s="44">
        <f>IFERROR(__xludf.DUMMYFUNCTION("""COMPUTED_VALUE"""),45883)</f>
        <v/>
      </c>
      <c r="T345" s="45">
        <f>IFERROR(__xludf.DUMMYFUNCTION("""COMPUTED_VALUE"""),"Milton, ON, CA")</f>
        <v/>
      </c>
      <c r="U345" s="45" t="n"/>
      <c r="V345" s="45" t="n"/>
      <c r="W345" s="45" t="n"/>
      <c r="X345" s="45" t="n"/>
      <c r="Y345" s="46">
        <f>IFERROR(__xludf.DUMMYFUNCTION("""COMPUTED_VALUE"""),45832)</f>
        <v/>
      </c>
      <c r="Z345" s="46">
        <f>IFERROR(__xludf.DUMMYFUNCTION("""COMPUTED_VALUE"""),45861)</f>
        <v/>
      </c>
      <c r="AA345" s="46">
        <f>IFERROR(__xludf.DUMMYFUNCTION("""COMPUTED_VALUE"""),45874)</f>
        <v/>
      </c>
      <c r="AB345" s="45">
        <f>IFERROR(__xludf.DUMMYFUNCTION("""COMPUTED_VALUE"""),"7211 Fifth Line")</f>
        <v/>
      </c>
      <c r="AC345" s="45" t="n"/>
      <c r="AD345" s="45">
        <f>IFERROR(__xludf.DUMMYFUNCTION("""COMPUTED_VALUE"""),"OCEAN")</f>
        <v/>
      </c>
      <c r="AE345" s="45">
        <f>IFERROR(__xludf.DUMMYFUNCTION("""COMPUTED_VALUE"""),"N")</f>
        <v/>
      </c>
      <c r="AF345" s="45" t="n"/>
      <c r="AG345" s="49">
        <f>IFERROR(__xludf.DUMMYFUNCTION("IFNA(vlookup(H345,IMPORTRANGE(""1vUGwO1n0QQGx9kKbO0_M5gmuhXZ6-LaxQxgrmJnzgP0"",""'TP# look up'!A:C""),3,0),"""")"),"")</f>
        <v/>
      </c>
      <c r="AH345" s="49">
        <f>LEFT(J345,2)</f>
        <v/>
      </c>
    </row>
    <row r="346" hidden="1" ht="12.75" customHeight="1">
      <c r="A346" s="45">
        <f>IFERROR(__xludf.DUMMYFUNCTION("""COMPUTED_VALUE"""),"Colombo")</f>
        <v/>
      </c>
      <c r="B346" s="45" t="n"/>
      <c r="C346" s="45">
        <f>IFERROR(__xludf.DUMMYFUNCTION("""COMPUTED_VALUE"""),3254506)</f>
        <v/>
      </c>
      <c r="D346" s="45" t="n"/>
      <c r="E346" s="45">
        <f>IFERROR(__xludf.DUMMYFUNCTION("""COMPUTED_VALUE"""),"CFS")</f>
        <v/>
      </c>
      <c r="F346" s="45">
        <f>IFERROR(__xludf.DUMMYFUNCTION("""COMPUTED_VALUE"""),"Bodyline Trading (Private) Limited")</f>
        <v/>
      </c>
      <c r="G346" s="45">
        <f>IFERROR(__xludf.DUMMYFUNCTION("""COMPUTED_VALUE"""),"Bodyline (Private) Limited")</f>
        <v/>
      </c>
      <c r="H346" s="43">
        <f>IFERROR(__xludf.DUMMYFUNCTION("""COMPUTED_VALUE"""),452775881517)</f>
        <v/>
      </c>
      <c r="I346" s="45">
        <f>IFERROR(__xludf.DUMMYFUNCTION("""COMPUTED_VALUE"""),19878367)</f>
        <v/>
      </c>
      <c r="J346" s="45">
        <f>IFERROR(__xludf.DUMMYFUNCTION("""COMPUTED_VALUE"""),"LW9DE9S")</f>
        <v/>
      </c>
      <c r="K346" s="45">
        <f>IFERROR(__xludf.DUMMYFUNCTION("""COMPUTED_VALUE"""),"LW9DE9S-070623")</f>
        <v/>
      </c>
      <c r="L346" s="45">
        <f>IFERROR(__xludf.DUMMYFUNCTION("""COMPUTED_VALUE"""),6)</f>
        <v/>
      </c>
      <c r="M346" s="45">
        <f>IFERROR(__xludf.DUMMYFUNCTION("""COMPUTED_VALUE"""),132)</f>
        <v/>
      </c>
      <c r="N346" s="45">
        <f>IFERROR(__xludf.DUMMYFUNCTION("""COMPUTED_VALUE"""),21.001)</f>
        <v/>
      </c>
      <c r="O346" s="45">
        <f>IFERROR(__xludf.DUMMYFUNCTION("""COMPUTED_VALUE"""),0.264)</f>
        <v/>
      </c>
      <c r="P346" s="45">
        <f>IFERROR(__xludf.DUMMYFUNCTION("""COMPUTED_VALUE"""),"Colombo, LK")</f>
        <v/>
      </c>
      <c r="Q346" s="45">
        <f>IFERROR(__xludf.DUMMYFUNCTION("""COMPUTED_VALUE"""),"New York, NY, US")</f>
        <v/>
      </c>
      <c r="R346" s="44">
        <f>IFERROR(__xludf.DUMMYFUNCTION("""COMPUTED_VALUE"""),45824)</f>
        <v/>
      </c>
      <c r="S346" s="44">
        <f>IFERROR(__xludf.DUMMYFUNCTION("""COMPUTED_VALUE"""),45883)</f>
        <v/>
      </c>
      <c r="T346" s="45">
        <f>IFERROR(__xludf.DUMMYFUNCTION("""COMPUTED_VALUE"""),"Mississauga, ON, CA")</f>
        <v/>
      </c>
      <c r="U346" s="45" t="n"/>
      <c r="V346" s="45" t="n"/>
      <c r="W346" s="45" t="n"/>
      <c r="X346" s="45" t="n"/>
      <c r="Y346" s="46">
        <f>IFERROR(__xludf.DUMMYFUNCTION("""COMPUTED_VALUE"""),45832)</f>
        <v/>
      </c>
      <c r="Z346" s="46">
        <f>IFERROR(__xludf.DUMMYFUNCTION("""COMPUTED_VALUE"""),45861)</f>
        <v/>
      </c>
      <c r="AA346" s="46">
        <f>IFERROR(__xludf.DUMMYFUNCTION("""COMPUTED_VALUE"""),45874)</f>
        <v/>
      </c>
      <c r="AB346" s="45">
        <f>IFERROR(__xludf.DUMMYFUNCTION("""COMPUTED_VALUE"""),"3500 Argentia Road")</f>
        <v/>
      </c>
      <c r="AC346" s="45" t="n"/>
      <c r="AD346" s="45">
        <f>IFERROR(__xludf.DUMMYFUNCTION("""COMPUTED_VALUE"""),"OCEAN")</f>
        <v/>
      </c>
      <c r="AE346" s="45">
        <f>IFERROR(__xludf.DUMMYFUNCTION("""COMPUTED_VALUE"""),"N")</f>
        <v/>
      </c>
      <c r="AF346" s="45" t="n"/>
      <c r="AG346" s="49">
        <f>IFERROR(__xludf.DUMMYFUNCTION("IFNA(vlookup(H346,IMPORTRANGE(""1vUGwO1n0QQGx9kKbO0_M5gmuhXZ6-LaxQxgrmJnzgP0"",""'TP# look up'!A:C""),3,0),"""")"),"")</f>
        <v/>
      </c>
      <c r="AH346" s="49">
        <f>LEFT(J346,2)</f>
        <v/>
      </c>
    </row>
    <row r="347" hidden="1" ht="12.75" customHeight="1">
      <c r="A347" s="45">
        <f>IFERROR(__xludf.DUMMYFUNCTION("""COMPUTED_VALUE"""),"Colombo")</f>
        <v/>
      </c>
      <c r="B347" s="45" t="n"/>
      <c r="C347" s="45">
        <f>IFERROR(__xludf.DUMMYFUNCTION("""COMPUTED_VALUE"""),3254506)</f>
        <v/>
      </c>
      <c r="D347" s="45" t="n"/>
      <c r="E347" s="45">
        <f>IFERROR(__xludf.DUMMYFUNCTION("""COMPUTED_VALUE"""),"CFS")</f>
        <v/>
      </c>
      <c r="F347" s="45">
        <f>IFERROR(__xludf.DUMMYFUNCTION("""COMPUTED_VALUE"""),"Bodyline Trading (Private) Limited")</f>
        <v/>
      </c>
      <c r="G347" s="45">
        <f>IFERROR(__xludf.DUMMYFUNCTION("""COMPUTED_VALUE"""),"Bodyline (Private) Limited")</f>
        <v/>
      </c>
      <c r="H347" s="43">
        <f>IFERROR(__xludf.DUMMYFUNCTION("""COMPUTED_VALUE"""),452776356218)</f>
        <v/>
      </c>
      <c r="I347" s="45">
        <f>IFERROR(__xludf.DUMMYFUNCTION("""COMPUTED_VALUE"""),19877671)</f>
        <v/>
      </c>
      <c r="J347" s="45">
        <f>IFERROR(__xludf.DUMMYFUNCTION("""COMPUTED_VALUE"""),"LW9DEAS")</f>
        <v/>
      </c>
      <c r="K347" s="45">
        <f>IFERROR(__xludf.DUMMYFUNCTION("""COMPUTED_VALUE"""),"LW9DEAS-070623")</f>
        <v/>
      </c>
      <c r="L347" s="45">
        <f>IFERROR(__xludf.DUMMYFUNCTION("""COMPUTED_VALUE"""),4)</f>
        <v/>
      </c>
      <c r="M347" s="45">
        <f>IFERROR(__xludf.DUMMYFUNCTION("""COMPUTED_VALUE"""),92)</f>
        <v/>
      </c>
      <c r="N347" s="45">
        <f>IFERROR(__xludf.DUMMYFUNCTION("""COMPUTED_VALUE"""),12.264)</f>
        <v/>
      </c>
      <c r="O347" s="45">
        <f>IFERROR(__xludf.DUMMYFUNCTION("""COMPUTED_VALUE"""),0.176)</f>
        <v/>
      </c>
      <c r="P347" s="45">
        <f>IFERROR(__xludf.DUMMYFUNCTION("""COMPUTED_VALUE"""),"Colombo, LK")</f>
        <v/>
      </c>
      <c r="Q347" s="45">
        <f>IFERROR(__xludf.DUMMYFUNCTION("""COMPUTED_VALUE"""),"New York, NY, US")</f>
        <v/>
      </c>
      <c r="R347" s="44">
        <f>IFERROR(__xludf.DUMMYFUNCTION("""COMPUTED_VALUE"""),45824)</f>
        <v/>
      </c>
      <c r="S347" s="44">
        <f>IFERROR(__xludf.DUMMYFUNCTION("""COMPUTED_VALUE"""),45883)</f>
        <v/>
      </c>
      <c r="T347" s="45">
        <f>IFERROR(__xludf.DUMMYFUNCTION("""COMPUTED_VALUE"""),"Mississauga, ON, CA")</f>
        <v/>
      </c>
      <c r="U347" s="45" t="n"/>
      <c r="V347" s="45" t="n"/>
      <c r="W347" s="45" t="n"/>
      <c r="X347" s="45" t="n"/>
      <c r="Y347" s="46">
        <f>IFERROR(__xludf.DUMMYFUNCTION("""COMPUTED_VALUE"""),45832)</f>
        <v/>
      </c>
      <c r="Z347" s="46">
        <f>IFERROR(__xludf.DUMMYFUNCTION("""COMPUTED_VALUE"""),45861)</f>
        <v/>
      </c>
      <c r="AA347" s="46">
        <f>IFERROR(__xludf.DUMMYFUNCTION("""COMPUTED_VALUE"""),45874)</f>
        <v/>
      </c>
      <c r="AB347" s="45">
        <f>IFERROR(__xludf.DUMMYFUNCTION("""COMPUTED_VALUE"""),"3500 Argentia Road")</f>
        <v/>
      </c>
      <c r="AC347" s="45" t="n"/>
      <c r="AD347" s="45">
        <f>IFERROR(__xludf.DUMMYFUNCTION("""COMPUTED_VALUE"""),"OCEAN")</f>
        <v/>
      </c>
      <c r="AE347" s="45">
        <f>IFERROR(__xludf.DUMMYFUNCTION("""COMPUTED_VALUE"""),"N")</f>
        <v/>
      </c>
      <c r="AF347" s="45" t="n"/>
      <c r="AG347" s="49">
        <f>IFERROR(__xludf.DUMMYFUNCTION("IFNA(vlookup(H347,IMPORTRANGE(""1vUGwO1n0QQGx9kKbO0_M5gmuhXZ6-LaxQxgrmJnzgP0"",""'TP# look up'!A:C""),3,0),"""")"),"")</f>
        <v/>
      </c>
      <c r="AH347" s="49">
        <f>LEFT(J347,2)</f>
        <v/>
      </c>
    </row>
    <row r="348" hidden="1" ht="12.75" customHeight="1">
      <c r="A348" s="45">
        <f>IFERROR(__xludf.DUMMYFUNCTION("""COMPUTED_VALUE"""),"Colombo")</f>
        <v/>
      </c>
      <c r="B348" s="45" t="n"/>
      <c r="C348" s="45">
        <f>IFERROR(__xludf.DUMMYFUNCTION("""COMPUTED_VALUE"""),3254506)</f>
        <v/>
      </c>
      <c r="D348" s="45" t="n"/>
      <c r="E348" s="45">
        <f>IFERROR(__xludf.DUMMYFUNCTION("""COMPUTED_VALUE"""),"CFS")</f>
        <v/>
      </c>
      <c r="F348" s="45">
        <f>IFERROR(__xludf.DUMMYFUNCTION("""COMPUTED_VALUE"""),"Bodyline Trading (Private) Limited")</f>
        <v/>
      </c>
      <c r="G348" s="45">
        <f>IFERROR(__xludf.DUMMYFUNCTION("""COMPUTED_VALUE"""),"Bodyline (Private) Limited")</f>
        <v/>
      </c>
      <c r="H348" s="43">
        <f>IFERROR(__xludf.DUMMYFUNCTION("""COMPUTED_VALUE"""),452777186932)</f>
        <v/>
      </c>
      <c r="I348" s="45">
        <f>IFERROR(__xludf.DUMMYFUNCTION("""COMPUTED_VALUE"""),19877689)</f>
        <v/>
      </c>
      <c r="J348" s="45">
        <f>IFERROR(__xludf.DUMMYFUNCTION("""COMPUTED_VALUE"""),"LW9DEKS")</f>
        <v/>
      </c>
      <c r="K348" s="45">
        <f>IFERROR(__xludf.DUMMYFUNCTION("""COMPUTED_VALUE"""),"LW9DEKS-070623")</f>
        <v/>
      </c>
      <c r="L348" s="45">
        <f>IFERROR(__xludf.DUMMYFUNCTION("""COMPUTED_VALUE"""),4)</f>
        <v/>
      </c>
      <c r="M348" s="45">
        <f>IFERROR(__xludf.DUMMYFUNCTION("""COMPUTED_VALUE"""),85)</f>
        <v/>
      </c>
      <c r="N348" s="45">
        <f>IFERROR(__xludf.DUMMYFUNCTION("""COMPUTED_VALUE"""),17.351)</f>
        <v/>
      </c>
      <c r="O348" s="45">
        <f>IFERROR(__xludf.DUMMYFUNCTION("""COMPUTED_VALUE"""),0.176)</f>
        <v/>
      </c>
      <c r="P348" s="45">
        <f>IFERROR(__xludf.DUMMYFUNCTION("""COMPUTED_VALUE"""),"Colombo, LK")</f>
        <v/>
      </c>
      <c r="Q348" s="45">
        <f>IFERROR(__xludf.DUMMYFUNCTION("""COMPUTED_VALUE"""),"New York, NY, US")</f>
        <v/>
      </c>
      <c r="R348" s="44">
        <f>IFERROR(__xludf.DUMMYFUNCTION("""COMPUTED_VALUE"""),45824)</f>
        <v/>
      </c>
      <c r="S348" s="44">
        <f>IFERROR(__xludf.DUMMYFUNCTION("""COMPUTED_VALUE"""),45883)</f>
        <v/>
      </c>
      <c r="T348" s="45">
        <f>IFERROR(__xludf.DUMMYFUNCTION("""COMPUTED_VALUE"""),"Mississauga, ON, CA")</f>
        <v/>
      </c>
      <c r="U348" s="45" t="n"/>
      <c r="V348" s="45" t="n"/>
      <c r="W348" s="45" t="n"/>
      <c r="X348" s="45" t="n"/>
      <c r="Y348" s="46">
        <f>IFERROR(__xludf.DUMMYFUNCTION("""COMPUTED_VALUE"""),45832)</f>
        <v/>
      </c>
      <c r="Z348" s="46">
        <f>IFERROR(__xludf.DUMMYFUNCTION("""COMPUTED_VALUE"""),45861)</f>
        <v/>
      </c>
      <c r="AA348" s="46">
        <f>IFERROR(__xludf.DUMMYFUNCTION("""COMPUTED_VALUE"""),45874)</f>
        <v/>
      </c>
      <c r="AB348" s="45">
        <f>IFERROR(__xludf.DUMMYFUNCTION("""COMPUTED_VALUE"""),"3500 Argentia Road")</f>
        <v/>
      </c>
      <c r="AC348" s="45" t="n"/>
      <c r="AD348" s="45">
        <f>IFERROR(__xludf.DUMMYFUNCTION("""COMPUTED_VALUE"""),"OCEAN")</f>
        <v/>
      </c>
      <c r="AE348" s="45">
        <f>IFERROR(__xludf.DUMMYFUNCTION("""COMPUTED_VALUE"""),"N")</f>
        <v/>
      </c>
      <c r="AF348" s="45" t="n"/>
      <c r="AG348" s="49">
        <f>IFERROR(__xludf.DUMMYFUNCTION("IFNA(vlookup(H348,IMPORTRANGE(""1vUGwO1n0QQGx9kKbO0_M5gmuhXZ6-LaxQxgrmJnzgP0"",""'TP# look up'!A:C""),3,0),"""")"),"")</f>
        <v/>
      </c>
      <c r="AH348" s="49">
        <f>LEFT(J348,2)</f>
        <v/>
      </c>
    </row>
    <row r="349" hidden="1" ht="12.75" customHeight="1">
      <c r="A349" s="45">
        <f>IFERROR(__xludf.DUMMYFUNCTION("""COMPUTED_VALUE"""),"Colombo")</f>
        <v/>
      </c>
      <c r="B349" s="45" t="n"/>
      <c r="C349" s="45">
        <f>IFERROR(__xludf.DUMMYFUNCTION("""COMPUTED_VALUE"""),3254506)</f>
        <v/>
      </c>
      <c r="D349" s="45" t="n"/>
      <c r="E349" s="45">
        <f>IFERROR(__xludf.DUMMYFUNCTION("""COMPUTED_VALUE"""),"CFS")</f>
        <v/>
      </c>
      <c r="F349" s="45">
        <f>IFERROR(__xludf.DUMMYFUNCTION("""COMPUTED_VALUE"""),"Bodyline Trading (Private) Limited")</f>
        <v/>
      </c>
      <c r="G349" s="45">
        <f>IFERROR(__xludf.DUMMYFUNCTION("""COMPUTED_VALUE"""),"Bodyline (Private) Limited")</f>
        <v/>
      </c>
      <c r="H349" s="43">
        <f>IFERROR(__xludf.DUMMYFUNCTION("""COMPUTED_VALUE"""),452778136068)</f>
        <v/>
      </c>
      <c r="I349" s="45">
        <f>IFERROR(__xludf.DUMMYFUNCTION("""COMPUTED_VALUE"""),19878403)</f>
        <v/>
      </c>
      <c r="J349" s="45">
        <f>IFERROR(__xludf.DUMMYFUNCTION("""COMPUTED_VALUE"""),"LW9DEKS")</f>
        <v/>
      </c>
      <c r="K349" s="45">
        <f>IFERROR(__xludf.DUMMYFUNCTION("""COMPUTED_VALUE"""),"LW9DEKS-070623")</f>
        <v/>
      </c>
      <c r="L349" s="45">
        <f>IFERROR(__xludf.DUMMYFUNCTION("""COMPUTED_VALUE"""),6)</f>
        <v/>
      </c>
      <c r="M349" s="45">
        <f>IFERROR(__xludf.DUMMYFUNCTION("""COMPUTED_VALUE"""),151)</f>
        <v/>
      </c>
      <c r="N349" s="45">
        <f>IFERROR(__xludf.DUMMYFUNCTION("""COMPUTED_VALUE"""),29.095)</f>
        <v/>
      </c>
      <c r="O349" s="45">
        <f>IFERROR(__xludf.DUMMYFUNCTION("""COMPUTED_VALUE"""),0.264)</f>
        <v/>
      </c>
      <c r="P349" s="45">
        <f>IFERROR(__xludf.DUMMYFUNCTION("""COMPUTED_VALUE"""),"Colombo, LK")</f>
        <v/>
      </c>
      <c r="Q349" s="45">
        <f>IFERROR(__xludf.DUMMYFUNCTION("""COMPUTED_VALUE"""),"New York, NY, US")</f>
        <v/>
      </c>
      <c r="R349" s="44">
        <f>IFERROR(__xludf.DUMMYFUNCTION("""COMPUTED_VALUE"""),45824)</f>
        <v/>
      </c>
      <c r="S349" s="44">
        <f>IFERROR(__xludf.DUMMYFUNCTION("""COMPUTED_VALUE"""),45883)</f>
        <v/>
      </c>
      <c r="T349" s="45">
        <f>IFERROR(__xludf.DUMMYFUNCTION("""COMPUTED_VALUE"""),"Mississauga, ON, CA")</f>
        <v/>
      </c>
      <c r="U349" s="45" t="n"/>
      <c r="V349" s="45" t="n"/>
      <c r="W349" s="45" t="n"/>
      <c r="X349" s="45" t="n"/>
      <c r="Y349" s="46">
        <f>IFERROR(__xludf.DUMMYFUNCTION("""COMPUTED_VALUE"""),45832)</f>
        <v/>
      </c>
      <c r="Z349" s="46">
        <f>IFERROR(__xludf.DUMMYFUNCTION("""COMPUTED_VALUE"""),45861)</f>
        <v/>
      </c>
      <c r="AA349" s="46">
        <f>IFERROR(__xludf.DUMMYFUNCTION("""COMPUTED_VALUE"""),45874)</f>
        <v/>
      </c>
      <c r="AB349" s="45">
        <f>IFERROR(__xludf.DUMMYFUNCTION("""COMPUTED_VALUE"""),"3500 Argentia Road")</f>
        <v/>
      </c>
      <c r="AC349" s="45" t="n"/>
      <c r="AD349" s="45">
        <f>IFERROR(__xludf.DUMMYFUNCTION("""COMPUTED_VALUE"""),"OCEAN")</f>
        <v/>
      </c>
      <c r="AE349" s="45">
        <f>IFERROR(__xludf.DUMMYFUNCTION("""COMPUTED_VALUE"""),"N")</f>
        <v/>
      </c>
      <c r="AF349" s="45" t="n"/>
      <c r="AG349" s="49">
        <f>IFERROR(__xludf.DUMMYFUNCTION("IFNA(vlookup(H349,IMPORTRANGE(""1vUGwO1n0QQGx9kKbO0_M5gmuhXZ6-LaxQxgrmJnzgP0"",""'TP# look up'!A:C""),3,0),"""")"),"")</f>
        <v/>
      </c>
      <c r="AH349" s="49">
        <f>LEFT(J349,2)</f>
        <v/>
      </c>
    </row>
    <row r="350" hidden="1" ht="12.75" customHeight="1">
      <c r="A350" s="45">
        <f>IFERROR(__xludf.DUMMYFUNCTION("""COMPUTED_VALUE"""),"Colombo")</f>
        <v/>
      </c>
      <c r="B350" s="45" t="n"/>
      <c r="C350" s="45">
        <f>IFERROR(__xludf.DUMMYFUNCTION("""COMPUTED_VALUE"""),3254506)</f>
        <v/>
      </c>
      <c r="D350" s="45" t="n"/>
      <c r="E350" s="45">
        <f>IFERROR(__xludf.DUMMYFUNCTION("""COMPUTED_VALUE"""),"CFS")</f>
        <v/>
      </c>
      <c r="F350" s="45">
        <f>IFERROR(__xludf.DUMMYFUNCTION("""COMPUTED_VALUE"""),"Bodyline Trading (Private) Limited")</f>
        <v/>
      </c>
      <c r="G350" s="45">
        <f>IFERROR(__xludf.DUMMYFUNCTION("""COMPUTED_VALUE"""),"Bodyline (Private) Limited")</f>
        <v/>
      </c>
      <c r="H350" s="43">
        <f>IFERROR(__xludf.DUMMYFUNCTION("""COMPUTED_VALUE"""),452778356716)</f>
        <v/>
      </c>
      <c r="I350" s="45">
        <f>IFERROR(__xludf.DUMMYFUNCTION("""COMPUTED_VALUE"""),19878421)</f>
        <v/>
      </c>
      <c r="J350" s="45">
        <f>IFERROR(__xludf.DUMMYFUNCTION("""COMPUTED_VALUE"""),"LW9DEOS")</f>
        <v/>
      </c>
      <c r="K350" s="45">
        <f>IFERROR(__xludf.DUMMYFUNCTION("""COMPUTED_VALUE"""),"LW9DEOS-070623")</f>
        <v/>
      </c>
      <c r="L350" s="45">
        <f>IFERROR(__xludf.DUMMYFUNCTION("""COMPUTED_VALUE"""),7)</f>
        <v/>
      </c>
      <c r="M350" s="45">
        <f>IFERROR(__xludf.DUMMYFUNCTION("""COMPUTED_VALUE"""),242)</f>
        <v/>
      </c>
      <c r="N350" s="45">
        <f>IFERROR(__xludf.DUMMYFUNCTION("""COMPUTED_VALUE"""),38.019)</f>
        <v/>
      </c>
      <c r="O350" s="45">
        <f>IFERROR(__xludf.DUMMYFUNCTION("""COMPUTED_VALUE"""),0.307)</f>
        <v/>
      </c>
      <c r="P350" s="45">
        <f>IFERROR(__xludf.DUMMYFUNCTION("""COMPUTED_VALUE"""),"Colombo, LK")</f>
        <v/>
      </c>
      <c r="Q350" s="45">
        <f>IFERROR(__xludf.DUMMYFUNCTION("""COMPUTED_VALUE"""),"New York, NY, US")</f>
        <v/>
      </c>
      <c r="R350" s="44">
        <f>IFERROR(__xludf.DUMMYFUNCTION("""COMPUTED_VALUE"""),45824)</f>
        <v/>
      </c>
      <c r="S350" s="44">
        <f>IFERROR(__xludf.DUMMYFUNCTION("""COMPUTED_VALUE"""),45883)</f>
        <v/>
      </c>
      <c r="T350" s="45">
        <f>IFERROR(__xludf.DUMMYFUNCTION("""COMPUTED_VALUE"""),"Mississauga, ON, CA")</f>
        <v/>
      </c>
      <c r="U350" s="45" t="n"/>
      <c r="V350" s="45" t="n"/>
      <c r="W350" s="45" t="n"/>
      <c r="X350" s="45" t="n"/>
      <c r="Y350" s="46">
        <f>IFERROR(__xludf.DUMMYFUNCTION("""COMPUTED_VALUE"""),45832)</f>
        <v/>
      </c>
      <c r="Z350" s="46">
        <f>IFERROR(__xludf.DUMMYFUNCTION("""COMPUTED_VALUE"""),45861)</f>
        <v/>
      </c>
      <c r="AA350" s="46">
        <f>IFERROR(__xludf.DUMMYFUNCTION("""COMPUTED_VALUE"""),45874)</f>
        <v/>
      </c>
      <c r="AB350" s="45">
        <f>IFERROR(__xludf.DUMMYFUNCTION("""COMPUTED_VALUE"""),"3500 Argentia Road")</f>
        <v/>
      </c>
      <c r="AC350" s="45" t="n"/>
      <c r="AD350" s="45">
        <f>IFERROR(__xludf.DUMMYFUNCTION("""COMPUTED_VALUE"""),"OCEAN")</f>
        <v/>
      </c>
      <c r="AE350" s="45">
        <f>IFERROR(__xludf.DUMMYFUNCTION("""COMPUTED_VALUE"""),"N")</f>
        <v/>
      </c>
      <c r="AF350" s="45" t="n"/>
      <c r="AG350" s="49">
        <f>IFERROR(__xludf.DUMMYFUNCTION("IFNA(vlookup(H350,IMPORTRANGE(""1vUGwO1n0QQGx9kKbO0_M5gmuhXZ6-LaxQxgrmJnzgP0"",""'TP# look up'!A:C""),3,0),"""")"),"")</f>
        <v/>
      </c>
      <c r="AH350" s="49">
        <f>LEFT(J350,2)</f>
        <v/>
      </c>
    </row>
    <row r="351" hidden="1" ht="12.75" customHeight="1">
      <c r="A351" s="45">
        <f>IFERROR(__xludf.DUMMYFUNCTION("""COMPUTED_VALUE"""),"Colombo")</f>
        <v/>
      </c>
      <c r="B351" s="45" t="n"/>
      <c r="C351" s="45">
        <f>IFERROR(__xludf.DUMMYFUNCTION("""COMPUTED_VALUE"""),3254506)</f>
        <v/>
      </c>
      <c r="D351" s="45" t="n"/>
      <c r="E351" s="45">
        <f>IFERROR(__xludf.DUMMYFUNCTION("""COMPUTED_VALUE"""),"CFS")</f>
        <v/>
      </c>
      <c r="F351" s="45">
        <f>IFERROR(__xludf.DUMMYFUNCTION("""COMPUTED_VALUE"""),"Bodyline Trading (Private) Limited")</f>
        <v/>
      </c>
      <c r="G351" s="45">
        <f>IFERROR(__xludf.DUMMYFUNCTION("""COMPUTED_VALUE"""),"Bodyline (Private) Limited")</f>
        <v/>
      </c>
      <c r="H351" s="43">
        <f>IFERROR(__xludf.DUMMYFUNCTION("""COMPUTED_VALUE"""),452778857948)</f>
        <v/>
      </c>
      <c r="I351" s="45">
        <f>IFERROR(__xludf.DUMMYFUNCTION("""COMPUTED_VALUE"""),19877709)</f>
        <v/>
      </c>
      <c r="J351" s="45">
        <f>IFERROR(__xludf.DUMMYFUNCTION("""COMPUTED_VALUE"""),"LW9DEOS")</f>
        <v/>
      </c>
      <c r="K351" s="45">
        <f>IFERROR(__xludf.DUMMYFUNCTION("""COMPUTED_VALUE"""),"LW9DEOS-070623")</f>
        <v/>
      </c>
      <c r="L351" s="45">
        <f>IFERROR(__xludf.DUMMYFUNCTION("""COMPUTED_VALUE"""),4)</f>
        <v/>
      </c>
      <c r="M351" s="45">
        <f>IFERROR(__xludf.DUMMYFUNCTION("""COMPUTED_VALUE"""),136)</f>
        <v/>
      </c>
      <c r="N351" s="45">
        <f>IFERROR(__xludf.DUMMYFUNCTION("""COMPUTED_VALUE"""),21.761)</f>
        <v/>
      </c>
      <c r="O351" s="45">
        <f>IFERROR(__xludf.DUMMYFUNCTION("""COMPUTED_VALUE"""),0.176)</f>
        <v/>
      </c>
      <c r="P351" s="45">
        <f>IFERROR(__xludf.DUMMYFUNCTION("""COMPUTED_VALUE"""),"Colombo, LK")</f>
        <v/>
      </c>
      <c r="Q351" s="45">
        <f>IFERROR(__xludf.DUMMYFUNCTION("""COMPUTED_VALUE"""),"New York, NY, US")</f>
        <v/>
      </c>
      <c r="R351" s="44">
        <f>IFERROR(__xludf.DUMMYFUNCTION("""COMPUTED_VALUE"""),45824)</f>
        <v/>
      </c>
      <c r="S351" s="44">
        <f>IFERROR(__xludf.DUMMYFUNCTION("""COMPUTED_VALUE"""),45883)</f>
        <v/>
      </c>
      <c r="T351" s="45">
        <f>IFERROR(__xludf.DUMMYFUNCTION("""COMPUTED_VALUE"""),"Mississauga, ON, CA")</f>
        <v/>
      </c>
      <c r="U351" s="45" t="n"/>
      <c r="V351" s="45" t="n"/>
      <c r="W351" s="45" t="n"/>
      <c r="X351" s="45" t="n"/>
      <c r="Y351" s="46">
        <f>IFERROR(__xludf.DUMMYFUNCTION("""COMPUTED_VALUE"""),45832)</f>
        <v/>
      </c>
      <c r="Z351" s="46">
        <f>IFERROR(__xludf.DUMMYFUNCTION("""COMPUTED_VALUE"""),45861)</f>
        <v/>
      </c>
      <c r="AA351" s="46">
        <f>IFERROR(__xludf.DUMMYFUNCTION("""COMPUTED_VALUE"""),45874)</f>
        <v/>
      </c>
      <c r="AB351" s="45">
        <f>IFERROR(__xludf.DUMMYFUNCTION("""COMPUTED_VALUE"""),"3500 Argentia Road")</f>
        <v/>
      </c>
      <c r="AC351" s="45" t="n"/>
      <c r="AD351" s="45">
        <f>IFERROR(__xludf.DUMMYFUNCTION("""COMPUTED_VALUE"""),"OCEAN")</f>
        <v/>
      </c>
      <c r="AE351" s="45">
        <f>IFERROR(__xludf.DUMMYFUNCTION("""COMPUTED_VALUE"""),"N")</f>
        <v/>
      </c>
      <c r="AF351" s="45" t="n"/>
      <c r="AG351" s="49">
        <f>IFERROR(__xludf.DUMMYFUNCTION("IFNA(vlookup(H351,IMPORTRANGE(""1vUGwO1n0QQGx9kKbO0_M5gmuhXZ6-LaxQxgrmJnzgP0"",""'TP# look up'!A:C""),3,0),"""")"),"")</f>
        <v/>
      </c>
      <c r="AH351" s="49">
        <f>LEFT(J351,2)</f>
        <v/>
      </c>
    </row>
    <row r="352" hidden="1" ht="12.75" customHeight="1">
      <c r="A352" s="45">
        <f>IFERROR(__xludf.DUMMYFUNCTION("""COMPUTED_VALUE"""),"Colombo")</f>
        <v/>
      </c>
      <c r="B352" s="45" t="n"/>
      <c r="C352" s="45">
        <f>IFERROR(__xludf.DUMMYFUNCTION("""COMPUTED_VALUE"""),3254506)</f>
        <v/>
      </c>
      <c r="D352" s="45" t="n"/>
      <c r="E352" s="45">
        <f>IFERROR(__xludf.DUMMYFUNCTION("""COMPUTED_VALUE"""),"CFS")</f>
        <v/>
      </c>
      <c r="F352" s="45">
        <f>IFERROR(__xludf.DUMMYFUNCTION("""COMPUTED_VALUE"""),"Bodyline Trading (Private) Limited")</f>
        <v/>
      </c>
      <c r="G352" s="45">
        <f>IFERROR(__xludf.DUMMYFUNCTION("""COMPUTED_VALUE"""),"Bodyline (Private) Limited")</f>
        <v/>
      </c>
      <c r="H352" s="43">
        <f>IFERROR(__xludf.DUMMYFUNCTION("""COMPUTED_VALUE"""),452782663921)</f>
        <v/>
      </c>
      <c r="I352" s="45">
        <f>IFERROR(__xludf.DUMMYFUNCTION("""COMPUTED_VALUE"""),19843755)</f>
        <v/>
      </c>
      <c r="J352" s="45">
        <f>IFERROR(__xludf.DUMMYFUNCTION("""COMPUTED_VALUE"""),"LW1FM7S")</f>
        <v/>
      </c>
      <c r="K352" s="45">
        <f>IFERROR(__xludf.DUMMYFUNCTION("""COMPUTED_VALUE"""),"LW1FM7S-033454")</f>
        <v/>
      </c>
      <c r="L352" s="45">
        <f>IFERROR(__xludf.DUMMYFUNCTION("""COMPUTED_VALUE"""),4)</f>
        <v/>
      </c>
      <c r="M352" s="45">
        <f>IFERROR(__xludf.DUMMYFUNCTION("""COMPUTED_VALUE"""),189)</f>
        <v/>
      </c>
      <c r="N352" s="45">
        <f>IFERROR(__xludf.DUMMYFUNCTION("""COMPUTED_VALUE"""),19.554)</f>
        <v/>
      </c>
      <c r="O352" s="45">
        <f>IFERROR(__xludf.DUMMYFUNCTION("""COMPUTED_VALUE"""),0.176)</f>
        <v/>
      </c>
      <c r="P352" s="45">
        <f>IFERROR(__xludf.DUMMYFUNCTION("""COMPUTED_VALUE"""),"Colombo, LK")</f>
        <v/>
      </c>
      <c r="Q352" s="45">
        <f>IFERROR(__xludf.DUMMYFUNCTION("""COMPUTED_VALUE"""),"New York, NY, US")</f>
        <v/>
      </c>
      <c r="R352" s="44">
        <f>IFERROR(__xludf.DUMMYFUNCTION("""COMPUTED_VALUE"""),45824)</f>
        <v/>
      </c>
      <c r="S352" s="44">
        <f>IFERROR(__xludf.DUMMYFUNCTION("""COMPUTED_VALUE"""),45883)</f>
        <v/>
      </c>
      <c r="T352" s="45">
        <f>IFERROR(__xludf.DUMMYFUNCTION("""COMPUTED_VALUE"""),"Mississauga, ON, CA")</f>
        <v/>
      </c>
      <c r="U352" s="45" t="n"/>
      <c r="V352" s="45" t="n"/>
      <c r="W352" s="45" t="n"/>
      <c r="X352" s="45" t="n"/>
      <c r="Y352" s="46">
        <f>IFERROR(__xludf.DUMMYFUNCTION("""COMPUTED_VALUE"""),45832)</f>
        <v/>
      </c>
      <c r="Z352" s="46">
        <f>IFERROR(__xludf.DUMMYFUNCTION("""COMPUTED_VALUE"""),45861)</f>
        <v/>
      </c>
      <c r="AA352" s="46">
        <f>IFERROR(__xludf.DUMMYFUNCTION("""COMPUTED_VALUE"""),45874)</f>
        <v/>
      </c>
      <c r="AB352" s="45">
        <f>IFERROR(__xludf.DUMMYFUNCTION("""COMPUTED_VALUE"""),"3500 Argentia Road")</f>
        <v/>
      </c>
      <c r="AC352" s="45" t="n"/>
      <c r="AD352" s="45">
        <f>IFERROR(__xludf.DUMMYFUNCTION("""COMPUTED_VALUE"""),"OCEAN")</f>
        <v/>
      </c>
      <c r="AE352" s="45">
        <f>IFERROR(__xludf.DUMMYFUNCTION("""COMPUTED_VALUE"""),"N")</f>
        <v/>
      </c>
      <c r="AF352" s="45" t="n"/>
      <c r="AG352" s="49">
        <f>IFERROR(__xludf.DUMMYFUNCTION("IFNA(vlookup(H352,IMPORTRANGE(""1vUGwO1n0QQGx9kKbO0_M5gmuhXZ6-LaxQxgrmJnzgP0"",""'TP# look up'!A:C""),3,0),"""")"),"")</f>
        <v/>
      </c>
      <c r="AH352" s="49">
        <f>LEFT(J352,2)</f>
        <v/>
      </c>
    </row>
    <row r="353" hidden="1" ht="12.75" customHeight="1">
      <c r="A353" s="45">
        <f>IFERROR(__xludf.DUMMYFUNCTION("""COMPUTED_VALUE"""),"Colombo")</f>
        <v/>
      </c>
      <c r="B353" s="45" t="n"/>
      <c r="C353" s="45">
        <f>IFERROR(__xludf.DUMMYFUNCTION("""COMPUTED_VALUE"""),3254506)</f>
        <v/>
      </c>
      <c r="D353" s="45" t="n"/>
      <c r="E353" s="45">
        <f>IFERROR(__xludf.DUMMYFUNCTION("""COMPUTED_VALUE"""),"CFS")</f>
        <v/>
      </c>
      <c r="F353" s="45">
        <f>IFERROR(__xludf.DUMMYFUNCTION("""COMPUTED_VALUE"""),"Bodyline Trading (Private) Limited")</f>
        <v/>
      </c>
      <c r="G353" s="45">
        <f>IFERROR(__xludf.DUMMYFUNCTION("""COMPUTED_VALUE"""),"Bodyline (Private) Limited")</f>
        <v/>
      </c>
      <c r="H353" s="43">
        <f>IFERROR(__xludf.DUMMYFUNCTION("""COMPUTED_VALUE"""),452848070482)</f>
        <v/>
      </c>
      <c r="I353" s="45">
        <f>IFERROR(__xludf.DUMMYFUNCTION("""COMPUTED_VALUE"""),19843852)</f>
        <v/>
      </c>
      <c r="J353" s="45">
        <f>IFERROR(__xludf.DUMMYFUNCTION("""COMPUTED_VALUE"""),"LW1FM7S")</f>
        <v/>
      </c>
      <c r="K353" s="45">
        <f>IFERROR(__xludf.DUMMYFUNCTION("""COMPUTED_VALUE"""),"LW1FM7S-0001")</f>
        <v/>
      </c>
      <c r="L353" s="45">
        <f>IFERROR(__xludf.DUMMYFUNCTION("""COMPUTED_VALUE"""),16)</f>
        <v/>
      </c>
      <c r="M353" s="45">
        <f>IFERROR(__xludf.DUMMYFUNCTION("""COMPUTED_VALUE"""),986)</f>
        <v/>
      </c>
      <c r="N353" s="45">
        <f>IFERROR(__xludf.DUMMYFUNCTION("""COMPUTED_VALUE"""),97.519)</f>
        <v/>
      </c>
      <c r="O353" s="45">
        <f>IFERROR(__xludf.DUMMYFUNCTION("""COMPUTED_VALUE"""),0.703)</f>
        <v/>
      </c>
      <c r="P353" s="45">
        <f>IFERROR(__xludf.DUMMYFUNCTION("""COMPUTED_VALUE"""),"Colombo, LK")</f>
        <v/>
      </c>
      <c r="Q353" s="45">
        <f>IFERROR(__xludf.DUMMYFUNCTION("""COMPUTED_VALUE"""),"New York, NY, US")</f>
        <v/>
      </c>
      <c r="R353" s="44">
        <f>IFERROR(__xludf.DUMMYFUNCTION("""COMPUTED_VALUE"""),45824)</f>
        <v/>
      </c>
      <c r="S353" s="44">
        <f>IFERROR(__xludf.DUMMYFUNCTION("""COMPUTED_VALUE"""),45883)</f>
        <v/>
      </c>
      <c r="T353" s="45">
        <f>IFERROR(__xludf.DUMMYFUNCTION("""COMPUTED_VALUE"""),"Mississauga, ON, CA")</f>
        <v/>
      </c>
      <c r="U353" s="45" t="n"/>
      <c r="V353" s="45" t="n"/>
      <c r="W353" s="45" t="n"/>
      <c r="X353" s="45" t="n"/>
      <c r="Y353" s="46">
        <f>IFERROR(__xludf.DUMMYFUNCTION("""COMPUTED_VALUE"""),45832)</f>
        <v/>
      </c>
      <c r="Z353" s="46">
        <f>IFERROR(__xludf.DUMMYFUNCTION("""COMPUTED_VALUE"""),45861)</f>
        <v/>
      </c>
      <c r="AA353" s="46">
        <f>IFERROR(__xludf.DUMMYFUNCTION("""COMPUTED_VALUE"""),45874)</f>
        <v/>
      </c>
      <c r="AB353" s="45">
        <f>IFERROR(__xludf.DUMMYFUNCTION("""COMPUTED_VALUE"""),"3500 Argentia Road")</f>
        <v/>
      </c>
      <c r="AC353" s="45" t="n"/>
      <c r="AD353" s="45">
        <f>IFERROR(__xludf.DUMMYFUNCTION("""COMPUTED_VALUE"""),"OCEAN")</f>
        <v/>
      </c>
      <c r="AE353" s="45">
        <f>IFERROR(__xludf.DUMMYFUNCTION("""COMPUTED_VALUE"""),"N")</f>
        <v/>
      </c>
      <c r="AF353" s="45" t="n"/>
      <c r="AG353" s="49">
        <f>IFERROR(__xludf.DUMMYFUNCTION("IFNA(vlookup(H353,IMPORTRANGE(""1vUGwO1n0QQGx9kKbO0_M5gmuhXZ6-LaxQxgrmJnzgP0"",""'TP# look up'!A:C""),3,0),"""")"),"")</f>
        <v/>
      </c>
      <c r="AH353" s="49">
        <f>LEFT(J353,2)</f>
        <v/>
      </c>
    </row>
    <row r="354" hidden="1" ht="12.75" customHeight="1">
      <c r="A354" s="45">
        <f>IFERROR(__xludf.DUMMYFUNCTION("""COMPUTED_VALUE"""),"Colombo")</f>
        <v/>
      </c>
      <c r="B354" s="45" t="n"/>
      <c r="C354" s="45">
        <f>IFERROR(__xludf.DUMMYFUNCTION("""COMPUTED_VALUE"""),3254506)</f>
        <v/>
      </c>
      <c r="D354" s="45" t="n"/>
      <c r="E354" s="45">
        <f>IFERROR(__xludf.DUMMYFUNCTION("""COMPUTED_VALUE"""),"CFS")</f>
        <v/>
      </c>
      <c r="F354" s="45">
        <f>IFERROR(__xludf.DUMMYFUNCTION("""COMPUTED_VALUE"""),"Bodyline Trading (Private) Limited")</f>
        <v/>
      </c>
      <c r="G354" s="45">
        <f>IFERROR(__xludf.DUMMYFUNCTION("""COMPUTED_VALUE"""),"Bodyline (Private) Limited")</f>
        <v/>
      </c>
      <c r="H354" s="43">
        <f>IFERROR(__xludf.DUMMYFUNCTION("""COMPUTED_VALUE"""),452848241196)</f>
        <v/>
      </c>
      <c r="I354" s="45">
        <f>IFERROR(__xludf.DUMMYFUNCTION("""COMPUTED_VALUE"""),19878851)</f>
        <v/>
      </c>
      <c r="J354" s="45">
        <f>IFERROR(__xludf.DUMMYFUNCTION("""COMPUTED_VALUE"""),"LW2DW4S")</f>
        <v/>
      </c>
      <c r="K354" s="45">
        <f>IFERROR(__xludf.DUMMYFUNCTION("""COMPUTED_VALUE"""),"LW2DW4S-071189")</f>
        <v/>
      </c>
      <c r="L354" s="45">
        <f>IFERROR(__xludf.DUMMYFUNCTION("""COMPUTED_VALUE"""),1)</f>
        <v/>
      </c>
      <c r="M354" s="45">
        <f>IFERROR(__xludf.DUMMYFUNCTION("""COMPUTED_VALUE"""),69)</f>
        <v/>
      </c>
      <c r="N354" s="45">
        <f>IFERROR(__xludf.DUMMYFUNCTION("""COMPUTED_VALUE"""),8.368)</f>
        <v/>
      </c>
      <c r="O354" s="45">
        <f>IFERROR(__xludf.DUMMYFUNCTION("""COMPUTED_VALUE"""),0.081)</f>
        <v/>
      </c>
      <c r="P354" s="45">
        <f>IFERROR(__xludf.DUMMYFUNCTION("""COMPUTED_VALUE"""),"Colombo, LK")</f>
        <v/>
      </c>
      <c r="Q354" s="45">
        <f>IFERROR(__xludf.DUMMYFUNCTION("""COMPUTED_VALUE"""),"New York, NY, US")</f>
        <v/>
      </c>
      <c r="R354" s="44">
        <f>IFERROR(__xludf.DUMMYFUNCTION("""COMPUTED_VALUE"""),45824)</f>
        <v/>
      </c>
      <c r="S354" s="44">
        <f>IFERROR(__xludf.DUMMYFUNCTION("""COMPUTED_VALUE"""),45883)</f>
        <v/>
      </c>
      <c r="T354" s="45">
        <f>IFERROR(__xludf.DUMMYFUNCTION("""COMPUTED_VALUE"""),"Mississauga, ON, CA")</f>
        <v/>
      </c>
      <c r="U354" s="45" t="n"/>
      <c r="V354" s="45" t="n"/>
      <c r="W354" s="45" t="n"/>
      <c r="X354" s="45" t="n"/>
      <c r="Y354" s="46">
        <f>IFERROR(__xludf.DUMMYFUNCTION("""COMPUTED_VALUE"""),45832)</f>
        <v/>
      </c>
      <c r="Z354" s="46">
        <f>IFERROR(__xludf.DUMMYFUNCTION("""COMPUTED_VALUE"""),45861)</f>
        <v/>
      </c>
      <c r="AA354" s="46">
        <f>IFERROR(__xludf.DUMMYFUNCTION("""COMPUTED_VALUE"""),45874)</f>
        <v/>
      </c>
      <c r="AB354" s="45">
        <f>IFERROR(__xludf.DUMMYFUNCTION("""COMPUTED_VALUE"""),"3500 Argentia Road")</f>
        <v/>
      </c>
      <c r="AC354" s="45" t="n"/>
      <c r="AD354" s="45">
        <f>IFERROR(__xludf.DUMMYFUNCTION("""COMPUTED_VALUE"""),"OCEAN")</f>
        <v/>
      </c>
      <c r="AE354" s="45">
        <f>IFERROR(__xludf.DUMMYFUNCTION("""COMPUTED_VALUE"""),"N")</f>
        <v/>
      </c>
      <c r="AF354" s="45" t="n"/>
      <c r="AG354" s="49">
        <f>IFERROR(__xludf.DUMMYFUNCTION("IFNA(vlookup(H354,IMPORTRANGE(""1vUGwO1n0QQGx9kKbO0_M5gmuhXZ6-LaxQxgrmJnzgP0"",""'TP# look up'!A:C""),3,0),"""")"),"")</f>
        <v/>
      </c>
      <c r="AH354" s="49">
        <f>LEFT(J354,2)</f>
        <v/>
      </c>
    </row>
    <row r="355" hidden="1" ht="12.75" customHeight="1">
      <c r="A355" s="45">
        <f>IFERROR(__xludf.DUMMYFUNCTION("""COMPUTED_VALUE"""),"Colombo")</f>
        <v/>
      </c>
      <c r="B355" s="45" t="n"/>
      <c r="C355" s="45">
        <f>IFERROR(__xludf.DUMMYFUNCTION("""COMPUTED_VALUE"""),3254506)</f>
        <v/>
      </c>
      <c r="D355" s="45" t="n"/>
      <c r="E355" s="45">
        <f>IFERROR(__xludf.DUMMYFUNCTION("""COMPUTED_VALUE"""),"CFS")</f>
        <v/>
      </c>
      <c r="F355" s="45">
        <f>IFERROR(__xludf.DUMMYFUNCTION("""COMPUTED_VALUE"""),"Bodyline Trading (Private) Limited")</f>
        <v/>
      </c>
      <c r="G355" s="45">
        <f>IFERROR(__xludf.DUMMYFUNCTION("""COMPUTED_VALUE"""),"Bodyline (Private) Limited")</f>
        <v/>
      </c>
      <c r="H355" s="43">
        <f>IFERROR(__xludf.DUMMYFUNCTION("""COMPUTED_VALUE"""),452849279925)</f>
        <v/>
      </c>
      <c r="I355" s="45">
        <f>IFERROR(__xludf.DUMMYFUNCTION("""COMPUTED_VALUE"""),19877550)</f>
        <v/>
      </c>
      <c r="J355" s="45">
        <f>IFERROR(__xludf.DUMMYFUNCTION("""COMPUTED_VALUE"""),"LW9DCIS")</f>
        <v/>
      </c>
      <c r="K355" s="45">
        <f>IFERROR(__xludf.DUMMYFUNCTION("""COMPUTED_VALUE"""),"LW9DCIS-073357")</f>
        <v/>
      </c>
      <c r="L355" s="45">
        <f>IFERROR(__xludf.DUMMYFUNCTION("""COMPUTED_VALUE"""),3)</f>
        <v/>
      </c>
      <c r="M355" s="45">
        <f>IFERROR(__xludf.DUMMYFUNCTION("""COMPUTED_VALUE"""),75)</f>
        <v/>
      </c>
      <c r="N355" s="45">
        <f>IFERROR(__xludf.DUMMYFUNCTION("""COMPUTED_VALUE"""),8.36)</f>
        <v/>
      </c>
      <c r="O355" s="45">
        <f>IFERROR(__xludf.DUMMYFUNCTION("""COMPUTED_VALUE"""),0.132)</f>
        <v/>
      </c>
      <c r="P355" s="45">
        <f>IFERROR(__xludf.DUMMYFUNCTION("""COMPUTED_VALUE"""),"Colombo, LK")</f>
        <v/>
      </c>
      <c r="Q355" s="45">
        <f>IFERROR(__xludf.DUMMYFUNCTION("""COMPUTED_VALUE"""),"New York, NY, US")</f>
        <v/>
      </c>
      <c r="R355" s="44">
        <f>IFERROR(__xludf.DUMMYFUNCTION("""COMPUTED_VALUE"""),45824)</f>
        <v/>
      </c>
      <c r="S355" s="44">
        <f>IFERROR(__xludf.DUMMYFUNCTION("""COMPUTED_VALUE"""),45883)</f>
        <v/>
      </c>
      <c r="T355" s="45">
        <f>IFERROR(__xludf.DUMMYFUNCTION("""COMPUTED_VALUE"""),"Mississauga, ON, CA")</f>
        <v/>
      </c>
      <c r="U355" s="45" t="n"/>
      <c r="V355" s="45" t="n"/>
      <c r="W355" s="45" t="n"/>
      <c r="X355" s="45" t="n"/>
      <c r="Y355" s="46">
        <f>IFERROR(__xludf.DUMMYFUNCTION("""COMPUTED_VALUE"""),45832)</f>
        <v/>
      </c>
      <c r="Z355" s="46">
        <f>IFERROR(__xludf.DUMMYFUNCTION("""COMPUTED_VALUE"""),45861)</f>
        <v/>
      </c>
      <c r="AA355" s="46">
        <f>IFERROR(__xludf.DUMMYFUNCTION("""COMPUTED_VALUE"""),45874)</f>
        <v/>
      </c>
      <c r="AB355" s="45">
        <f>IFERROR(__xludf.DUMMYFUNCTION("""COMPUTED_VALUE"""),"3500 Argentia Road")</f>
        <v/>
      </c>
      <c r="AC355" s="45" t="n"/>
      <c r="AD355" s="45">
        <f>IFERROR(__xludf.DUMMYFUNCTION("""COMPUTED_VALUE"""),"OCEAN")</f>
        <v/>
      </c>
      <c r="AE355" s="45">
        <f>IFERROR(__xludf.DUMMYFUNCTION("""COMPUTED_VALUE"""),"N")</f>
        <v/>
      </c>
      <c r="AF355" s="45" t="n"/>
      <c r="AG355" s="49">
        <f>IFERROR(__xludf.DUMMYFUNCTION("IFNA(vlookup(H355,IMPORTRANGE(""1vUGwO1n0QQGx9kKbO0_M5gmuhXZ6-LaxQxgrmJnzgP0"",""'TP# look up'!A:C""),3,0),"""")"),"")</f>
        <v/>
      </c>
      <c r="AH355" s="49">
        <f>LEFT(J355,2)</f>
        <v/>
      </c>
    </row>
    <row r="356" hidden="1" ht="12.75" customHeight="1">
      <c r="A356" s="45">
        <f>IFERROR(__xludf.DUMMYFUNCTION("""COMPUTED_VALUE"""),"Colombo")</f>
        <v/>
      </c>
      <c r="B356" s="45" t="n"/>
      <c r="C356" s="45">
        <f>IFERROR(__xludf.DUMMYFUNCTION("""COMPUTED_VALUE"""),3254506)</f>
        <v/>
      </c>
      <c r="D356" s="45" t="n"/>
      <c r="E356" s="45">
        <f>IFERROR(__xludf.DUMMYFUNCTION("""COMPUTED_VALUE"""),"CFS")</f>
        <v/>
      </c>
      <c r="F356" s="45">
        <f>IFERROR(__xludf.DUMMYFUNCTION("""COMPUTED_VALUE"""),"Bodyline Trading (Private) Limited")</f>
        <v/>
      </c>
      <c r="G356" s="45">
        <f>IFERROR(__xludf.DUMMYFUNCTION("""COMPUTED_VALUE"""),"Bodyline (Private) Limited")</f>
        <v/>
      </c>
      <c r="H356" s="43">
        <f>IFERROR(__xludf.DUMMYFUNCTION("""COMPUTED_VALUE"""),452850338711)</f>
        <v/>
      </c>
      <c r="I356" s="45">
        <f>IFERROR(__xludf.DUMMYFUNCTION("""COMPUTED_VALUE"""),19878347)</f>
        <v/>
      </c>
      <c r="J356" s="45">
        <f>IFERROR(__xludf.DUMMYFUNCTION("""COMPUTED_VALUE"""),"LW9DCLS")</f>
        <v/>
      </c>
      <c r="K356" s="45">
        <f>IFERROR(__xludf.DUMMYFUNCTION("""COMPUTED_VALUE"""),"LW9DCLS-068971")</f>
        <v/>
      </c>
      <c r="L356" s="45">
        <f>IFERROR(__xludf.DUMMYFUNCTION("""COMPUTED_VALUE"""),4)</f>
        <v/>
      </c>
      <c r="M356" s="45">
        <f>IFERROR(__xludf.DUMMYFUNCTION("""COMPUTED_VALUE"""),183)</f>
        <v/>
      </c>
      <c r="N356" s="45">
        <f>IFERROR(__xludf.DUMMYFUNCTION("""COMPUTED_VALUE"""),20.668)</f>
        <v/>
      </c>
      <c r="O356" s="45">
        <f>IFERROR(__xludf.DUMMYFUNCTION("""COMPUTED_VALUE"""),0.176)</f>
        <v/>
      </c>
      <c r="P356" s="45">
        <f>IFERROR(__xludf.DUMMYFUNCTION("""COMPUTED_VALUE"""),"Colombo, LK")</f>
        <v/>
      </c>
      <c r="Q356" s="45">
        <f>IFERROR(__xludf.DUMMYFUNCTION("""COMPUTED_VALUE"""),"New York, NY, US")</f>
        <v/>
      </c>
      <c r="R356" s="44">
        <f>IFERROR(__xludf.DUMMYFUNCTION("""COMPUTED_VALUE"""),45824)</f>
        <v/>
      </c>
      <c r="S356" s="44">
        <f>IFERROR(__xludf.DUMMYFUNCTION("""COMPUTED_VALUE"""),45883)</f>
        <v/>
      </c>
      <c r="T356" s="45">
        <f>IFERROR(__xludf.DUMMYFUNCTION("""COMPUTED_VALUE"""),"Mississauga, ON, CA")</f>
        <v/>
      </c>
      <c r="U356" s="45" t="n"/>
      <c r="V356" s="45" t="n"/>
      <c r="W356" s="45" t="n"/>
      <c r="X356" s="45" t="n"/>
      <c r="Y356" s="46">
        <f>IFERROR(__xludf.DUMMYFUNCTION("""COMPUTED_VALUE"""),45832)</f>
        <v/>
      </c>
      <c r="Z356" s="46">
        <f>IFERROR(__xludf.DUMMYFUNCTION("""COMPUTED_VALUE"""),45861)</f>
        <v/>
      </c>
      <c r="AA356" s="46">
        <f>IFERROR(__xludf.DUMMYFUNCTION("""COMPUTED_VALUE"""),45874)</f>
        <v/>
      </c>
      <c r="AB356" s="45">
        <f>IFERROR(__xludf.DUMMYFUNCTION("""COMPUTED_VALUE"""),"3500 Argentia Road")</f>
        <v/>
      </c>
      <c r="AC356" s="45" t="n"/>
      <c r="AD356" s="45">
        <f>IFERROR(__xludf.DUMMYFUNCTION("""COMPUTED_VALUE"""),"OCEAN")</f>
        <v/>
      </c>
      <c r="AE356" s="45">
        <f>IFERROR(__xludf.DUMMYFUNCTION("""COMPUTED_VALUE"""),"N")</f>
        <v/>
      </c>
      <c r="AF356" s="45" t="n"/>
      <c r="AG356" s="49">
        <f>IFERROR(__xludf.DUMMYFUNCTION("IFNA(vlookup(H356,IMPORTRANGE(""1vUGwO1n0QQGx9kKbO0_M5gmuhXZ6-LaxQxgrmJnzgP0"",""'TP# look up'!A:C""),3,0),"""")"),"")</f>
        <v/>
      </c>
      <c r="AH356" s="49">
        <f>LEFT(J356,2)</f>
        <v/>
      </c>
    </row>
    <row r="357" hidden="1" ht="12.75" customHeight="1">
      <c r="A357" s="45">
        <f>IFERROR(__xludf.DUMMYFUNCTION("""COMPUTED_VALUE"""),"Colombo")</f>
        <v/>
      </c>
      <c r="B357" s="45" t="n"/>
      <c r="C357" s="45">
        <f>IFERROR(__xludf.DUMMYFUNCTION("""COMPUTED_VALUE"""),3254506)</f>
        <v/>
      </c>
      <c r="D357" s="45" t="n"/>
      <c r="E357" s="45">
        <f>IFERROR(__xludf.DUMMYFUNCTION("""COMPUTED_VALUE"""),"CFS")</f>
        <v/>
      </c>
      <c r="F357" s="45">
        <f>IFERROR(__xludf.DUMMYFUNCTION("""COMPUTED_VALUE"""),"Bodyline Trading (Private) Limited")</f>
        <v/>
      </c>
      <c r="G357" s="45">
        <f>IFERROR(__xludf.DUMMYFUNCTION("""COMPUTED_VALUE"""),"Bodyline (Private) Limited")</f>
        <v/>
      </c>
      <c r="H357" s="43">
        <f>IFERROR(__xludf.DUMMYFUNCTION("""COMPUTED_VALUE"""),452850728949)</f>
        <v/>
      </c>
      <c r="I357" s="45">
        <f>IFERROR(__xludf.DUMMYFUNCTION("""COMPUTED_VALUE"""),19877788)</f>
        <v/>
      </c>
      <c r="J357" s="45">
        <f>IFERROR(__xludf.DUMMYFUNCTION("""COMPUTED_VALUE"""),"LW9DTZS")</f>
        <v/>
      </c>
      <c r="K357" s="45">
        <f>IFERROR(__xludf.DUMMYFUNCTION("""COMPUTED_VALUE"""),"LW9DTZS-071140")</f>
        <v/>
      </c>
      <c r="L357" s="45">
        <f>IFERROR(__xludf.DUMMYFUNCTION("""COMPUTED_VALUE"""),3)</f>
        <v/>
      </c>
      <c r="M357" s="45">
        <f>IFERROR(__xludf.DUMMYFUNCTION("""COMPUTED_VALUE"""),110)</f>
        <v/>
      </c>
      <c r="N357" s="45">
        <f>IFERROR(__xludf.DUMMYFUNCTION("""COMPUTED_VALUE"""),13.548)</f>
        <v/>
      </c>
      <c r="O357" s="45">
        <f>IFERROR(__xludf.DUMMYFUNCTION("""COMPUTED_VALUE"""),0.132)</f>
        <v/>
      </c>
      <c r="P357" s="45">
        <f>IFERROR(__xludf.DUMMYFUNCTION("""COMPUTED_VALUE"""),"Colombo, LK")</f>
        <v/>
      </c>
      <c r="Q357" s="45">
        <f>IFERROR(__xludf.DUMMYFUNCTION("""COMPUTED_VALUE"""),"New York, NY, US")</f>
        <v/>
      </c>
      <c r="R357" s="44">
        <f>IFERROR(__xludf.DUMMYFUNCTION("""COMPUTED_VALUE"""),45824)</f>
        <v/>
      </c>
      <c r="S357" s="44">
        <f>IFERROR(__xludf.DUMMYFUNCTION("""COMPUTED_VALUE"""),45883)</f>
        <v/>
      </c>
      <c r="T357" s="45">
        <f>IFERROR(__xludf.DUMMYFUNCTION("""COMPUTED_VALUE"""),"Milton, ON, CA")</f>
        <v/>
      </c>
      <c r="U357" s="45" t="n"/>
      <c r="V357" s="45" t="n"/>
      <c r="W357" s="45" t="n"/>
      <c r="X357" s="45" t="n"/>
      <c r="Y357" s="46">
        <f>IFERROR(__xludf.DUMMYFUNCTION("""COMPUTED_VALUE"""),45832)</f>
        <v/>
      </c>
      <c r="Z357" s="46">
        <f>IFERROR(__xludf.DUMMYFUNCTION("""COMPUTED_VALUE"""),45861)</f>
        <v/>
      </c>
      <c r="AA357" s="46">
        <f>IFERROR(__xludf.DUMMYFUNCTION("""COMPUTED_VALUE"""),45874)</f>
        <v/>
      </c>
      <c r="AB357" s="45">
        <f>IFERROR(__xludf.DUMMYFUNCTION("""COMPUTED_VALUE"""),"7211 Fifth Line")</f>
        <v/>
      </c>
      <c r="AC357" s="45" t="n"/>
      <c r="AD357" s="45">
        <f>IFERROR(__xludf.DUMMYFUNCTION("""COMPUTED_VALUE"""),"OCEAN")</f>
        <v/>
      </c>
      <c r="AE357" s="45">
        <f>IFERROR(__xludf.DUMMYFUNCTION("""COMPUTED_VALUE"""),"N")</f>
        <v/>
      </c>
      <c r="AF357" s="45" t="n"/>
      <c r="AG357" s="49">
        <f>IFERROR(__xludf.DUMMYFUNCTION("IFNA(vlookup(H357,IMPORTRANGE(""1vUGwO1n0QQGx9kKbO0_M5gmuhXZ6-LaxQxgrmJnzgP0"",""'TP# look up'!A:C""),3,0),"""")"),"")</f>
        <v/>
      </c>
      <c r="AH357" s="49">
        <f>LEFT(J357,2)</f>
        <v/>
      </c>
    </row>
    <row r="358" hidden="1" ht="12.75" customHeight="1">
      <c r="A358" s="45">
        <f>IFERROR(__xludf.DUMMYFUNCTION("""COMPUTED_VALUE"""),"Colombo")</f>
        <v/>
      </c>
      <c r="B358" s="45" t="n"/>
      <c r="C358" s="45">
        <f>IFERROR(__xludf.DUMMYFUNCTION("""COMPUTED_VALUE"""),3254506)</f>
        <v/>
      </c>
      <c r="D358" s="45" t="n"/>
      <c r="E358" s="45">
        <f>IFERROR(__xludf.DUMMYFUNCTION("""COMPUTED_VALUE"""),"CFS")</f>
        <v/>
      </c>
      <c r="F358" s="45">
        <f>IFERROR(__xludf.DUMMYFUNCTION("""COMPUTED_VALUE"""),"Bodyline Trading (Private) Limited")</f>
        <v/>
      </c>
      <c r="G358" s="45">
        <f>IFERROR(__xludf.DUMMYFUNCTION("""COMPUTED_VALUE"""),"Bodyline (Private) Limited")</f>
        <v/>
      </c>
      <c r="H358" s="43">
        <f>IFERROR(__xludf.DUMMYFUNCTION("""COMPUTED_VALUE"""),452851676008)</f>
        <v/>
      </c>
      <c r="I358" s="45">
        <f>IFERROR(__xludf.DUMMYFUNCTION("""COMPUTED_VALUE"""),19877758)</f>
        <v/>
      </c>
      <c r="J358" s="45">
        <f>IFERROR(__xludf.DUMMYFUNCTION("""COMPUTED_VALUE"""),"LW9DC4S")</f>
        <v/>
      </c>
      <c r="K358" s="45">
        <f>IFERROR(__xludf.DUMMYFUNCTION("""COMPUTED_VALUE"""),"LW9DC4S-068971")</f>
        <v/>
      </c>
      <c r="L358" s="45">
        <f>IFERROR(__xludf.DUMMYFUNCTION("""COMPUTED_VALUE"""),4)</f>
        <v/>
      </c>
      <c r="M358" s="45">
        <f>IFERROR(__xludf.DUMMYFUNCTION("""COMPUTED_VALUE"""),206)</f>
        <v/>
      </c>
      <c r="N358" s="45">
        <f>IFERROR(__xludf.DUMMYFUNCTION("""COMPUTED_VALUE"""),19.691)</f>
        <v/>
      </c>
      <c r="O358" s="45">
        <f>IFERROR(__xludf.DUMMYFUNCTION("""COMPUTED_VALUE"""),0.176)</f>
        <v/>
      </c>
      <c r="P358" s="45">
        <f>IFERROR(__xludf.DUMMYFUNCTION("""COMPUTED_VALUE"""),"Colombo, LK")</f>
        <v/>
      </c>
      <c r="Q358" s="45">
        <f>IFERROR(__xludf.DUMMYFUNCTION("""COMPUTED_VALUE"""),"New York, NY, US")</f>
        <v/>
      </c>
      <c r="R358" s="44">
        <f>IFERROR(__xludf.DUMMYFUNCTION("""COMPUTED_VALUE"""),45824)</f>
        <v/>
      </c>
      <c r="S358" s="44">
        <f>IFERROR(__xludf.DUMMYFUNCTION("""COMPUTED_VALUE"""),45883)</f>
        <v/>
      </c>
      <c r="T358" s="45">
        <f>IFERROR(__xludf.DUMMYFUNCTION("""COMPUTED_VALUE"""),"Mississauga, ON, CA")</f>
        <v/>
      </c>
      <c r="U358" s="45" t="n"/>
      <c r="V358" s="45" t="n"/>
      <c r="W358" s="45" t="n"/>
      <c r="X358" s="45" t="n"/>
      <c r="Y358" s="46">
        <f>IFERROR(__xludf.DUMMYFUNCTION("""COMPUTED_VALUE"""),45832)</f>
        <v/>
      </c>
      <c r="Z358" s="46">
        <f>IFERROR(__xludf.DUMMYFUNCTION("""COMPUTED_VALUE"""),45861)</f>
        <v/>
      </c>
      <c r="AA358" s="46">
        <f>IFERROR(__xludf.DUMMYFUNCTION("""COMPUTED_VALUE"""),45874)</f>
        <v/>
      </c>
      <c r="AB358" s="45">
        <f>IFERROR(__xludf.DUMMYFUNCTION("""COMPUTED_VALUE"""),"3500 Argentia Road")</f>
        <v/>
      </c>
      <c r="AC358" s="45" t="n"/>
      <c r="AD358" s="45">
        <f>IFERROR(__xludf.DUMMYFUNCTION("""COMPUTED_VALUE"""),"OCEAN")</f>
        <v/>
      </c>
      <c r="AE358" s="45">
        <f>IFERROR(__xludf.DUMMYFUNCTION("""COMPUTED_VALUE"""),"N")</f>
        <v/>
      </c>
      <c r="AF358" s="45" t="n"/>
      <c r="AG358" s="49">
        <f>IFERROR(__xludf.DUMMYFUNCTION("IFNA(vlookup(H358,IMPORTRANGE(""1vUGwO1n0QQGx9kKbO0_M5gmuhXZ6-LaxQxgrmJnzgP0"",""'TP# look up'!A:C""),3,0),"""")"),"")</f>
        <v/>
      </c>
      <c r="AH358" s="49">
        <f>LEFT(J358,2)</f>
        <v/>
      </c>
    </row>
    <row r="359" hidden="1" ht="12.75" customHeight="1">
      <c r="A359" s="45">
        <f>IFERROR(__xludf.DUMMYFUNCTION("""COMPUTED_VALUE"""),"Colombo")</f>
        <v/>
      </c>
      <c r="B359" s="45" t="n"/>
      <c r="C359" s="45">
        <f>IFERROR(__xludf.DUMMYFUNCTION("""COMPUTED_VALUE"""),3254506)</f>
        <v/>
      </c>
      <c r="D359" s="45" t="n"/>
      <c r="E359" s="45">
        <f>IFERROR(__xludf.DUMMYFUNCTION("""COMPUTED_VALUE"""),"CFS")</f>
        <v/>
      </c>
      <c r="F359" s="45">
        <f>IFERROR(__xludf.DUMMYFUNCTION("""COMPUTED_VALUE"""),"Inqube Global (PVT) Ltd")</f>
        <v/>
      </c>
      <c r="G359" s="45">
        <f>IFERROR(__xludf.DUMMYFUNCTION("""COMPUTED_VALUE"""),"BRANDIX APPAREL SOLUTION LTD - GIRITALE")</f>
        <v/>
      </c>
      <c r="H359" s="43">
        <f>IFERROR(__xludf.DUMMYFUNCTION("""COMPUTED_VALUE"""),452665810522)</f>
        <v/>
      </c>
      <c r="I359" s="45">
        <f>IFERROR(__xludf.DUMMYFUNCTION("""COMPUTED_VALUE"""),19856043)</f>
        <v/>
      </c>
      <c r="J359" s="45">
        <f>IFERROR(__xludf.DUMMYFUNCTION("""COMPUTED_VALUE"""),"LM5AQMT")</f>
        <v/>
      </c>
      <c r="K359" s="45">
        <f>IFERROR(__xludf.DUMMYFUNCTION("""COMPUTED_VALUE"""),"LM5AQMT-033123")</f>
        <v/>
      </c>
      <c r="L359" s="45">
        <f>IFERROR(__xludf.DUMMYFUNCTION("""COMPUTED_VALUE"""),4)</f>
        <v/>
      </c>
      <c r="M359" s="45">
        <f>IFERROR(__xludf.DUMMYFUNCTION("""COMPUTED_VALUE"""),82)</f>
        <v/>
      </c>
      <c r="N359" s="45">
        <f>IFERROR(__xludf.DUMMYFUNCTION("""COMPUTED_VALUE"""),42.82)</f>
        <v/>
      </c>
      <c r="O359" s="45">
        <f>IFERROR(__xludf.DUMMYFUNCTION("""COMPUTED_VALUE"""),0.21)</f>
        <v/>
      </c>
      <c r="P359" s="45">
        <f>IFERROR(__xludf.DUMMYFUNCTION("""COMPUTED_VALUE"""),"Colombo, LK")</f>
        <v/>
      </c>
      <c r="Q359" s="45">
        <f>IFERROR(__xludf.DUMMYFUNCTION("""COMPUTED_VALUE"""),"New York, NY, US")</f>
        <v/>
      </c>
      <c r="R359" s="44">
        <f>IFERROR(__xludf.DUMMYFUNCTION("""COMPUTED_VALUE"""),45824)</f>
        <v/>
      </c>
      <c r="S359" s="44">
        <f>IFERROR(__xludf.DUMMYFUNCTION("""COMPUTED_VALUE"""),45883)</f>
        <v/>
      </c>
      <c r="T359" s="45">
        <f>IFERROR(__xludf.DUMMYFUNCTION("""COMPUTED_VALUE"""),"Mississauga, ON, CA")</f>
        <v/>
      </c>
      <c r="U359" s="45" t="n"/>
      <c r="V359" s="45" t="n"/>
      <c r="W359" s="45" t="n"/>
      <c r="X359" s="45" t="n"/>
      <c r="Y359" s="46">
        <f>IFERROR(__xludf.DUMMYFUNCTION("""COMPUTED_VALUE"""),45832)</f>
        <v/>
      </c>
      <c r="Z359" s="46">
        <f>IFERROR(__xludf.DUMMYFUNCTION("""COMPUTED_VALUE"""),45861)</f>
        <v/>
      </c>
      <c r="AA359" s="46">
        <f>IFERROR(__xludf.DUMMYFUNCTION("""COMPUTED_VALUE"""),45874)</f>
        <v/>
      </c>
      <c r="AB359" s="45">
        <f>IFERROR(__xludf.DUMMYFUNCTION("""COMPUTED_VALUE"""),"3500 Argentia Road")</f>
        <v/>
      </c>
      <c r="AC359" s="45" t="n"/>
      <c r="AD359" s="45">
        <f>IFERROR(__xludf.DUMMYFUNCTION("""COMPUTED_VALUE"""),"OCEAN")</f>
        <v/>
      </c>
      <c r="AE359" s="45">
        <f>IFERROR(__xludf.DUMMYFUNCTION("""COMPUTED_VALUE"""),"N")</f>
        <v/>
      </c>
      <c r="AF359" s="45" t="n"/>
      <c r="AG359" s="49">
        <f>IFERROR(__xludf.DUMMYFUNCTION("IFNA(vlookup(H359,IMPORTRANGE(""1vUGwO1n0QQGx9kKbO0_M5gmuhXZ6-LaxQxgrmJnzgP0"",""'TP# look up'!A:C""),3,0),"""")"),"")</f>
        <v/>
      </c>
      <c r="AH359" s="49">
        <f>LEFT(J359,2)</f>
        <v/>
      </c>
    </row>
    <row r="360" hidden="1" ht="12.75" customHeight="1">
      <c r="A360" s="45">
        <f>IFERROR(__xludf.DUMMYFUNCTION("""COMPUTED_VALUE"""),"Colombo")</f>
        <v/>
      </c>
      <c r="B360" s="45" t="n"/>
      <c r="C360" s="45">
        <f>IFERROR(__xludf.DUMMYFUNCTION("""COMPUTED_VALUE"""),3254506)</f>
        <v/>
      </c>
      <c r="D360" s="45" t="n"/>
      <c r="E360" s="45">
        <f>IFERROR(__xludf.DUMMYFUNCTION("""COMPUTED_VALUE"""),"CFS")</f>
        <v/>
      </c>
      <c r="F360" s="45">
        <f>IFERROR(__xludf.DUMMYFUNCTION("""COMPUTED_VALUE"""),"Inqube Global (PVT) Ltd")</f>
        <v/>
      </c>
      <c r="G360" s="45">
        <f>IFERROR(__xludf.DUMMYFUNCTION("""COMPUTED_VALUE"""),"BRANDIX APPAREL SOLUTION LTD - GIRITALE")</f>
        <v/>
      </c>
      <c r="H360" s="43">
        <f>IFERROR(__xludf.DUMMYFUNCTION("""COMPUTED_VALUE"""),452666085643)</f>
        <v/>
      </c>
      <c r="I360" s="45">
        <f>IFERROR(__xludf.DUMMYFUNCTION("""COMPUTED_VALUE"""),19856610)</f>
        <v/>
      </c>
      <c r="J360" s="45">
        <f>IFERROR(__xludf.DUMMYFUNCTION("""COMPUTED_VALUE"""),"LM7BSOS")</f>
        <v/>
      </c>
      <c r="K360" s="45">
        <f>IFERROR(__xludf.DUMMYFUNCTION("""COMPUTED_VALUE"""),"LM7BSOS-045739")</f>
        <v/>
      </c>
      <c r="L360" s="45">
        <f>IFERROR(__xludf.DUMMYFUNCTION("""COMPUTED_VALUE"""),2)</f>
        <v/>
      </c>
      <c r="M360" s="45">
        <f>IFERROR(__xludf.DUMMYFUNCTION("""COMPUTED_VALUE"""),46)</f>
        <v/>
      </c>
      <c r="N360" s="45">
        <f>IFERROR(__xludf.DUMMYFUNCTION("""COMPUTED_VALUE"""),17.85)</f>
        <v/>
      </c>
      <c r="O360" s="45">
        <f>IFERROR(__xludf.DUMMYFUNCTION("""COMPUTED_VALUE"""),0.125)</f>
        <v/>
      </c>
      <c r="P360" s="45">
        <f>IFERROR(__xludf.DUMMYFUNCTION("""COMPUTED_VALUE"""),"Colombo, LK")</f>
        <v/>
      </c>
      <c r="Q360" s="45">
        <f>IFERROR(__xludf.DUMMYFUNCTION("""COMPUTED_VALUE"""),"New York, NY, US")</f>
        <v/>
      </c>
      <c r="R360" s="44">
        <f>IFERROR(__xludf.DUMMYFUNCTION("""COMPUTED_VALUE"""),45824)</f>
        <v/>
      </c>
      <c r="S360" s="44">
        <f>IFERROR(__xludf.DUMMYFUNCTION("""COMPUTED_VALUE"""),45883)</f>
        <v/>
      </c>
      <c r="T360" s="45">
        <f>IFERROR(__xludf.DUMMYFUNCTION("""COMPUTED_VALUE"""),"Mississauga, ON, CA")</f>
        <v/>
      </c>
      <c r="U360" s="45" t="n"/>
      <c r="V360" s="45" t="n"/>
      <c r="W360" s="45" t="n"/>
      <c r="X360" s="45" t="n"/>
      <c r="Y360" s="46">
        <f>IFERROR(__xludf.DUMMYFUNCTION("""COMPUTED_VALUE"""),45832)</f>
        <v/>
      </c>
      <c r="Z360" s="46">
        <f>IFERROR(__xludf.DUMMYFUNCTION("""COMPUTED_VALUE"""),45861)</f>
        <v/>
      </c>
      <c r="AA360" s="46">
        <f>IFERROR(__xludf.DUMMYFUNCTION("""COMPUTED_VALUE"""),45874)</f>
        <v/>
      </c>
      <c r="AB360" s="45">
        <f>IFERROR(__xludf.DUMMYFUNCTION("""COMPUTED_VALUE"""),"3500 Argentia Road")</f>
        <v/>
      </c>
      <c r="AC360" s="45" t="n"/>
      <c r="AD360" s="45">
        <f>IFERROR(__xludf.DUMMYFUNCTION("""COMPUTED_VALUE"""),"OCEAN")</f>
        <v/>
      </c>
      <c r="AE360" s="45">
        <f>IFERROR(__xludf.DUMMYFUNCTION("""COMPUTED_VALUE"""),"N")</f>
        <v/>
      </c>
      <c r="AF360" s="45" t="n"/>
      <c r="AG360" s="49">
        <f>IFERROR(__xludf.DUMMYFUNCTION("IFNA(vlookup(H360,IMPORTRANGE(""1vUGwO1n0QQGx9kKbO0_M5gmuhXZ6-LaxQxgrmJnzgP0"",""'TP# look up'!A:C""),3,0),"""")"),"")</f>
        <v/>
      </c>
      <c r="AH360" s="49">
        <f>LEFT(J360,2)</f>
        <v/>
      </c>
    </row>
    <row r="361" hidden="1" ht="12.75" customHeight="1">
      <c r="A361" s="45">
        <f>IFERROR(__xludf.DUMMYFUNCTION("""COMPUTED_VALUE"""),"Colombo")</f>
        <v/>
      </c>
      <c r="B361" s="45" t="n"/>
      <c r="C361" s="45">
        <f>IFERROR(__xludf.DUMMYFUNCTION("""COMPUTED_VALUE"""),3254506)</f>
        <v/>
      </c>
      <c r="D361" s="45" t="n"/>
      <c r="E361" s="45">
        <f>IFERROR(__xludf.DUMMYFUNCTION("""COMPUTED_VALUE"""),"CFS")</f>
        <v/>
      </c>
      <c r="F361" s="45">
        <f>IFERROR(__xludf.DUMMYFUNCTION("""COMPUTED_VALUE"""),"MAS AMITY PTE LTD")</f>
        <v/>
      </c>
      <c r="G361" s="45">
        <f>IFERROR(__xludf.DUMMYFUNCTION("""COMPUTED_VALUE"""),"MAS Active (Pvt) Ltd – Shadowline")</f>
        <v/>
      </c>
      <c r="H361" s="43">
        <f>IFERROR(__xludf.DUMMYFUNCTION("""COMPUTED_VALUE"""),452924604893)</f>
        <v/>
      </c>
      <c r="I361" s="45">
        <f>IFERROR(__xludf.DUMMYFUNCTION("""COMPUTED_VALUE"""),19899969)</f>
        <v/>
      </c>
      <c r="J361" s="45">
        <f>IFERROR(__xludf.DUMMYFUNCTION("""COMPUTED_VALUE"""),"LW5FLOS")</f>
        <v/>
      </c>
      <c r="K361" s="45">
        <f>IFERROR(__xludf.DUMMYFUNCTION("""COMPUTED_VALUE"""),"LW5FLOS-041179")</f>
        <v/>
      </c>
      <c r="L361" s="45">
        <f>IFERROR(__xludf.DUMMYFUNCTION("""COMPUTED_VALUE"""),2)</f>
        <v/>
      </c>
      <c r="M361" s="45">
        <f>IFERROR(__xludf.DUMMYFUNCTION("""COMPUTED_VALUE"""),43)</f>
        <v/>
      </c>
      <c r="N361" s="45">
        <f>IFERROR(__xludf.DUMMYFUNCTION("""COMPUTED_VALUE"""),10.402)</f>
        <v/>
      </c>
      <c r="O361" s="45">
        <f>IFERROR(__xludf.DUMMYFUNCTION("""COMPUTED_VALUE"""),0.118)</f>
        <v/>
      </c>
      <c r="P361" s="45">
        <f>IFERROR(__xludf.DUMMYFUNCTION("""COMPUTED_VALUE"""),"Colombo, LK")</f>
        <v/>
      </c>
      <c r="Q361" s="45">
        <f>IFERROR(__xludf.DUMMYFUNCTION("""COMPUTED_VALUE"""),"New York, NY, US")</f>
        <v/>
      </c>
      <c r="R361" s="44">
        <f>IFERROR(__xludf.DUMMYFUNCTION("""COMPUTED_VALUE"""),45824)</f>
        <v/>
      </c>
      <c r="S361" s="44">
        <f>IFERROR(__xludf.DUMMYFUNCTION("""COMPUTED_VALUE"""),45883)</f>
        <v/>
      </c>
      <c r="T361" s="45">
        <f>IFERROR(__xludf.DUMMYFUNCTION("""COMPUTED_VALUE"""),"Milton, ON, CA")</f>
        <v/>
      </c>
      <c r="U361" s="45" t="n"/>
      <c r="V361" s="45" t="n"/>
      <c r="W361" s="45" t="n"/>
      <c r="X361" s="45" t="n"/>
      <c r="Y361" s="46">
        <f>IFERROR(__xludf.DUMMYFUNCTION("""COMPUTED_VALUE"""),45832)</f>
        <v/>
      </c>
      <c r="Z361" s="46">
        <f>IFERROR(__xludf.DUMMYFUNCTION("""COMPUTED_VALUE"""),45861)</f>
        <v/>
      </c>
      <c r="AA361" s="46">
        <f>IFERROR(__xludf.DUMMYFUNCTION("""COMPUTED_VALUE"""),45874)</f>
        <v/>
      </c>
      <c r="AB361" s="45">
        <f>IFERROR(__xludf.DUMMYFUNCTION("""COMPUTED_VALUE"""),"7211 Fifth Line")</f>
        <v/>
      </c>
      <c r="AC361" s="45" t="n"/>
      <c r="AD361" s="45">
        <f>IFERROR(__xludf.DUMMYFUNCTION("""COMPUTED_VALUE"""),"OCEAN")</f>
        <v/>
      </c>
      <c r="AE361" s="45">
        <f>IFERROR(__xludf.DUMMYFUNCTION("""COMPUTED_VALUE"""),"N")</f>
        <v/>
      </c>
      <c r="AF361" s="45" t="n"/>
      <c r="AG361" s="49">
        <f>IFERROR(__xludf.DUMMYFUNCTION("IFNA(vlookup(H361,IMPORTRANGE(""1vUGwO1n0QQGx9kKbO0_M5gmuhXZ6-LaxQxgrmJnzgP0"",""'TP# look up'!A:C""),3,0),"""")"),"")</f>
        <v/>
      </c>
      <c r="AH361" s="49">
        <f>LEFT(J361,2)</f>
        <v/>
      </c>
    </row>
    <row r="362" hidden="1" ht="12.75" customHeight="1">
      <c r="A362" s="45">
        <f>IFERROR(__xludf.DUMMYFUNCTION("""COMPUTED_VALUE"""),"Colombo")</f>
        <v/>
      </c>
      <c r="B362" s="45" t="n"/>
      <c r="C362" s="45">
        <f>IFERROR(__xludf.DUMMYFUNCTION("""COMPUTED_VALUE"""),3254506)</f>
        <v/>
      </c>
      <c r="D362" s="45" t="n"/>
      <c r="E362" s="45">
        <f>IFERROR(__xludf.DUMMYFUNCTION("""COMPUTED_VALUE"""),"CFS")</f>
        <v/>
      </c>
      <c r="F362" s="45">
        <f>IFERROR(__xludf.DUMMYFUNCTION("""COMPUTED_VALUE"""),"MAS AMITY PTE LTD")</f>
        <v/>
      </c>
      <c r="G362" s="45">
        <f>IFERROR(__xludf.DUMMYFUNCTION("""COMPUTED_VALUE"""),"MAS Active (Pvt) Ltd – Sleekline")</f>
        <v/>
      </c>
      <c r="H362" s="43">
        <f>IFERROR(__xludf.DUMMYFUNCTION("""COMPUTED_VALUE"""),452834851376)</f>
        <v/>
      </c>
      <c r="I362" s="45">
        <f>IFERROR(__xludf.DUMMYFUNCTION("""COMPUTED_VALUE"""),19899418)</f>
        <v/>
      </c>
      <c r="J362" s="45">
        <f>IFERROR(__xludf.DUMMYFUNCTION("""COMPUTED_VALUE"""),"LM9AMTS")</f>
        <v/>
      </c>
      <c r="K362" s="45">
        <f>IFERROR(__xludf.DUMMYFUNCTION("""COMPUTED_VALUE"""),"LM9AMTS-072079")</f>
        <v/>
      </c>
      <c r="L362" s="45">
        <f>IFERROR(__xludf.DUMMYFUNCTION("""COMPUTED_VALUE"""),7)</f>
        <v/>
      </c>
      <c r="M362" s="45">
        <f>IFERROR(__xludf.DUMMYFUNCTION("""COMPUTED_VALUE"""),347)</f>
        <v/>
      </c>
      <c r="N362" s="45">
        <f>IFERROR(__xludf.DUMMYFUNCTION("""COMPUTED_VALUE"""),103.72)</f>
        <v/>
      </c>
      <c r="O362" s="45">
        <f>IFERROR(__xludf.DUMMYFUNCTION("""COMPUTED_VALUE"""),0.555)</f>
        <v/>
      </c>
      <c r="P362" s="45">
        <f>IFERROR(__xludf.DUMMYFUNCTION("""COMPUTED_VALUE"""),"Colombo, LK")</f>
        <v/>
      </c>
      <c r="Q362" s="45">
        <f>IFERROR(__xludf.DUMMYFUNCTION("""COMPUTED_VALUE"""),"New York, NY, US")</f>
        <v/>
      </c>
      <c r="R362" s="44">
        <f>IFERROR(__xludf.DUMMYFUNCTION("""COMPUTED_VALUE"""),45824)</f>
        <v/>
      </c>
      <c r="S362" s="44">
        <f>IFERROR(__xludf.DUMMYFUNCTION("""COMPUTED_VALUE"""),45883)</f>
        <v/>
      </c>
      <c r="T362" s="45">
        <f>IFERROR(__xludf.DUMMYFUNCTION("""COMPUTED_VALUE"""),"Milton, ON, CA")</f>
        <v/>
      </c>
      <c r="U362" s="45" t="n"/>
      <c r="V362" s="45" t="n"/>
      <c r="W362" s="45" t="n"/>
      <c r="X362" s="45" t="n"/>
      <c r="Y362" s="46">
        <f>IFERROR(__xludf.DUMMYFUNCTION("""COMPUTED_VALUE"""),45832)</f>
        <v/>
      </c>
      <c r="Z362" s="46">
        <f>IFERROR(__xludf.DUMMYFUNCTION("""COMPUTED_VALUE"""),45861)</f>
        <v/>
      </c>
      <c r="AA362" s="46">
        <f>IFERROR(__xludf.DUMMYFUNCTION("""COMPUTED_VALUE"""),45874)</f>
        <v/>
      </c>
      <c r="AB362" s="45">
        <f>IFERROR(__xludf.DUMMYFUNCTION("""COMPUTED_VALUE"""),"7211 Fifth Line")</f>
        <v/>
      </c>
      <c r="AC362" s="45" t="n"/>
      <c r="AD362" s="45">
        <f>IFERROR(__xludf.DUMMYFUNCTION("""COMPUTED_VALUE"""),"OCEAN")</f>
        <v/>
      </c>
      <c r="AE362" s="45">
        <f>IFERROR(__xludf.DUMMYFUNCTION("""COMPUTED_VALUE"""),"N")</f>
        <v/>
      </c>
      <c r="AF362" s="45" t="n"/>
      <c r="AG362" s="49">
        <f>IFERROR(__xludf.DUMMYFUNCTION("IFNA(vlookup(H362,IMPORTRANGE(""1vUGwO1n0QQGx9kKbO0_M5gmuhXZ6-LaxQxgrmJnzgP0"",""'TP# look up'!A:C""),3,0),"""")"),"")</f>
        <v/>
      </c>
      <c r="AH362" s="49">
        <f>LEFT(J362,2)</f>
        <v/>
      </c>
    </row>
    <row r="363" hidden="1" ht="12.75" customHeight="1">
      <c r="A363" s="45">
        <f>IFERROR(__xludf.DUMMYFUNCTION("""COMPUTED_VALUE"""),"Colombo")</f>
        <v/>
      </c>
      <c r="B363" s="45" t="n"/>
      <c r="C363" s="45">
        <f>IFERROR(__xludf.DUMMYFUNCTION("""COMPUTED_VALUE"""),3254506)</f>
        <v/>
      </c>
      <c r="D363" s="45" t="n"/>
      <c r="E363" s="45">
        <f>IFERROR(__xludf.DUMMYFUNCTION("""COMPUTED_VALUE"""),"CFS")</f>
        <v/>
      </c>
      <c r="F363" s="45">
        <f>IFERROR(__xludf.DUMMYFUNCTION("""COMPUTED_VALUE"""),"MAS AMITY PTE LTD")</f>
        <v/>
      </c>
      <c r="G363" s="45">
        <f>IFERROR(__xludf.DUMMYFUNCTION("""COMPUTED_VALUE"""),"MAS Active (Pvt) Ltd – Sleekline")</f>
        <v/>
      </c>
      <c r="H363" s="43">
        <f>IFERROR(__xludf.DUMMYFUNCTION("""COMPUTED_VALUE"""),452835956203)</f>
        <v/>
      </c>
      <c r="I363" s="45">
        <f>IFERROR(__xludf.DUMMYFUNCTION("""COMPUTED_VALUE"""),19899456)</f>
        <v/>
      </c>
      <c r="J363" s="45">
        <f>IFERROR(__xludf.DUMMYFUNCTION("""COMPUTED_VALUE"""),"LM9AMVS")</f>
        <v/>
      </c>
      <c r="K363" s="45">
        <f>IFERROR(__xludf.DUMMYFUNCTION("""COMPUTED_VALUE"""),"LM9AMVS-072079")</f>
        <v/>
      </c>
      <c r="L363" s="45">
        <f>IFERROR(__xludf.DUMMYFUNCTION("""COMPUTED_VALUE"""),3)</f>
        <v/>
      </c>
      <c r="M363" s="45">
        <f>IFERROR(__xludf.DUMMYFUNCTION("""COMPUTED_VALUE"""),108)</f>
        <v/>
      </c>
      <c r="N363" s="45">
        <f>IFERROR(__xludf.DUMMYFUNCTION("""COMPUTED_VALUE"""),35.78)</f>
        <v/>
      </c>
      <c r="O363" s="45">
        <f>IFERROR(__xludf.DUMMYFUNCTION("""COMPUTED_VALUE"""),0.238)</f>
        <v/>
      </c>
      <c r="P363" s="45">
        <f>IFERROR(__xludf.DUMMYFUNCTION("""COMPUTED_VALUE"""),"Colombo, LK")</f>
        <v/>
      </c>
      <c r="Q363" s="45">
        <f>IFERROR(__xludf.DUMMYFUNCTION("""COMPUTED_VALUE"""),"New York, NY, US")</f>
        <v/>
      </c>
      <c r="R363" s="44">
        <f>IFERROR(__xludf.DUMMYFUNCTION("""COMPUTED_VALUE"""),45824)</f>
        <v/>
      </c>
      <c r="S363" s="44">
        <f>IFERROR(__xludf.DUMMYFUNCTION("""COMPUTED_VALUE"""),45883)</f>
        <v/>
      </c>
      <c r="T363" s="45">
        <f>IFERROR(__xludf.DUMMYFUNCTION("""COMPUTED_VALUE"""),"Milton, ON, CA")</f>
        <v/>
      </c>
      <c r="U363" s="45" t="n"/>
      <c r="V363" s="45" t="n"/>
      <c r="W363" s="45" t="n"/>
      <c r="X363" s="45" t="n"/>
      <c r="Y363" s="46">
        <f>IFERROR(__xludf.DUMMYFUNCTION("""COMPUTED_VALUE"""),45832)</f>
        <v/>
      </c>
      <c r="Z363" s="46">
        <f>IFERROR(__xludf.DUMMYFUNCTION("""COMPUTED_VALUE"""),45861)</f>
        <v/>
      </c>
      <c r="AA363" s="46">
        <f>IFERROR(__xludf.DUMMYFUNCTION("""COMPUTED_VALUE"""),45874)</f>
        <v/>
      </c>
      <c r="AB363" s="45">
        <f>IFERROR(__xludf.DUMMYFUNCTION("""COMPUTED_VALUE"""),"7211 Fifth Line")</f>
        <v/>
      </c>
      <c r="AC363" s="45" t="n"/>
      <c r="AD363" s="45">
        <f>IFERROR(__xludf.DUMMYFUNCTION("""COMPUTED_VALUE"""),"OCEAN")</f>
        <v/>
      </c>
      <c r="AE363" s="45">
        <f>IFERROR(__xludf.DUMMYFUNCTION("""COMPUTED_VALUE"""),"N")</f>
        <v/>
      </c>
      <c r="AF363" s="45" t="n"/>
      <c r="AG363" s="49">
        <f>IFERROR(__xludf.DUMMYFUNCTION("IFNA(vlookup(H363,IMPORTRANGE(""1vUGwO1n0QQGx9kKbO0_M5gmuhXZ6-LaxQxgrmJnzgP0"",""'TP# look up'!A:C""),3,0),"""")"),"")</f>
        <v/>
      </c>
      <c r="AH363" s="49">
        <f>LEFT(J363,2)</f>
        <v/>
      </c>
    </row>
    <row r="364" hidden="1" ht="12.75" customHeight="1">
      <c r="A364" s="45">
        <f>IFERROR(__xludf.DUMMYFUNCTION("""COMPUTED_VALUE"""),"Colombo")</f>
        <v/>
      </c>
      <c r="B364" s="45" t="n"/>
      <c r="C364" s="45">
        <f>IFERROR(__xludf.DUMMYFUNCTION("""COMPUTED_VALUE"""),3254506)</f>
        <v/>
      </c>
      <c r="D364" s="45" t="n"/>
      <c r="E364" s="45">
        <f>IFERROR(__xludf.DUMMYFUNCTION("""COMPUTED_VALUE"""),"CFS")</f>
        <v/>
      </c>
      <c r="F364" s="45">
        <f>IFERROR(__xludf.DUMMYFUNCTION("""COMPUTED_VALUE"""),"MAS AMITY PTE LTD")</f>
        <v/>
      </c>
      <c r="G364" s="45">
        <f>IFERROR(__xludf.DUMMYFUNCTION("""COMPUTED_VALUE"""),"MAS Active (Pvt) Ltd – Sleekline")</f>
        <v/>
      </c>
      <c r="H364" s="43">
        <f>IFERROR(__xludf.DUMMYFUNCTION("""COMPUTED_VALUE"""),452835957463)</f>
        <v/>
      </c>
      <c r="I364" s="45">
        <f>IFERROR(__xludf.DUMMYFUNCTION("""COMPUTED_VALUE"""),19899496)</f>
        <v/>
      </c>
      <c r="J364" s="45">
        <f>IFERROR(__xludf.DUMMYFUNCTION("""COMPUTED_VALUE"""),"LM9AY5S")</f>
        <v/>
      </c>
      <c r="K364" s="45">
        <f>IFERROR(__xludf.DUMMYFUNCTION("""COMPUTED_VALUE"""),"LM9AY5S-031045")</f>
        <v/>
      </c>
      <c r="L364" s="45">
        <f>IFERROR(__xludf.DUMMYFUNCTION("""COMPUTED_VALUE"""),2)</f>
        <v/>
      </c>
      <c r="M364" s="45">
        <f>IFERROR(__xludf.DUMMYFUNCTION("""COMPUTED_VALUE"""),141)</f>
        <v/>
      </c>
      <c r="N364" s="45">
        <f>IFERROR(__xludf.DUMMYFUNCTION("""COMPUTED_VALUE"""),16.43)</f>
        <v/>
      </c>
      <c r="O364" s="45">
        <f>IFERROR(__xludf.DUMMYFUNCTION("""COMPUTED_VALUE"""),0.119)</f>
        <v/>
      </c>
      <c r="P364" s="45">
        <f>IFERROR(__xludf.DUMMYFUNCTION("""COMPUTED_VALUE"""),"Colombo, LK")</f>
        <v/>
      </c>
      <c r="Q364" s="45">
        <f>IFERROR(__xludf.DUMMYFUNCTION("""COMPUTED_VALUE"""),"New York, NY, US")</f>
        <v/>
      </c>
      <c r="R364" s="44">
        <f>IFERROR(__xludf.DUMMYFUNCTION("""COMPUTED_VALUE"""),45824)</f>
        <v/>
      </c>
      <c r="S364" s="44">
        <f>IFERROR(__xludf.DUMMYFUNCTION("""COMPUTED_VALUE"""),45888)</f>
        <v/>
      </c>
      <c r="T364" s="45">
        <f>IFERROR(__xludf.DUMMYFUNCTION("""COMPUTED_VALUE"""),"Milton, ON, CA")</f>
        <v/>
      </c>
      <c r="U364" s="45" t="n"/>
      <c r="V364" s="45" t="n"/>
      <c r="W364" s="45" t="n"/>
      <c r="X364" s="45" t="n"/>
      <c r="Y364" s="46">
        <f>IFERROR(__xludf.DUMMYFUNCTION("""COMPUTED_VALUE"""),45832)</f>
        <v/>
      </c>
      <c r="Z364" s="46">
        <f>IFERROR(__xludf.DUMMYFUNCTION("""COMPUTED_VALUE"""),45861)</f>
        <v/>
      </c>
      <c r="AA364" s="46">
        <f>IFERROR(__xludf.DUMMYFUNCTION("""COMPUTED_VALUE"""),45874)</f>
        <v/>
      </c>
      <c r="AB364" s="45">
        <f>IFERROR(__xludf.DUMMYFUNCTION("""COMPUTED_VALUE"""),"7211 Fifth Line")</f>
        <v/>
      </c>
      <c r="AC364" s="45" t="n"/>
      <c r="AD364" s="45">
        <f>IFERROR(__xludf.DUMMYFUNCTION("""COMPUTED_VALUE"""),"OCEAN")</f>
        <v/>
      </c>
      <c r="AE364" s="45">
        <f>IFERROR(__xludf.DUMMYFUNCTION("""COMPUTED_VALUE"""),"N")</f>
        <v/>
      </c>
      <c r="AF364" s="45" t="n"/>
      <c r="AG364" s="49">
        <f>IFERROR(__xludf.DUMMYFUNCTION("IFNA(vlookup(H364,IMPORTRANGE(""1vUGwO1n0QQGx9kKbO0_M5gmuhXZ6-LaxQxgrmJnzgP0"",""'TP# look up'!A:C""),3,0),"""")"),"")</f>
        <v/>
      </c>
      <c r="AH364" s="49">
        <f>LEFT(J364,2)</f>
        <v/>
      </c>
    </row>
    <row r="365" hidden="1" ht="12.75" customHeight="1">
      <c r="A365" s="45">
        <f>IFERROR(__xludf.DUMMYFUNCTION("""COMPUTED_VALUE"""),"Colombo")</f>
        <v/>
      </c>
      <c r="B365" s="45" t="n"/>
      <c r="C365" s="45">
        <f>IFERROR(__xludf.DUMMYFUNCTION("""COMPUTED_VALUE"""),3254506)</f>
        <v/>
      </c>
      <c r="D365" s="45" t="n"/>
      <c r="E365" s="45">
        <f>IFERROR(__xludf.DUMMYFUNCTION("""COMPUTED_VALUE"""),"CFS")</f>
        <v/>
      </c>
      <c r="F365" s="45">
        <f>IFERROR(__xludf.DUMMYFUNCTION("""COMPUTED_VALUE"""),"MAS AMITY PTE LTD")</f>
        <v/>
      </c>
      <c r="G365" s="45">
        <f>IFERROR(__xludf.DUMMYFUNCTION("""COMPUTED_VALUE"""),"MAS Active (Pvt) Ltd – Sleekline")</f>
        <v/>
      </c>
      <c r="H365" s="43">
        <f>IFERROR(__xludf.DUMMYFUNCTION("""COMPUTED_VALUE"""),452837963387)</f>
        <v/>
      </c>
      <c r="I365" s="45">
        <f>IFERROR(__xludf.DUMMYFUNCTION("""COMPUTED_VALUE"""),19899504)</f>
        <v/>
      </c>
      <c r="J365" s="45">
        <f>IFERROR(__xludf.DUMMYFUNCTION("""COMPUTED_VALUE"""),"LM9AY9S")</f>
        <v/>
      </c>
      <c r="K365" s="45">
        <f>IFERROR(__xludf.DUMMYFUNCTION("""COMPUTED_VALUE"""),"LM9AY9S-042751")</f>
        <v/>
      </c>
      <c r="L365" s="45">
        <f>IFERROR(__xludf.DUMMYFUNCTION("""COMPUTED_VALUE"""),16)</f>
        <v/>
      </c>
      <c r="M365" s="45">
        <f>IFERROR(__xludf.DUMMYFUNCTION("""COMPUTED_VALUE"""),793)</f>
        <v/>
      </c>
      <c r="N365" s="45">
        <f>IFERROR(__xludf.DUMMYFUNCTION("""COMPUTED_VALUE"""),231.89)</f>
        <v/>
      </c>
      <c r="O365" s="45">
        <f>IFERROR(__xludf.DUMMYFUNCTION("""COMPUTED_VALUE"""),1.269)</f>
        <v/>
      </c>
      <c r="P365" s="45">
        <f>IFERROR(__xludf.DUMMYFUNCTION("""COMPUTED_VALUE"""),"Colombo, LK")</f>
        <v/>
      </c>
      <c r="Q365" s="45">
        <f>IFERROR(__xludf.DUMMYFUNCTION("""COMPUTED_VALUE"""),"New York, NY, US")</f>
        <v/>
      </c>
      <c r="R365" s="44">
        <f>IFERROR(__xludf.DUMMYFUNCTION("""COMPUTED_VALUE"""),45824)</f>
        <v/>
      </c>
      <c r="S365" s="44">
        <f>IFERROR(__xludf.DUMMYFUNCTION("""COMPUTED_VALUE"""),45883)</f>
        <v/>
      </c>
      <c r="T365" s="45">
        <f>IFERROR(__xludf.DUMMYFUNCTION("""COMPUTED_VALUE"""),"Milton, ON, CA")</f>
        <v/>
      </c>
      <c r="U365" s="45" t="n"/>
      <c r="V365" s="45" t="n"/>
      <c r="W365" s="45" t="n"/>
      <c r="X365" s="45" t="n"/>
      <c r="Y365" s="46">
        <f>IFERROR(__xludf.DUMMYFUNCTION("""COMPUTED_VALUE"""),45832)</f>
        <v/>
      </c>
      <c r="Z365" s="46">
        <f>IFERROR(__xludf.DUMMYFUNCTION("""COMPUTED_VALUE"""),45861)</f>
        <v/>
      </c>
      <c r="AA365" s="46">
        <f>IFERROR(__xludf.DUMMYFUNCTION("""COMPUTED_VALUE"""),45874)</f>
        <v/>
      </c>
      <c r="AB365" s="45">
        <f>IFERROR(__xludf.DUMMYFUNCTION("""COMPUTED_VALUE"""),"7211 Fifth Line")</f>
        <v/>
      </c>
      <c r="AC365" s="45" t="n"/>
      <c r="AD365" s="45">
        <f>IFERROR(__xludf.DUMMYFUNCTION("""COMPUTED_VALUE"""),"OCEAN")</f>
        <v/>
      </c>
      <c r="AE365" s="45">
        <f>IFERROR(__xludf.DUMMYFUNCTION("""COMPUTED_VALUE"""),"N")</f>
        <v/>
      </c>
      <c r="AF365" s="45" t="n"/>
      <c r="AG365" s="49">
        <f>IFERROR(__xludf.DUMMYFUNCTION("IFNA(vlookup(H365,IMPORTRANGE(""1vUGwO1n0QQGx9kKbO0_M5gmuhXZ6-LaxQxgrmJnzgP0"",""'TP# look up'!A:C""),3,0),"""")"),"")</f>
        <v/>
      </c>
      <c r="AH365" s="49">
        <f>LEFT(J365,2)</f>
        <v/>
      </c>
    </row>
    <row r="366" hidden="1" ht="12.75" customHeight="1">
      <c r="A366" s="45">
        <f>IFERROR(__xludf.DUMMYFUNCTION("""COMPUTED_VALUE"""),"Colombo")</f>
        <v/>
      </c>
      <c r="B366" s="45" t="n"/>
      <c r="C366" s="45">
        <f>IFERROR(__xludf.DUMMYFUNCTION("""COMPUTED_VALUE"""),3254506)</f>
        <v/>
      </c>
      <c r="D366" s="45" t="n"/>
      <c r="E366" s="45">
        <f>IFERROR(__xludf.DUMMYFUNCTION("""COMPUTED_VALUE"""),"CFS")</f>
        <v/>
      </c>
      <c r="F366" s="45">
        <f>IFERROR(__xludf.DUMMYFUNCTION("""COMPUTED_VALUE"""),"MAS AMITY PTE LTD")</f>
        <v/>
      </c>
      <c r="G366" s="45">
        <f>IFERROR(__xludf.DUMMYFUNCTION("""COMPUTED_VALUE"""),"MAS Active (Pvt) Ltd – Sleekline")</f>
        <v/>
      </c>
      <c r="H366" s="43">
        <f>IFERROR(__xludf.DUMMYFUNCTION("""COMPUTED_VALUE"""),452837963878)</f>
        <v/>
      </c>
      <c r="I366" s="45">
        <f>IFERROR(__xludf.DUMMYFUNCTION("""COMPUTED_VALUE"""),19899505)</f>
        <v/>
      </c>
      <c r="J366" s="45">
        <f>IFERROR(__xludf.DUMMYFUNCTION("""COMPUTED_VALUE"""),"LM9AY9S")</f>
        <v/>
      </c>
      <c r="K366" s="45">
        <f>IFERROR(__xludf.DUMMYFUNCTION("""COMPUTED_VALUE"""),"LM9AY9S-042751")</f>
        <v/>
      </c>
      <c r="L366" s="45">
        <f>IFERROR(__xludf.DUMMYFUNCTION("""COMPUTED_VALUE"""),6)</f>
        <v/>
      </c>
      <c r="M366" s="45">
        <f>IFERROR(__xludf.DUMMYFUNCTION("""COMPUTED_VALUE"""),287)</f>
        <v/>
      </c>
      <c r="N366" s="45">
        <f>IFERROR(__xludf.DUMMYFUNCTION("""COMPUTED_VALUE"""),83.54)</f>
        <v/>
      </c>
      <c r="O366" s="45">
        <f>IFERROR(__xludf.DUMMYFUNCTION("""COMPUTED_VALUE"""),0.476)</f>
        <v/>
      </c>
      <c r="P366" s="45">
        <f>IFERROR(__xludf.DUMMYFUNCTION("""COMPUTED_VALUE"""),"Colombo, LK")</f>
        <v/>
      </c>
      <c r="Q366" s="45">
        <f>IFERROR(__xludf.DUMMYFUNCTION("""COMPUTED_VALUE"""),"New York, NY, US")</f>
        <v/>
      </c>
      <c r="R366" s="44">
        <f>IFERROR(__xludf.DUMMYFUNCTION("""COMPUTED_VALUE"""),45824)</f>
        <v/>
      </c>
      <c r="S366" s="44">
        <f>IFERROR(__xludf.DUMMYFUNCTION("""COMPUTED_VALUE"""),45883)</f>
        <v/>
      </c>
      <c r="T366" s="45">
        <f>IFERROR(__xludf.DUMMYFUNCTION("""COMPUTED_VALUE"""),"Milton, ON, CA")</f>
        <v/>
      </c>
      <c r="U366" s="45" t="n"/>
      <c r="V366" s="45" t="n"/>
      <c r="W366" s="45" t="n"/>
      <c r="X366" s="45" t="n"/>
      <c r="Y366" s="46">
        <f>IFERROR(__xludf.DUMMYFUNCTION("""COMPUTED_VALUE"""),45832)</f>
        <v/>
      </c>
      <c r="Z366" s="46">
        <f>IFERROR(__xludf.DUMMYFUNCTION("""COMPUTED_VALUE"""),45861)</f>
        <v/>
      </c>
      <c r="AA366" s="46">
        <f>IFERROR(__xludf.DUMMYFUNCTION("""COMPUTED_VALUE"""),45874)</f>
        <v/>
      </c>
      <c r="AB366" s="45">
        <f>IFERROR(__xludf.DUMMYFUNCTION("""COMPUTED_VALUE"""),"7211 Fifth Line")</f>
        <v/>
      </c>
      <c r="AC366" s="45" t="n"/>
      <c r="AD366" s="45">
        <f>IFERROR(__xludf.DUMMYFUNCTION("""COMPUTED_VALUE"""),"OCEAN")</f>
        <v/>
      </c>
      <c r="AE366" s="45">
        <f>IFERROR(__xludf.DUMMYFUNCTION("""COMPUTED_VALUE"""),"N")</f>
        <v/>
      </c>
      <c r="AF366" s="45" t="n"/>
      <c r="AG366" s="49">
        <f>IFERROR(__xludf.DUMMYFUNCTION("IFNA(vlookup(H366,IMPORTRANGE(""1vUGwO1n0QQGx9kKbO0_M5gmuhXZ6-LaxQxgrmJnzgP0"",""'TP# look up'!A:C""),3,0),"""")"),"")</f>
        <v/>
      </c>
      <c r="AH366" s="49">
        <f>LEFT(J366,2)</f>
        <v/>
      </c>
    </row>
    <row r="367" hidden="1" ht="12.75" customHeight="1">
      <c r="A367" s="45">
        <f>IFERROR(__xludf.DUMMYFUNCTION("""COMPUTED_VALUE"""),"Colombo")</f>
        <v/>
      </c>
      <c r="B367" s="45" t="n"/>
      <c r="C367" s="45">
        <f>IFERROR(__xludf.DUMMYFUNCTION("""COMPUTED_VALUE"""),3254506)</f>
        <v/>
      </c>
      <c r="D367" s="45" t="n"/>
      <c r="E367" s="45">
        <f>IFERROR(__xludf.DUMMYFUNCTION("""COMPUTED_VALUE"""),"CFS")</f>
        <v/>
      </c>
      <c r="F367" s="45">
        <f>IFERROR(__xludf.DUMMYFUNCTION("""COMPUTED_VALUE"""),"MAS AMITY PTE LTD")</f>
        <v/>
      </c>
      <c r="G367" s="45">
        <f>IFERROR(__xludf.DUMMYFUNCTION("""COMPUTED_VALUE"""),"MAS Active (Pvt) Ltd – Sleekline")</f>
        <v/>
      </c>
      <c r="H367" s="43">
        <f>IFERROR(__xludf.DUMMYFUNCTION("""COMPUTED_VALUE"""),452839125735)</f>
        <v/>
      </c>
      <c r="I367" s="45">
        <f>IFERROR(__xludf.DUMMYFUNCTION("""COMPUTED_VALUE"""),19899516)</f>
        <v/>
      </c>
      <c r="J367" s="45">
        <f>IFERROR(__xludf.DUMMYFUNCTION("""COMPUTED_VALUE"""),"LM9AY9S")</f>
        <v/>
      </c>
      <c r="K367" s="45">
        <f>IFERROR(__xludf.DUMMYFUNCTION("""COMPUTED_VALUE"""),"LM9AY9S-072079")</f>
        <v/>
      </c>
      <c r="L367" s="45">
        <f>IFERROR(__xludf.DUMMYFUNCTION("""COMPUTED_VALUE"""),6)</f>
        <v/>
      </c>
      <c r="M367" s="45">
        <f>IFERROR(__xludf.DUMMYFUNCTION("""COMPUTED_VALUE"""),224)</f>
        <v/>
      </c>
      <c r="N367" s="45">
        <f>IFERROR(__xludf.DUMMYFUNCTION("""COMPUTED_VALUE"""),66.454)</f>
        <v/>
      </c>
      <c r="O367" s="45">
        <f>IFERROR(__xludf.DUMMYFUNCTION("""COMPUTED_VALUE"""),0.436)</f>
        <v/>
      </c>
      <c r="P367" s="45">
        <f>IFERROR(__xludf.DUMMYFUNCTION("""COMPUTED_VALUE"""),"Colombo, LK")</f>
        <v/>
      </c>
      <c r="Q367" s="45">
        <f>IFERROR(__xludf.DUMMYFUNCTION("""COMPUTED_VALUE"""),"New York, NY, US")</f>
        <v/>
      </c>
      <c r="R367" s="44">
        <f>IFERROR(__xludf.DUMMYFUNCTION("""COMPUTED_VALUE"""),45824)</f>
        <v/>
      </c>
      <c r="S367" s="44">
        <f>IFERROR(__xludf.DUMMYFUNCTION("""COMPUTED_VALUE"""),45883)</f>
        <v/>
      </c>
      <c r="T367" s="45">
        <f>IFERROR(__xludf.DUMMYFUNCTION("""COMPUTED_VALUE"""),"Milton, ON, CA")</f>
        <v/>
      </c>
      <c r="U367" s="45" t="n"/>
      <c r="V367" s="45" t="n"/>
      <c r="W367" s="45" t="n"/>
      <c r="X367" s="45" t="n"/>
      <c r="Y367" s="46">
        <f>IFERROR(__xludf.DUMMYFUNCTION("""COMPUTED_VALUE"""),45832)</f>
        <v/>
      </c>
      <c r="Z367" s="46">
        <f>IFERROR(__xludf.DUMMYFUNCTION("""COMPUTED_VALUE"""),45861)</f>
        <v/>
      </c>
      <c r="AA367" s="46">
        <f>IFERROR(__xludf.DUMMYFUNCTION("""COMPUTED_VALUE"""),45874)</f>
        <v/>
      </c>
      <c r="AB367" s="45">
        <f>IFERROR(__xludf.DUMMYFUNCTION("""COMPUTED_VALUE"""),"7211 Fifth Line")</f>
        <v/>
      </c>
      <c r="AC367" s="45" t="n"/>
      <c r="AD367" s="45">
        <f>IFERROR(__xludf.DUMMYFUNCTION("""COMPUTED_VALUE"""),"OCEAN")</f>
        <v/>
      </c>
      <c r="AE367" s="45">
        <f>IFERROR(__xludf.DUMMYFUNCTION("""COMPUTED_VALUE"""),"N")</f>
        <v/>
      </c>
      <c r="AF367" s="45" t="n"/>
      <c r="AG367" s="49">
        <f>IFERROR(__xludf.DUMMYFUNCTION("IFNA(vlookup(H367,IMPORTRANGE(""1vUGwO1n0QQGx9kKbO0_M5gmuhXZ6-LaxQxgrmJnzgP0"",""'TP# look up'!A:C""),3,0),"""")"),"")</f>
        <v/>
      </c>
      <c r="AH367" s="49">
        <f>LEFT(J367,2)</f>
        <v/>
      </c>
    </row>
    <row r="368" hidden="1" ht="12.75" customHeight="1">
      <c r="A368" s="45">
        <f>IFERROR(__xludf.DUMMYFUNCTION("""COMPUTED_VALUE"""),"Colombo")</f>
        <v/>
      </c>
      <c r="B368" s="45" t="n"/>
      <c r="C368" s="45">
        <f>IFERROR(__xludf.DUMMYFUNCTION("""COMPUTED_VALUE"""),3254506)</f>
        <v/>
      </c>
      <c r="D368" s="45" t="n"/>
      <c r="E368" s="45">
        <f>IFERROR(__xludf.DUMMYFUNCTION("""COMPUTED_VALUE"""),"CFS")</f>
        <v/>
      </c>
      <c r="F368" s="45">
        <f>IFERROR(__xludf.DUMMYFUNCTION("""COMPUTED_VALUE"""),"MAS AMITY PTE LTD")</f>
        <v/>
      </c>
      <c r="G368" s="45">
        <f>IFERROR(__xludf.DUMMYFUNCTION("""COMPUTED_VALUE"""),"MAS Active (Pvt) Ltd – Sleekline")</f>
        <v/>
      </c>
      <c r="H368" s="43">
        <f>IFERROR(__xludf.DUMMYFUNCTION("""COMPUTED_VALUE"""),452840026315)</f>
        <v/>
      </c>
      <c r="I368" s="45">
        <f>IFERROR(__xludf.DUMMYFUNCTION("""COMPUTED_VALUE"""),19899535)</f>
        <v/>
      </c>
      <c r="J368" s="45">
        <f>IFERROR(__xludf.DUMMYFUNCTION("""COMPUTED_VALUE"""),"LM9AYLS")</f>
        <v/>
      </c>
      <c r="K368" s="45">
        <f>IFERROR(__xludf.DUMMYFUNCTION("""COMPUTED_VALUE"""),"LM9AYLS-0001")</f>
        <v/>
      </c>
      <c r="L368" s="45">
        <f>IFERROR(__xludf.DUMMYFUNCTION("""COMPUTED_VALUE"""),2)</f>
        <v/>
      </c>
      <c r="M368" s="45">
        <f>IFERROR(__xludf.DUMMYFUNCTION("""COMPUTED_VALUE"""),175)</f>
        <v/>
      </c>
      <c r="N368" s="45">
        <f>IFERROR(__xludf.DUMMYFUNCTION("""COMPUTED_VALUE"""),17.29)</f>
        <v/>
      </c>
      <c r="O368" s="45">
        <f>IFERROR(__xludf.DUMMYFUNCTION("""COMPUTED_VALUE"""),0.159)</f>
        <v/>
      </c>
      <c r="P368" s="45">
        <f>IFERROR(__xludf.DUMMYFUNCTION("""COMPUTED_VALUE"""),"Colombo, LK")</f>
        <v/>
      </c>
      <c r="Q368" s="45">
        <f>IFERROR(__xludf.DUMMYFUNCTION("""COMPUTED_VALUE"""),"New York, NY, US")</f>
        <v/>
      </c>
      <c r="R368" s="44">
        <f>IFERROR(__xludf.DUMMYFUNCTION("""COMPUTED_VALUE"""),45824)</f>
        <v/>
      </c>
      <c r="S368" s="44">
        <f>IFERROR(__xludf.DUMMYFUNCTION("""COMPUTED_VALUE"""),45883)</f>
        <v/>
      </c>
      <c r="T368" s="45">
        <f>IFERROR(__xludf.DUMMYFUNCTION("""COMPUTED_VALUE"""),"Milton, ON, CA")</f>
        <v/>
      </c>
      <c r="U368" s="45" t="n"/>
      <c r="V368" s="45" t="n"/>
      <c r="W368" s="45" t="n"/>
      <c r="X368" s="45" t="n"/>
      <c r="Y368" s="46">
        <f>IFERROR(__xludf.DUMMYFUNCTION("""COMPUTED_VALUE"""),45832)</f>
        <v/>
      </c>
      <c r="Z368" s="46">
        <f>IFERROR(__xludf.DUMMYFUNCTION("""COMPUTED_VALUE"""),45861)</f>
        <v/>
      </c>
      <c r="AA368" s="46">
        <f>IFERROR(__xludf.DUMMYFUNCTION("""COMPUTED_VALUE"""),45874)</f>
        <v/>
      </c>
      <c r="AB368" s="45">
        <f>IFERROR(__xludf.DUMMYFUNCTION("""COMPUTED_VALUE"""),"7211 Fifth Line")</f>
        <v/>
      </c>
      <c r="AC368" s="45" t="n"/>
      <c r="AD368" s="45">
        <f>IFERROR(__xludf.DUMMYFUNCTION("""COMPUTED_VALUE"""),"OCEAN")</f>
        <v/>
      </c>
      <c r="AE368" s="45">
        <f>IFERROR(__xludf.DUMMYFUNCTION("""COMPUTED_VALUE"""),"N")</f>
        <v/>
      </c>
      <c r="AF368" s="45" t="n"/>
      <c r="AG368" s="49">
        <f>IFERROR(__xludf.DUMMYFUNCTION("IFNA(vlookup(H368,IMPORTRANGE(""1vUGwO1n0QQGx9kKbO0_M5gmuhXZ6-LaxQxgrmJnzgP0"",""'TP# look up'!A:C""),3,0),"""")"),"")</f>
        <v/>
      </c>
      <c r="AH368" s="49">
        <f>LEFT(J368,2)</f>
        <v/>
      </c>
    </row>
    <row r="369" hidden="1" ht="12.75" customHeight="1">
      <c r="A369" s="45">
        <f>IFERROR(__xludf.DUMMYFUNCTION("""COMPUTED_VALUE"""),"Colombo")</f>
        <v/>
      </c>
      <c r="B369" s="45" t="n"/>
      <c r="C369" s="45">
        <f>IFERROR(__xludf.DUMMYFUNCTION("""COMPUTED_VALUE"""),3254506)</f>
        <v/>
      </c>
      <c r="D369" s="45" t="n"/>
      <c r="E369" s="45">
        <f>IFERROR(__xludf.DUMMYFUNCTION("""COMPUTED_VALUE"""),"CFS")</f>
        <v/>
      </c>
      <c r="F369" s="45">
        <f>IFERROR(__xludf.DUMMYFUNCTION("""COMPUTED_VALUE"""),"MAS AMITY PTE LTD")</f>
        <v/>
      </c>
      <c r="G369" s="45">
        <f>IFERROR(__xludf.DUMMYFUNCTION("""COMPUTED_VALUE"""),"MAS Active (Pvt) Ltd – Sleekline")</f>
        <v/>
      </c>
      <c r="H369" s="43">
        <f>IFERROR(__xludf.DUMMYFUNCTION("""COMPUTED_VALUE"""),452841160878)</f>
        <v/>
      </c>
      <c r="I369" s="45">
        <f>IFERROR(__xludf.DUMMYFUNCTION("""COMPUTED_VALUE"""),19899546)</f>
        <v/>
      </c>
      <c r="J369" s="45">
        <f>IFERROR(__xludf.DUMMYFUNCTION("""COMPUTED_VALUE"""),"LM9AYLS")</f>
        <v/>
      </c>
      <c r="K369" s="45">
        <f>IFERROR(__xludf.DUMMYFUNCTION("""COMPUTED_VALUE"""),"LM9AYLS-033928")</f>
        <v/>
      </c>
      <c r="L369" s="45">
        <f>IFERROR(__xludf.DUMMYFUNCTION("""COMPUTED_VALUE"""),1)</f>
        <v/>
      </c>
      <c r="M369" s="45">
        <f>IFERROR(__xludf.DUMMYFUNCTION("""COMPUTED_VALUE"""),141)</f>
        <v/>
      </c>
      <c r="N369" s="45">
        <f>IFERROR(__xludf.DUMMYFUNCTION("""COMPUTED_VALUE"""),13.25)</f>
        <v/>
      </c>
      <c r="O369" s="45">
        <f>IFERROR(__xludf.DUMMYFUNCTION("""COMPUTED_VALUE"""),0.079)</f>
        <v/>
      </c>
      <c r="P369" s="45">
        <f>IFERROR(__xludf.DUMMYFUNCTION("""COMPUTED_VALUE"""),"Colombo, LK")</f>
        <v/>
      </c>
      <c r="Q369" s="45">
        <f>IFERROR(__xludf.DUMMYFUNCTION("""COMPUTED_VALUE"""),"New York, NY, US")</f>
        <v/>
      </c>
      <c r="R369" s="44">
        <f>IFERROR(__xludf.DUMMYFUNCTION("""COMPUTED_VALUE"""),45824)</f>
        <v/>
      </c>
      <c r="S369" s="44">
        <f>IFERROR(__xludf.DUMMYFUNCTION("""COMPUTED_VALUE"""),45883)</f>
        <v/>
      </c>
      <c r="T369" s="45">
        <f>IFERROR(__xludf.DUMMYFUNCTION("""COMPUTED_VALUE"""),"Milton, ON, CA")</f>
        <v/>
      </c>
      <c r="U369" s="45" t="n"/>
      <c r="V369" s="45" t="n"/>
      <c r="W369" s="45" t="n"/>
      <c r="X369" s="45" t="n"/>
      <c r="Y369" s="46">
        <f>IFERROR(__xludf.DUMMYFUNCTION("""COMPUTED_VALUE"""),45832)</f>
        <v/>
      </c>
      <c r="Z369" s="46">
        <f>IFERROR(__xludf.DUMMYFUNCTION("""COMPUTED_VALUE"""),45861)</f>
        <v/>
      </c>
      <c r="AA369" s="46">
        <f>IFERROR(__xludf.DUMMYFUNCTION("""COMPUTED_VALUE"""),45874)</f>
        <v/>
      </c>
      <c r="AB369" s="45">
        <f>IFERROR(__xludf.DUMMYFUNCTION("""COMPUTED_VALUE"""),"7211 Fifth Line")</f>
        <v/>
      </c>
      <c r="AC369" s="45" t="n"/>
      <c r="AD369" s="45">
        <f>IFERROR(__xludf.DUMMYFUNCTION("""COMPUTED_VALUE"""),"OCEAN")</f>
        <v/>
      </c>
      <c r="AE369" s="45">
        <f>IFERROR(__xludf.DUMMYFUNCTION("""COMPUTED_VALUE"""),"N")</f>
        <v/>
      </c>
      <c r="AF369" s="45" t="n"/>
      <c r="AG369" s="49">
        <f>IFERROR(__xludf.DUMMYFUNCTION("IFNA(vlookup(H369,IMPORTRANGE(""1vUGwO1n0QQGx9kKbO0_M5gmuhXZ6-LaxQxgrmJnzgP0"",""'TP# look up'!A:C""),3,0),"""")"),"")</f>
        <v/>
      </c>
      <c r="AH369" s="49">
        <f>LEFT(J369,2)</f>
        <v/>
      </c>
    </row>
    <row r="370" hidden="1" ht="12.75" customHeight="1">
      <c r="A370" s="45">
        <f>IFERROR(__xludf.DUMMYFUNCTION("""COMPUTED_VALUE"""),"Colombo")</f>
        <v/>
      </c>
      <c r="B370" s="45" t="n"/>
      <c r="C370" s="45">
        <f>IFERROR(__xludf.DUMMYFUNCTION("""COMPUTED_VALUE"""),3254506)</f>
        <v/>
      </c>
      <c r="D370" s="45" t="n"/>
      <c r="E370" s="45">
        <f>IFERROR(__xludf.DUMMYFUNCTION("""COMPUTED_VALUE"""),"CFS")</f>
        <v/>
      </c>
      <c r="F370" s="45">
        <f>IFERROR(__xludf.DUMMYFUNCTION("""COMPUTED_VALUE"""),"MAS AMITY PTE LTD")</f>
        <v/>
      </c>
      <c r="G370" s="45">
        <f>IFERROR(__xludf.DUMMYFUNCTION("""COMPUTED_VALUE"""),"MAS Active (Pvt) Ltd – Sleekline")</f>
        <v/>
      </c>
      <c r="H370" s="43">
        <f>IFERROR(__xludf.DUMMYFUNCTION("""COMPUTED_VALUE"""),452841941411)</f>
        <v/>
      </c>
      <c r="I370" s="45">
        <f>IFERROR(__xludf.DUMMYFUNCTION("""COMPUTED_VALUE"""),19899556)</f>
        <v/>
      </c>
      <c r="J370" s="45">
        <f>IFERROR(__xludf.DUMMYFUNCTION("""COMPUTED_VALUE"""),"LM9B19S")</f>
        <v/>
      </c>
      <c r="K370" s="45">
        <f>IFERROR(__xludf.DUMMYFUNCTION("""COMPUTED_VALUE"""),"LM9B19S-4310")</f>
        <v/>
      </c>
      <c r="L370" s="45">
        <f>IFERROR(__xludf.DUMMYFUNCTION("""COMPUTED_VALUE"""),5)</f>
        <v/>
      </c>
      <c r="M370" s="45">
        <f>IFERROR(__xludf.DUMMYFUNCTION("""COMPUTED_VALUE"""),194)</f>
        <v/>
      </c>
      <c r="N370" s="45">
        <f>IFERROR(__xludf.DUMMYFUNCTION("""COMPUTED_VALUE"""),55.25)</f>
        <v/>
      </c>
      <c r="O370" s="45">
        <f>IFERROR(__xludf.DUMMYFUNCTION("""COMPUTED_VALUE"""),0.357)</f>
        <v/>
      </c>
      <c r="P370" s="45">
        <f>IFERROR(__xludf.DUMMYFUNCTION("""COMPUTED_VALUE"""),"Colombo, LK")</f>
        <v/>
      </c>
      <c r="Q370" s="45">
        <f>IFERROR(__xludf.DUMMYFUNCTION("""COMPUTED_VALUE"""),"New York, NY, US")</f>
        <v/>
      </c>
      <c r="R370" s="44">
        <f>IFERROR(__xludf.DUMMYFUNCTION("""COMPUTED_VALUE"""),45824)</f>
        <v/>
      </c>
      <c r="S370" s="44">
        <f>IFERROR(__xludf.DUMMYFUNCTION("""COMPUTED_VALUE"""),45883)</f>
        <v/>
      </c>
      <c r="T370" s="45">
        <f>IFERROR(__xludf.DUMMYFUNCTION("""COMPUTED_VALUE"""),"Milton, ON, CA")</f>
        <v/>
      </c>
      <c r="U370" s="45" t="n"/>
      <c r="V370" s="45" t="n"/>
      <c r="W370" s="45" t="n"/>
      <c r="X370" s="45" t="n"/>
      <c r="Y370" s="46">
        <f>IFERROR(__xludf.DUMMYFUNCTION("""COMPUTED_VALUE"""),45832)</f>
        <v/>
      </c>
      <c r="Z370" s="46">
        <f>IFERROR(__xludf.DUMMYFUNCTION("""COMPUTED_VALUE"""),45861)</f>
        <v/>
      </c>
      <c r="AA370" s="46">
        <f>IFERROR(__xludf.DUMMYFUNCTION("""COMPUTED_VALUE"""),45874)</f>
        <v/>
      </c>
      <c r="AB370" s="45">
        <f>IFERROR(__xludf.DUMMYFUNCTION("""COMPUTED_VALUE"""),"7211 Fifth Line")</f>
        <v/>
      </c>
      <c r="AC370" s="45" t="n"/>
      <c r="AD370" s="45">
        <f>IFERROR(__xludf.DUMMYFUNCTION("""COMPUTED_VALUE"""),"OCEAN")</f>
        <v/>
      </c>
      <c r="AE370" s="45">
        <f>IFERROR(__xludf.DUMMYFUNCTION("""COMPUTED_VALUE"""),"N")</f>
        <v/>
      </c>
      <c r="AF370" s="45" t="n"/>
      <c r="AG370" s="49">
        <f>IFERROR(__xludf.DUMMYFUNCTION("IFNA(vlookup(H370,IMPORTRANGE(""1vUGwO1n0QQGx9kKbO0_M5gmuhXZ6-LaxQxgrmJnzgP0"",""'TP# look up'!A:C""),3,0),"""")"),"")</f>
        <v/>
      </c>
      <c r="AH370" s="49">
        <f>LEFT(J370,2)</f>
        <v/>
      </c>
    </row>
    <row r="371" hidden="1" ht="12.75" customHeight="1">
      <c r="A371" s="45">
        <f>IFERROR(__xludf.DUMMYFUNCTION("""COMPUTED_VALUE"""),"Colombo")</f>
        <v/>
      </c>
      <c r="B371" s="45" t="n"/>
      <c r="C371" s="45">
        <f>IFERROR(__xludf.DUMMYFUNCTION("""COMPUTED_VALUE"""),3254506)</f>
        <v/>
      </c>
      <c r="D371" s="45" t="n"/>
      <c r="E371" s="45">
        <f>IFERROR(__xludf.DUMMYFUNCTION("""COMPUTED_VALUE"""),"CFS")</f>
        <v/>
      </c>
      <c r="F371" s="45">
        <f>IFERROR(__xludf.DUMMYFUNCTION("""COMPUTED_VALUE"""),"MAS AMITY PTE LTD")</f>
        <v/>
      </c>
      <c r="G371" s="45">
        <f>IFERROR(__xludf.DUMMYFUNCTION("""COMPUTED_VALUE"""),"MAS Active (Pvt) Ltd – Sleekline")</f>
        <v/>
      </c>
      <c r="H371" s="43">
        <f>IFERROR(__xludf.DUMMYFUNCTION("""COMPUTED_VALUE"""),452842141320)</f>
        <v/>
      </c>
      <c r="I371" s="45">
        <f>IFERROR(__xludf.DUMMYFUNCTION("""COMPUTED_VALUE"""),19913214)</f>
        <v/>
      </c>
      <c r="J371" s="45">
        <f>IFERROR(__xludf.DUMMYFUNCTION("""COMPUTED_VALUE"""),"LM9AMTS")</f>
        <v/>
      </c>
      <c r="K371" s="45">
        <f>IFERROR(__xludf.DUMMYFUNCTION("""COMPUTED_VALUE"""),"LM9AMTS-072079")</f>
        <v/>
      </c>
      <c r="L371" s="45">
        <f>IFERROR(__xludf.DUMMYFUNCTION("""COMPUTED_VALUE"""),3)</f>
        <v/>
      </c>
      <c r="M371" s="45">
        <f>IFERROR(__xludf.DUMMYFUNCTION("""COMPUTED_VALUE"""),118)</f>
        <v/>
      </c>
      <c r="N371" s="45">
        <f>IFERROR(__xludf.DUMMYFUNCTION("""COMPUTED_VALUE"""),35.58)</f>
        <v/>
      </c>
      <c r="O371" s="45">
        <f>IFERROR(__xludf.DUMMYFUNCTION("""COMPUTED_VALUE"""),0.238)</f>
        <v/>
      </c>
      <c r="P371" s="45">
        <f>IFERROR(__xludf.DUMMYFUNCTION("""COMPUTED_VALUE"""),"Colombo, LK")</f>
        <v/>
      </c>
      <c r="Q371" s="45">
        <f>IFERROR(__xludf.DUMMYFUNCTION("""COMPUTED_VALUE"""),"New York, NY, US")</f>
        <v/>
      </c>
      <c r="R371" s="44">
        <f>IFERROR(__xludf.DUMMYFUNCTION("""COMPUTED_VALUE"""),45824)</f>
        <v/>
      </c>
      <c r="S371" s="44">
        <f>IFERROR(__xludf.DUMMYFUNCTION("""COMPUTED_VALUE"""),45883)</f>
        <v/>
      </c>
      <c r="T371" s="45">
        <f>IFERROR(__xludf.DUMMYFUNCTION("""COMPUTED_VALUE"""),"Mississauga, ON, CA")</f>
        <v/>
      </c>
      <c r="U371" s="45" t="n"/>
      <c r="V371" s="45" t="n"/>
      <c r="W371" s="45" t="n"/>
      <c r="X371" s="45" t="n"/>
      <c r="Y371" s="46">
        <f>IFERROR(__xludf.DUMMYFUNCTION("""COMPUTED_VALUE"""),45832)</f>
        <v/>
      </c>
      <c r="Z371" s="46">
        <f>IFERROR(__xludf.DUMMYFUNCTION("""COMPUTED_VALUE"""),45861)</f>
        <v/>
      </c>
      <c r="AA371" s="46">
        <f>IFERROR(__xludf.DUMMYFUNCTION("""COMPUTED_VALUE"""),45874)</f>
        <v/>
      </c>
      <c r="AB371" s="45">
        <f>IFERROR(__xludf.DUMMYFUNCTION("""COMPUTED_VALUE"""),"3500 Argentia Road")</f>
        <v/>
      </c>
      <c r="AC371" s="45" t="n"/>
      <c r="AD371" s="45">
        <f>IFERROR(__xludf.DUMMYFUNCTION("""COMPUTED_VALUE"""),"OCEAN")</f>
        <v/>
      </c>
      <c r="AE371" s="45">
        <f>IFERROR(__xludf.DUMMYFUNCTION("""COMPUTED_VALUE"""),"N")</f>
        <v/>
      </c>
      <c r="AF371" s="45" t="n"/>
      <c r="AG371" s="49">
        <f>IFERROR(__xludf.DUMMYFUNCTION("IFNA(vlookup(H371,IMPORTRANGE(""1vUGwO1n0QQGx9kKbO0_M5gmuhXZ6-LaxQxgrmJnzgP0"",""'TP# look up'!A:C""),3,0),"""")"),"")</f>
        <v/>
      </c>
      <c r="AH371" s="49">
        <f>LEFT(J371,2)</f>
        <v/>
      </c>
    </row>
    <row r="372" hidden="1" ht="12.75" customHeight="1">
      <c r="A372" s="45">
        <f>IFERROR(__xludf.DUMMYFUNCTION("""COMPUTED_VALUE"""),"Colombo")</f>
        <v/>
      </c>
      <c r="B372" s="45" t="n"/>
      <c r="C372" s="45">
        <f>IFERROR(__xludf.DUMMYFUNCTION("""COMPUTED_VALUE"""),3254506)</f>
        <v/>
      </c>
      <c r="D372" s="45" t="n"/>
      <c r="E372" s="45">
        <f>IFERROR(__xludf.DUMMYFUNCTION("""COMPUTED_VALUE"""),"CFS")</f>
        <v/>
      </c>
      <c r="F372" s="45">
        <f>IFERROR(__xludf.DUMMYFUNCTION("""COMPUTED_VALUE"""),"MAS AMITY PTE LTD")</f>
        <v/>
      </c>
      <c r="G372" s="45">
        <f>IFERROR(__xludf.DUMMYFUNCTION("""COMPUTED_VALUE"""),"MAS Active (Pvt) Ltd – Sleekline")</f>
        <v/>
      </c>
      <c r="H372" s="43">
        <f>IFERROR(__xludf.DUMMYFUNCTION("""COMPUTED_VALUE"""),452843102834)</f>
        <v/>
      </c>
      <c r="I372" s="45">
        <f>IFERROR(__xludf.DUMMYFUNCTION("""COMPUTED_VALUE"""),19913391)</f>
        <v/>
      </c>
      <c r="J372" s="45">
        <f>IFERROR(__xludf.DUMMYFUNCTION("""COMPUTED_VALUE"""),"LM9AQWS")</f>
        <v/>
      </c>
      <c r="K372" s="45">
        <f>IFERROR(__xludf.DUMMYFUNCTION("""COMPUTED_VALUE"""),"LM9AQWS-4780")</f>
        <v/>
      </c>
      <c r="L372" s="45">
        <f>IFERROR(__xludf.DUMMYFUNCTION("""COMPUTED_VALUE"""),3)</f>
        <v/>
      </c>
      <c r="M372" s="45">
        <f>IFERROR(__xludf.DUMMYFUNCTION("""COMPUTED_VALUE"""),181)</f>
        <v/>
      </c>
      <c r="N372" s="45">
        <f>IFERROR(__xludf.DUMMYFUNCTION("""COMPUTED_VALUE"""),33.63)</f>
        <v/>
      </c>
      <c r="O372" s="45">
        <f>IFERROR(__xludf.DUMMYFUNCTION("""COMPUTED_VALUE"""),0.238)</f>
        <v/>
      </c>
      <c r="P372" s="45">
        <f>IFERROR(__xludf.DUMMYFUNCTION("""COMPUTED_VALUE"""),"Colombo, LK")</f>
        <v/>
      </c>
      <c r="Q372" s="45">
        <f>IFERROR(__xludf.DUMMYFUNCTION("""COMPUTED_VALUE"""),"New York, NY, US")</f>
        <v/>
      </c>
      <c r="R372" s="44">
        <f>IFERROR(__xludf.DUMMYFUNCTION("""COMPUTED_VALUE"""),45824)</f>
        <v/>
      </c>
      <c r="S372" s="44">
        <f>IFERROR(__xludf.DUMMYFUNCTION("""COMPUTED_VALUE"""),45883)</f>
        <v/>
      </c>
      <c r="T372" s="45">
        <f>IFERROR(__xludf.DUMMYFUNCTION("""COMPUTED_VALUE"""),"Mississauga, ON, CA")</f>
        <v/>
      </c>
      <c r="U372" s="45" t="n"/>
      <c r="V372" s="45" t="n"/>
      <c r="W372" s="45" t="n"/>
      <c r="X372" s="45" t="n"/>
      <c r="Y372" s="46">
        <f>IFERROR(__xludf.DUMMYFUNCTION("""COMPUTED_VALUE"""),45832)</f>
        <v/>
      </c>
      <c r="Z372" s="46">
        <f>IFERROR(__xludf.DUMMYFUNCTION("""COMPUTED_VALUE"""),45861)</f>
        <v/>
      </c>
      <c r="AA372" s="46">
        <f>IFERROR(__xludf.DUMMYFUNCTION("""COMPUTED_VALUE"""),45874)</f>
        <v/>
      </c>
      <c r="AB372" s="45">
        <f>IFERROR(__xludf.DUMMYFUNCTION("""COMPUTED_VALUE"""),"3500 Argentia Road")</f>
        <v/>
      </c>
      <c r="AC372" s="45" t="n"/>
      <c r="AD372" s="45">
        <f>IFERROR(__xludf.DUMMYFUNCTION("""COMPUTED_VALUE"""),"OCEAN")</f>
        <v/>
      </c>
      <c r="AE372" s="45">
        <f>IFERROR(__xludf.DUMMYFUNCTION("""COMPUTED_VALUE"""),"N")</f>
        <v/>
      </c>
      <c r="AF372" s="45" t="n"/>
      <c r="AG372" s="49">
        <f>IFERROR(__xludf.DUMMYFUNCTION("IFNA(vlookup(H372,IMPORTRANGE(""1vUGwO1n0QQGx9kKbO0_M5gmuhXZ6-LaxQxgrmJnzgP0"",""'TP# look up'!A:C""),3,0),"""")"),"")</f>
        <v/>
      </c>
      <c r="AH372" s="49">
        <f>LEFT(J372,2)</f>
        <v/>
      </c>
    </row>
    <row r="373" hidden="1" ht="12.75" customHeight="1">
      <c r="A373" s="45">
        <f>IFERROR(__xludf.DUMMYFUNCTION("""COMPUTED_VALUE"""),"Colombo")</f>
        <v/>
      </c>
      <c r="B373" s="45" t="n"/>
      <c r="C373" s="45">
        <f>IFERROR(__xludf.DUMMYFUNCTION("""COMPUTED_VALUE"""),3254506)</f>
        <v/>
      </c>
      <c r="D373" s="45" t="n"/>
      <c r="E373" s="45">
        <f>IFERROR(__xludf.DUMMYFUNCTION("""COMPUTED_VALUE"""),"CFS")</f>
        <v/>
      </c>
      <c r="F373" s="45">
        <f>IFERROR(__xludf.DUMMYFUNCTION("""COMPUTED_VALUE"""),"MAS AMITY PTE LTD")</f>
        <v/>
      </c>
      <c r="G373" s="45">
        <f>IFERROR(__xludf.DUMMYFUNCTION("""COMPUTED_VALUE"""),"MAS Active (Pvt) Ltd – Sleekline")</f>
        <v/>
      </c>
      <c r="H373" s="43">
        <f>IFERROR(__xludf.DUMMYFUNCTION("""COMPUTED_VALUE"""),452843168146)</f>
        <v/>
      </c>
      <c r="I373" s="45">
        <f>IFERROR(__xludf.DUMMYFUNCTION("""COMPUTED_VALUE"""),19913384)</f>
        <v/>
      </c>
      <c r="J373" s="45">
        <f>IFERROR(__xludf.DUMMYFUNCTION("""COMPUTED_VALUE"""),"LM9AN5S")</f>
        <v/>
      </c>
      <c r="K373" s="45">
        <f>IFERROR(__xludf.DUMMYFUNCTION("""COMPUTED_VALUE"""),"LM9AN5S-067086")</f>
        <v/>
      </c>
      <c r="L373" s="45">
        <f>IFERROR(__xludf.DUMMYFUNCTION("""COMPUTED_VALUE"""),4)</f>
        <v/>
      </c>
      <c r="M373" s="45">
        <f>IFERROR(__xludf.DUMMYFUNCTION("""COMPUTED_VALUE"""),93)</f>
        <v/>
      </c>
      <c r="N373" s="45">
        <f>IFERROR(__xludf.DUMMYFUNCTION("""COMPUTED_VALUE"""),52.1)</f>
        <v/>
      </c>
      <c r="O373" s="45">
        <f>IFERROR(__xludf.DUMMYFUNCTION("""COMPUTED_VALUE"""),0.317)</f>
        <v/>
      </c>
      <c r="P373" s="45">
        <f>IFERROR(__xludf.DUMMYFUNCTION("""COMPUTED_VALUE"""),"Colombo, LK")</f>
        <v/>
      </c>
      <c r="Q373" s="45">
        <f>IFERROR(__xludf.DUMMYFUNCTION("""COMPUTED_VALUE"""),"New York, NY, US")</f>
        <v/>
      </c>
      <c r="R373" s="44">
        <f>IFERROR(__xludf.DUMMYFUNCTION("""COMPUTED_VALUE"""),45824)</f>
        <v/>
      </c>
      <c r="S373" s="44">
        <f>IFERROR(__xludf.DUMMYFUNCTION("""COMPUTED_VALUE"""),45883)</f>
        <v/>
      </c>
      <c r="T373" s="45">
        <f>IFERROR(__xludf.DUMMYFUNCTION("""COMPUTED_VALUE"""),"Mississauga, ON, CA")</f>
        <v/>
      </c>
      <c r="U373" s="45" t="n"/>
      <c r="V373" s="45" t="n"/>
      <c r="W373" s="45" t="n"/>
      <c r="X373" s="45" t="n"/>
      <c r="Y373" s="46">
        <f>IFERROR(__xludf.DUMMYFUNCTION("""COMPUTED_VALUE"""),45832)</f>
        <v/>
      </c>
      <c r="Z373" s="46">
        <f>IFERROR(__xludf.DUMMYFUNCTION("""COMPUTED_VALUE"""),45861)</f>
        <v/>
      </c>
      <c r="AA373" s="46">
        <f>IFERROR(__xludf.DUMMYFUNCTION("""COMPUTED_VALUE"""),45874)</f>
        <v/>
      </c>
      <c r="AB373" s="45">
        <f>IFERROR(__xludf.DUMMYFUNCTION("""COMPUTED_VALUE"""),"3500 Argentia Road")</f>
        <v/>
      </c>
      <c r="AC373" s="45" t="n"/>
      <c r="AD373" s="45">
        <f>IFERROR(__xludf.DUMMYFUNCTION("""COMPUTED_VALUE"""),"OCEAN")</f>
        <v/>
      </c>
      <c r="AE373" s="45">
        <f>IFERROR(__xludf.DUMMYFUNCTION("""COMPUTED_VALUE"""),"N")</f>
        <v/>
      </c>
      <c r="AF373" s="45" t="n"/>
      <c r="AG373" s="49">
        <f>IFERROR(__xludf.DUMMYFUNCTION("IFNA(vlookup(H373,IMPORTRANGE(""1vUGwO1n0QQGx9kKbO0_M5gmuhXZ6-LaxQxgrmJnzgP0"",""'TP# look up'!A:C""),3,0),"""")"),"")</f>
        <v/>
      </c>
      <c r="AH373" s="49">
        <f>LEFT(J373,2)</f>
        <v/>
      </c>
    </row>
    <row r="374" hidden="1" ht="12.75" customHeight="1">
      <c r="A374" s="45">
        <f>IFERROR(__xludf.DUMMYFUNCTION("""COMPUTED_VALUE"""),"Colombo")</f>
        <v/>
      </c>
      <c r="B374" s="45" t="n"/>
      <c r="C374" s="45">
        <f>IFERROR(__xludf.DUMMYFUNCTION("""COMPUTED_VALUE"""),3254506)</f>
        <v/>
      </c>
      <c r="D374" s="45" t="n"/>
      <c r="E374" s="45">
        <f>IFERROR(__xludf.DUMMYFUNCTION("""COMPUTED_VALUE"""),"CFS")</f>
        <v/>
      </c>
      <c r="F374" s="45">
        <f>IFERROR(__xludf.DUMMYFUNCTION("""COMPUTED_VALUE"""),"MAS AMITY PTE LTD")</f>
        <v/>
      </c>
      <c r="G374" s="45">
        <f>IFERROR(__xludf.DUMMYFUNCTION("""COMPUTED_VALUE"""),"MAS Active (Pvt) Ltd – Sleekline")</f>
        <v/>
      </c>
      <c r="H374" s="43">
        <f>IFERROR(__xludf.DUMMYFUNCTION("""COMPUTED_VALUE"""),452844569188)</f>
        <v/>
      </c>
      <c r="I374" s="45">
        <f>IFERROR(__xludf.DUMMYFUNCTION("""COMPUTED_VALUE"""),19913422)</f>
        <v/>
      </c>
      <c r="J374" s="45">
        <f>IFERROR(__xludf.DUMMYFUNCTION("""COMPUTED_VALUE"""),"LM9AUNS")</f>
        <v/>
      </c>
      <c r="K374" s="45">
        <f>IFERROR(__xludf.DUMMYFUNCTION("""COMPUTED_VALUE"""),"LM9AUNS-042751")</f>
        <v/>
      </c>
      <c r="L374" s="45">
        <f>IFERROR(__xludf.DUMMYFUNCTION("""COMPUTED_VALUE"""),3)</f>
        <v/>
      </c>
      <c r="M374" s="45">
        <f>IFERROR(__xludf.DUMMYFUNCTION("""COMPUTED_VALUE"""),101)</f>
        <v/>
      </c>
      <c r="N374" s="45">
        <f>IFERROR(__xludf.DUMMYFUNCTION("""COMPUTED_VALUE"""),26.03)</f>
        <v/>
      </c>
      <c r="O374" s="45">
        <f>IFERROR(__xludf.DUMMYFUNCTION("""COMPUTED_VALUE"""),0.198)</f>
        <v/>
      </c>
      <c r="P374" s="45">
        <f>IFERROR(__xludf.DUMMYFUNCTION("""COMPUTED_VALUE"""),"Colombo, LK")</f>
        <v/>
      </c>
      <c r="Q374" s="45">
        <f>IFERROR(__xludf.DUMMYFUNCTION("""COMPUTED_VALUE"""),"New York, NY, US")</f>
        <v/>
      </c>
      <c r="R374" s="44">
        <f>IFERROR(__xludf.DUMMYFUNCTION("""COMPUTED_VALUE"""),45824)</f>
        <v/>
      </c>
      <c r="S374" s="44">
        <f>IFERROR(__xludf.DUMMYFUNCTION("""COMPUTED_VALUE"""),45883)</f>
        <v/>
      </c>
      <c r="T374" s="45">
        <f>IFERROR(__xludf.DUMMYFUNCTION("""COMPUTED_VALUE"""),"Mississauga, ON, CA")</f>
        <v/>
      </c>
      <c r="U374" s="45" t="n"/>
      <c r="V374" s="45" t="n"/>
      <c r="W374" s="45" t="n"/>
      <c r="X374" s="45" t="n"/>
      <c r="Y374" s="46">
        <f>IFERROR(__xludf.DUMMYFUNCTION("""COMPUTED_VALUE"""),45832)</f>
        <v/>
      </c>
      <c r="Z374" s="46">
        <f>IFERROR(__xludf.DUMMYFUNCTION("""COMPUTED_VALUE"""),45861)</f>
        <v/>
      </c>
      <c r="AA374" s="46">
        <f>IFERROR(__xludf.DUMMYFUNCTION("""COMPUTED_VALUE"""),45874)</f>
        <v/>
      </c>
      <c r="AB374" s="45">
        <f>IFERROR(__xludf.DUMMYFUNCTION("""COMPUTED_VALUE"""),"3500 Argentia Road")</f>
        <v/>
      </c>
      <c r="AC374" s="45" t="n"/>
      <c r="AD374" s="45">
        <f>IFERROR(__xludf.DUMMYFUNCTION("""COMPUTED_VALUE"""),"OCEAN")</f>
        <v/>
      </c>
      <c r="AE374" s="45">
        <f>IFERROR(__xludf.DUMMYFUNCTION("""COMPUTED_VALUE"""),"N")</f>
        <v/>
      </c>
      <c r="AF374" s="45" t="n"/>
      <c r="AG374" s="49">
        <f>IFERROR(__xludf.DUMMYFUNCTION("IFNA(vlookup(H374,IMPORTRANGE(""1vUGwO1n0QQGx9kKbO0_M5gmuhXZ6-LaxQxgrmJnzgP0"",""'TP# look up'!A:C""),3,0),"""")"),"")</f>
        <v/>
      </c>
      <c r="AH374" s="49">
        <f>LEFT(J374,2)</f>
        <v/>
      </c>
    </row>
    <row r="375" hidden="1" ht="12.75" customHeight="1">
      <c r="A375" s="45">
        <f>IFERROR(__xludf.DUMMYFUNCTION("""COMPUTED_VALUE"""),"Colombo")</f>
        <v/>
      </c>
      <c r="B375" s="45" t="n"/>
      <c r="C375" s="45">
        <f>IFERROR(__xludf.DUMMYFUNCTION("""COMPUTED_VALUE"""),3254506)</f>
        <v/>
      </c>
      <c r="D375" s="45" t="n"/>
      <c r="E375" s="45">
        <f>IFERROR(__xludf.DUMMYFUNCTION("""COMPUTED_VALUE"""),"CFS")</f>
        <v/>
      </c>
      <c r="F375" s="45">
        <f>IFERROR(__xludf.DUMMYFUNCTION("""COMPUTED_VALUE"""),"MAS AMITY PTE LTD")</f>
        <v/>
      </c>
      <c r="G375" s="45">
        <f>IFERROR(__xludf.DUMMYFUNCTION("""COMPUTED_VALUE"""),"MAS Active (Pvt) Ltd – Sleekline")</f>
        <v/>
      </c>
      <c r="H375" s="43">
        <f>IFERROR(__xludf.DUMMYFUNCTION("""COMPUTED_VALUE"""),452845689511)</f>
        <v/>
      </c>
      <c r="I375" s="45">
        <f>IFERROR(__xludf.DUMMYFUNCTION("""COMPUTED_VALUE"""),19922420)</f>
        <v/>
      </c>
      <c r="J375" s="45">
        <f>IFERROR(__xludf.DUMMYFUNCTION("""COMPUTED_VALUE"""),"LM9AN5S")</f>
        <v/>
      </c>
      <c r="K375" s="45">
        <f>IFERROR(__xludf.DUMMYFUNCTION("""COMPUTED_VALUE"""),"LM9AN5S-067086")</f>
        <v/>
      </c>
      <c r="L375" s="45">
        <f>IFERROR(__xludf.DUMMYFUNCTION("""COMPUTED_VALUE"""),11)</f>
        <v/>
      </c>
      <c r="M375" s="45">
        <f>IFERROR(__xludf.DUMMYFUNCTION("""COMPUTED_VALUE"""),269)</f>
        <v/>
      </c>
      <c r="N375" s="45">
        <f>IFERROR(__xludf.DUMMYFUNCTION("""COMPUTED_VALUE"""),149.32)</f>
        <v/>
      </c>
      <c r="O375" s="45">
        <f>IFERROR(__xludf.DUMMYFUNCTION("""COMPUTED_VALUE"""),0.872)</f>
        <v/>
      </c>
      <c r="P375" s="45">
        <f>IFERROR(__xludf.DUMMYFUNCTION("""COMPUTED_VALUE"""),"Colombo, LK")</f>
        <v/>
      </c>
      <c r="Q375" s="45">
        <f>IFERROR(__xludf.DUMMYFUNCTION("""COMPUTED_VALUE"""),"New York, NY, US")</f>
        <v/>
      </c>
      <c r="R375" s="44">
        <f>IFERROR(__xludf.DUMMYFUNCTION("""COMPUTED_VALUE"""),45824)</f>
        <v/>
      </c>
      <c r="S375" s="44">
        <f>IFERROR(__xludf.DUMMYFUNCTION("""COMPUTED_VALUE"""),45883)</f>
        <v/>
      </c>
      <c r="T375" s="45">
        <f>IFERROR(__xludf.DUMMYFUNCTION("""COMPUTED_VALUE"""),"Mississauga, ON, CA")</f>
        <v/>
      </c>
      <c r="U375" s="45" t="n"/>
      <c r="V375" s="45" t="n"/>
      <c r="W375" s="45" t="n"/>
      <c r="X375" s="45" t="n"/>
      <c r="Y375" s="46">
        <f>IFERROR(__xludf.DUMMYFUNCTION("""COMPUTED_VALUE"""),45832)</f>
        <v/>
      </c>
      <c r="Z375" s="46">
        <f>IFERROR(__xludf.DUMMYFUNCTION("""COMPUTED_VALUE"""),45861)</f>
        <v/>
      </c>
      <c r="AA375" s="46">
        <f>IFERROR(__xludf.DUMMYFUNCTION("""COMPUTED_VALUE"""),45874)</f>
        <v/>
      </c>
      <c r="AB375" s="45">
        <f>IFERROR(__xludf.DUMMYFUNCTION("""COMPUTED_VALUE"""),"3500 Argentia Road")</f>
        <v/>
      </c>
      <c r="AC375" s="45" t="n"/>
      <c r="AD375" s="45">
        <f>IFERROR(__xludf.DUMMYFUNCTION("""COMPUTED_VALUE"""),"OCEAN")</f>
        <v/>
      </c>
      <c r="AE375" s="45">
        <f>IFERROR(__xludf.DUMMYFUNCTION("""COMPUTED_VALUE"""),"N")</f>
        <v/>
      </c>
      <c r="AF375" s="45" t="n"/>
      <c r="AG375" s="49">
        <f>IFERROR(__xludf.DUMMYFUNCTION("IFNA(vlookup(H375,IMPORTRANGE(""1vUGwO1n0QQGx9kKbO0_M5gmuhXZ6-LaxQxgrmJnzgP0"",""'TP# look up'!A:C""),3,0),"""")"),"")</f>
        <v/>
      </c>
      <c r="AH375" s="49">
        <f>LEFT(J375,2)</f>
        <v/>
      </c>
    </row>
    <row r="376" hidden="1" ht="12.75" customHeight="1">
      <c r="A376" s="45">
        <f>IFERROR(__xludf.DUMMYFUNCTION("""COMPUTED_VALUE"""),"Colombo")</f>
        <v/>
      </c>
      <c r="B376" s="45" t="n"/>
      <c r="C376" s="45">
        <f>IFERROR(__xludf.DUMMYFUNCTION("""COMPUTED_VALUE"""),3254506)</f>
        <v/>
      </c>
      <c r="D376" s="45" t="n"/>
      <c r="E376" s="45">
        <f>IFERROR(__xludf.DUMMYFUNCTION("""COMPUTED_VALUE"""),"CFS")</f>
        <v/>
      </c>
      <c r="F376" s="45">
        <f>IFERROR(__xludf.DUMMYFUNCTION("""COMPUTED_VALUE"""),"MAS AMITY PTE LTD")</f>
        <v/>
      </c>
      <c r="G376" s="45">
        <f>IFERROR(__xludf.DUMMYFUNCTION("""COMPUTED_VALUE"""),"MAS Active (Pvt) Ltd – Sleekline")</f>
        <v/>
      </c>
      <c r="H376" s="43">
        <f>IFERROR(__xludf.DUMMYFUNCTION("""COMPUTED_VALUE"""),452846239219)</f>
        <v/>
      </c>
      <c r="I376" s="45">
        <f>IFERROR(__xludf.DUMMYFUNCTION("""COMPUTED_VALUE"""),19922455)</f>
        <v/>
      </c>
      <c r="J376" s="45">
        <f>IFERROR(__xludf.DUMMYFUNCTION("""COMPUTED_VALUE"""),"LM9AUNS")</f>
        <v/>
      </c>
      <c r="K376" s="45">
        <f>IFERROR(__xludf.DUMMYFUNCTION("""COMPUTED_VALUE"""),"LM9AUNS-042751")</f>
        <v/>
      </c>
      <c r="L376" s="45">
        <f>IFERROR(__xludf.DUMMYFUNCTION("""COMPUTED_VALUE"""),5)</f>
        <v/>
      </c>
      <c r="M376" s="45">
        <f>IFERROR(__xludf.DUMMYFUNCTION("""COMPUTED_VALUE"""),198)</f>
        <v/>
      </c>
      <c r="N376" s="45">
        <f>IFERROR(__xludf.DUMMYFUNCTION("""COMPUTED_VALUE"""),50.301)</f>
        <v/>
      </c>
      <c r="O376" s="45">
        <f>IFERROR(__xludf.DUMMYFUNCTION("""COMPUTED_VALUE"""),0.397)</f>
        <v/>
      </c>
      <c r="P376" s="45">
        <f>IFERROR(__xludf.DUMMYFUNCTION("""COMPUTED_VALUE"""),"Colombo, LK")</f>
        <v/>
      </c>
      <c r="Q376" s="45">
        <f>IFERROR(__xludf.DUMMYFUNCTION("""COMPUTED_VALUE"""),"New York, NY, US")</f>
        <v/>
      </c>
      <c r="R376" s="44">
        <f>IFERROR(__xludf.DUMMYFUNCTION("""COMPUTED_VALUE"""),45824)</f>
        <v/>
      </c>
      <c r="S376" s="44">
        <f>IFERROR(__xludf.DUMMYFUNCTION("""COMPUTED_VALUE"""),45883)</f>
        <v/>
      </c>
      <c r="T376" s="45">
        <f>IFERROR(__xludf.DUMMYFUNCTION("""COMPUTED_VALUE"""),"Mississauga, ON, CA")</f>
        <v/>
      </c>
      <c r="U376" s="45" t="n"/>
      <c r="V376" s="45" t="n"/>
      <c r="W376" s="45" t="n"/>
      <c r="X376" s="45" t="n"/>
      <c r="Y376" s="46">
        <f>IFERROR(__xludf.DUMMYFUNCTION("""COMPUTED_VALUE"""),45832)</f>
        <v/>
      </c>
      <c r="Z376" s="46">
        <f>IFERROR(__xludf.DUMMYFUNCTION("""COMPUTED_VALUE"""),45861)</f>
        <v/>
      </c>
      <c r="AA376" s="46">
        <f>IFERROR(__xludf.DUMMYFUNCTION("""COMPUTED_VALUE"""),45874)</f>
        <v/>
      </c>
      <c r="AB376" s="45">
        <f>IFERROR(__xludf.DUMMYFUNCTION("""COMPUTED_VALUE"""),"3500 Argentia Road")</f>
        <v/>
      </c>
      <c r="AC376" s="45" t="n"/>
      <c r="AD376" s="45">
        <f>IFERROR(__xludf.DUMMYFUNCTION("""COMPUTED_VALUE"""),"OCEAN")</f>
        <v/>
      </c>
      <c r="AE376" s="45">
        <f>IFERROR(__xludf.DUMMYFUNCTION("""COMPUTED_VALUE"""),"N")</f>
        <v/>
      </c>
      <c r="AF376" s="45" t="n"/>
      <c r="AG376" s="49">
        <f>IFERROR(__xludf.DUMMYFUNCTION("IFNA(vlookup(H376,IMPORTRANGE(""1vUGwO1n0QQGx9kKbO0_M5gmuhXZ6-LaxQxgrmJnzgP0"",""'TP# look up'!A:C""),3,0),"""")"),"")</f>
        <v/>
      </c>
      <c r="AH376" s="49">
        <f>LEFT(J376,2)</f>
        <v/>
      </c>
    </row>
    <row r="377" hidden="1" ht="12.75" customHeight="1">
      <c r="A377" s="45">
        <f>IFERROR(__xludf.DUMMYFUNCTION("""COMPUTED_VALUE"""),"Colombo")</f>
        <v/>
      </c>
      <c r="B377" s="45" t="n"/>
      <c r="C377" s="45">
        <f>IFERROR(__xludf.DUMMYFUNCTION("""COMPUTED_VALUE"""),3254506)</f>
        <v/>
      </c>
      <c r="D377" s="45" t="n"/>
      <c r="E377" s="45">
        <f>IFERROR(__xludf.DUMMYFUNCTION("""COMPUTED_VALUE"""),"CFS")</f>
        <v/>
      </c>
      <c r="F377" s="45">
        <f>IFERROR(__xludf.DUMMYFUNCTION("""COMPUTED_VALUE"""),"MAS AMITY PTE LTD")</f>
        <v/>
      </c>
      <c r="G377" s="45">
        <f>IFERROR(__xludf.DUMMYFUNCTION("""COMPUTED_VALUE"""),"MAS Active (Pvt) Ltd – Sleekline")</f>
        <v/>
      </c>
      <c r="H377" s="43">
        <f>IFERROR(__xludf.DUMMYFUNCTION("""COMPUTED_VALUE"""),452847739796)</f>
        <v/>
      </c>
      <c r="I377" s="45">
        <f>IFERROR(__xludf.DUMMYFUNCTION("""COMPUTED_VALUE"""),19922466)</f>
        <v/>
      </c>
      <c r="J377" s="45">
        <f>IFERROR(__xludf.DUMMYFUNCTION("""COMPUTED_VALUE"""),"LM9AY5S")</f>
        <v/>
      </c>
      <c r="K377" s="45">
        <f>IFERROR(__xludf.DUMMYFUNCTION("""COMPUTED_VALUE"""),"LM9AY5S-031045")</f>
        <v/>
      </c>
      <c r="L377" s="45">
        <f>IFERROR(__xludf.DUMMYFUNCTION("""COMPUTED_VALUE"""),1)</f>
        <v/>
      </c>
      <c r="M377" s="45">
        <f>IFERROR(__xludf.DUMMYFUNCTION("""COMPUTED_VALUE"""),134)</f>
        <v/>
      </c>
      <c r="N377" s="45">
        <f>IFERROR(__xludf.DUMMYFUNCTION("""COMPUTED_VALUE"""),14.81)</f>
        <v/>
      </c>
      <c r="O377" s="45">
        <f>IFERROR(__xludf.DUMMYFUNCTION("""COMPUTED_VALUE"""),0.079)</f>
        <v/>
      </c>
      <c r="P377" s="45">
        <f>IFERROR(__xludf.DUMMYFUNCTION("""COMPUTED_VALUE"""),"Colombo, LK")</f>
        <v/>
      </c>
      <c r="Q377" s="45">
        <f>IFERROR(__xludf.DUMMYFUNCTION("""COMPUTED_VALUE"""),"New York, NY, US")</f>
        <v/>
      </c>
      <c r="R377" s="44">
        <f>IFERROR(__xludf.DUMMYFUNCTION("""COMPUTED_VALUE"""),45824)</f>
        <v/>
      </c>
      <c r="S377" s="44">
        <f>IFERROR(__xludf.DUMMYFUNCTION("""COMPUTED_VALUE"""),45883)</f>
        <v/>
      </c>
      <c r="T377" s="45">
        <f>IFERROR(__xludf.DUMMYFUNCTION("""COMPUTED_VALUE"""),"Mississauga, ON, CA")</f>
        <v/>
      </c>
      <c r="U377" s="45" t="n"/>
      <c r="V377" s="45" t="n"/>
      <c r="W377" s="45" t="n"/>
      <c r="X377" s="45" t="n"/>
      <c r="Y377" s="46">
        <f>IFERROR(__xludf.DUMMYFUNCTION("""COMPUTED_VALUE"""),45832)</f>
        <v/>
      </c>
      <c r="Z377" s="46">
        <f>IFERROR(__xludf.DUMMYFUNCTION("""COMPUTED_VALUE"""),45861)</f>
        <v/>
      </c>
      <c r="AA377" s="46">
        <f>IFERROR(__xludf.DUMMYFUNCTION("""COMPUTED_VALUE"""),45874)</f>
        <v/>
      </c>
      <c r="AB377" s="45">
        <f>IFERROR(__xludf.DUMMYFUNCTION("""COMPUTED_VALUE"""),"3500 Argentia Road")</f>
        <v/>
      </c>
      <c r="AC377" s="45" t="n"/>
      <c r="AD377" s="45">
        <f>IFERROR(__xludf.DUMMYFUNCTION("""COMPUTED_VALUE"""),"OCEAN")</f>
        <v/>
      </c>
      <c r="AE377" s="45">
        <f>IFERROR(__xludf.DUMMYFUNCTION("""COMPUTED_VALUE"""),"N")</f>
        <v/>
      </c>
      <c r="AF377" s="45" t="n"/>
      <c r="AG377" s="49">
        <f>IFERROR(__xludf.DUMMYFUNCTION("IFNA(vlookup(H377,IMPORTRANGE(""1vUGwO1n0QQGx9kKbO0_M5gmuhXZ6-LaxQxgrmJnzgP0"",""'TP# look up'!A:C""),3,0),"""")"),"")</f>
        <v/>
      </c>
      <c r="AH377" s="49">
        <f>LEFT(J377,2)</f>
        <v/>
      </c>
    </row>
    <row r="378" hidden="1" ht="12.75" customHeight="1">
      <c r="A378" s="45">
        <f>IFERROR(__xludf.DUMMYFUNCTION("""COMPUTED_VALUE"""),"Colombo")</f>
        <v/>
      </c>
      <c r="B378" s="45" t="n"/>
      <c r="C378" s="45">
        <f>IFERROR(__xludf.DUMMYFUNCTION("""COMPUTED_VALUE"""),3254506)</f>
        <v/>
      </c>
      <c r="D378" s="45" t="n"/>
      <c r="E378" s="45">
        <f>IFERROR(__xludf.DUMMYFUNCTION("""COMPUTED_VALUE"""),"CFS")</f>
        <v/>
      </c>
      <c r="F378" s="45">
        <f>IFERROR(__xludf.DUMMYFUNCTION("""COMPUTED_VALUE"""),"MAS AMITY PTE LTD")</f>
        <v/>
      </c>
      <c r="G378" s="45">
        <f>IFERROR(__xludf.DUMMYFUNCTION("""COMPUTED_VALUE"""),"MAS Active (Pvt) Ltd – Sleekline")</f>
        <v/>
      </c>
      <c r="H378" s="43">
        <f>IFERROR(__xludf.DUMMYFUNCTION("""COMPUTED_VALUE"""),452852455212)</f>
        <v/>
      </c>
      <c r="I378" s="45">
        <f>IFERROR(__xludf.DUMMYFUNCTION("""COMPUTED_VALUE"""),19922488)</f>
        <v/>
      </c>
      <c r="J378" s="45">
        <f>IFERROR(__xludf.DUMMYFUNCTION("""COMPUTED_VALUE"""),"LM9AYLS")</f>
        <v/>
      </c>
      <c r="K378" s="45">
        <f>IFERROR(__xludf.DUMMYFUNCTION("""COMPUTED_VALUE"""),"LM9AYLS-0001")</f>
        <v/>
      </c>
      <c r="L378" s="45">
        <f>IFERROR(__xludf.DUMMYFUNCTION("""COMPUTED_VALUE"""),2)</f>
        <v/>
      </c>
      <c r="M378" s="45">
        <f>IFERROR(__xludf.DUMMYFUNCTION("""COMPUTED_VALUE"""),146)</f>
        <v/>
      </c>
      <c r="N378" s="45">
        <f>IFERROR(__xludf.DUMMYFUNCTION("""COMPUTED_VALUE"""),14.43)</f>
        <v/>
      </c>
      <c r="O378" s="45">
        <f>IFERROR(__xludf.DUMMYFUNCTION("""COMPUTED_VALUE"""),0.119)</f>
        <v/>
      </c>
      <c r="P378" s="45">
        <f>IFERROR(__xludf.DUMMYFUNCTION("""COMPUTED_VALUE"""),"Colombo, LK")</f>
        <v/>
      </c>
      <c r="Q378" s="45">
        <f>IFERROR(__xludf.DUMMYFUNCTION("""COMPUTED_VALUE"""),"New York, NY, US")</f>
        <v/>
      </c>
      <c r="R378" s="44">
        <f>IFERROR(__xludf.DUMMYFUNCTION("""COMPUTED_VALUE"""),45824)</f>
        <v/>
      </c>
      <c r="S378" s="44">
        <f>IFERROR(__xludf.DUMMYFUNCTION("""COMPUTED_VALUE"""),45883)</f>
        <v/>
      </c>
      <c r="T378" s="45">
        <f>IFERROR(__xludf.DUMMYFUNCTION("""COMPUTED_VALUE"""),"Mississauga, ON, CA")</f>
        <v/>
      </c>
      <c r="U378" s="45" t="n"/>
      <c r="V378" s="45" t="n"/>
      <c r="W378" s="45" t="n"/>
      <c r="X378" s="45" t="n"/>
      <c r="Y378" s="46">
        <f>IFERROR(__xludf.DUMMYFUNCTION("""COMPUTED_VALUE"""),45832)</f>
        <v/>
      </c>
      <c r="Z378" s="46">
        <f>IFERROR(__xludf.DUMMYFUNCTION("""COMPUTED_VALUE"""),45861)</f>
        <v/>
      </c>
      <c r="AA378" s="46">
        <f>IFERROR(__xludf.DUMMYFUNCTION("""COMPUTED_VALUE"""),45874)</f>
        <v/>
      </c>
      <c r="AB378" s="45">
        <f>IFERROR(__xludf.DUMMYFUNCTION("""COMPUTED_VALUE"""),"3500 Argentia Road")</f>
        <v/>
      </c>
      <c r="AC378" s="45" t="n"/>
      <c r="AD378" s="45">
        <f>IFERROR(__xludf.DUMMYFUNCTION("""COMPUTED_VALUE"""),"OCEAN")</f>
        <v/>
      </c>
      <c r="AE378" s="45">
        <f>IFERROR(__xludf.DUMMYFUNCTION("""COMPUTED_VALUE"""),"N")</f>
        <v/>
      </c>
      <c r="AF378" s="45" t="n"/>
      <c r="AG378" s="49">
        <f>IFERROR(__xludf.DUMMYFUNCTION("IFNA(vlookup(H378,IMPORTRANGE(""1vUGwO1n0QQGx9kKbO0_M5gmuhXZ6-LaxQxgrmJnzgP0"",""'TP# look up'!A:C""),3,0),"""")"),"")</f>
        <v/>
      </c>
      <c r="AH378" s="49">
        <f>LEFT(J378,2)</f>
        <v/>
      </c>
    </row>
    <row r="379" hidden="1" ht="12.75" customHeight="1">
      <c r="A379" s="45">
        <f>IFERROR(__xludf.DUMMYFUNCTION("""COMPUTED_VALUE"""),"Colombo")</f>
        <v/>
      </c>
      <c r="B379" s="45" t="n"/>
      <c r="C379" s="45">
        <f>IFERROR(__xludf.DUMMYFUNCTION("""COMPUTED_VALUE"""),3254506)</f>
        <v/>
      </c>
      <c r="D379" s="45" t="n"/>
      <c r="E379" s="45">
        <f>IFERROR(__xludf.DUMMYFUNCTION("""COMPUTED_VALUE"""),"CFS")</f>
        <v/>
      </c>
      <c r="F379" s="45">
        <f>IFERROR(__xludf.DUMMYFUNCTION("""COMPUTED_VALUE"""),"MAS AMITY PTE LTD")</f>
        <v/>
      </c>
      <c r="G379" s="45">
        <f>IFERROR(__xludf.DUMMYFUNCTION("""COMPUTED_VALUE"""),"MAS Active (Pvt) Ltd – Sleekline")</f>
        <v/>
      </c>
      <c r="H379" s="43">
        <f>IFERROR(__xludf.DUMMYFUNCTION("""COMPUTED_VALUE"""),452853430838)</f>
        <v/>
      </c>
      <c r="I379" s="45">
        <f>IFERROR(__xludf.DUMMYFUNCTION("""COMPUTED_VALUE"""),19922489)</f>
        <v/>
      </c>
      <c r="J379" s="45">
        <f>IFERROR(__xludf.DUMMYFUNCTION("""COMPUTED_VALUE"""),"LM9AYLS")</f>
        <v/>
      </c>
      <c r="K379" s="45">
        <f>IFERROR(__xludf.DUMMYFUNCTION("""COMPUTED_VALUE"""),"LM9AYLS-0001")</f>
        <v/>
      </c>
      <c r="L379" s="45">
        <f>IFERROR(__xludf.DUMMYFUNCTION("""COMPUTED_VALUE"""),1)</f>
        <v/>
      </c>
      <c r="M379" s="45">
        <f>IFERROR(__xludf.DUMMYFUNCTION("""COMPUTED_VALUE"""),85)</f>
        <v/>
      </c>
      <c r="N379" s="45">
        <f>IFERROR(__xludf.DUMMYFUNCTION("""COMPUTED_VALUE"""),8.35)</f>
        <v/>
      </c>
      <c r="O379" s="45">
        <f>IFERROR(__xludf.DUMMYFUNCTION("""COMPUTED_VALUE"""),0.079)</f>
        <v/>
      </c>
      <c r="P379" s="45">
        <f>IFERROR(__xludf.DUMMYFUNCTION("""COMPUTED_VALUE"""),"Colombo, LK")</f>
        <v/>
      </c>
      <c r="Q379" s="45">
        <f>IFERROR(__xludf.DUMMYFUNCTION("""COMPUTED_VALUE"""),"New York, NY, US")</f>
        <v/>
      </c>
      <c r="R379" s="44">
        <f>IFERROR(__xludf.DUMMYFUNCTION("""COMPUTED_VALUE"""),45824)</f>
        <v/>
      </c>
      <c r="S379" s="44">
        <f>IFERROR(__xludf.DUMMYFUNCTION("""COMPUTED_VALUE"""),45883)</f>
        <v/>
      </c>
      <c r="T379" s="45">
        <f>IFERROR(__xludf.DUMMYFUNCTION("""COMPUTED_VALUE"""),"Mississauga, ON, CA")</f>
        <v/>
      </c>
      <c r="U379" s="45" t="n"/>
      <c r="V379" s="45" t="n"/>
      <c r="W379" s="45" t="n"/>
      <c r="X379" s="45" t="n"/>
      <c r="Y379" s="46">
        <f>IFERROR(__xludf.DUMMYFUNCTION("""COMPUTED_VALUE"""),45832)</f>
        <v/>
      </c>
      <c r="Z379" s="46">
        <f>IFERROR(__xludf.DUMMYFUNCTION("""COMPUTED_VALUE"""),45861)</f>
        <v/>
      </c>
      <c r="AA379" s="46">
        <f>IFERROR(__xludf.DUMMYFUNCTION("""COMPUTED_VALUE"""),45874)</f>
        <v/>
      </c>
      <c r="AB379" s="45">
        <f>IFERROR(__xludf.DUMMYFUNCTION("""COMPUTED_VALUE"""),"3500 Argentia Road")</f>
        <v/>
      </c>
      <c r="AC379" s="45" t="n"/>
      <c r="AD379" s="45">
        <f>IFERROR(__xludf.DUMMYFUNCTION("""COMPUTED_VALUE"""),"OCEAN")</f>
        <v/>
      </c>
      <c r="AE379" s="45">
        <f>IFERROR(__xludf.DUMMYFUNCTION("""COMPUTED_VALUE"""),"N")</f>
        <v/>
      </c>
      <c r="AF379" s="45" t="n"/>
      <c r="AG379" s="49">
        <f>IFERROR(__xludf.DUMMYFUNCTION("IFNA(vlookup(H379,IMPORTRANGE(""1vUGwO1n0QQGx9kKbO0_M5gmuhXZ6-LaxQxgrmJnzgP0"",""'TP# look up'!A:C""),3,0),"""")"),"")</f>
        <v/>
      </c>
      <c r="AH379" s="49">
        <f>LEFT(J379,2)</f>
        <v/>
      </c>
    </row>
    <row r="380" hidden="1" ht="12.75" customHeight="1">
      <c r="A380" s="45">
        <f>IFERROR(__xludf.DUMMYFUNCTION("""COMPUTED_VALUE"""),"Colombo")</f>
        <v/>
      </c>
      <c r="B380" s="45" t="n"/>
      <c r="C380" s="45">
        <f>IFERROR(__xludf.DUMMYFUNCTION("""COMPUTED_VALUE"""),3254506)</f>
        <v/>
      </c>
      <c r="D380" s="45" t="n"/>
      <c r="E380" s="45">
        <f>IFERROR(__xludf.DUMMYFUNCTION("""COMPUTED_VALUE"""),"CFS")</f>
        <v/>
      </c>
      <c r="F380" s="45">
        <f>IFERROR(__xludf.DUMMYFUNCTION("""COMPUTED_VALUE"""),"MAS AMITY PTE LTD")</f>
        <v/>
      </c>
      <c r="G380" s="45">
        <f>IFERROR(__xludf.DUMMYFUNCTION("""COMPUTED_VALUE"""),"MAS Active (Pvt) Ltd – Sleekline")</f>
        <v/>
      </c>
      <c r="H380" s="43">
        <f>IFERROR(__xludf.DUMMYFUNCTION("""COMPUTED_VALUE"""),452853541122)</f>
        <v/>
      </c>
      <c r="I380" s="45">
        <f>IFERROR(__xludf.DUMMYFUNCTION("""COMPUTED_VALUE"""),19926806)</f>
        <v/>
      </c>
      <c r="J380" s="45">
        <f>IFERROR(__xludf.DUMMYFUNCTION("""COMPUTED_VALUE"""),"LM9AY9S")</f>
        <v/>
      </c>
      <c r="K380" s="45">
        <f>IFERROR(__xludf.DUMMYFUNCTION("""COMPUTED_VALUE"""),"LM9AY9S-042751")</f>
        <v/>
      </c>
      <c r="L380" s="45">
        <f>IFERROR(__xludf.DUMMYFUNCTION("""COMPUTED_VALUE"""),2)</f>
        <v/>
      </c>
      <c r="M380" s="45">
        <f>IFERROR(__xludf.DUMMYFUNCTION("""COMPUTED_VALUE"""),73)</f>
        <v/>
      </c>
      <c r="N380" s="45">
        <f>IFERROR(__xludf.DUMMYFUNCTION("""COMPUTED_VALUE"""),21.71)</f>
        <v/>
      </c>
      <c r="O380" s="45">
        <f>IFERROR(__xludf.DUMMYFUNCTION("""COMPUTED_VALUE"""),0.159)</f>
        <v/>
      </c>
      <c r="P380" s="45">
        <f>IFERROR(__xludf.DUMMYFUNCTION("""COMPUTED_VALUE"""),"Colombo, LK")</f>
        <v/>
      </c>
      <c r="Q380" s="45">
        <f>IFERROR(__xludf.DUMMYFUNCTION("""COMPUTED_VALUE"""),"New York, NY, US")</f>
        <v/>
      </c>
      <c r="R380" s="44">
        <f>IFERROR(__xludf.DUMMYFUNCTION("""COMPUTED_VALUE"""),45824)</f>
        <v/>
      </c>
      <c r="S380" s="44">
        <f>IFERROR(__xludf.DUMMYFUNCTION("""COMPUTED_VALUE"""),45883)</f>
        <v/>
      </c>
      <c r="T380" s="45">
        <f>IFERROR(__xludf.DUMMYFUNCTION("""COMPUTED_VALUE"""),"Mississauga, ON, CA")</f>
        <v/>
      </c>
      <c r="U380" s="45" t="n"/>
      <c r="V380" s="45" t="n"/>
      <c r="W380" s="45" t="n"/>
      <c r="X380" s="45" t="n"/>
      <c r="Y380" s="46">
        <f>IFERROR(__xludf.DUMMYFUNCTION("""COMPUTED_VALUE"""),45832)</f>
        <v/>
      </c>
      <c r="Z380" s="46">
        <f>IFERROR(__xludf.DUMMYFUNCTION("""COMPUTED_VALUE"""),45861)</f>
        <v/>
      </c>
      <c r="AA380" s="46">
        <f>IFERROR(__xludf.DUMMYFUNCTION("""COMPUTED_VALUE"""),45874)</f>
        <v/>
      </c>
      <c r="AB380" s="45">
        <f>IFERROR(__xludf.DUMMYFUNCTION("""COMPUTED_VALUE"""),"3500 Argentia Road")</f>
        <v/>
      </c>
      <c r="AC380" s="45" t="n"/>
      <c r="AD380" s="45">
        <f>IFERROR(__xludf.DUMMYFUNCTION("""COMPUTED_VALUE"""),"OCEAN")</f>
        <v/>
      </c>
      <c r="AE380" s="45">
        <f>IFERROR(__xludf.DUMMYFUNCTION("""COMPUTED_VALUE"""),"N")</f>
        <v/>
      </c>
      <c r="AF380" s="45" t="n"/>
      <c r="AG380" s="49">
        <f>IFERROR(__xludf.DUMMYFUNCTION("IFNA(vlookup(H380,IMPORTRANGE(""1vUGwO1n0QQGx9kKbO0_M5gmuhXZ6-LaxQxgrmJnzgP0"",""'TP# look up'!A:C""),3,0),"""")"),"")</f>
        <v/>
      </c>
      <c r="AH380" s="49">
        <f>LEFT(J380,2)</f>
        <v/>
      </c>
    </row>
    <row r="381" hidden="1" ht="12.75" customHeight="1">
      <c r="A381" s="45">
        <f>IFERROR(__xludf.DUMMYFUNCTION("""COMPUTED_VALUE"""),"Colombo")</f>
        <v/>
      </c>
      <c r="B381" s="45" t="n"/>
      <c r="C381" s="45">
        <f>IFERROR(__xludf.DUMMYFUNCTION("""COMPUTED_VALUE"""),3254506)</f>
        <v/>
      </c>
      <c r="D381" s="45" t="n"/>
      <c r="E381" s="45">
        <f>IFERROR(__xludf.DUMMYFUNCTION("""COMPUTED_VALUE"""),"CFS")</f>
        <v/>
      </c>
      <c r="F381" s="45">
        <f>IFERROR(__xludf.DUMMYFUNCTION("""COMPUTED_VALUE"""),"MAS AMITY PTE LTD")</f>
        <v/>
      </c>
      <c r="G381" s="45">
        <f>IFERROR(__xludf.DUMMYFUNCTION("""COMPUTED_VALUE"""),"MAS Active (Pvt) Ltd – Sleekline")</f>
        <v/>
      </c>
      <c r="H381" s="43">
        <f>IFERROR(__xludf.DUMMYFUNCTION("""COMPUTED_VALUE"""),452854030967)</f>
        <v/>
      </c>
      <c r="I381" s="45">
        <f>IFERROR(__xludf.DUMMYFUNCTION("""COMPUTED_VALUE"""),19926805)</f>
        <v/>
      </c>
      <c r="J381" s="45">
        <f>IFERROR(__xludf.DUMMYFUNCTION("""COMPUTED_VALUE"""),"LM9AY9S")</f>
        <v/>
      </c>
      <c r="K381" s="45">
        <f>IFERROR(__xludf.DUMMYFUNCTION("""COMPUTED_VALUE"""),"LM9AY9S-042751")</f>
        <v/>
      </c>
      <c r="L381" s="45">
        <f>IFERROR(__xludf.DUMMYFUNCTION("""COMPUTED_VALUE"""),3)</f>
        <v/>
      </c>
      <c r="M381" s="45">
        <f>IFERROR(__xludf.DUMMYFUNCTION("""COMPUTED_VALUE"""),149)</f>
        <v/>
      </c>
      <c r="N381" s="45">
        <f>IFERROR(__xludf.DUMMYFUNCTION("""COMPUTED_VALUE"""),43.12)</f>
        <v/>
      </c>
      <c r="O381" s="45">
        <f>IFERROR(__xludf.DUMMYFUNCTION("""COMPUTED_VALUE"""),0.238)</f>
        <v/>
      </c>
      <c r="P381" s="45">
        <f>IFERROR(__xludf.DUMMYFUNCTION("""COMPUTED_VALUE"""),"Colombo, LK")</f>
        <v/>
      </c>
      <c r="Q381" s="45">
        <f>IFERROR(__xludf.DUMMYFUNCTION("""COMPUTED_VALUE"""),"New York, NY, US")</f>
        <v/>
      </c>
      <c r="R381" s="44">
        <f>IFERROR(__xludf.DUMMYFUNCTION("""COMPUTED_VALUE"""),45824)</f>
        <v/>
      </c>
      <c r="S381" s="44">
        <f>IFERROR(__xludf.DUMMYFUNCTION("""COMPUTED_VALUE"""),45883)</f>
        <v/>
      </c>
      <c r="T381" s="45">
        <f>IFERROR(__xludf.DUMMYFUNCTION("""COMPUTED_VALUE"""),"Mississauga, ON, CA")</f>
        <v/>
      </c>
      <c r="U381" s="45" t="n"/>
      <c r="V381" s="45" t="n"/>
      <c r="W381" s="45" t="n"/>
      <c r="X381" s="45" t="n"/>
      <c r="Y381" s="46">
        <f>IFERROR(__xludf.DUMMYFUNCTION("""COMPUTED_VALUE"""),45832)</f>
        <v/>
      </c>
      <c r="Z381" s="46">
        <f>IFERROR(__xludf.DUMMYFUNCTION("""COMPUTED_VALUE"""),45861)</f>
        <v/>
      </c>
      <c r="AA381" s="46">
        <f>IFERROR(__xludf.DUMMYFUNCTION("""COMPUTED_VALUE"""),45874)</f>
        <v/>
      </c>
      <c r="AB381" s="45">
        <f>IFERROR(__xludf.DUMMYFUNCTION("""COMPUTED_VALUE"""),"3500 Argentia Road")</f>
        <v/>
      </c>
      <c r="AC381" s="45" t="n"/>
      <c r="AD381" s="45">
        <f>IFERROR(__xludf.DUMMYFUNCTION("""COMPUTED_VALUE"""),"OCEAN")</f>
        <v/>
      </c>
      <c r="AE381" s="45">
        <f>IFERROR(__xludf.DUMMYFUNCTION("""COMPUTED_VALUE"""),"N")</f>
        <v/>
      </c>
      <c r="AF381" s="45" t="n"/>
      <c r="AG381" s="49">
        <f>IFERROR(__xludf.DUMMYFUNCTION("IFNA(vlookup(H381,IMPORTRANGE(""1vUGwO1n0QQGx9kKbO0_M5gmuhXZ6-LaxQxgrmJnzgP0"",""'TP# look up'!A:C""),3,0),"""")"),"")</f>
        <v/>
      </c>
      <c r="AH381" s="49">
        <f>LEFT(J381,2)</f>
        <v/>
      </c>
    </row>
    <row r="382" hidden="1" ht="12.75" customHeight="1">
      <c r="A382" s="45">
        <f>IFERROR(__xludf.DUMMYFUNCTION("""COMPUTED_VALUE"""),"Colombo")</f>
        <v/>
      </c>
      <c r="B382" s="45" t="n"/>
      <c r="C382" s="45">
        <f>IFERROR(__xludf.DUMMYFUNCTION("""COMPUTED_VALUE"""),3254506)</f>
        <v/>
      </c>
      <c r="D382" s="45" t="n"/>
      <c r="E382" s="45">
        <f>IFERROR(__xludf.DUMMYFUNCTION("""COMPUTED_VALUE"""),"CFS")</f>
        <v/>
      </c>
      <c r="F382" s="45">
        <f>IFERROR(__xludf.DUMMYFUNCTION("""COMPUTED_VALUE"""),"MAS AMITY PTE LTD")</f>
        <v/>
      </c>
      <c r="G382" s="45">
        <f>IFERROR(__xludf.DUMMYFUNCTION("""COMPUTED_VALUE"""),"MAS Active (Pvt) Ltd – Sleekline")</f>
        <v/>
      </c>
      <c r="H382" s="43">
        <f>IFERROR(__xludf.DUMMYFUNCTION("""COMPUTED_VALUE"""),452856319907)</f>
        <v/>
      </c>
      <c r="I382" s="45">
        <f>IFERROR(__xludf.DUMMYFUNCTION("""COMPUTED_VALUE"""),19926822)</f>
        <v/>
      </c>
      <c r="J382" s="45">
        <f>IFERROR(__xludf.DUMMYFUNCTION("""COMPUTED_VALUE"""),"LM9AYES")</f>
        <v/>
      </c>
      <c r="K382" s="45">
        <f>IFERROR(__xludf.DUMMYFUNCTION("""COMPUTED_VALUE"""),"LM9AYES-071856")</f>
        <v/>
      </c>
      <c r="L382" s="45">
        <f>IFERROR(__xludf.DUMMYFUNCTION("""COMPUTED_VALUE"""),6)</f>
        <v/>
      </c>
      <c r="M382" s="45">
        <f>IFERROR(__xludf.DUMMYFUNCTION("""COMPUTED_VALUE"""),113)</f>
        <v/>
      </c>
      <c r="N382" s="45">
        <f>IFERROR(__xludf.DUMMYFUNCTION("""COMPUTED_VALUE"""),54.42)</f>
        <v/>
      </c>
      <c r="O382" s="45">
        <f>IFERROR(__xludf.DUMMYFUNCTION("""COMPUTED_VALUE"""),0.436)</f>
        <v/>
      </c>
      <c r="P382" s="45">
        <f>IFERROR(__xludf.DUMMYFUNCTION("""COMPUTED_VALUE"""),"Colombo, LK")</f>
        <v/>
      </c>
      <c r="Q382" s="45">
        <f>IFERROR(__xludf.DUMMYFUNCTION("""COMPUTED_VALUE"""),"New York, NY, US")</f>
        <v/>
      </c>
      <c r="R382" s="44">
        <f>IFERROR(__xludf.DUMMYFUNCTION("""COMPUTED_VALUE"""),45824)</f>
        <v/>
      </c>
      <c r="S382" s="44">
        <f>IFERROR(__xludf.DUMMYFUNCTION("""COMPUTED_VALUE"""),45883)</f>
        <v/>
      </c>
      <c r="T382" s="45">
        <f>IFERROR(__xludf.DUMMYFUNCTION("""COMPUTED_VALUE"""),"Mississauga, ON, CA")</f>
        <v/>
      </c>
      <c r="U382" s="45" t="n"/>
      <c r="V382" s="45" t="n"/>
      <c r="W382" s="45" t="n"/>
      <c r="X382" s="45" t="n"/>
      <c r="Y382" s="46">
        <f>IFERROR(__xludf.DUMMYFUNCTION("""COMPUTED_VALUE"""),45832)</f>
        <v/>
      </c>
      <c r="Z382" s="46">
        <f>IFERROR(__xludf.DUMMYFUNCTION("""COMPUTED_VALUE"""),45861)</f>
        <v/>
      </c>
      <c r="AA382" s="46">
        <f>IFERROR(__xludf.DUMMYFUNCTION("""COMPUTED_VALUE"""),45874)</f>
        <v/>
      </c>
      <c r="AB382" s="45">
        <f>IFERROR(__xludf.DUMMYFUNCTION("""COMPUTED_VALUE"""),"3500 Argentia Road")</f>
        <v/>
      </c>
      <c r="AC382" s="45" t="n"/>
      <c r="AD382" s="45">
        <f>IFERROR(__xludf.DUMMYFUNCTION("""COMPUTED_VALUE"""),"OCEAN")</f>
        <v/>
      </c>
      <c r="AE382" s="45">
        <f>IFERROR(__xludf.DUMMYFUNCTION("""COMPUTED_VALUE"""),"N")</f>
        <v/>
      </c>
      <c r="AF382" s="45" t="n"/>
      <c r="AG382" s="49">
        <f>IFERROR(__xludf.DUMMYFUNCTION("IFNA(vlookup(H382,IMPORTRANGE(""1vUGwO1n0QQGx9kKbO0_M5gmuhXZ6-LaxQxgrmJnzgP0"",""'TP# look up'!A:C""),3,0),"""")"),"")</f>
        <v/>
      </c>
      <c r="AH382" s="49">
        <f>LEFT(J382,2)</f>
        <v/>
      </c>
    </row>
    <row r="383" hidden="1" ht="12.75" customHeight="1">
      <c r="A383" s="45">
        <f>IFERROR(__xludf.DUMMYFUNCTION("""COMPUTED_VALUE"""),"Colombo")</f>
        <v/>
      </c>
      <c r="B383" s="45" t="n"/>
      <c r="C383" s="45">
        <f>IFERROR(__xludf.DUMMYFUNCTION("""COMPUTED_VALUE"""),3254506)</f>
        <v/>
      </c>
      <c r="D383" s="45" t="n"/>
      <c r="E383" s="45">
        <f>IFERROR(__xludf.DUMMYFUNCTION("""COMPUTED_VALUE"""),"CFS")</f>
        <v/>
      </c>
      <c r="F383" s="45">
        <f>IFERROR(__xludf.DUMMYFUNCTION("""COMPUTED_VALUE"""),"MAS AMITY PTE LTD")</f>
        <v/>
      </c>
      <c r="G383" s="45">
        <f>IFERROR(__xludf.DUMMYFUNCTION("""COMPUTED_VALUE"""),"MAS Active (Pvt) Ltd – Sleekline")</f>
        <v/>
      </c>
      <c r="H383" s="43">
        <f>IFERROR(__xludf.DUMMYFUNCTION("""COMPUTED_VALUE"""),452858135232)</f>
        <v/>
      </c>
      <c r="I383" s="45">
        <f>IFERROR(__xludf.DUMMYFUNCTION("""COMPUTED_VALUE"""),19926952)</f>
        <v/>
      </c>
      <c r="J383" s="45">
        <f>IFERROR(__xludf.DUMMYFUNCTION("""COMPUTED_VALUE"""),"LM9AMVS")</f>
        <v/>
      </c>
      <c r="K383" s="45">
        <f>IFERROR(__xludf.DUMMYFUNCTION("""COMPUTED_VALUE"""),"LM9AMVS-072079")</f>
        <v/>
      </c>
      <c r="L383" s="45">
        <f>IFERROR(__xludf.DUMMYFUNCTION("""COMPUTED_VALUE"""),4)</f>
        <v/>
      </c>
      <c r="M383" s="45">
        <f>IFERROR(__xludf.DUMMYFUNCTION("""COMPUTED_VALUE"""),147)</f>
        <v/>
      </c>
      <c r="N383" s="45">
        <f>IFERROR(__xludf.DUMMYFUNCTION("""COMPUTED_VALUE"""),49.6)</f>
        <v/>
      </c>
      <c r="O383" s="45">
        <f>IFERROR(__xludf.DUMMYFUNCTION("""COMPUTED_VALUE"""),0.317)</f>
        <v/>
      </c>
      <c r="P383" s="45">
        <f>IFERROR(__xludf.DUMMYFUNCTION("""COMPUTED_VALUE"""),"Colombo, LK")</f>
        <v/>
      </c>
      <c r="Q383" s="45">
        <f>IFERROR(__xludf.DUMMYFUNCTION("""COMPUTED_VALUE"""),"New York, NY, US")</f>
        <v/>
      </c>
      <c r="R383" s="44">
        <f>IFERROR(__xludf.DUMMYFUNCTION("""COMPUTED_VALUE"""),45824)</f>
        <v/>
      </c>
      <c r="S383" s="44">
        <f>IFERROR(__xludf.DUMMYFUNCTION("""COMPUTED_VALUE"""),45883)</f>
        <v/>
      </c>
      <c r="T383" s="45">
        <f>IFERROR(__xludf.DUMMYFUNCTION("""COMPUTED_VALUE"""),"Mississauga, ON, CA")</f>
        <v/>
      </c>
      <c r="U383" s="45" t="n"/>
      <c r="V383" s="45" t="n"/>
      <c r="W383" s="45" t="n"/>
      <c r="X383" s="45" t="n"/>
      <c r="Y383" s="46">
        <f>IFERROR(__xludf.DUMMYFUNCTION("""COMPUTED_VALUE"""),45832)</f>
        <v/>
      </c>
      <c r="Z383" s="46">
        <f>IFERROR(__xludf.DUMMYFUNCTION("""COMPUTED_VALUE"""),45861)</f>
        <v/>
      </c>
      <c r="AA383" s="46">
        <f>IFERROR(__xludf.DUMMYFUNCTION("""COMPUTED_VALUE"""),45874)</f>
        <v/>
      </c>
      <c r="AB383" s="45">
        <f>IFERROR(__xludf.DUMMYFUNCTION("""COMPUTED_VALUE"""),"3500 Argentia Road")</f>
        <v/>
      </c>
      <c r="AC383" s="45" t="n"/>
      <c r="AD383" s="45">
        <f>IFERROR(__xludf.DUMMYFUNCTION("""COMPUTED_VALUE"""),"OCEAN")</f>
        <v/>
      </c>
      <c r="AE383" s="45">
        <f>IFERROR(__xludf.DUMMYFUNCTION("""COMPUTED_VALUE"""),"N")</f>
        <v/>
      </c>
      <c r="AF383" s="45" t="n"/>
      <c r="AG383" s="49">
        <f>IFERROR(__xludf.DUMMYFUNCTION("IFNA(vlookup(H383,IMPORTRANGE(""1vUGwO1n0QQGx9kKbO0_M5gmuhXZ6-LaxQxgrmJnzgP0"",""'TP# look up'!A:C""),3,0),"""")"),"")</f>
        <v/>
      </c>
      <c r="AH383" s="49">
        <f>LEFT(J383,2)</f>
        <v/>
      </c>
    </row>
    <row r="384" hidden="1" ht="12.75" customHeight="1">
      <c r="A384" s="45">
        <f>IFERROR(__xludf.DUMMYFUNCTION("""COMPUTED_VALUE"""),"Colombo")</f>
        <v/>
      </c>
      <c r="B384" s="45" t="n"/>
      <c r="C384" s="45">
        <f>IFERROR(__xludf.DUMMYFUNCTION("""COMPUTED_VALUE"""),3254506)</f>
        <v/>
      </c>
      <c r="D384" s="45" t="n"/>
      <c r="E384" s="45">
        <f>IFERROR(__xludf.DUMMYFUNCTION("""COMPUTED_VALUE"""),"CFS")</f>
        <v/>
      </c>
      <c r="F384" s="45">
        <f>IFERROR(__xludf.DUMMYFUNCTION("""COMPUTED_VALUE"""),"MAS AMITY PTE LTD")</f>
        <v/>
      </c>
      <c r="G384" s="45">
        <f>IFERROR(__xludf.DUMMYFUNCTION("""COMPUTED_VALUE"""),"MAS Active (Pvt) Ltd – Sleekline")</f>
        <v/>
      </c>
      <c r="H384" s="43">
        <f>IFERROR(__xludf.DUMMYFUNCTION("""COMPUTED_VALUE"""),452859992323)</f>
        <v/>
      </c>
      <c r="I384" s="45">
        <f>IFERROR(__xludf.DUMMYFUNCTION("""COMPUTED_VALUE"""),19927038)</f>
        <v/>
      </c>
      <c r="J384" s="45">
        <f>IFERROR(__xludf.DUMMYFUNCTION("""COMPUTED_VALUE"""),"LM9AN5S")</f>
        <v/>
      </c>
      <c r="K384" s="45">
        <f>IFERROR(__xludf.DUMMYFUNCTION("""COMPUTED_VALUE"""),"LM9AN5S-045958")</f>
        <v/>
      </c>
      <c r="L384" s="45">
        <f>IFERROR(__xludf.DUMMYFUNCTION("""COMPUTED_VALUE"""),7)</f>
        <v/>
      </c>
      <c r="M384" s="45">
        <f>IFERROR(__xludf.DUMMYFUNCTION("""COMPUTED_VALUE"""),171)</f>
        <v/>
      </c>
      <c r="N384" s="45">
        <f>IFERROR(__xludf.DUMMYFUNCTION("""COMPUTED_VALUE"""),95.01)</f>
        <v/>
      </c>
      <c r="O384" s="45">
        <f>IFERROR(__xludf.DUMMYFUNCTION("""COMPUTED_VALUE"""),0.555)</f>
        <v/>
      </c>
      <c r="P384" s="45">
        <f>IFERROR(__xludf.DUMMYFUNCTION("""COMPUTED_VALUE"""),"Colombo, LK")</f>
        <v/>
      </c>
      <c r="Q384" s="45">
        <f>IFERROR(__xludf.DUMMYFUNCTION("""COMPUTED_VALUE"""),"New York, NY, US")</f>
        <v/>
      </c>
      <c r="R384" s="44">
        <f>IFERROR(__xludf.DUMMYFUNCTION("""COMPUTED_VALUE"""),45824)</f>
        <v/>
      </c>
      <c r="S384" s="44">
        <f>IFERROR(__xludf.DUMMYFUNCTION("""COMPUTED_VALUE"""),45883)</f>
        <v/>
      </c>
      <c r="T384" s="45">
        <f>IFERROR(__xludf.DUMMYFUNCTION("""COMPUTED_VALUE"""),"Mississauga, ON, CA")</f>
        <v/>
      </c>
      <c r="U384" s="45" t="n"/>
      <c r="V384" s="45" t="n"/>
      <c r="W384" s="45" t="n"/>
      <c r="X384" s="45" t="n"/>
      <c r="Y384" s="46">
        <f>IFERROR(__xludf.DUMMYFUNCTION("""COMPUTED_VALUE"""),45832)</f>
        <v/>
      </c>
      <c r="Z384" s="46">
        <f>IFERROR(__xludf.DUMMYFUNCTION("""COMPUTED_VALUE"""),45861)</f>
        <v/>
      </c>
      <c r="AA384" s="46">
        <f>IFERROR(__xludf.DUMMYFUNCTION("""COMPUTED_VALUE"""),45874)</f>
        <v/>
      </c>
      <c r="AB384" s="45">
        <f>IFERROR(__xludf.DUMMYFUNCTION("""COMPUTED_VALUE"""),"3500 Argentia Road")</f>
        <v/>
      </c>
      <c r="AC384" s="45" t="n"/>
      <c r="AD384" s="45">
        <f>IFERROR(__xludf.DUMMYFUNCTION("""COMPUTED_VALUE"""),"OCEAN")</f>
        <v/>
      </c>
      <c r="AE384" s="45">
        <f>IFERROR(__xludf.DUMMYFUNCTION("""COMPUTED_VALUE"""),"N")</f>
        <v/>
      </c>
      <c r="AF384" s="45" t="n"/>
      <c r="AG384" s="49">
        <f>IFERROR(__xludf.DUMMYFUNCTION("IFNA(vlookup(H384,IMPORTRANGE(""1vUGwO1n0QQGx9kKbO0_M5gmuhXZ6-LaxQxgrmJnzgP0"",""'TP# look up'!A:C""),3,0),"""")"),"")</f>
        <v/>
      </c>
      <c r="AH384" s="49">
        <f>LEFT(J384,2)</f>
        <v/>
      </c>
    </row>
    <row r="385" hidden="1" ht="12.75" customHeight="1">
      <c r="A385" s="45">
        <f>IFERROR(__xludf.DUMMYFUNCTION("""COMPUTED_VALUE"""),"Colombo")</f>
        <v/>
      </c>
      <c r="B385" s="45" t="n"/>
      <c r="C385" s="45">
        <f>IFERROR(__xludf.DUMMYFUNCTION("""COMPUTED_VALUE"""),3254506)</f>
        <v/>
      </c>
      <c r="D385" s="45" t="n"/>
      <c r="E385" s="45">
        <f>IFERROR(__xludf.DUMMYFUNCTION("""COMPUTED_VALUE"""),"CFS")</f>
        <v/>
      </c>
      <c r="F385" s="45">
        <f>IFERROR(__xludf.DUMMYFUNCTION("""COMPUTED_VALUE"""),"MAS AMITY PTE LTD")</f>
        <v/>
      </c>
      <c r="G385" s="45">
        <f>IFERROR(__xludf.DUMMYFUNCTION("""COMPUTED_VALUE"""),"MAS Active (Pvt) Ltd – Sleekline")</f>
        <v/>
      </c>
      <c r="H385" s="43">
        <f>IFERROR(__xludf.DUMMYFUNCTION("""COMPUTED_VALUE"""),452862804612)</f>
        <v/>
      </c>
      <c r="I385" s="45">
        <f>IFERROR(__xludf.DUMMYFUNCTION("""COMPUTED_VALUE"""),19927068)</f>
        <v/>
      </c>
      <c r="J385" s="45">
        <f>IFERROR(__xludf.DUMMYFUNCTION("""COMPUTED_VALUE"""),"LM9AN8S")</f>
        <v/>
      </c>
      <c r="K385" s="45">
        <f>IFERROR(__xludf.DUMMYFUNCTION("""COMPUTED_VALUE"""),"LM9AN8S-072476")</f>
        <v/>
      </c>
      <c r="L385" s="45">
        <f>IFERROR(__xludf.DUMMYFUNCTION("""COMPUTED_VALUE"""),4)</f>
        <v/>
      </c>
      <c r="M385" s="45">
        <f>IFERROR(__xludf.DUMMYFUNCTION("""COMPUTED_VALUE"""),159)</f>
        <v/>
      </c>
      <c r="N385" s="45">
        <f>IFERROR(__xludf.DUMMYFUNCTION("""COMPUTED_VALUE"""),49.04)</f>
        <v/>
      </c>
      <c r="O385" s="45">
        <f>IFERROR(__xludf.DUMMYFUNCTION("""COMPUTED_VALUE"""),0.317)</f>
        <v/>
      </c>
      <c r="P385" s="45">
        <f>IFERROR(__xludf.DUMMYFUNCTION("""COMPUTED_VALUE"""),"Colombo, LK")</f>
        <v/>
      </c>
      <c r="Q385" s="45">
        <f>IFERROR(__xludf.DUMMYFUNCTION("""COMPUTED_VALUE"""),"New York, NY, US")</f>
        <v/>
      </c>
      <c r="R385" s="44">
        <f>IFERROR(__xludf.DUMMYFUNCTION("""COMPUTED_VALUE"""),45824)</f>
        <v/>
      </c>
      <c r="S385" s="44">
        <f>IFERROR(__xludf.DUMMYFUNCTION("""COMPUTED_VALUE"""),45883)</f>
        <v/>
      </c>
      <c r="T385" s="45">
        <f>IFERROR(__xludf.DUMMYFUNCTION("""COMPUTED_VALUE"""),"Mississauga, ON, CA")</f>
        <v/>
      </c>
      <c r="U385" s="45" t="n"/>
      <c r="V385" s="45" t="n"/>
      <c r="W385" s="45" t="n"/>
      <c r="X385" s="45" t="n"/>
      <c r="Y385" s="46">
        <f>IFERROR(__xludf.DUMMYFUNCTION("""COMPUTED_VALUE"""),45832)</f>
        <v/>
      </c>
      <c r="Z385" s="46">
        <f>IFERROR(__xludf.DUMMYFUNCTION("""COMPUTED_VALUE"""),45861)</f>
        <v/>
      </c>
      <c r="AA385" s="46">
        <f>IFERROR(__xludf.DUMMYFUNCTION("""COMPUTED_VALUE"""),45874)</f>
        <v/>
      </c>
      <c r="AB385" s="45">
        <f>IFERROR(__xludf.DUMMYFUNCTION("""COMPUTED_VALUE"""),"3500 Argentia Road")</f>
        <v/>
      </c>
      <c r="AC385" s="45" t="n"/>
      <c r="AD385" s="45">
        <f>IFERROR(__xludf.DUMMYFUNCTION("""COMPUTED_VALUE"""),"OCEAN")</f>
        <v/>
      </c>
      <c r="AE385" s="45">
        <f>IFERROR(__xludf.DUMMYFUNCTION("""COMPUTED_VALUE"""),"N")</f>
        <v/>
      </c>
      <c r="AF385" s="45" t="n"/>
      <c r="AG385" s="49">
        <f>IFERROR(__xludf.DUMMYFUNCTION("IFNA(vlookup(H385,IMPORTRANGE(""1vUGwO1n0QQGx9kKbO0_M5gmuhXZ6-LaxQxgrmJnzgP0"",""'TP# look up'!A:C""),3,0),"""")"),"")</f>
        <v/>
      </c>
      <c r="AH385" s="49">
        <f>LEFT(J385,2)</f>
        <v/>
      </c>
    </row>
    <row r="386" hidden="1" ht="12.75" customHeight="1">
      <c r="A386" s="45">
        <f>IFERROR(__xludf.DUMMYFUNCTION("""COMPUTED_VALUE"""),"Colombo")</f>
        <v/>
      </c>
      <c r="B386" s="45" t="n"/>
      <c r="C386" s="45">
        <f>IFERROR(__xludf.DUMMYFUNCTION("""COMPUTED_VALUE"""),3254506)</f>
        <v/>
      </c>
      <c r="D386" s="45" t="n"/>
      <c r="E386" s="45">
        <f>IFERROR(__xludf.DUMMYFUNCTION("""COMPUTED_VALUE"""),"CFS")</f>
        <v/>
      </c>
      <c r="F386" s="45">
        <f>IFERROR(__xludf.DUMMYFUNCTION("""COMPUTED_VALUE"""),"MAS AMITY PTE LTD")</f>
        <v/>
      </c>
      <c r="G386" s="45">
        <f>IFERROR(__xludf.DUMMYFUNCTION("""COMPUTED_VALUE"""),"MAS Active (Pvt) Ltd – Sleekline")</f>
        <v/>
      </c>
      <c r="H386" s="43">
        <f>IFERROR(__xludf.DUMMYFUNCTION("""COMPUTED_VALUE"""),452865421049)</f>
        <v/>
      </c>
      <c r="I386" s="45">
        <f>IFERROR(__xludf.DUMMYFUNCTION("""COMPUTED_VALUE"""),19935878)</f>
        <v/>
      </c>
      <c r="J386" s="45">
        <f>IFERROR(__xludf.DUMMYFUNCTION("""COMPUTED_VALUE"""),"LM9AUNS")</f>
        <v/>
      </c>
      <c r="K386" s="45">
        <f>IFERROR(__xludf.DUMMYFUNCTION("""COMPUTED_VALUE"""),"LM9AUNS-069918")</f>
        <v/>
      </c>
      <c r="L386" s="45">
        <f>IFERROR(__xludf.DUMMYFUNCTION("""COMPUTED_VALUE"""),2)</f>
        <v/>
      </c>
      <c r="M386" s="45">
        <f>IFERROR(__xludf.DUMMYFUNCTION("""COMPUTED_VALUE"""),74)</f>
        <v/>
      </c>
      <c r="N386" s="45">
        <f>IFERROR(__xludf.DUMMYFUNCTION("""COMPUTED_VALUE"""),18.98)</f>
        <v/>
      </c>
      <c r="O386" s="45">
        <f>IFERROR(__xludf.DUMMYFUNCTION("""COMPUTED_VALUE"""),0.159)</f>
        <v/>
      </c>
      <c r="P386" s="45">
        <f>IFERROR(__xludf.DUMMYFUNCTION("""COMPUTED_VALUE"""),"Colombo, LK")</f>
        <v/>
      </c>
      <c r="Q386" s="45">
        <f>IFERROR(__xludf.DUMMYFUNCTION("""COMPUTED_VALUE"""),"New York, NY, US")</f>
        <v/>
      </c>
      <c r="R386" s="44">
        <f>IFERROR(__xludf.DUMMYFUNCTION("""COMPUTED_VALUE"""),45824)</f>
        <v/>
      </c>
      <c r="S386" s="44">
        <f>IFERROR(__xludf.DUMMYFUNCTION("""COMPUTED_VALUE"""),45883)</f>
        <v/>
      </c>
      <c r="T386" s="45">
        <f>IFERROR(__xludf.DUMMYFUNCTION("""COMPUTED_VALUE"""),"Mississauga, ON, CA")</f>
        <v/>
      </c>
      <c r="U386" s="45" t="n"/>
      <c r="V386" s="45" t="n"/>
      <c r="W386" s="45" t="n"/>
      <c r="X386" s="45" t="n"/>
      <c r="Y386" s="46">
        <f>IFERROR(__xludf.DUMMYFUNCTION("""COMPUTED_VALUE"""),45832)</f>
        <v/>
      </c>
      <c r="Z386" s="46">
        <f>IFERROR(__xludf.DUMMYFUNCTION("""COMPUTED_VALUE"""),45861)</f>
        <v/>
      </c>
      <c r="AA386" s="46">
        <f>IFERROR(__xludf.DUMMYFUNCTION("""COMPUTED_VALUE"""),45874)</f>
        <v/>
      </c>
      <c r="AB386" s="45">
        <f>IFERROR(__xludf.DUMMYFUNCTION("""COMPUTED_VALUE"""),"3500 Argentia Road")</f>
        <v/>
      </c>
      <c r="AC386" s="45" t="n"/>
      <c r="AD386" s="45">
        <f>IFERROR(__xludf.DUMMYFUNCTION("""COMPUTED_VALUE"""),"OCEAN")</f>
        <v/>
      </c>
      <c r="AE386" s="45">
        <f>IFERROR(__xludf.DUMMYFUNCTION("""COMPUTED_VALUE"""),"N")</f>
        <v/>
      </c>
      <c r="AF386" s="45" t="n"/>
      <c r="AG386" s="49">
        <f>IFERROR(__xludf.DUMMYFUNCTION("IFNA(vlookup(H386,IMPORTRANGE(""1vUGwO1n0QQGx9kKbO0_M5gmuhXZ6-LaxQxgrmJnzgP0"",""'TP# look up'!A:C""),3,0),"""")"),"")</f>
        <v/>
      </c>
      <c r="AH386" s="49">
        <f>LEFT(J386,2)</f>
        <v/>
      </c>
    </row>
    <row r="387" hidden="1" ht="12.75" customHeight="1">
      <c r="A387" s="45">
        <f>IFERROR(__xludf.DUMMYFUNCTION("""COMPUTED_VALUE"""),"Colombo")</f>
        <v/>
      </c>
      <c r="B387" s="45" t="n"/>
      <c r="C387" s="45">
        <f>IFERROR(__xludf.DUMMYFUNCTION("""COMPUTED_VALUE"""),3254506)</f>
        <v/>
      </c>
      <c r="D387" s="45" t="n"/>
      <c r="E387" s="45">
        <f>IFERROR(__xludf.DUMMYFUNCTION("""COMPUTED_VALUE"""),"CFS")</f>
        <v/>
      </c>
      <c r="F387" s="45">
        <f>IFERROR(__xludf.DUMMYFUNCTION("""COMPUTED_VALUE"""),"MAS AMITY PTE LTD")</f>
        <v/>
      </c>
      <c r="G387" s="45">
        <f>IFERROR(__xludf.DUMMYFUNCTION("""COMPUTED_VALUE"""),"MAS Active (Pvt) Ltd – Sleekline")</f>
        <v/>
      </c>
      <c r="H387" s="43">
        <f>IFERROR(__xludf.DUMMYFUNCTION("""COMPUTED_VALUE"""),452866507552)</f>
        <v/>
      </c>
      <c r="I387" s="45">
        <f>IFERROR(__xludf.DUMMYFUNCTION("""COMPUTED_VALUE"""),19927133)</f>
        <v/>
      </c>
      <c r="J387" s="45">
        <f>IFERROR(__xludf.DUMMYFUNCTION("""COMPUTED_VALUE"""),"LM9AY9S")</f>
        <v/>
      </c>
      <c r="K387" s="45">
        <f>IFERROR(__xludf.DUMMYFUNCTION("""COMPUTED_VALUE"""),"LM9AY9S-072079")</f>
        <v/>
      </c>
      <c r="L387" s="45">
        <f>IFERROR(__xludf.DUMMYFUNCTION("""COMPUTED_VALUE"""),3)</f>
        <v/>
      </c>
      <c r="M387" s="45">
        <f>IFERROR(__xludf.DUMMYFUNCTION("""COMPUTED_VALUE"""),138)</f>
        <v/>
      </c>
      <c r="N387" s="45">
        <f>IFERROR(__xludf.DUMMYFUNCTION("""COMPUTED_VALUE"""),40.36)</f>
        <v/>
      </c>
      <c r="O387" s="45">
        <f>IFERROR(__xludf.DUMMYFUNCTION("""COMPUTED_VALUE"""),0.238)</f>
        <v/>
      </c>
      <c r="P387" s="45">
        <f>IFERROR(__xludf.DUMMYFUNCTION("""COMPUTED_VALUE"""),"Colombo, LK")</f>
        <v/>
      </c>
      <c r="Q387" s="45">
        <f>IFERROR(__xludf.DUMMYFUNCTION("""COMPUTED_VALUE"""),"New York, NY, US")</f>
        <v/>
      </c>
      <c r="R387" s="44">
        <f>IFERROR(__xludf.DUMMYFUNCTION("""COMPUTED_VALUE"""),45824)</f>
        <v/>
      </c>
      <c r="S387" s="44">
        <f>IFERROR(__xludf.DUMMYFUNCTION("""COMPUTED_VALUE"""),45883)</f>
        <v/>
      </c>
      <c r="T387" s="45">
        <f>IFERROR(__xludf.DUMMYFUNCTION("""COMPUTED_VALUE"""),"Mississauga, ON, CA")</f>
        <v/>
      </c>
      <c r="U387" s="45" t="n"/>
      <c r="V387" s="45" t="n"/>
      <c r="W387" s="45" t="n"/>
      <c r="X387" s="45" t="n"/>
      <c r="Y387" s="46">
        <f>IFERROR(__xludf.DUMMYFUNCTION("""COMPUTED_VALUE"""),45832)</f>
        <v/>
      </c>
      <c r="Z387" s="46">
        <f>IFERROR(__xludf.DUMMYFUNCTION("""COMPUTED_VALUE"""),45861)</f>
        <v/>
      </c>
      <c r="AA387" s="46">
        <f>IFERROR(__xludf.DUMMYFUNCTION("""COMPUTED_VALUE"""),45874)</f>
        <v/>
      </c>
      <c r="AB387" s="45">
        <f>IFERROR(__xludf.DUMMYFUNCTION("""COMPUTED_VALUE"""),"3500 Argentia Road")</f>
        <v/>
      </c>
      <c r="AC387" s="45" t="n"/>
      <c r="AD387" s="45">
        <f>IFERROR(__xludf.DUMMYFUNCTION("""COMPUTED_VALUE"""),"OCEAN")</f>
        <v/>
      </c>
      <c r="AE387" s="45">
        <f>IFERROR(__xludf.DUMMYFUNCTION("""COMPUTED_VALUE"""),"N")</f>
        <v/>
      </c>
      <c r="AF387" s="45" t="n"/>
      <c r="AG387" s="49">
        <f>IFERROR(__xludf.DUMMYFUNCTION("IFNA(vlookup(H387,IMPORTRANGE(""1vUGwO1n0QQGx9kKbO0_M5gmuhXZ6-LaxQxgrmJnzgP0"",""'TP# look up'!A:C""),3,0),"""")"),"")</f>
        <v/>
      </c>
      <c r="AH387" s="49">
        <f>LEFT(J387,2)</f>
        <v/>
      </c>
    </row>
    <row r="388" hidden="1" ht="12.75" customHeight="1">
      <c r="A388" s="45">
        <f>IFERROR(__xludf.DUMMYFUNCTION("""COMPUTED_VALUE"""),"Colombo")</f>
        <v/>
      </c>
      <c r="B388" s="45" t="n"/>
      <c r="C388" s="45">
        <f>IFERROR(__xludf.DUMMYFUNCTION("""COMPUTED_VALUE"""),3254506)</f>
        <v/>
      </c>
      <c r="D388" s="45" t="n"/>
      <c r="E388" s="45">
        <f>IFERROR(__xludf.DUMMYFUNCTION("""COMPUTED_VALUE"""),"CFS")</f>
        <v/>
      </c>
      <c r="F388" s="45">
        <f>IFERROR(__xludf.DUMMYFUNCTION("""COMPUTED_VALUE"""),"MAS AMITY PTE LTD")</f>
        <v/>
      </c>
      <c r="G388" s="45">
        <f>IFERROR(__xludf.DUMMYFUNCTION("""COMPUTED_VALUE"""),"MAS Active (Pvt) Ltd – Sleekline")</f>
        <v/>
      </c>
      <c r="H388" s="43">
        <f>IFERROR(__xludf.DUMMYFUNCTION("""COMPUTED_VALUE"""),452869779430)</f>
        <v/>
      </c>
      <c r="I388" s="45">
        <f>IFERROR(__xludf.DUMMYFUNCTION("""COMPUTED_VALUE"""),19927158)</f>
        <v/>
      </c>
      <c r="J388" s="45">
        <f>IFERROR(__xludf.DUMMYFUNCTION("""COMPUTED_VALUE"""),"LM9AZ0S")</f>
        <v/>
      </c>
      <c r="K388" s="45">
        <f>IFERROR(__xludf.DUMMYFUNCTION("""COMPUTED_VALUE"""),"LM9AZ0S-016352")</f>
        <v/>
      </c>
      <c r="L388" s="45">
        <f>IFERROR(__xludf.DUMMYFUNCTION("""COMPUTED_VALUE"""),1)</f>
        <v/>
      </c>
      <c r="M388" s="45">
        <f>IFERROR(__xludf.DUMMYFUNCTION("""COMPUTED_VALUE"""),114)</f>
        <v/>
      </c>
      <c r="N388" s="45">
        <f>IFERROR(__xludf.DUMMYFUNCTION("""COMPUTED_VALUE"""),11.51)</f>
        <v/>
      </c>
      <c r="O388" s="45">
        <f>IFERROR(__xludf.DUMMYFUNCTION("""COMPUTED_VALUE"""),0.079)</f>
        <v/>
      </c>
      <c r="P388" s="45">
        <f>IFERROR(__xludf.DUMMYFUNCTION("""COMPUTED_VALUE"""),"Colombo, LK")</f>
        <v/>
      </c>
      <c r="Q388" s="45">
        <f>IFERROR(__xludf.DUMMYFUNCTION("""COMPUTED_VALUE"""),"New York, NY, US")</f>
        <v/>
      </c>
      <c r="R388" s="44">
        <f>IFERROR(__xludf.DUMMYFUNCTION("""COMPUTED_VALUE"""),45824)</f>
        <v/>
      </c>
      <c r="S388" s="44">
        <f>IFERROR(__xludf.DUMMYFUNCTION("""COMPUTED_VALUE"""),45883)</f>
        <v/>
      </c>
      <c r="T388" s="45">
        <f>IFERROR(__xludf.DUMMYFUNCTION("""COMPUTED_VALUE"""),"Mississauga, ON, CA")</f>
        <v/>
      </c>
      <c r="U388" s="45" t="n"/>
      <c r="V388" s="45" t="n"/>
      <c r="W388" s="45" t="n"/>
      <c r="X388" s="45" t="n"/>
      <c r="Y388" s="46">
        <f>IFERROR(__xludf.DUMMYFUNCTION("""COMPUTED_VALUE"""),45832)</f>
        <v/>
      </c>
      <c r="Z388" s="46">
        <f>IFERROR(__xludf.DUMMYFUNCTION("""COMPUTED_VALUE"""),45861)</f>
        <v/>
      </c>
      <c r="AA388" s="46">
        <f>IFERROR(__xludf.DUMMYFUNCTION("""COMPUTED_VALUE"""),45874)</f>
        <v/>
      </c>
      <c r="AB388" s="45">
        <f>IFERROR(__xludf.DUMMYFUNCTION("""COMPUTED_VALUE"""),"3500 Argentia Road")</f>
        <v/>
      </c>
      <c r="AC388" s="45" t="n"/>
      <c r="AD388" s="45">
        <f>IFERROR(__xludf.DUMMYFUNCTION("""COMPUTED_VALUE"""),"OCEAN")</f>
        <v/>
      </c>
      <c r="AE388" s="45">
        <f>IFERROR(__xludf.DUMMYFUNCTION("""COMPUTED_VALUE"""),"N")</f>
        <v/>
      </c>
      <c r="AF388" s="45" t="n"/>
      <c r="AG388" s="49">
        <f>IFERROR(__xludf.DUMMYFUNCTION("IFNA(vlookup(H388,IMPORTRANGE(""1vUGwO1n0QQGx9kKbO0_M5gmuhXZ6-LaxQxgrmJnzgP0"",""'TP# look up'!A:C""),3,0),"""")"),"")</f>
        <v/>
      </c>
      <c r="AH388" s="49">
        <f>LEFT(J388,2)</f>
        <v/>
      </c>
    </row>
    <row r="389" hidden="1" ht="12.75" customHeight="1">
      <c r="A389" s="45">
        <f>IFERROR(__xludf.DUMMYFUNCTION("""COMPUTED_VALUE"""),"Colombo")</f>
        <v/>
      </c>
      <c r="B389" s="45" t="n"/>
      <c r="C389" s="45">
        <f>IFERROR(__xludf.DUMMYFUNCTION("""COMPUTED_VALUE"""),3254506)</f>
        <v/>
      </c>
      <c r="D389" s="45" t="n"/>
      <c r="E389" s="45">
        <f>IFERROR(__xludf.DUMMYFUNCTION("""COMPUTED_VALUE"""),"CFS")</f>
        <v/>
      </c>
      <c r="F389" s="45">
        <f>IFERROR(__xludf.DUMMYFUNCTION("""COMPUTED_VALUE"""),"MAS AMITY PTE LTD")</f>
        <v/>
      </c>
      <c r="G389" s="45">
        <f>IFERROR(__xludf.DUMMYFUNCTION("""COMPUTED_VALUE"""),"MAS Active (Pvt) Ltd – Sleekline")</f>
        <v/>
      </c>
      <c r="H389" s="43">
        <f>IFERROR(__xludf.DUMMYFUNCTION("""COMPUTED_VALUE"""),452870408857)</f>
        <v/>
      </c>
      <c r="I389" s="45">
        <f>IFERROR(__xludf.DUMMYFUNCTION("""COMPUTED_VALUE"""),19927159)</f>
        <v/>
      </c>
      <c r="J389" s="45">
        <f>IFERROR(__xludf.DUMMYFUNCTION("""COMPUTED_VALUE"""),"LM9AZ0S")</f>
        <v/>
      </c>
      <c r="K389" s="45">
        <f>IFERROR(__xludf.DUMMYFUNCTION("""COMPUTED_VALUE"""),"LM9AZ0S-016352")</f>
        <v/>
      </c>
      <c r="L389" s="45">
        <f>IFERROR(__xludf.DUMMYFUNCTION("""COMPUTED_VALUE"""),1)</f>
        <v/>
      </c>
      <c r="M389" s="45">
        <f>IFERROR(__xludf.DUMMYFUNCTION("""COMPUTED_VALUE"""),83)</f>
        <v/>
      </c>
      <c r="N389" s="45">
        <f>IFERROR(__xludf.DUMMYFUNCTION("""COMPUTED_VALUE"""),8.69)</f>
        <v/>
      </c>
      <c r="O389" s="45">
        <f>IFERROR(__xludf.DUMMYFUNCTION("""COMPUTED_VALUE"""),0.079)</f>
        <v/>
      </c>
      <c r="P389" s="45">
        <f>IFERROR(__xludf.DUMMYFUNCTION("""COMPUTED_VALUE"""),"Colombo, LK")</f>
        <v/>
      </c>
      <c r="Q389" s="45">
        <f>IFERROR(__xludf.DUMMYFUNCTION("""COMPUTED_VALUE"""),"New York, NY, US")</f>
        <v/>
      </c>
      <c r="R389" s="44">
        <f>IFERROR(__xludf.DUMMYFUNCTION("""COMPUTED_VALUE"""),45824)</f>
        <v/>
      </c>
      <c r="S389" s="44">
        <f>IFERROR(__xludf.DUMMYFUNCTION("""COMPUTED_VALUE"""),45883)</f>
        <v/>
      </c>
      <c r="T389" s="45">
        <f>IFERROR(__xludf.DUMMYFUNCTION("""COMPUTED_VALUE"""),"Mississauga, ON, CA")</f>
        <v/>
      </c>
      <c r="U389" s="45" t="n"/>
      <c r="V389" s="45" t="n"/>
      <c r="W389" s="45" t="n"/>
      <c r="X389" s="45" t="n"/>
      <c r="Y389" s="46">
        <f>IFERROR(__xludf.DUMMYFUNCTION("""COMPUTED_VALUE"""),45832)</f>
        <v/>
      </c>
      <c r="Z389" s="46">
        <f>IFERROR(__xludf.DUMMYFUNCTION("""COMPUTED_VALUE"""),45861)</f>
        <v/>
      </c>
      <c r="AA389" s="46">
        <f>IFERROR(__xludf.DUMMYFUNCTION("""COMPUTED_VALUE"""),45874)</f>
        <v/>
      </c>
      <c r="AB389" s="45">
        <f>IFERROR(__xludf.DUMMYFUNCTION("""COMPUTED_VALUE"""),"3500 Argentia Road")</f>
        <v/>
      </c>
      <c r="AC389" s="45" t="n"/>
      <c r="AD389" s="45">
        <f>IFERROR(__xludf.DUMMYFUNCTION("""COMPUTED_VALUE"""),"OCEAN")</f>
        <v/>
      </c>
      <c r="AE389" s="45">
        <f>IFERROR(__xludf.DUMMYFUNCTION("""COMPUTED_VALUE"""),"N")</f>
        <v/>
      </c>
      <c r="AF389" s="45" t="n"/>
      <c r="AG389" s="49">
        <f>IFERROR(__xludf.DUMMYFUNCTION("IFNA(vlookup(H389,IMPORTRANGE(""1vUGwO1n0QQGx9kKbO0_M5gmuhXZ6-LaxQxgrmJnzgP0"",""'TP# look up'!A:C""),3,0),"""")"),"")</f>
        <v/>
      </c>
      <c r="AH389" s="49">
        <f>LEFT(J389,2)</f>
        <v/>
      </c>
    </row>
    <row r="390" hidden="1" ht="12.75" customHeight="1">
      <c r="A390" s="45">
        <f>IFERROR(__xludf.DUMMYFUNCTION("""COMPUTED_VALUE"""),"Colombo")</f>
        <v/>
      </c>
      <c r="B390" s="45" t="n"/>
      <c r="C390" s="45">
        <f>IFERROR(__xludf.DUMMYFUNCTION("""COMPUTED_VALUE"""),3254506)</f>
        <v/>
      </c>
      <c r="D390" s="45" t="n"/>
      <c r="E390" s="45">
        <f>IFERROR(__xludf.DUMMYFUNCTION("""COMPUTED_VALUE"""),"CFS")</f>
        <v/>
      </c>
      <c r="F390" s="45">
        <f>IFERROR(__xludf.DUMMYFUNCTION("""COMPUTED_VALUE"""),"MAS AMITY PTE LTD")</f>
        <v/>
      </c>
      <c r="G390" s="45">
        <f>IFERROR(__xludf.DUMMYFUNCTION("""COMPUTED_VALUE"""),"MAS Active (Pvt) Ltd – Sleekline")</f>
        <v/>
      </c>
      <c r="H390" s="43">
        <f>IFERROR(__xludf.DUMMYFUNCTION("""COMPUTED_VALUE"""),452871646110)</f>
        <v/>
      </c>
      <c r="I390" s="45">
        <f>IFERROR(__xludf.DUMMYFUNCTION("""COMPUTED_VALUE"""),19935859)</f>
        <v/>
      </c>
      <c r="J390" s="45">
        <f>IFERROR(__xludf.DUMMYFUNCTION("""COMPUTED_VALUE"""),"LM9AN6S")</f>
        <v/>
      </c>
      <c r="K390" s="45">
        <f>IFERROR(__xludf.DUMMYFUNCTION("""COMPUTED_VALUE"""),"LM9AN6S-069600")</f>
        <v/>
      </c>
      <c r="L390" s="45">
        <f>IFERROR(__xludf.DUMMYFUNCTION("""COMPUTED_VALUE"""),1)</f>
        <v/>
      </c>
      <c r="M390" s="45">
        <f>IFERROR(__xludf.DUMMYFUNCTION("""COMPUTED_VALUE"""),100)</f>
        <v/>
      </c>
      <c r="N390" s="45">
        <f>IFERROR(__xludf.DUMMYFUNCTION("""COMPUTED_VALUE"""),10.21)</f>
        <v/>
      </c>
      <c r="O390" s="45">
        <f>IFERROR(__xludf.DUMMYFUNCTION("""COMPUTED_VALUE"""),0.079)</f>
        <v/>
      </c>
      <c r="P390" s="45">
        <f>IFERROR(__xludf.DUMMYFUNCTION("""COMPUTED_VALUE"""),"Colombo, LK")</f>
        <v/>
      </c>
      <c r="Q390" s="45">
        <f>IFERROR(__xludf.DUMMYFUNCTION("""COMPUTED_VALUE"""),"New York, NY, US")</f>
        <v/>
      </c>
      <c r="R390" s="44">
        <f>IFERROR(__xludf.DUMMYFUNCTION("""COMPUTED_VALUE"""),45824)</f>
        <v/>
      </c>
      <c r="S390" s="44">
        <f>IFERROR(__xludf.DUMMYFUNCTION("""COMPUTED_VALUE"""),45883)</f>
        <v/>
      </c>
      <c r="T390" s="45">
        <f>IFERROR(__xludf.DUMMYFUNCTION("""COMPUTED_VALUE"""),"Mississauga, ON, CA")</f>
        <v/>
      </c>
      <c r="U390" s="45" t="n"/>
      <c r="V390" s="45" t="n"/>
      <c r="W390" s="45" t="n"/>
      <c r="X390" s="45" t="n"/>
      <c r="Y390" s="46">
        <f>IFERROR(__xludf.DUMMYFUNCTION("""COMPUTED_VALUE"""),45832)</f>
        <v/>
      </c>
      <c r="Z390" s="46">
        <f>IFERROR(__xludf.DUMMYFUNCTION("""COMPUTED_VALUE"""),45861)</f>
        <v/>
      </c>
      <c r="AA390" s="46">
        <f>IFERROR(__xludf.DUMMYFUNCTION("""COMPUTED_VALUE"""),45874)</f>
        <v/>
      </c>
      <c r="AB390" s="45">
        <f>IFERROR(__xludf.DUMMYFUNCTION("""COMPUTED_VALUE"""),"3500 Argentia Road")</f>
        <v/>
      </c>
      <c r="AC390" s="45" t="n"/>
      <c r="AD390" s="45">
        <f>IFERROR(__xludf.DUMMYFUNCTION("""COMPUTED_VALUE"""),"OCEAN")</f>
        <v/>
      </c>
      <c r="AE390" s="45">
        <f>IFERROR(__xludf.DUMMYFUNCTION("""COMPUTED_VALUE"""),"N")</f>
        <v/>
      </c>
      <c r="AF390" s="45" t="n"/>
      <c r="AG390" s="49">
        <f>IFERROR(__xludf.DUMMYFUNCTION("IFNA(vlookup(H390,IMPORTRANGE(""1vUGwO1n0QQGx9kKbO0_M5gmuhXZ6-LaxQxgrmJnzgP0"",""'TP# look up'!A:C""),3,0),"""")"),"")</f>
        <v/>
      </c>
      <c r="AH390" s="49">
        <f>LEFT(J390,2)</f>
        <v/>
      </c>
    </row>
    <row r="391" hidden="1" ht="12.75" customHeight="1">
      <c r="A391" s="45">
        <f>IFERROR(__xludf.DUMMYFUNCTION("""COMPUTED_VALUE"""),"Colombo")</f>
        <v/>
      </c>
      <c r="B391" s="45" t="n"/>
      <c r="C391" s="45">
        <f>IFERROR(__xludf.DUMMYFUNCTION("""COMPUTED_VALUE"""),3254506)</f>
        <v/>
      </c>
      <c r="D391" s="45" t="n"/>
      <c r="E391" s="45">
        <f>IFERROR(__xludf.DUMMYFUNCTION("""COMPUTED_VALUE"""),"CFS")</f>
        <v/>
      </c>
      <c r="F391" s="45">
        <f>IFERROR(__xludf.DUMMYFUNCTION("""COMPUTED_VALUE"""),"MAS AMITY PTE LTD")</f>
        <v/>
      </c>
      <c r="G391" s="45">
        <f>IFERROR(__xludf.DUMMYFUNCTION("""COMPUTED_VALUE"""),"MAS Active (Pvt) Ltd – Sleekline")</f>
        <v/>
      </c>
      <c r="H391" s="43">
        <f>IFERROR(__xludf.DUMMYFUNCTION("""COMPUTED_VALUE"""),452873627359)</f>
        <v/>
      </c>
      <c r="I391" s="45">
        <f>IFERROR(__xludf.DUMMYFUNCTION("""COMPUTED_VALUE"""),19935996)</f>
        <v/>
      </c>
      <c r="J391" s="45">
        <f>IFERROR(__xludf.DUMMYFUNCTION("""COMPUTED_VALUE"""),"LM9AQWS")</f>
        <v/>
      </c>
      <c r="K391" s="45">
        <f>IFERROR(__xludf.DUMMYFUNCTION("""COMPUTED_VALUE"""),"LM9AQWS-4780")</f>
        <v/>
      </c>
      <c r="L391" s="45">
        <f>IFERROR(__xludf.DUMMYFUNCTION("""COMPUTED_VALUE"""),4)</f>
        <v/>
      </c>
      <c r="M391" s="45">
        <f>IFERROR(__xludf.DUMMYFUNCTION("""COMPUTED_VALUE"""),270)</f>
        <v/>
      </c>
      <c r="N391" s="45">
        <f>IFERROR(__xludf.DUMMYFUNCTION("""COMPUTED_VALUE"""),49.66)</f>
        <v/>
      </c>
      <c r="O391" s="45">
        <f>IFERROR(__xludf.DUMMYFUNCTION("""COMPUTED_VALUE"""),0.317)</f>
        <v/>
      </c>
      <c r="P391" s="45">
        <f>IFERROR(__xludf.DUMMYFUNCTION("""COMPUTED_VALUE"""),"Colombo, LK")</f>
        <v/>
      </c>
      <c r="Q391" s="45">
        <f>IFERROR(__xludf.DUMMYFUNCTION("""COMPUTED_VALUE"""),"New York, NY, US")</f>
        <v/>
      </c>
      <c r="R391" s="44">
        <f>IFERROR(__xludf.DUMMYFUNCTION("""COMPUTED_VALUE"""),45824)</f>
        <v/>
      </c>
      <c r="S391" s="44">
        <f>IFERROR(__xludf.DUMMYFUNCTION("""COMPUTED_VALUE"""),45883)</f>
        <v/>
      </c>
      <c r="T391" s="45">
        <f>IFERROR(__xludf.DUMMYFUNCTION("""COMPUTED_VALUE"""),"Mississauga, ON, CA")</f>
        <v/>
      </c>
      <c r="U391" s="45" t="n"/>
      <c r="V391" s="45" t="n"/>
      <c r="W391" s="45" t="n"/>
      <c r="X391" s="45" t="n"/>
      <c r="Y391" s="46">
        <f>IFERROR(__xludf.DUMMYFUNCTION("""COMPUTED_VALUE"""),45832)</f>
        <v/>
      </c>
      <c r="Z391" s="46">
        <f>IFERROR(__xludf.DUMMYFUNCTION("""COMPUTED_VALUE"""),45861)</f>
        <v/>
      </c>
      <c r="AA391" s="46">
        <f>IFERROR(__xludf.DUMMYFUNCTION("""COMPUTED_VALUE"""),45874)</f>
        <v/>
      </c>
      <c r="AB391" s="45">
        <f>IFERROR(__xludf.DUMMYFUNCTION("""COMPUTED_VALUE"""),"3500 Argentia Road")</f>
        <v/>
      </c>
      <c r="AC391" s="45" t="n"/>
      <c r="AD391" s="45">
        <f>IFERROR(__xludf.DUMMYFUNCTION("""COMPUTED_VALUE"""),"OCEAN")</f>
        <v/>
      </c>
      <c r="AE391" s="45">
        <f>IFERROR(__xludf.DUMMYFUNCTION("""COMPUTED_VALUE"""),"N")</f>
        <v/>
      </c>
      <c r="AF391" s="45" t="n"/>
      <c r="AG391" s="49">
        <f>IFERROR(__xludf.DUMMYFUNCTION("IFNA(vlookup(H391,IMPORTRANGE(""1vUGwO1n0QQGx9kKbO0_M5gmuhXZ6-LaxQxgrmJnzgP0"",""'TP# look up'!A:C""),3,0),"""")"),"")</f>
        <v/>
      </c>
      <c r="AH391" s="49">
        <f>LEFT(J391,2)</f>
        <v/>
      </c>
    </row>
    <row r="392" hidden="1" ht="12.75" customHeight="1">
      <c r="A392" s="45">
        <f>IFERROR(__xludf.DUMMYFUNCTION("""COMPUTED_VALUE"""),"Colombo")</f>
        <v/>
      </c>
      <c r="B392" s="45" t="n"/>
      <c r="C392" s="45">
        <f>IFERROR(__xludf.DUMMYFUNCTION("""COMPUTED_VALUE"""),3254506)</f>
        <v/>
      </c>
      <c r="D392" s="45" t="n"/>
      <c r="E392" s="45">
        <f>IFERROR(__xludf.DUMMYFUNCTION("""COMPUTED_VALUE"""),"CFS")</f>
        <v/>
      </c>
      <c r="F392" s="45">
        <f>IFERROR(__xludf.DUMMYFUNCTION("""COMPUTED_VALUE"""),"MAS AMITY PTE LTD")</f>
        <v/>
      </c>
      <c r="G392" s="45">
        <f>IFERROR(__xludf.DUMMYFUNCTION("""COMPUTED_VALUE"""),"MAS Active (Pvt) Ltd – Sleekline")</f>
        <v/>
      </c>
      <c r="H392" s="43">
        <f>IFERROR(__xludf.DUMMYFUNCTION("""COMPUTED_VALUE"""),452874553770)</f>
        <v/>
      </c>
      <c r="I392" s="45">
        <f>IFERROR(__xludf.DUMMYFUNCTION("""COMPUTED_VALUE"""),19936035)</f>
        <v/>
      </c>
      <c r="J392" s="45">
        <f>IFERROR(__xludf.DUMMYFUNCTION("""COMPUTED_VALUE"""),"LM9AUNS")</f>
        <v/>
      </c>
      <c r="K392" s="45">
        <f>IFERROR(__xludf.DUMMYFUNCTION("""COMPUTED_VALUE"""),"LM9AUNS-069918")</f>
        <v/>
      </c>
      <c r="L392" s="45">
        <f>IFERROR(__xludf.DUMMYFUNCTION("""COMPUTED_VALUE"""),4)</f>
        <v/>
      </c>
      <c r="M392" s="45">
        <f>IFERROR(__xludf.DUMMYFUNCTION("""COMPUTED_VALUE"""),179)</f>
        <v/>
      </c>
      <c r="N392" s="45">
        <f>IFERROR(__xludf.DUMMYFUNCTION("""COMPUTED_VALUE"""),44.52)</f>
        <v/>
      </c>
      <c r="O392" s="45">
        <f>IFERROR(__xludf.DUMMYFUNCTION("""COMPUTED_VALUE"""),0.278)</f>
        <v/>
      </c>
      <c r="P392" s="45">
        <f>IFERROR(__xludf.DUMMYFUNCTION("""COMPUTED_VALUE"""),"Colombo, LK")</f>
        <v/>
      </c>
      <c r="Q392" s="45">
        <f>IFERROR(__xludf.DUMMYFUNCTION("""COMPUTED_VALUE"""),"New York, NY, US")</f>
        <v/>
      </c>
      <c r="R392" s="44">
        <f>IFERROR(__xludf.DUMMYFUNCTION("""COMPUTED_VALUE"""),45824)</f>
        <v/>
      </c>
      <c r="S392" s="44">
        <f>IFERROR(__xludf.DUMMYFUNCTION("""COMPUTED_VALUE"""),45883)</f>
        <v/>
      </c>
      <c r="T392" s="45">
        <f>IFERROR(__xludf.DUMMYFUNCTION("""COMPUTED_VALUE"""),"Mississauga, ON, CA")</f>
        <v/>
      </c>
      <c r="U392" s="45" t="n"/>
      <c r="V392" s="45" t="n"/>
      <c r="W392" s="45" t="n"/>
      <c r="X392" s="45" t="n"/>
      <c r="Y392" s="46">
        <f>IFERROR(__xludf.DUMMYFUNCTION("""COMPUTED_VALUE"""),45832)</f>
        <v/>
      </c>
      <c r="Z392" s="46">
        <f>IFERROR(__xludf.DUMMYFUNCTION("""COMPUTED_VALUE"""),45861)</f>
        <v/>
      </c>
      <c r="AA392" s="46">
        <f>IFERROR(__xludf.DUMMYFUNCTION("""COMPUTED_VALUE"""),45874)</f>
        <v/>
      </c>
      <c r="AB392" s="45">
        <f>IFERROR(__xludf.DUMMYFUNCTION("""COMPUTED_VALUE"""),"3500 Argentia Road")</f>
        <v/>
      </c>
      <c r="AC392" s="45" t="n"/>
      <c r="AD392" s="45">
        <f>IFERROR(__xludf.DUMMYFUNCTION("""COMPUTED_VALUE"""),"OCEAN")</f>
        <v/>
      </c>
      <c r="AE392" s="45">
        <f>IFERROR(__xludf.DUMMYFUNCTION("""COMPUTED_VALUE"""),"N")</f>
        <v/>
      </c>
      <c r="AF392" s="45" t="n"/>
      <c r="AG392" s="49">
        <f>IFERROR(__xludf.DUMMYFUNCTION("IFNA(vlookup(H392,IMPORTRANGE(""1vUGwO1n0QQGx9kKbO0_M5gmuhXZ6-LaxQxgrmJnzgP0"",""'TP# look up'!A:C""),3,0),"""")"),"")</f>
        <v/>
      </c>
      <c r="AH392" s="49">
        <f>LEFT(J392,2)</f>
        <v/>
      </c>
    </row>
    <row r="393" hidden="1" ht="12.75" customHeight="1">
      <c r="A393" s="45">
        <f>IFERROR(__xludf.DUMMYFUNCTION("""COMPUTED_VALUE"""),"Colombo")</f>
        <v/>
      </c>
      <c r="B393" s="45" t="n"/>
      <c r="C393" s="45">
        <f>IFERROR(__xludf.DUMMYFUNCTION("""COMPUTED_VALUE"""),3254506)</f>
        <v/>
      </c>
      <c r="D393" s="45" t="n"/>
      <c r="E393" s="45">
        <f>IFERROR(__xludf.DUMMYFUNCTION("""COMPUTED_VALUE"""),"CFS")</f>
        <v/>
      </c>
      <c r="F393" s="45">
        <f>IFERROR(__xludf.DUMMYFUNCTION("""COMPUTED_VALUE"""),"MAS AMITY PTE LTD")</f>
        <v/>
      </c>
      <c r="G393" s="45">
        <f>IFERROR(__xludf.DUMMYFUNCTION("""COMPUTED_VALUE"""),"MAS Active (Pvt) Ltd – Sleekline")</f>
        <v/>
      </c>
      <c r="H393" s="43">
        <f>IFERROR(__xludf.DUMMYFUNCTION("""COMPUTED_VALUE"""),452874603824)</f>
        <v/>
      </c>
      <c r="I393" s="45">
        <f>IFERROR(__xludf.DUMMYFUNCTION("""COMPUTED_VALUE"""),19935997)</f>
        <v/>
      </c>
      <c r="J393" s="45">
        <f>IFERROR(__xludf.DUMMYFUNCTION("""COMPUTED_VALUE"""),"LM9AQWS")</f>
        <v/>
      </c>
      <c r="K393" s="45">
        <f>IFERROR(__xludf.DUMMYFUNCTION("""COMPUTED_VALUE"""),"LM9AQWS-4780")</f>
        <v/>
      </c>
      <c r="L393" s="45">
        <f>IFERROR(__xludf.DUMMYFUNCTION("""COMPUTED_VALUE"""),3)</f>
        <v/>
      </c>
      <c r="M393" s="45">
        <f>IFERROR(__xludf.DUMMYFUNCTION("""COMPUTED_VALUE"""),149)</f>
        <v/>
      </c>
      <c r="N393" s="45">
        <f>IFERROR(__xludf.DUMMYFUNCTION("""COMPUTED_VALUE"""),28.31)</f>
        <v/>
      </c>
      <c r="O393" s="45">
        <f>IFERROR(__xludf.DUMMYFUNCTION("""COMPUTED_VALUE"""),0.238)</f>
        <v/>
      </c>
      <c r="P393" s="45">
        <f>IFERROR(__xludf.DUMMYFUNCTION("""COMPUTED_VALUE"""),"Colombo, LK")</f>
        <v/>
      </c>
      <c r="Q393" s="45">
        <f>IFERROR(__xludf.DUMMYFUNCTION("""COMPUTED_VALUE"""),"New York, NY, US")</f>
        <v/>
      </c>
      <c r="R393" s="44">
        <f>IFERROR(__xludf.DUMMYFUNCTION("""COMPUTED_VALUE"""),45824)</f>
        <v/>
      </c>
      <c r="S393" s="44">
        <f>IFERROR(__xludf.DUMMYFUNCTION("""COMPUTED_VALUE"""),45883)</f>
        <v/>
      </c>
      <c r="T393" s="45">
        <f>IFERROR(__xludf.DUMMYFUNCTION("""COMPUTED_VALUE"""),"Mississauga, ON, CA")</f>
        <v/>
      </c>
      <c r="U393" s="45" t="n"/>
      <c r="V393" s="45" t="n"/>
      <c r="W393" s="45" t="n"/>
      <c r="X393" s="45" t="n"/>
      <c r="Y393" s="46">
        <f>IFERROR(__xludf.DUMMYFUNCTION("""COMPUTED_VALUE"""),45832)</f>
        <v/>
      </c>
      <c r="Z393" s="46">
        <f>IFERROR(__xludf.DUMMYFUNCTION("""COMPUTED_VALUE"""),45861)</f>
        <v/>
      </c>
      <c r="AA393" s="46">
        <f>IFERROR(__xludf.DUMMYFUNCTION("""COMPUTED_VALUE"""),45874)</f>
        <v/>
      </c>
      <c r="AB393" s="45">
        <f>IFERROR(__xludf.DUMMYFUNCTION("""COMPUTED_VALUE"""),"3500 Argentia Road")</f>
        <v/>
      </c>
      <c r="AC393" s="45" t="n"/>
      <c r="AD393" s="45">
        <f>IFERROR(__xludf.DUMMYFUNCTION("""COMPUTED_VALUE"""),"OCEAN")</f>
        <v/>
      </c>
      <c r="AE393" s="45">
        <f>IFERROR(__xludf.DUMMYFUNCTION("""COMPUTED_VALUE"""),"N")</f>
        <v/>
      </c>
      <c r="AF393" s="45" t="n"/>
      <c r="AG393" s="49">
        <f>IFERROR(__xludf.DUMMYFUNCTION("IFNA(vlookup(H393,IMPORTRANGE(""1vUGwO1n0QQGx9kKbO0_M5gmuhXZ6-LaxQxgrmJnzgP0"",""'TP# look up'!A:C""),3,0),"""")"),"")</f>
        <v/>
      </c>
      <c r="AH393" s="49">
        <f>LEFT(J393,2)</f>
        <v/>
      </c>
    </row>
    <row r="394" hidden="1" ht="12.75" customHeight="1">
      <c r="A394" s="45">
        <f>IFERROR(__xludf.DUMMYFUNCTION("""COMPUTED_VALUE"""),"Colombo")</f>
        <v/>
      </c>
      <c r="B394" s="45" t="n"/>
      <c r="C394" s="45">
        <f>IFERROR(__xludf.DUMMYFUNCTION("""COMPUTED_VALUE"""),3254506)</f>
        <v/>
      </c>
      <c r="D394" s="45" t="n"/>
      <c r="E394" s="45">
        <f>IFERROR(__xludf.DUMMYFUNCTION("""COMPUTED_VALUE"""),"CFS")</f>
        <v/>
      </c>
      <c r="F394" s="45">
        <f>IFERROR(__xludf.DUMMYFUNCTION("""COMPUTED_VALUE"""),"MAS AMITY PTE LTD")</f>
        <v/>
      </c>
      <c r="G394" s="45">
        <f>IFERROR(__xludf.DUMMYFUNCTION("""COMPUTED_VALUE"""),"MAS Active (Pvt) Ltd – Sleekline")</f>
        <v/>
      </c>
      <c r="H394" s="43">
        <f>IFERROR(__xludf.DUMMYFUNCTION("""COMPUTED_VALUE"""),452879674993)</f>
        <v/>
      </c>
      <c r="I394" s="45">
        <f>IFERROR(__xludf.DUMMYFUNCTION("""COMPUTED_VALUE"""),19936140)</f>
        <v/>
      </c>
      <c r="J394" s="45">
        <f>IFERROR(__xludf.DUMMYFUNCTION("""COMPUTED_VALUE"""),"LM9AYLS")</f>
        <v/>
      </c>
      <c r="K394" s="45">
        <f>IFERROR(__xludf.DUMMYFUNCTION("""COMPUTED_VALUE"""),"LM9AYLS-031382")</f>
        <v/>
      </c>
      <c r="L394" s="45">
        <f>IFERROR(__xludf.DUMMYFUNCTION("""COMPUTED_VALUE"""),1)</f>
        <v/>
      </c>
      <c r="M394" s="45">
        <f>IFERROR(__xludf.DUMMYFUNCTION("""COMPUTED_VALUE"""),130)</f>
        <v/>
      </c>
      <c r="N394" s="45">
        <f>IFERROR(__xludf.DUMMYFUNCTION("""COMPUTED_VALUE"""),12.16)</f>
        <v/>
      </c>
      <c r="O394" s="45">
        <f>IFERROR(__xludf.DUMMYFUNCTION("""COMPUTED_VALUE"""),0.079)</f>
        <v/>
      </c>
      <c r="P394" s="45">
        <f>IFERROR(__xludf.DUMMYFUNCTION("""COMPUTED_VALUE"""),"Colombo, LK")</f>
        <v/>
      </c>
      <c r="Q394" s="45">
        <f>IFERROR(__xludf.DUMMYFUNCTION("""COMPUTED_VALUE"""),"New York, NY, US")</f>
        <v/>
      </c>
      <c r="R394" s="44">
        <f>IFERROR(__xludf.DUMMYFUNCTION("""COMPUTED_VALUE"""),45824)</f>
        <v/>
      </c>
      <c r="S394" s="44">
        <f>IFERROR(__xludf.DUMMYFUNCTION("""COMPUTED_VALUE"""),45883)</f>
        <v/>
      </c>
      <c r="T394" s="45">
        <f>IFERROR(__xludf.DUMMYFUNCTION("""COMPUTED_VALUE"""),"Mississauga, ON, CA")</f>
        <v/>
      </c>
      <c r="U394" s="45" t="n"/>
      <c r="V394" s="45" t="n"/>
      <c r="W394" s="45" t="n"/>
      <c r="X394" s="45" t="n"/>
      <c r="Y394" s="46">
        <f>IFERROR(__xludf.DUMMYFUNCTION("""COMPUTED_VALUE"""),45832)</f>
        <v/>
      </c>
      <c r="Z394" s="46">
        <f>IFERROR(__xludf.DUMMYFUNCTION("""COMPUTED_VALUE"""),45861)</f>
        <v/>
      </c>
      <c r="AA394" s="46">
        <f>IFERROR(__xludf.DUMMYFUNCTION("""COMPUTED_VALUE"""),45874)</f>
        <v/>
      </c>
      <c r="AB394" s="45">
        <f>IFERROR(__xludf.DUMMYFUNCTION("""COMPUTED_VALUE"""),"3500 Argentia Road")</f>
        <v/>
      </c>
      <c r="AC394" s="45" t="n"/>
      <c r="AD394" s="45">
        <f>IFERROR(__xludf.DUMMYFUNCTION("""COMPUTED_VALUE"""),"OCEAN")</f>
        <v/>
      </c>
      <c r="AE394" s="45">
        <f>IFERROR(__xludf.DUMMYFUNCTION("""COMPUTED_VALUE"""),"N")</f>
        <v/>
      </c>
      <c r="AF394" s="45" t="n"/>
      <c r="AG394" s="49">
        <f>IFERROR(__xludf.DUMMYFUNCTION("IFNA(vlookup(H394,IMPORTRANGE(""1vUGwO1n0QQGx9kKbO0_M5gmuhXZ6-LaxQxgrmJnzgP0"",""'TP# look up'!A:C""),3,0),"""")"),"")</f>
        <v/>
      </c>
      <c r="AH394" s="49">
        <f>LEFT(J394,2)</f>
        <v/>
      </c>
    </row>
    <row r="395" hidden="1" ht="12.75" customHeight="1">
      <c r="A395" s="45">
        <f>IFERROR(__xludf.DUMMYFUNCTION("""COMPUTED_VALUE"""),"Colombo")</f>
        <v/>
      </c>
      <c r="B395" s="45" t="n"/>
      <c r="C395" s="45">
        <f>IFERROR(__xludf.DUMMYFUNCTION("""COMPUTED_VALUE"""),3254506)</f>
        <v/>
      </c>
      <c r="D395" s="45" t="n"/>
      <c r="E395" s="45">
        <f>IFERROR(__xludf.DUMMYFUNCTION("""COMPUTED_VALUE"""),"CFS")</f>
        <v/>
      </c>
      <c r="F395" s="45">
        <f>IFERROR(__xludf.DUMMYFUNCTION("""COMPUTED_VALUE"""),"MAS AMITY PTE LTD")</f>
        <v/>
      </c>
      <c r="G395" s="45">
        <f>IFERROR(__xludf.DUMMYFUNCTION("""COMPUTED_VALUE"""),"MAS Active (Pvt) Ltd – Sleekline")</f>
        <v/>
      </c>
      <c r="H395" s="43">
        <f>IFERROR(__xludf.DUMMYFUNCTION("""COMPUTED_VALUE"""),452880378218)</f>
        <v/>
      </c>
      <c r="I395" s="45">
        <f>IFERROR(__xludf.DUMMYFUNCTION("""COMPUTED_VALUE"""),19936141)</f>
        <v/>
      </c>
      <c r="J395" s="45">
        <f>IFERROR(__xludf.DUMMYFUNCTION("""COMPUTED_VALUE"""),"LM9AYLS")</f>
        <v/>
      </c>
      <c r="K395" s="45">
        <f>IFERROR(__xludf.DUMMYFUNCTION("""COMPUTED_VALUE"""),"LM9AYLS-031382")</f>
        <v/>
      </c>
      <c r="L395" s="45">
        <f>IFERROR(__xludf.DUMMYFUNCTION("""COMPUTED_VALUE"""),1)</f>
        <v/>
      </c>
      <c r="M395" s="45">
        <f>IFERROR(__xludf.DUMMYFUNCTION("""COMPUTED_VALUE"""),102)</f>
        <v/>
      </c>
      <c r="N395" s="45">
        <f>IFERROR(__xludf.DUMMYFUNCTION("""COMPUTED_VALUE"""),9.78)</f>
        <v/>
      </c>
      <c r="O395" s="45">
        <f>IFERROR(__xludf.DUMMYFUNCTION("""COMPUTED_VALUE"""),0.079)</f>
        <v/>
      </c>
      <c r="P395" s="45">
        <f>IFERROR(__xludf.DUMMYFUNCTION("""COMPUTED_VALUE"""),"Colombo, LK")</f>
        <v/>
      </c>
      <c r="Q395" s="45">
        <f>IFERROR(__xludf.DUMMYFUNCTION("""COMPUTED_VALUE"""),"New York, NY, US")</f>
        <v/>
      </c>
      <c r="R395" s="44">
        <f>IFERROR(__xludf.DUMMYFUNCTION("""COMPUTED_VALUE"""),45824)</f>
        <v/>
      </c>
      <c r="S395" s="44">
        <f>IFERROR(__xludf.DUMMYFUNCTION("""COMPUTED_VALUE"""),45883)</f>
        <v/>
      </c>
      <c r="T395" s="45">
        <f>IFERROR(__xludf.DUMMYFUNCTION("""COMPUTED_VALUE"""),"Mississauga, ON, CA")</f>
        <v/>
      </c>
      <c r="U395" s="45" t="n"/>
      <c r="V395" s="45" t="n"/>
      <c r="W395" s="45" t="n"/>
      <c r="X395" s="45" t="n"/>
      <c r="Y395" s="46">
        <f>IFERROR(__xludf.DUMMYFUNCTION("""COMPUTED_VALUE"""),45832)</f>
        <v/>
      </c>
      <c r="Z395" s="46">
        <f>IFERROR(__xludf.DUMMYFUNCTION("""COMPUTED_VALUE"""),45861)</f>
        <v/>
      </c>
      <c r="AA395" s="46">
        <f>IFERROR(__xludf.DUMMYFUNCTION("""COMPUTED_VALUE"""),45874)</f>
        <v/>
      </c>
      <c r="AB395" s="45">
        <f>IFERROR(__xludf.DUMMYFUNCTION("""COMPUTED_VALUE"""),"3500 Argentia Road")</f>
        <v/>
      </c>
      <c r="AC395" s="45" t="n"/>
      <c r="AD395" s="45">
        <f>IFERROR(__xludf.DUMMYFUNCTION("""COMPUTED_VALUE"""),"OCEAN")</f>
        <v/>
      </c>
      <c r="AE395" s="45">
        <f>IFERROR(__xludf.DUMMYFUNCTION("""COMPUTED_VALUE"""),"N")</f>
        <v/>
      </c>
      <c r="AF395" s="45" t="n"/>
      <c r="AG395" s="49">
        <f>IFERROR(__xludf.DUMMYFUNCTION("IFNA(vlookup(H395,IMPORTRANGE(""1vUGwO1n0QQGx9kKbO0_M5gmuhXZ6-LaxQxgrmJnzgP0"",""'TP# look up'!A:C""),3,0),"""")"),"")</f>
        <v/>
      </c>
      <c r="AH395" s="49">
        <f>LEFT(J395,2)</f>
        <v/>
      </c>
    </row>
    <row r="396" hidden="1" ht="12.75" customHeight="1">
      <c r="A396" s="45">
        <f>IFERROR(__xludf.DUMMYFUNCTION("""COMPUTED_VALUE"""),"Colombo")</f>
        <v/>
      </c>
      <c r="B396" s="45" t="n"/>
      <c r="C396" s="45">
        <f>IFERROR(__xludf.DUMMYFUNCTION("""COMPUTED_VALUE"""),3254506)</f>
        <v/>
      </c>
      <c r="D396" s="45" t="n"/>
      <c r="E396" s="45">
        <f>IFERROR(__xludf.DUMMYFUNCTION("""COMPUTED_VALUE"""),"CFS")</f>
        <v/>
      </c>
      <c r="F396" s="45">
        <f>IFERROR(__xludf.DUMMYFUNCTION("""COMPUTED_VALUE"""),"MAS AMITY PTE LTD")</f>
        <v/>
      </c>
      <c r="G396" s="45">
        <f>IFERROR(__xludf.DUMMYFUNCTION("""COMPUTED_VALUE"""),"MAS Active (Pvt) Ltd – Sleekline")</f>
        <v/>
      </c>
      <c r="H396" s="43">
        <f>IFERROR(__xludf.DUMMYFUNCTION("""COMPUTED_VALUE"""),452880990382)</f>
        <v/>
      </c>
      <c r="I396" s="45">
        <f>IFERROR(__xludf.DUMMYFUNCTION("""COMPUTED_VALUE"""),19938303)</f>
        <v/>
      </c>
      <c r="J396" s="45">
        <f>IFERROR(__xludf.DUMMYFUNCTION("""COMPUTED_VALUE"""),"LM9AMTS")</f>
        <v/>
      </c>
      <c r="K396" s="45">
        <f>IFERROR(__xludf.DUMMYFUNCTION("""COMPUTED_VALUE"""),"LM9AMTS-072079")</f>
        <v/>
      </c>
      <c r="L396" s="45">
        <f>IFERROR(__xludf.DUMMYFUNCTION("""COMPUTED_VALUE"""),9)</f>
        <v/>
      </c>
      <c r="M396" s="45">
        <f>IFERROR(__xludf.DUMMYFUNCTION("""COMPUTED_VALUE"""),367)</f>
        <v/>
      </c>
      <c r="N396" s="45">
        <f>IFERROR(__xludf.DUMMYFUNCTION("""COMPUTED_VALUE"""),111.25)</f>
        <v/>
      </c>
      <c r="O396" s="45">
        <f>IFERROR(__xludf.DUMMYFUNCTION("""COMPUTED_VALUE"""),0.634)</f>
        <v/>
      </c>
      <c r="P396" s="45">
        <f>IFERROR(__xludf.DUMMYFUNCTION("""COMPUTED_VALUE"""),"Colombo, LK")</f>
        <v/>
      </c>
      <c r="Q396" s="45">
        <f>IFERROR(__xludf.DUMMYFUNCTION("""COMPUTED_VALUE"""),"New York, NY, US")</f>
        <v/>
      </c>
      <c r="R396" s="44">
        <f>IFERROR(__xludf.DUMMYFUNCTION("""COMPUTED_VALUE"""),45824)</f>
        <v/>
      </c>
      <c r="S396" s="44">
        <f>IFERROR(__xludf.DUMMYFUNCTION("""COMPUTED_VALUE"""),45883)</f>
        <v/>
      </c>
      <c r="T396" s="45">
        <f>IFERROR(__xludf.DUMMYFUNCTION("""COMPUTED_VALUE"""),"Mississauga, ON, CA")</f>
        <v/>
      </c>
      <c r="U396" s="45" t="n"/>
      <c r="V396" s="45" t="n"/>
      <c r="W396" s="45" t="n"/>
      <c r="X396" s="45" t="n"/>
      <c r="Y396" s="46">
        <f>IFERROR(__xludf.DUMMYFUNCTION("""COMPUTED_VALUE"""),45832)</f>
        <v/>
      </c>
      <c r="Z396" s="46">
        <f>IFERROR(__xludf.DUMMYFUNCTION("""COMPUTED_VALUE"""),45861)</f>
        <v/>
      </c>
      <c r="AA396" s="46">
        <f>IFERROR(__xludf.DUMMYFUNCTION("""COMPUTED_VALUE"""),45874)</f>
        <v/>
      </c>
      <c r="AB396" s="45">
        <f>IFERROR(__xludf.DUMMYFUNCTION("""COMPUTED_VALUE"""),"3500 Argentia Road")</f>
        <v/>
      </c>
      <c r="AC396" s="45" t="n"/>
      <c r="AD396" s="45">
        <f>IFERROR(__xludf.DUMMYFUNCTION("""COMPUTED_VALUE"""),"OCEAN")</f>
        <v/>
      </c>
      <c r="AE396" s="45">
        <f>IFERROR(__xludf.DUMMYFUNCTION("""COMPUTED_VALUE"""),"N")</f>
        <v/>
      </c>
      <c r="AF396" s="45" t="n"/>
      <c r="AG396" s="49">
        <f>IFERROR(__xludf.DUMMYFUNCTION("IFNA(vlookup(H396,IMPORTRANGE(""1vUGwO1n0QQGx9kKbO0_M5gmuhXZ6-LaxQxgrmJnzgP0"",""'TP# look up'!A:C""),3,0),"""")"),"")</f>
        <v/>
      </c>
      <c r="AH396" s="49">
        <f>LEFT(J396,2)</f>
        <v/>
      </c>
    </row>
    <row r="397" hidden="1" ht="12.75" customHeight="1">
      <c r="A397" s="45">
        <f>IFERROR(__xludf.DUMMYFUNCTION("""COMPUTED_VALUE"""),"Colombo")</f>
        <v/>
      </c>
      <c r="B397" s="45" t="n"/>
      <c r="C397" s="45">
        <f>IFERROR(__xludf.DUMMYFUNCTION("""COMPUTED_VALUE"""),3254506)</f>
        <v/>
      </c>
      <c r="D397" s="45" t="n"/>
      <c r="E397" s="45">
        <f>IFERROR(__xludf.DUMMYFUNCTION("""COMPUTED_VALUE"""),"CFS")</f>
        <v/>
      </c>
      <c r="F397" s="45">
        <f>IFERROR(__xludf.DUMMYFUNCTION("""COMPUTED_VALUE"""),"MAS AMITY PTE LTD")</f>
        <v/>
      </c>
      <c r="G397" s="45">
        <f>IFERROR(__xludf.DUMMYFUNCTION("""COMPUTED_VALUE"""),"MAS Active (Pvt) Ltd – Sleekline")</f>
        <v/>
      </c>
      <c r="H397" s="43">
        <f>IFERROR(__xludf.DUMMYFUNCTION("""COMPUTED_VALUE"""),452883062691)</f>
        <v/>
      </c>
      <c r="I397" s="45">
        <f>IFERROR(__xludf.DUMMYFUNCTION("""COMPUTED_VALUE"""),19940639)</f>
        <v/>
      </c>
      <c r="J397" s="45">
        <f>IFERROR(__xludf.DUMMYFUNCTION("""COMPUTED_VALUE"""),"LM9AN6S")</f>
        <v/>
      </c>
      <c r="K397" s="45">
        <f>IFERROR(__xludf.DUMMYFUNCTION("""COMPUTED_VALUE"""),"LM9AN6S-069600")</f>
        <v/>
      </c>
      <c r="L397" s="45">
        <f>IFERROR(__xludf.DUMMYFUNCTION("""COMPUTED_VALUE"""),1)</f>
        <v/>
      </c>
      <c r="M397" s="45">
        <f>IFERROR(__xludf.DUMMYFUNCTION("""COMPUTED_VALUE"""),133)</f>
        <v/>
      </c>
      <c r="N397" s="45">
        <f>IFERROR(__xludf.DUMMYFUNCTION("""COMPUTED_VALUE"""),13.29)</f>
        <v/>
      </c>
      <c r="O397" s="45">
        <f>IFERROR(__xludf.DUMMYFUNCTION("""COMPUTED_VALUE"""),0.079)</f>
        <v/>
      </c>
      <c r="P397" s="45">
        <f>IFERROR(__xludf.DUMMYFUNCTION("""COMPUTED_VALUE"""),"Colombo, LK")</f>
        <v/>
      </c>
      <c r="Q397" s="45">
        <f>IFERROR(__xludf.DUMMYFUNCTION("""COMPUTED_VALUE"""),"New York, NY, US")</f>
        <v/>
      </c>
      <c r="R397" s="44">
        <f>IFERROR(__xludf.DUMMYFUNCTION("""COMPUTED_VALUE"""),45824)</f>
        <v/>
      </c>
      <c r="S397" s="44">
        <f>IFERROR(__xludf.DUMMYFUNCTION("""COMPUTED_VALUE"""),45883)</f>
        <v/>
      </c>
      <c r="T397" s="45">
        <f>IFERROR(__xludf.DUMMYFUNCTION("""COMPUTED_VALUE"""),"Mississauga, ON, CA")</f>
        <v/>
      </c>
      <c r="U397" s="45" t="n"/>
      <c r="V397" s="45" t="n"/>
      <c r="W397" s="45" t="n"/>
      <c r="X397" s="45" t="n"/>
      <c r="Y397" s="46">
        <f>IFERROR(__xludf.DUMMYFUNCTION("""COMPUTED_VALUE"""),45832)</f>
        <v/>
      </c>
      <c r="Z397" s="46">
        <f>IFERROR(__xludf.DUMMYFUNCTION("""COMPUTED_VALUE"""),45861)</f>
        <v/>
      </c>
      <c r="AA397" s="46">
        <f>IFERROR(__xludf.DUMMYFUNCTION("""COMPUTED_VALUE"""),45874)</f>
        <v/>
      </c>
      <c r="AB397" s="45">
        <f>IFERROR(__xludf.DUMMYFUNCTION("""COMPUTED_VALUE"""),"3500 Argentia Road")</f>
        <v/>
      </c>
      <c r="AC397" s="45" t="n"/>
      <c r="AD397" s="45">
        <f>IFERROR(__xludf.DUMMYFUNCTION("""COMPUTED_VALUE"""),"OCEAN")</f>
        <v/>
      </c>
      <c r="AE397" s="45">
        <f>IFERROR(__xludf.DUMMYFUNCTION("""COMPUTED_VALUE"""),"N")</f>
        <v/>
      </c>
      <c r="AF397" s="45" t="n"/>
      <c r="AG397" s="49">
        <f>IFERROR(__xludf.DUMMYFUNCTION("IFNA(vlookup(H397,IMPORTRANGE(""1vUGwO1n0QQGx9kKbO0_M5gmuhXZ6-LaxQxgrmJnzgP0"",""'TP# look up'!A:C""),3,0),"""")"),"")</f>
        <v/>
      </c>
      <c r="AH397" s="49">
        <f>LEFT(J397,2)</f>
        <v/>
      </c>
    </row>
    <row r="398" hidden="1" ht="12.75" customHeight="1">
      <c r="A398" s="45">
        <f>IFERROR(__xludf.DUMMYFUNCTION("""COMPUTED_VALUE"""),"Colombo")</f>
        <v/>
      </c>
      <c r="B398" s="45" t="n"/>
      <c r="C398" s="45">
        <f>IFERROR(__xludf.DUMMYFUNCTION("""COMPUTED_VALUE"""),3254506)</f>
        <v/>
      </c>
      <c r="D398" s="45" t="n"/>
      <c r="E398" s="45">
        <f>IFERROR(__xludf.DUMMYFUNCTION("""COMPUTED_VALUE"""),"CFS")</f>
        <v/>
      </c>
      <c r="F398" s="45">
        <f>IFERROR(__xludf.DUMMYFUNCTION("""COMPUTED_VALUE"""),"MAS AMITY PTE LTD")</f>
        <v/>
      </c>
      <c r="G398" s="45">
        <f>IFERROR(__xludf.DUMMYFUNCTION("""COMPUTED_VALUE"""),"MAS Active (Pvt) Ltd – Sleekline")</f>
        <v/>
      </c>
      <c r="H398" s="43">
        <f>IFERROR(__xludf.DUMMYFUNCTION("""COMPUTED_VALUE"""),452883659582)</f>
        <v/>
      </c>
      <c r="I398" s="45">
        <f>IFERROR(__xludf.DUMMYFUNCTION("""COMPUTED_VALUE"""),19940638)</f>
        <v/>
      </c>
      <c r="J398" s="45">
        <f>IFERROR(__xludf.DUMMYFUNCTION("""COMPUTED_VALUE"""),"LM9AN6S")</f>
        <v/>
      </c>
      <c r="K398" s="45">
        <f>IFERROR(__xludf.DUMMYFUNCTION("""COMPUTED_VALUE"""),"LM9AN6S-069600")</f>
        <v/>
      </c>
      <c r="L398" s="45">
        <f>IFERROR(__xludf.DUMMYFUNCTION("""COMPUTED_VALUE"""),2)</f>
        <v/>
      </c>
      <c r="M398" s="45">
        <f>IFERROR(__xludf.DUMMYFUNCTION("""COMPUTED_VALUE"""),173)</f>
        <v/>
      </c>
      <c r="N398" s="45">
        <f>IFERROR(__xludf.DUMMYFUNCTION("""COMPUTED_VALUE"""),17.835)</f>
        <v/>
      </c>
      <c r="O398" s="45">
        <f>IFERROR(__xludf.DUMMYFUNCTION("""COMPUTED_VALUE"""),0.119)</f>
        <v/>
      </c>
      <c r="P398" s="45">
        <f>IFERROR(__xludf.DUMMYFUNCTION("""COMPUTED_VALUE"""),"Colombo, LK")</f>
        <v/>
      </c>
      <c r="Q398" s="45">
        <f>IFERROR(__xludf.DUMMYFUNCTION("""COMPUTED_VALUE"""),"New York, NY, US")</f>
        <v/>
      </c>
      <c r="R398" s="44">
        <f>IFERROR(__xludf.DUMMYFUNCTION("""COMPUTED_VALUE"""),45824)</f>
        <v/>
      </c>
      <c r="S398" s="44">
        <f>IFERROR(__xludf.DUMMYFUNCTION("""COMPUTED_VALUE"""),45883)</f>
        <v/>
      </c>
      <c r="T398" s="45">
        <f>IFERROR(__xludf.DUMMYFUNCTION("""COMPUTED_VALUE"""),"Mississauga, ON, CA")</f>
        <v/>
      </c>
      <c r="U398" s="45" t="n"/>
      <c r="V398" s="45" t="n"/>
      <c r="W398" s="45" t="n"/>
      <c r="X398" s="45" t="n"/>
      <c r="Y398" s="46">
        <f>IFERROR(__xludf.DUMMYFUNCTION("""COMPUTED_VALUE"""),45832)</f>
        <v/>
      </c>
      <c r="Z398" s="46">
        <f>IFERROR(__xludf.DUMMYFUNCTION("""COMPUTED_VALUE"""),45861)</f>
        <v/>
      </c>
      <c r="AA398" s="46">
        <f>IFERROR(__xludf.DUMMYFUNCTION("""COMPUTED_VALUE"""),45874)</f>
        <v/>
      </c>
      <c r="AB398" s="45">
        <f>IFERROR(__xludf.DUMMYFUNCTION("""COMPUTED_VALUE"""),"3500 Argentia Road")</f>
        <v/>
      </c>
      <c r="AC398" s="45" t="n"/>
      <c r="AD398" s="45">
        <f>IFERROR(__xludf.DUMMYFUNCTION("""COMPUTED_VALUE"""),"OCEAN")</f>
        <v/>
      </c>
      <c r="AE398" s="45">
        <f>IFERROR(__xludf.DUMMYFUNCTION("""COMPUTED_VALUE"""),"N")</f>
        <v/>
      </c>
      <c r="AF398" s="45" t="n"/>
      <c r="AG398" s="49">
        <f>IFERROR(__xludf.DUMMYFUNCTION("IFNA(vlookup(H398,IMPORTRANGE(""1vUGwO1n0QQGx9kKbO0_M5gmuhXZ6-LaxQxgrmJnzgP0"",""'TP# look up'!A:C""),3,0),"""")"),"")</f>
        <v/>
      </c>
      <c r="AH398" s="49">
        <f>LEFT(J398,2)</f>
        <v/>
      </c>
    </row>
    <row r="399" hidden="1" ht="12.75" customHeight="1">
      <c r="A399" s="45">
        <f>IFERROR(__xludf.DUMMYFUNCTION("""COMPUTED_VALUE"""),"Colombo")</f>
        <v/>
      </c>
      <c r="B399" s="45" t="n"/>
      <c r="C399" s="45">
        <f>IFERROR(__xludf.DUMMYFUNCTION("""COMPUTED_VALUE"""),3254506)</f>
        <v/>
      </c>
      <c r="D399" s="45" t="n"/>
      <c r="E399" s="45">
        <f>IFERROR(__xludf.DUMMYFUNCTION("""COMPUTED_VALUE"""),"CFS")</f>
        <v/>
      </c>
      <c r="F399" s="45">
        <f>IFERROR(__xludf.DUMMYFUNCTION("""COMPUTED_VALUE"""),"MAS AMITY PTE LTD")</f>
        <v/>
      </c>
      <c r="G399" s="45">
        <f>IFERROR(__xludf.DUMMYFUNCTION("""COMPUTED_VALUE"""),"MAS Active (Pvt) Ltd – Sleekline")</f>
        <v/>
      </c>
      <c r="H399" s="43">
        <f>IFERROR(__xludf.DUMMYFUNCTION("""COMPUTED_VALUE"""),452884014566)</f>
        <v/>
      </c>
      <c r="I399" s="45">
        <f>IFERROR(__xludf.DUMMYFUNCTION("""COMPUTED_VALUE"""),19940694)</f>
        <v/>
      </c>
      <c r="J399" s="45">
        <f>IFERROR(__xludf.DUMMYFUNCTION("""COMPUTED_VALUE"""),"LM9AY9S")</f>
        <v/>
      </c>
      <c r="K399" s="45">
        <f>IFERROR(__xludf.DUMMYFUNCTION("""COMPUTED_VALUE"""),"LM9AY9S-042751")</f>
        <v/>
      </c>
      <c r="L399" s="45">
        <f>IFERROR(__xludf.DUMMYFUNCTION("""COMPUTED_VALUE"""),5)</f>
        <v/>
      </c>
      <c r="M399" s="45">
        <f>IFERROR(__xludf.DUMMYFUNCTION("""COMPUTED_VALUE"""),200)</f>
        <v/>
      </c>
      <c r="N399" s="45">
        <f>IFERROR(__xludf.DUMMYFUNCTION("""COMPUTED_VALUE"""),59.09)</f>
        <v/>
      </c>
      <c r="O399" s="45">
        <f>IFERROR(__xludf.DUMMYFUNCTION("""COMPUTED_VALUE"""),0.357)</f>
        <v/>
      </c>
      <c r="P399" s="45">
        <f>IFERROR(__xludf.DUMMYFUNCTION("""COMPUTED_VALUE"""),"Colombo, LK")</f>
        <v/>
      </c>
      <c r="Q399" s="45">
        <f>IFERROR(__xludf.DUMMYFUNCTION("""COMPUTED_VALUE"""),"New York, NY, US")</f>
        <v/>
      </c>
      <c r="R399" s="44">
        <f>IFERROR(__xludf.DUMMYFUNCTION("""COMPUTED_VALUE"""),45824)</f>
        <v/>
      </c>
      <c r="S399" s="44">
        <f>IFERROR(__xludf.DUMMYFUNCTION("""COMPUTED_VALUE"""),45883)</f>
        <v/>
      </c>
      <c r="T399" s="45">
        <f>IFERROR(__xludf.DUMMYFUNCTION("""COMPUTED_VALUE"""),"Mississauga, ON, CA")</f>
        <v/>
      </c>
      <c r="U399" s="45" t="n"/>
      <c r="V399" s="45" t="n"/>
      <c r="W399" s="45" t="n"/>
      <c r="X399" s="45" t="n"/>
      <c r="Y399" s="46">
        <f>IFERROR(__xludf.DUMMYFUNCTION("""COMPUTED_VALUE"""),45832)</f>
        <v/>
      </c>
      <c r="Z399" s="46">
        <f>IFERROR(__xludf.DUMMYFUNCTION("""COMPUTED_VALUE"""),45861)</f>
        <v/>
      </c>
      <c r="AA399" s="46">
        <f>IFERROR(__xludf.DUMMYFUNCTION("""COMPUTED_VALUE"""),45874)</f>
        <v/>
      </c>
      <c r="AB399" s="45">
        <f>IFERROR(__xludf.DUMMYFUNCTION("""COMPUTED_VALUE"""),"3500 Argentia Road")</f>
        <v/>
      </c>
      <c r="AC399" s="45" t="n"/>
      <c r="AD399" s="45">
        <f>IFERROR(__xludf.DUMMYFUNCTION("""COMPUTED_VALUE"""),"OCEAN")</f>
        <v/>
      </c>
      <c r="AE399" s="45">
        <f>IFERROR(__xludf.DUMMYFUNCTION("""COMPUTED_VALUE"""),"N")</f>
        <v/>
      </c>
      <c r="AF399" s="45" t="n"/>
      <c r="AG399" s="49">
        <f>IFERROR(__xludf.DUMMYFUNCTION("IFNA(vlookup(H399,IMPORTRANGE(""1vUGwO1n0QQGx9kKbO0_M5gmuhXZ6-LaxQxgrmJnzgP0"",""'TP# look up'!A:C""),3,0),"""")"),"")</f>
        <v/>
      </c>
      <c r="AH399" s="49">
        <f>LEFT(J399,2)</f>
        <v/>
      </c>
    </row>
    <row r="400" hidden="1" ht="12.75" customHeight="1">
      <c r="A400" s="45">
        <f>IFERROR(__xludf.DUMMYFUNCTION("""COMPUTED_VALUE"""),"Colombo")</f>
        <v/>
      </c>
      <c r="B400" s="45" t="n"/>
      <c r="C400" s="45">
        <f>IFERROR(__xludf.DUMMYFUNCTION("""COMPUTED_VALUE"""),3254506)</f>
        <v/>
      </c>
      <c r="D400" s="45" t="n"/>
      <c r="E400" s="45">
        <f>IFERROR(__xludf.DUMMYFUNCTION("""COMPUTED_VALUE"""),"CFS")</f>
        <v/>
      </c>
      <c r="F400" s="45">
        <f>IFERROR(__xludf.DUMMYFUNCTION("""COMPUTED_VALUE"""),"MAS AMITY PTE LTD")</f>
        <v/>
      </c>
      <c r="G400" s="45">
        <f>IFERROR(__xludf.DUMMYFUNCTION("""COMPUTED_VALUE"""),"MAS Active (Pvt) Ltd – Sleekline")</f>
        <v/>
      </c>
      <c r="H400" s="43">
        <f>IFERROR(__xludf.DUMMYFUNCTION("""COMPUTED_VALUE"""),452885455014)</f>
        <v/>
      </c>
      <c r="I400" s="45">
        <f>IFERROR(__xludf.DUMMYFUNCTION("""COMPUTED_VALUE"""),19940754)</f>
        <v/>
      </c>
      <c r="J400" s="45">
        <f>IFERROR(__xludf.DUMMYFUNCTION("""COMPUTED_VALUE"""),"LM9AYLS")</f>
        <v/>
      </c>
      <c r="K400" s="45">
        <f>IFERROR(__xludf.DUMMYFUNCTION("""COMPUTED_VALUE"""),"LM9AYLS-033928")</f>
        <v/>
      </c>
      <c r="L400" s="45">
        <f>IFERROR(__xludf.DUMMYFUNCTION("""COMPUTED_VALUE"""),1)</f>
        <v/>
      </c>
      <c r="M400" s="45">
        <f>IFERROR(__xludf.DUMMYFUNCTION("""COMPUTED_VALUE"""),127)</f>
        <v/>
      </c>
      <c r="N400" s="45">
        <f>IFERROR(__xludf.DUMMYFUNCTION("""COMPUTED_VALUE"""),11.917)</f>
        <v/>
      </c>
      <c r="O400" s="45">
        <f>IFERROR(__xludf.DUMMYFUNCTION("""COMPUTED_VALUE"""),0.079)</f>
        <v/>
      </c>
      <c r="P400" s="45">
        <f>IFERROR(__xludf.DUMMYFUNCTION("""COMPUTED_VALUE"""),"Colombo, LK")</f>
        <v/>
      </c>
      <c r="Q400" s="45">
        <f>IFERROR(__xludf.DUMMYFUNCTION("""COMPUTED_VALUE"""),"New York, NY, US")</f>
        <v/>
      </c>
      <c r="R400" s="44">
        <f>IFERROR(__xludf.DUMMYFUNCTION("""COMPUTED_VALUE"""),45824)</f>
        <v/>
      </c>
      <c r="S400" s="44">
        <f>IFERROR(__xludf.DUMMYFUNCTION("""COMPUTED_VALUE"""),45883)</f>
        <v/>
      </c>
      <c r="T400" s="45">
        <f>IFERROR(__xludf.DUMMYFUNCTION("""COMPUTED_VALUE"""),"Mississauga, ON, CA")</f>
        <v/>
      </c>
      <c r="U400" s="45" t="n"/>
      <c r="V400" s="45" t="n"/>
      <c r="W400" s="45" t="n"/>
      <c r="X400" s="45" t="n"/>
      <c r="Y400" s="46">
        <f>IFERROR(__xludf.DUMMYFUNCTION("""COMPUTED_VALUE"""),45832)</f>
        <v/>
      </c>
      <c r="Z400" s="46">
        <f>IFERROR(__xludf.DUMMYFUNCTION("""COMPUTED_VALUE"""),45861)</f>
        <v/>
      </c>
      <c r="AA400" s="46">
        <f>IFERROR(__xludf.DUMMYFUNCTION("""COMPUTED_VALUE"""),45874)</f>
        <v/>
      </c>
      <c r="AB400" s="45">
        <f>IFERROR(__xludf.DUMMYFUNCTION("""COMPUTED_VALUE"""),"3500 Argentia Road")</f>
        <v/>
      </c>
      <c r="AC400" s="45" t="n"/>
      <c r="AD400" s="45">
        <f>IFERROR(__xludf.DUMMYFUNCTION("""COMPUTED_VALUE"""),"OCEAN")</f>
        <v/>
      </c>
      <c r="AE400" s="45">
        <f>IFERROR(__xludf.DUMMYFUNCTION("""COMPUTED_VALUE"""),"N")</f>
        <v/>
      </c>
      <c r="AF400" s="45" t="n"/>
      <c r="AG400" s="49">
        <f>IFERROR(__xludf.DUMMYFUNCTION("IFNA(vlookup(H400,IMPORTRANGE(""1vUGwO1n0QQGx9kKbO0_M5gmuhXZ6-LaxQxgrmJnzgP0"",""'TP# look up'!A:C""),3,0),"""")"),"")</f>
        <v/>
      </c>
      <c r="AH400" s="49">
        <f>LEFT(J400,2)</f>
        <v/>
      </c>
    </row>
    <row r="401" hidden="1" ht="12.75" customHeight="1">
      <c r="A401" s="45">
        <f>IFERROR(__xludf.DUMMYFUNCTION("""COMPUTED_VALUE"""),"Colombo")</f>
        <v/>
      </c>
      <c r="B401" s="45" t="n"/>
      <c r="C401" s="45">
        <f>IFERROR(__xludf.DUMMYFUNCTION("""COMPUTED_VALUE"""),3254506)</f>
        <v/>
      </c>
      <c r="D401" s="45" t="n"/>
      <c r="E401" s="45">
        <f>IFERROR(__xludf.DUMMYFUNCTION("""COMPUTED_VALUE"""),"CFS")</f>
        <v/>
      </c>
      <c r="F401" s="45">
        <f>IFERROR(__xludf.DUMMYFUNCTION("""COMPUTED_VALUE"""),"MAS AMITY PTE LTD")</f>
        <v/>
      </c>
      <c r="G401" s="45">
        <f>IFERROR(__xludf.DUMMYFUNCTION("""COMPUTED_VALUE"""),"MAS Active (Pvt) Ltd – Sleekline")</f>
        <v/>
      </c>
      <c r="H401" s="43">
        <f>IFERROR(__xludf.DUMMYFUNCTION("""COMPUTED_VALUE"""),452886840225)</f>
        <v/>
      </c>
      <c r="I401" s="45">
        <f>IFERROR(__xludf.DUMMYFUNCTION("""COMPUTED_VALUE"""),19940778)</f>
        <v/>
      </c>
      <c r="J401" s="45">
        <f>IFERROR(__xludf.DUMMYFUNCTION("""COMPUTED_VALUE"""),"LM9AZ0S")</f>
        <v/>
      </c>
      <c r="K401" s="45">
        <f>IFERROR(__xludf.DUMMYFUNCTION("""COMPUTED_VALUE"""),"LM9AZ0S-066937")</f>
        <v/>
      </c>
      <c r="L401" s="45">
        <f>IFERROR(__xludf.DUMMYFUNCTION("""COMPUTED_VALUE"""),1)</f>
        <v/>
      </c>
      <c r="M401" s="45">
        <f>IFERROR(__xludf.DUMMYFUNCTION("""COMPUTED_VALUE"""),103)</f>
        <v/>
      </c>
      <c r="N401" s="45">
        <f>IFERROR(__xludf.DUMMYFUNCTION("""COMPUTED_VALUE"""),10.53)</f>
        <v/>
      </c>
      <c r="O401" s="45">
        <f>IFERROR(__xludf.DUMMYFUNCTION("""COMPUTED_VALUE"""),0.079)</f>
        <v/>
      </c>
      <c r="P401" s="45">
        <f>IFERROR(__xludf.DUMMYFUNCTION("""COMPUTED_VALUE"""),"Colombo, LK")</f>
        <v/>
      </c>
      <c r="Q401" s="45">
        <f>IFERROR(__xludf.DUMMYFUNCTION("""COMPUTED_VALUE"""),"New York, NY, US")</f>
        <v/>
      </c>
      <c r="R401" s="44">
        <f>IFERROR(__xludf.DUMMYFUNCTION("""COMPUTED_VALUE"""),45824)</f>
        <v/>
      </c>
      <c r="S401" s="44">
        <f>IFERROR(__xludf.DUMMYFUNCTION("""COMPUTED_VALUE"""),45883)</f>
        <v/>
      </c>
      <c r="T401" s="45">
        <f>IFERROR(__xludf.DUMMYFUNCTION("""COMPUTED_VALUE"""),"Mississauga, ON, CA")</f>
        <v/>
      </c>
      <c r="U401" s="45" t="n"/>
      <c r="V401" s="45" t="n"/>
      <c r="W401" s="45" t="n"/>
      <c r="X401" s="45" t="n"/>
      <c r="Y401" s="46">
        <f>IFERROR(__xludf.DUMMYFUNCTION("""COMPUTED_VALUE"""),45832)</f>
        <v/>
      </c>
      <c r="Z401" s="46">
        <f>IFERROR(__xludf.DUMMYFUNCTION("""COMPUTED_VALUE"""),45861)</f>
        <v/>
      </c>
      <c r="AA401" s="46">
        <f>IFERROR(__xludf.DUMMYFUNCTION("""COMPUTED_VALUE"""),45874)</f>
        <v/>
      </c>
      <c r="AB401" s="45">
        <f>IFERROR(__xludf.DUMMYFUNCTION("""COMPUTED_VALUE"""),"3500 Argentia Road")</f>
        <v/>
      </c>
      <c r="AC401" s="45" t="n"/>
      <c r="AD401" s="45">
        <f>IFERROR(__xludf.DUMMYFUNCTION("""COMPUTED_VALUE"""),"OCEAN")</f>
        <v/>
      </c>
      <c r="AE401" s="45">
        <f>IFERROR(__xludf.DUMMYFUNCTION("""COMPUTED_VALUE"""),"N")</f>
        <v/>
      </c>
      <c r="AF401" s="45" t="n"/>
      <c r="AG401" s="49">
        <f>IFERROR(__xludf.DUMMYFUNCTION("IFNA(vlookup(H401,IMPORTRANGE(""1vUGwO1n0QQGx9kKbO0_M5gmuhXZ6-LaxQxgrmJnzgP0"",""'TP# look up'!A:C""),3,0),"""")"),"")</f>
        <v/>
      </c>
      <c r="AH401" s="49">
        <f>LEFT(J401,2)</f>
        <v/>
      </c>
    </row>
    <row r="402" hidden="1" ht="12.75" customHeight="1">
      <c r="A402" s="45">
        <f>IFERROR(__xludf.DUMMYFUNCTION("""COMPUTED_VALUE"""),"Colombo")</f>
        <v/>
      </c>
      <c r="B402" s="45" t="n"/>
      <c r="C402" s="45">
        <f>IFERROR(__xludf.DUMMYFUNCTION("""COMPUTED_VALUE"""),3254506)</f>
        <v/>
      </c>
      <c r="D402" s="45" t="n"/>
      <c r="E402" s="45">
        <f>IFERROR(__xludf.DUMMYFUNCTION("""COMPUTED_VALUE"""),"CFS")</f>
        <v/>
      </c>
      <c r="F402" s="45">
        <f>IFERROR(__xludf.DUMMYFUNCTION("""COMPUTED_VALUE"""),"MAS AMITY PTE LTD")</f>
        <v/>
      </c>
      <c r="G402" s="45">
        <f>IFERROR(__xludf.DUMMYFUNCTION("""COMPUTED_VALUE"""),"MAS Active (Pvt) Ltd – Sleekline")</f>
        <v/>
      </c>
      <c r="H402" s="43">
        <f>IFERROR(__xludf.DUMMYFUNCTION("""COMPUTED_VALUE"""),452887033412)</f>
        <v/>
      </c>
      <c r="I402" s="45">
        <f>IFERROR(__xludf.DUMMYFUNCTION("""COMPUTED_VALUE"""),19940655)</f>
        <v/>
      </c>
      <c r="J402" s="45">
        <f>IFERROR(__xludf.DUMMYFUNCTION("""COMPUTED_VALUE"""),"LM9AN8S")</f>
        <v/>
      </c>
      <c r="K402" s="45">
        <f>IFERROR(__xludf.DUMMYFUNCTION("""COMPUTED_VALUE"""),"LM9AN8S-045060")</f>
        <v/>
      </c>
      <c r="L402" s="45">
        <f>IFERROR(__xludf.DUMMYFUNCTION("""COMPUTED_VALUE"""),3)</f>
        <v/>
      </c>
      <c r="M402" s="45">
        <f>IFERROR(__xludf.DUMMYFUNCTION("""COMPUTED_VALUE"""),107)</f>
        <v/>
      </c>
      <c r="N402" s="45">
        <f>IFERROR(__xludf.DUMMYFUNCTION("""COMPUTED_VALUE"""),33.41)</f>
        <v/>
      </c>
      <c r="O402" s="45">
        <f>IFERROR(__xludf.DUMMYFUNCTION("""COMPUTED_VALUE"""),0.238)</f>
        <v/>
      </c>
      <c r="P402" s="45">
        <f>IFERROR(__xludf.DUMMYFUNCTION("""COMPUTED_VALUE"""),"Colombo, LK")</f>
        <v/>
      </c>
      <c r="Q402" s="45">
        <f>IFERROR(__xludf.DUMMYFUNCTION("""COMPUTED_VALUE"""),"New York, NY, US")</f>
        <v/>
      </c>
      <c r="R402" s="44">
        <f>IFERROR(__xludf.DUMMYFUNCTION("""COMPUTED_VALUE"""),45824)</f>
        <v/>
      </c>
      <c r="S402" s="44">
        <f>IFERROR(__xludf.DUMMYFUNCTION("""COMPUTED_VALUE"""),45883)</f>
        <v/>
      </c>
      <c r="T402" s="45">
        <f>IFERROR(__xludf.DUMMYFUNCTION("""COMPUTED_VALUE"""),"Mississauga, ON, CA")</f>
        <v/>
      </c>
      <c r="U402" s="45" t="n"/>
      <c r="V402" s="45" t="n"/>
      <c r="W402" s="45" t="n"/>
      <c r="X402" s="45" t="n"/>
      <c r="Y402" s="46">
        <f>IFERROR(__xludf.DUMMYFUNCTION("""COMPUTED_VALUE"""),45832)</f>
        <v/>
      </c>
      <c r="Z402" s="46">
        <f>IFERROR(__xludf.DUMMYFUNCTION("""COMPUTED_VALUE"""),45861)</f>
        <v/>
      </c>
      <c r="AA402" s="46">
        <f>IFERROR(__xludf.DUMMYFUNCTION("""COMPUTED_VALUE"""),45874)</f>
        <v/>
      </c>
      <c r="AB402" s="45">
        <f>IFERROR(__xludf.DUMMYFUNCTION("""COMPUTED_VALUE"""),"3500 Argentia Road")</f>
        <v/>
      </c>
      <c r="AC402" s="45" t="n"/>
      <c r="AD402" s="45">
        <f>IFERROR(__xludf.DUMMYFUNCTION("""COMPUTED_VALUE"""),"OCEAN")</f>
        <v/>
      </c>
      <c r="AE402" s="45">
        <f>IFERROR(__xludf.DUMMYFUNCTION("""COMPUTED_VALUE"""),"N")</f>
        <v/>
      </c>
      <c r="AF402" s="45" t="n"/>
      <c r="AG402" s="49">
        <f>IFERROR(__xludf.DUMMYFUNCTION("IFNA(vlookup(H402,IMPORTRANGE(""1vUGwO1n0QQGx9kKbO0_M5gmuhXZ6-LaxQxgrmJnzgP0"",""'TP# look up'!A:C""),3,0),"""")"),"")</f>
        <v/>
      </c>
      <c r="AH402" s="49">
        <f>LEFT(J402,2)</f>
        <v/>
      </c>
    </row>
    <row r="403" hidden="1" ht="12.75" customHeight="1">
      <c r="A403" s="45">
        <f>IFERROR(__xludf.DUMMYFUNCTION("""COMPUTED_VALUE"""),"Colombo")</f>
        <v/>
      </c>
      <c r="B403" s="45" t="n"/>
      <c r="C403" s="45">
        <f>IFERROR(__xludf.DUMMYFUNCTION("""COMPUTED_VALUE"""),3254506)</f>
        <v/>
      </c>
      <c r="D403" s="45" t="n"/>
      <c r="E403" s="45">
        <f>IFERROR(__xludf.DUMMYFUNCTION("""COMPUTED_VALUE"""),"CFS")</f>
        <v/>
      </c>
      <c r="F403" s="45">
        <f>IFERROR(__xludf.DUMMYFUNCTION("""COMPUTED_VALUE"""),"MAS AMITY PTE LTD")</f>
        <v/>
      </c>
      <c r="G403" s="45">
        <f>IFERROR(__xludf.DUMMYFUNCTION("""COMPUTED_VALUE"""),"MAS Active (Pvt) Ltd – Sleekline")</f>
        <v/>
      </c>
      <c r="H403" s="43">
        <f>IFERROR(__xludf.DUMMYFUNCTION("""COMPUTED_VALUE"""),452887538870)</f>
        <v/>
      </c>
      <c r="I403" s="45">
        <f>IFERROR(__xludf.DUMMYFUNCTION("""COMPUTED_VALUE"""),19940706)</f>
        <v/>
      </c>
      <c r="J403" s="45">
        <f>IFERROR(__xludf.DUMMYFUNCTION("""COMPUTED_VALUE"""),"LM9AYES")</f>
        <v/>
      </c>
      <c r="K403" s="45">
        <f>IFERROR(__xludf.DUMMYFUNCTION("""COMPUTED_VALUE"""),"LM9AYES-071856")</f>
        <v/>
      </c>
      <c r="L403" s="45">
        <f>IFERROR(__xludf.DUMMYFUNCTION("""COMPUTED_VALUE"""),10)</f>
        <v/>
      </c>
      <c r="M403" s="45">
        <f>IFERROR(__xludf.DUMMYFUNCTION("""COMPUTED_VALUE"""),256)</f>
        <v/>
      </c>
      <c r="N403" s="45">
        <f>IFERROR(__xludf.DUMMYFUNCTION("""COMPUTED_VALUE"""),121.12)</f>
        <v/>
      </c>
      <c r="O403" s="45">
        <f>IFERROR(__xludf.DUMMYFUNCTION("""COMPUTED_VALUE"""),0.793)</f>
        <v/>
      </c>
      <c r="P403" s="45">
        <f>IFERROR(__xludf.DUMMYFUNCTION("""COMPUTED_VALUE"""),"Colombo, LK")</f>
        <v/>
      </c>
      <c r="Q403" s="45">
        <f>IFERROR(__xludf.DUMMYFUNCTION("""COMPUTED_VALUE"""),"New York, NY, US")</f>
        <v/>
      </c>
      <c r="R403" s="44">
        <f>IFERROR(__xludf.DUMMYFUNCTION("""COMPUTED_VALUE"""),45824)</f>
        <v/>
      </c>
      <c r="S403" s="44">
        <f>IFERROR(__xludf.DUMMYFUNCTION("""COMPUTED_VALUE"""),45883)</f>
        <v/>
      </c>
      <c r="T403" s="45">
        <f>IFERROR(__xludf.DUMMYFUNCTION("""COMPUTED_VALUE"""),"Mississauga, ON, CA")</f>
        <v/>
      </c>
      <c r="U403" s="45" t="n"/>
      <c r="V403" s="45" t="n"/>
      <c r="W403" s="45" t="n"/>
      <c r="X403" s="45" t="n"/>
      <c r="Y403" s="46">
        <f>IFERROR(__xludf.DUMMYFUNCTION("""COMPUTED_VALUE"""),45832)</f>
        <v/>
      </c>
      <c r="Z403" s="46">
        <f>IFERROR(__xludf.DUMMYFUNCTION("""COMPUTED_VALUE"""),45861)</f>
        <v/>
      </c>
      <c r="AA403" s="46">
        <f>IFERROR(__xludf.DUMMYFUNCTION("""COMPUTED_VALUE"""),45874)</f>
        <v/>
      </c>
      <c r="AB403" s="45">
        <f>IFERROR(__xludf.DUMMYFUNCTION("""COMPUTED_VALUE"""),"3500 Argentia Road")</f>
        <v/>
      </c>
      <c r="AC403" s="45" t="n"/>
      <c r="AD403" s="45">
        <f>IFERROR(__xludf.DUMMYFUNCTION("""COMPUTED_VALUE"""),"OCEAN")</f>
        <v/>
      </c>
      <c r="AE403" s="45">
        <f>IFERROR(__xludf.DUMMYFUNCTION("""COMPUTED_VALUE"""),"N")</f>
        <v/>
      </c>
      <c r="AF403" s="45" t="n"/>
      <c r="AG403" s="49">
        <f>IFERROR(__xludf.DUMMYFUNCTION("IFNA(vlookup(H403,IMPORTRANGE(""1vUGwO1n0QQGx9kKbO0_M5gmuhXZ6-LaxQxgrmJnzgP0"",""'TP# look up'!A:C""),3,0),"""")"),"")</f>
        <v/>
      </c>
      <c r="AH403" s="49">
        <f>LEFT(J403,2)</f>
        <v/>
      </c>
    </row>
    <row r="404" hidden="1" ht="12.75" customHeight="1">
      <c r="A404" s="45">
        <f>IFERROR(__xludf.DUMMYFUNCTION("""COMPUTED_VALUE"""),"Colombo")</f>
        <v/>
      </c>
      <c r="B404" s="45" t="n"/>
      <c r="C404" s="45">
        <f>IFERROR(__xludf.DUMMYFUNCTION("""COMPUTED_VALUE"""),3254506)</f>
        <v/>
      </c>
      <c r="D404" s="45" t="n"/>
      <c r="E404" s="45">
        <f>IFERROR(__xludf.DUMMYFUNCTION("""COMPUTED_VALUE"""),"CFS")</f>
        <v/>
      </c>
      <c r="F404" s="45">
        <f>IFERROR(__xludf.DUMMYFUNCTION("""COMPUTED_VALUE"""),"MAS AMITY PTE LTD")</f>
        <v/>
      </c>
      <c r="G404" s="45">
        <f>IFERROR(__xludf.DUMMYFUNCTION("""COMPUTED_VALUE"""),"MAS Active (Pvt) Ltd – Sleekline")</f>
        <v/>
      </c>
      <c r="H404" s="43">
        <f>IFERROR(__xludf.DUMMYFUNCTION("""COMPUTED_VALUE"""),452888470781)</f>
        <v/>
      </c>
      <c r="I404" s="45">
        <f>IFERROR(__xludf.DUMMYFUNCTION("""COMPUTED_VALUE"""),19940734)</f>
        <v/>
      </c>
      <c r="J404" s="45">
        <f>IFERROR(__xludf.DUMMYFUNCTION("""COMPUTED_VALUE"""),"LM9AYLS")</f>
        <v/>
      </c>
      <c r="K404" s="45">
        <f>IFERROR(__xludf.DUMMYFUNCTION("""COMPUTED_VALUE"""),"LM9AYLS-035487")</f>
        <v/>
      </c>
      <c r="L404" s="45">
        <f>IFERROR(__xludf.DUMMYFUNCTION("""COMPUTED_VALUE"""),1)</f>
        <v/>
      </c>
      <c r="M404" s="45">
        <f>IFERROR(__xludf.DUMMYFUNCTION("""COMPUTED_VALUE"""),106)</f>
        <v/>
      </c>
      <c r="N404" s="45">
        <f>IFERROR(__xludf.DUMMYFUNCTION("""COMPUTED_VALUE"""),10.14)</f>
        <v/>
      </c>
      <c r="O404" s="45">
        <f>IFERROR(__xludf.DUMMYFUNCTION("""COMPUTED_VALUE"""),0.079)</f>
        <v/>
      </c>
      <c r="P404" s="45">
        <f>IFERROR(__xludf.DUMMYFUNCTION("""COMPUTED_VALUE"""),"Colombo, LK")</f>
        <v/>
      </c>
      <c r="Q404" s="45">
        <f>IFERROR(__xludf.DUMMYFUNCTION("""COMPUTED_VALUE"""),"New York, NY, US")</f>
        <v/>
      </c>
      <c r="R404" s="44">
        <f>IFERROR(__xludf.DUMMYFUNCTION("""COMPUTED_VALUE"""),45824)</f>
        <v/>
      </c>
      <c r="S404" s="44">
        <f>IFERROR(__xludf.DUMMYFUNCTION("""COMPUTED_VALUE"""),45883)</f>
        <v/>
      </c>
      <c r="T404" s="45">
        <f>IFERROR(__xludf.DUMMYFUNCTION("""COMPUTED_VALUE"""),"Mississauga, ON, CA")</f>
        <v/>
      </c>
      <c r="U404" s="45" t="n"/>
      <c r="V404" s="45" t="n"/>
      <c r="W404" s="45" t="n"/>
      <c r="X404" s="45" t="n"/>
      <c r="Y404" s="46">
        <f>IFERROR(__xludf.DUMMYFUNCTION("""COMPUTED_VALUE"""),45832)</f>
        <v/>
      </c>
      <c r="Z404" s="46">
        <f>IFERROR(__xludf.DUMMYFUNCTION("""COMPUTED_VALUE"""),45861)</f>
        <v/>
      </c>
      <c r="AA404" s="46">
        <f>IFERROR(__xludf.DUMMYFUNCTION("""COMPUTED_VALUE"""),45874)</f>
        <v/>
      </c>
      <c r="AB404" s="45">
        <f>IFERROR(__xludf.DUMMYFUNCTION("""COMPUTED_VALUE"""),"3500 Argentia Road")</f>
        <v/>
      </c>
      <c r="AC404" s="45" t="n"/>
      <c r="AD404" s="45">
        <f>IFERROR(__xludf.DUMMYFUNCTION("""COMPUTED_VALUE"""),"OCEAN")</f>
        <v/>
      </c>
      <c r="AE404" s="45">
        <f>IFERROR(__xludf.DUMMYFUNCTION("""COMPUTED_VALUE"""),"N")</f>
        <v/>
      </c>
      <c r="AF404" s="45" t="n"/>
      <c r="AG404" s="49">
        <f>IFERROR(__xludf.DUMMYFUNCTION("IFNA(vlookup(H404,IMPORTRANGE(""1vUGwO1n0QQGx9kKbO0_M5gmuhXZ6-LaxQxgrmJnzgP0"",""'TP# look up'!A:C""),3,0),"""")"),"")</f>
        <v/>
      </c>
      <c r="AH404" s="49">
        <f>LEFT(J404,2)</f>
        <v/>
      </c>
    </row>
    <row r="405" hidden="1" ht="12.75" customHeight="1">
      <c r="A405" s="45">
        <f>IFERROR(__xludf.DUMMYFUNCTION("""COMPUTED_VALUE"""),"Colombo")</f>
        <v/>
      </c>
      <c r="B405" s="45" t="n"/>
      <c r="C405" s="45">
        <f>IFERROR(__xludf.DUMMYFUNCTION("""COMPUTED_VALUE"""),3254506)</f>
        <v/>
      </c>
      <c r="D405" s="45" t="n"/>
      <c r="E405" s="45">
        <f>IFERROR(__xludf.DUMMYFUNCTION("""COMPUTED_VALUE"""),"CFS")</f>
        <v/>
      </c>
      <c r="F405" s="45">
        <f>IFERROR(__xludf.DUMMYFUNCTION("""COMPUTED_VALUE"""),"MAS AMITY PTE LTD")</f>
        <v/>
      </c>
      <c r="G405" s="45">
        <f>IFERROR(__xludf.DUMMYFUNCTION("""COMPUTED_VALUE"""),"MAS Active (Pvt) Ltd – Sleekline")</f>
        <v/>
      </c>
      <c r="H405" s="43">
        <f>IFERROR(__xludf.DUMMYFUNCTION("""COMPUTED_VALUE"""),452890794023)</f>
        <v/>
      </c>
      <c r="I405" s="45">
        <f>IFERROR(__xludf.DUMMYFUNCTION("""COMPUTED_VALUE"""),19940777)</f>
        <v/>
      </c>
      <c r="J405" s="45">
        <f>IFERROR(__xludf.DUMMYFUNCTION("""COMPUTED_VALUE"""),"LM9AZ0S")</f>
        <v/>
      </c>
      <c r="K405" s="45">
        <f>IFERROR(__xludf.DUMMYFUNCTION("""COMPUTED_VALUE"""),"LM9AZ0S-066937")</f>
        <v/>
      </c>
      <c r="L405" s="45">
        <f>IFERROR(__xludf.DUMMYFUNCTION("""COMPUTED_VALUE"""),1)</f>
        <v/>
      </c>
      <c r="M405" s="45">
        <f>IFERROR(__xludf.DUMMYFUNCTION("""COMPUTED_VALUE"""),130)</f>
        <v/>
      </c>
      <c r="N405" s="45">
        <f>IFERROR(__xludf.DUMMYFUNCTION("""COMPUTED_VALUE"""),12.99)</f>
        <v/>
      </c>
      <c r="O405" s="45">
        <f>IFERROR(__xludf.DUMMYFUNCTION("""COMPUTED_VALUE"""),0.079)</f>
        <v/>
      </c>
      <c r="P405" s="45">
        <f>IFERROR(__xludf.DUMMYFUNCTION("""COMPUTED_VALUE"""),"Colombo, LK")</f>
        <v/>
      </c>
      <c r="Q405" s="45">
        <f>IFERROR(__xludf.DUMMYFUNCTION("""COMPUTED_VALUE"""),"New York, NY, US")</f>
        <v/>
      </c>
      <c r="R405" s="44">
        <f>IFERROR(__xludf.DUMMYFUNCTION("""COMPUTED_VALUE"""),45824)</f>
        <v/>
      </c>
      <c r="S405" s="44">
        <f>IFERROR(__xludf.DUMMYFUNCTION("""COMPUTED_VALUE"""),45883)</f>
        <v/>
      </c>
      <c r="T405" s="45">
        <f>IFERROR(__xludf.DUMMYFUNCTION("""COMPUTED_VALUE"""),"Mississauga, ON, CA")</f>
        <v/>
      </c>
      <c r="U405" s="45" t="n"/>
      <c r="V405" s="45" t="n"/>
      <c r="W405" s="45" t="n"/>
      <c r="X405" s="45" t="n"/>
      <c r="Y405" s="46">
        <f>IFERROR(__xludf.DUMMYFUNCTION("""COMPUTED_VALUE"""),45832)</f>
        <v/>
      </c>
      <c r="Z405" s="46">
        <f>IFERROR(__xludf.DUMMYFUNCTION("""COMPUTED_VALUE"""),45861)</f>
        <v/>
      </c>
      <c r="AA405" s="46">
        <f>IFERROR(__xludf.DUMMYFUNCTION("""COMPUTED_VALUE"""),45874)</f>
        <v/>
      </c>
      <c r="AB405" s="45">
        <f>IFERROR(__xludf.DUMMYFUNCTION("""COMPUTED_VALUE"""),"3500 Argentia Road")</f>
        <v/>
      </c>
      <c r="AC405" s="45" t="n"/>
      <c r="AD405" s="45">
        <f>IFERROR(__xludf.DUMMYFUNCTION("""COMPUTED_VALUE"""),"OCEAN")</f>
        <v/>
      </c>
      <c r="AE405" s="45">
        <f>IFERROR(__xludf.DUMMYFUNCTION("""COMPUTED_VALUE"""),"N")</f>
        <v/>
      </c>
      <c r="AF405" s="45" t="n"/>
      <c r="AG405" s="49">
        <f>IFERROR(__xludf.DUMMYFUNCTION("IFNA(vlookup(H405,IMPORTRANGE(""1vUGwO1n0QQGx9kKbO0_M5gmuhXZ6-LaxQxgrmJnzgP0"",""'TP# look up'!A:C""),3,0),"""")"),"")</f>
        <v/>
      </c>
      <c r="AH405" s="49">
        <f>LEFT(J405,2)</f>
        <v/>
      </c>
    </row>
    <row r="406" hidden="1" ht="12.75" customHeight="1">
      <c r="A406" s="45">
        <f>IFERROR(__xludf.DUMMYFUNCTION("""COMPUTED_VALUE"""),"Colombo")</f>
        <v/>
      </c>
      <c r="B406" s="45" t="n"/>
      <c r="C406" s="45">
        <f>IFERROR(__xludf.DUMMYFUNCTION("""COMPUTED_VALUE"""),3254506)</f>
        <v/>
      </c>
      <c r="D406" s="45" t="n"/>
      <c r="E406" s="45">
        <f>IFERROR(__xludf.DUMMYFUNCTION("""COMPUTED_VALUE"""),"CFS")</f>
        <v/>
      </c>
      <c r="F406" s="45">
        <f>IFERROR(__xludf.DUMMYFUNCTION("""COMPUTED_VALUE"""),"MAS AMITY PTE LTD")</f>
        <v/>
      </c>
      <c r="G406" s="45">
        <f>IFERROR(__xludf.DUMMYFUNCTION("""COMPUTED_VALUE"""),"MAS Active(Pvt) Ltd – CONTOURLINE")</f>
        <v/>
      </c>
      <c r="H406" s="43">
        <f>IFERROR(__xludf.DUMMYFUNCTION("""COMPUTED_VALUE"""),452892261132)</f>
        <v/>
      </c>
      <c r="I406" s="45">
        <f>IFERROR(__xludf.DUMMYFUNCTION("""COMPUTED_VALUE"""),19890779)</f>
        <v/>
      </c>
      <c r="J406" s="45">
        <f>IFERROR(__xludf.DUMMYFUNCTION("""COMPUTED_VALUE"""),"LW7CPPS")</f>
        <v/>
      </c>
      <c r="K406" s="45">
        <f>IFERROR(__xludf.DUMMYFUNCTION("""COMPUTED_VALUE"""),"LW7CPPS-071169")</f>
        <v/>
      </c>
      <c r="L406" s="45">
        <f>IFERROR(__xludf.DUMMYFUNCTION("""COMPUTED_VALUE"""),1)</f>
        <v/>
      </c>
      <c r="M406" s="45">
        <f>IFERROR(__xludf.DUMMYFUNCTION("""COMPUTED_VALUE"""),83)</f>
        <v/>
      </c>
      <c r="N406" s="45">
        <f>IFERROR(__xludf.DUMMYFUNCTION("""COMPUTED_VALUE"""),12.695)</f>
        <v/>
      </c>
      <c r="O406" s="45">
        <f>IFERROR(__xludf.DUMMYFUNCTION("""COMPUTED_VALUE"""),0.079)</f>
        <v/>
      </c>
      <c r="P406" s="45">
        <f>IFERROR(__xludf.DUMMYFUNCTION("""COMPUTED_VALUE"""),"Colombo, LK")</f>
        <v/>
      </c>
      <c r="Q406" s="45">
        <f>IFERROR(__xludf.DUMMYFUNCTION("""COMPUTED_VALUE"""),"New York, NY, US")</f>
        <v/>
      </c>
      <c r="R406" s="44">
        <f>IFERROR(__xludf.DUMMYFUNCTION("""COMPUTED_VALUE"""),45824)</f>
        <v/>
      </c>
      <c r="S406" s="44">
        <f>IFERROR(__xludf.DUMMYFUNCTION("""COMPUTED_VALUE"""),45883)</f>
        <v/>
      </c>
      <c r="T406" s="45">
        <f>IFERROR(__xludf.DUMMYFUNCTION("""COMPUTED_VALUE"""),"Mississauga, ON, CA")</f>
        <v/>
      </c>
      <c r="U406" s="45" t="n"/>
      <c r="V406" s="45" t="n"/>
      <c r="W406" s="45" t="n"/>
      <c r="X406" s="45" t="n"/>
      <c r="Y406" s="46">
        <f>IFERROR(__xludf.DUMMYFUNCTION("""COMPUTED_VALUE"""),45832)</f>
        <v/>
      </c>
      <c r="Z406" s="46">
        <f>IFERROR(__xludf.DUMMYFUNCTION("""COMPUTED_VALUE"""),45861)</f>
        <v/>
      </c>
      <c r="AA406" s="46">
        <f>IFERROR(__xludf.DUMMYFUNCTION("""COMPUTED_VALUE"""),45874)</f>
        <v/>
      </c>
      <c r="AB406" s="45">
        <f>IFERROR(__xludf.DUMMYFUNCTION("""COMPUTED_VALUE"""),"3500 Argentia Road")</f>
        <v/>
      </c>
      <c r="AC406" s="45" t="n"/>
      <c r="AD406" s="45">
        <f>IFERROR(__xludf.DUMMYFUNCTION("""COMPUTED_VALUE"""),"OCEAN")</f>
        <v/>
      </c>
      <c r="AE406" s="45">
        <f>IFERROR(__xludf.DUMMYFUNCTION("""COMPUTED_VALUE"""),"N")</f>
        <v/>
      </c>
      <c r="AF406" s="45" t="n"/>
      <c r="AG406" s="49">
        <f>IFERROR(__xludf.DUMMYFUNCTION("IFNA(vlookup(H406,IMPORTRANGE(""1vUGwO1n0QQGx9kKbO0_M5gmuhXZ6-LaxQxgrmJnzgP0"",""'TP# look up'!A:C""),3,0),"""")"),"")</f>
        <v/>
      </c>
      <c r="AH406" s="49">
        <f>LEFT(J406,2)</f>
        <v/>
      </c>
    </row>
    <row r="407" hidden="1" ht="12.75" customHeight="1">
      <c r="A407" s="45">
        <f>IFERROR(__xludf.DUMMYFUNCTION("""COMPUTED_VALUE"""),"Colombo")</f>
        <v/>
      </c>
      <c r="B407" s="45" t="n"/>
      <c r="C407" s="45">
        <f>IFERROR(__xludf.DUMMYFUNCTION("""COMPUTED_VALUE"""),3254506)</f>
        <v/>
      </c>
      <c r="D407" s="45" t="n"/>
      <c r="E407" s="45">
        <f>IFERROR(__xludf.DUMMYFUNCTION("""COMPUTED_VALUE"""),"CFS")</f>
        <v/>
      </c>
      <c r="F407" s="45">
        <f>IFERROR(__xludf.DUMMYFUNCTION("""COMPUTED_VALUE"""),"MAS AMITY PTE LTD")</f>
        <v/>
      </c>
      <c r="G407" s="45">
        <f>IFERROR(__xludf.DUMMYFUNCTION("""COMPUTED_VALUE"""),"MAS Active(Pvt) Ltd – CONTOURLINE")</f>
        <v/>
      </c>
      <c r="H407" s="43">
        <f>IFERROR(__xludf.DUMMYFUNCTION("""COMPUTED_VALUE"""),452893010230)</f>
        <v/>
      </c>
      <c r="I407" s="45">
        <f>IFERROR(__xludf.DUMMYFUNCTION("""COMPUTED_VALUE"""),19890515)</f>
        <v/>
      </c>
      <c r="J407" s="45">
        <f>IFERROR(__xludf.DUMMYFUNCTION("""COMPUTED_VALUE"""),"LW7CNIS")</f>
        <v/>
      </c>
      <c r="K407" s="45">
        <f>IFERROR(__xludf.DUMMYFUNCTION("""COMPUTED_VALUE"""),"LW7CNIS-049106")</f>
        <v/>
      </c>
      <c r="L407" s="45">
        <f>IFERROR(__xludf.DUMMYFUNCTION("""COMPUTED_VALUE"""),4)</f>
        <v/>
      </c>
      <c r="M407" s="45">
        <f>IFERROR(__xludf.DUMMYFUNCTION("""COMPUTED_VALUE"""),284)</f>
        <v/>
      </c>
      <c r="N407" s="45">
        <f>IFERROR(__xludf.DUMMYFUNCTION("""COMPUTED_VALUE"""),48.994)</f>
        <v/>
      </c>
      <c r="O407" s="45">
        <f>IFERROR(__xludf.DUMMYFUNCTION("""COMPUTED_VALUE"""),0.316)</f>
        <v/>
      </c>
      <c r="P407" s="45">
        <f>IFERROR(__xludf.DUMMYFUNCTION("""COMPUTED_VALUE"""),"Colombo, LK")</f>
        <v/>
      </c>
      <c r="Q407" s="45">
        <f>IFERROR(__xludf.DUMMYFUNCTION("""COMPUTED_VALUE"""),"New York, NY, US")</f>
        <v/>
      </c>
      <c r="R407" s="44">
        <f>IFERROR(__xludf.DUMMYFUNCTION("""COMPUTED_VALUE"""),45824)</f>
        <v/>
      </c>
      <c r="S407" s="44">
        <f>IFERROR(__xludf.DUMMYFUNCTION("""COMPUTED_VALUE"""),45883)</f>
        <v/>
      </c>
      <c r="T407" s="45">
        <f>IFERROR(__xludf.DUMMYFUNCTION("""COMPUTED_VALUE"""),"Mississauga, ON, CA")</f>
        <v/>
      </c>
      <c r="U407" s="45" t="n"/>
      <c r="V407" s="45" t="n"/>
      <c r="W407" s="45" t="n"/>
      <c r="X407" s="45" t="n"/>
      <c r="Y407" s="46">
        <f>IFERROR(__xludf.DUMMYFUNCTION("""COMPUTED_VALUE"""),45832)</f>
        <v/>
      </c>
      <c r="Z407" s="46">
        <f>IFERROR(__xludf.DUMMYFUNCTION("""COMPUTED_VALUE"""),45861)</f>
        <v/>
      </c>
      <c r="AA407" s="46">
        <f>IFERROR(__xludf.DUMMYFUNCTION("""COMPUTED_VALUE"""),45874)</f>
        <v/>
      </c>
      <c r="AB407" s="45">
        <f>IFERROR(__xludf.DUMMYFUNCTION("""COMPUTED_VALUE"""),"3500 Argentia Road")</f>
        <v/>
      </c>
      <c r="AC407" s="45" t="n"/>
      <c r="AD407" s="45">
        <f>IFERROR(__xludf.DUMMYFUNCTION("""COMPUTED_VALUE"""),"OCEAN")</f>
        <v/>
      </c>
      <c r="AE407" s="45">
        <f>IFERROR(__xludf.DUMMYFUNCTION("""COMPUTED_VALUE"""),"N")</f>
        <v/>
      </c>
      <c r="AF407" s="45" t="n"/>
      <c r="AG407" s="49">
        <f>IFERROR(__xludf.DUMMYFUNCTION("IFNA(vlookup(H407,IMPORTRANGE(""1vUGwO1n0QQGx9kKbO0_M5gmuhXZ6-LaxQxgrmJnzgP0"",""'TP# look up'!A:C""),3,0),"""")"),"")</f>
        <v/>
      </c>
      <c r="AH407" s="49">
        <f>LEFT(J407,2)</f>
        <v/>
      </c>
    </row>
    <row r="408" hidden="1" ht="12.75" customHeight="1">
      <c r="A408" s="45">
        <f>IFERROR(__xludf.DUMMYFUNCTION("""COMPUTED_VALUE"""),"Colombo")</f>
        <v/>
      </c>
      <c r="B408" s="45" t="n"/>
      <c r="C408" s="45">
        <f>IFERROR(__xludf.DUMMYFUNCTION("""COMPUTED_VALUE"""),3254506)</f>
        <v/>
      </c>
      <c r="D408" s="45" t="n"/>
      <c r="E408" s="45">
        <f>IFERROR(__xludf.DUMMYFUNCTION("""COMPUTED_VALUE"""),"CFS")</f>
        <v/>
      </c>
      <c r="F408" s="45">
        <f>IFERROR(__xludf.DUMMYFUNCTION("""COMPUTED_VALUE"""),"MAS AMITY PTE LTD")</f>
        <v/>
      </c>
      <c r="G408" s="45">
        <f>IFERROR(__xludf.DUMMYFUNCTION("""COMPUTED_VALUE"""),"MAS Active(Pvt) Ltd – CONTOURLINE")</f>
        <v/>
      </c>
      <c r="H408" s="43">
        <f>IFERROR(__xludf.DUMMYFUNCTION("""COMPUTED_VALUE"""),452893191541)</f>
        <v/>
      </c>
      <c r="I408" s="45">
        <f>IFERROR(__xludf.DUMMYFUNCTION("""COMPUTED_VALUE"""),19890516)</f>
        <v/>
      </c>
      <c r="J408" s="45">
        <f>IFERROR(__xludf.DUMMYFUNCTION("""COMPUTED_VALUE"""),"LW7CNIS")</f>
        <v/>
      </c>
      <c r="K408" s="45">
        <f>IFERROR(__xludf.DUMMYFUNCTION("""COMPUTED_VALUE"""),"LW7CNIS-049106")</f>
        <v/>
      </c>
      <c r="L408" s="45">
        <f>IFERROR(__xludf.DUMMYFUNCTION("""COMPUTED_VALUE"""),3)</f>
        <v/>
      </c>
      <c r="M408" s="45">
        <f>IFERROR(__xludf.DUMMYFUNCTION("""COMPUTED_VALUE"""),131)</f>
        <v/>
      </c>
      <c r="N408" s="45">
        <f>IFERROR(__xludf.DUMMYFUNCTION("""COMPUTED_VALUE"""),23.272)</f>
        <v/>
      </c>
      <c r="O408" s="45">
        <f>IFERROR(__xludf.DUMMYFUNCTION("""COMPUTED_VALUE"""),0.158)</f>
        <v/>
      </c>
      <c r="P408" s="45">
        <f>IFERROR(__xludf.DUMMYFUNCTION("""COMPUTED_VALUE"""),"Colombo, LK")</f>
        <v/>
      </c>
      <c r="Q408" s="45">
        <f>IFERROR(__xludf.DUMMYFUNCTION("""COMPUTED_VALUE"""),"New York, NY, US")</f>
        <v/>
      </c>
      <c r="R408" s="44">
        <f>IFERROR(__xludf.DUMMYFUNCTION("""COMPUTED_VALUE"""),45824)</f>
        <v/>
      </c>
      <c r="S408" s="44">
        <f>IFERROR(__xludf.DUMMYFUNCTION("""COMPUTED_VALUE"""),45883)</f>
        <v/>
      </c>
      <c r="T408" s="45">
        <f>IFERROR(__xludf.DUMMYFUNCTION("""COMPUTED_VALUE"""),"Mississauga, ON, CA")</f>
        <v/>
      </c>
      <c r="U408" s="45" t="n"/>
      <c r="V408" s="45" t="n"/>
      <c r="W408" s="45" t="n"/>
      <c r="X408" s="45" t="n"/>
      <c r="Y408" s="46">
        <f>IFERROR(__xludf.DUMMYFUNCTION("""COMPUTED_VALUE"""),45832)</f>
        <v/>
      </c>
      <c r="Z408" s="46">
        <f>IFERROR(__xludf.DUMMYFUNCTION("""COMPUTED_VALUE"""),45861)</f>
        <v/>
      </c>
      <c r="AA408" s="46">
        <f>IFERROR(__xludf.DUMMYFUNCTION("""COMPUTED_VALUE"""),45874)</f>
        <v/>
      </c>
      <c r="AB408" s="45">
        <f>IFERROR(__xludf.DUMMYFUNCTION("""COMPUTED_VALUE"""),"3500 Argentia Road")</f>
        <v/>
      </c>
      <c r="AC408" s="45" t="n"/>
      <c r="AD408" s="45">
        <f>IFERROR(__xludf.DUMMYFUNCTION("""COMPUTED_VALUE"""),"OCEAN")</f>
        <v/>
      </c>
      <c r="AE408" s="45">
        <f>IFERROR(__xludf.DUMMYFUNCTION("""COMPUTED_VALUE"""),"N")</f>
        <v/>
      </c>
      <c r="AF408" s="45" t="n"/>
      <c r="AG408" s="49">
        <f>IFERROR(__xludf.DUMMYFUNCTION("IFNA(vlookup(H408,IMPORTRANGE(""1vUGwO1n0QQGx9kKbO0_M5gmuhXZ6-LaxQxgrmJnzgP0"",""'TP# look up'!A:C""),3,0),"""")"),"")</f>
        <v/>
      </c>
      <c r="AH408" s="49">
        <f>LEFT(J408,2)</f>
        <v/>
      </c>
    </row>
    <row r="409" hidden="1" ht="12.75" customHeight="1">
      <c r="A409" s="45">
        <f>IFERROR(__xludf.DUMMYFUNCTION("""COMPUTED_VALUE"""),"Colombo")</f>
        <v/>
      </c>
      <c r="B409" s="45" t="n"/>
      <c r="C409" s="45">
        <f>IFERROR(__xludf.DUMMYFUNCTION("""COMPUTED_VALUE"""),3254506)</f>
        <v/>
      </c>
      <c r="D409" s="45" t="n"/>
      <c r="E409" s="45">
        <f>IFERROR(__xludf.DUMMYFUNCTION("""COMPUTED_VALUE"""),"CFS")</f>
        <v/>
      </c>
      <c r="F409" s="45">
        <f>IFERROR(__xludf.DUMMYFUNCTION("""COMPUTED_VALUE"""),"MAS AMITY PTE LTD")</f>
        <v/>
      </c>
      <c r="G409" s="45">
        <f>IFERROR(__xludf.DUMMYFUNCTION("""COMPUTED_VALUE"""),"MAS Active(Pvt) Ltd – CONTOURLINE")</f>
        <v/>
      </c>
      <c r="H409" s="43">
        <f>IFERROR(__xludf.DUMMYFUNCTION("""COMPUTED_VALUE"""),452893711589)</f>
        <v/>
      </c>
      <c r="I409" s="45">
        <f>IFERROR(__xludf.DUMMYFUNCTION("""COMPUTED_VALUE"""),19890682)</f>
        <v/>
      </c>
      <c r="J409" s="45">
        <f>IFERROR(__xludf.DUMMYFUNCTION("""COMPUTED_VALUE"""),"LW7CNIS")</f>
        <v/>
      </c>
      <c r="K409" s="45">
        <f>IFERROR(__xludf.DUMMYFUNCTION("""COMPUTED_VALUE"""),"LW7CNIS-049106")</f>
        <v/>
      </c>
      <c r="L409" s="45">
        <f>IFERROR(__xludf.DUMMYFUNCTION("""COMPUTED_VALUE"""),4)</f>
        <v/>
      </c>
      <c r="M409" s="45">
        <f>IFERROR(__xludf.DUMMYFUNCTION("""COMPUTED_VALUE"""),256)</f>
        <v/>
      </c>
      <c r="N409" s="45">
        <f>IFERROR(__xludf.DUMMYFUNCTION("""COMPUTED_VALUE"""),44.304)</f>
        <v/>
      </c>
      <c r="O409" s="45">
        <f>IFERROR(__xludf.DUMMYFUNCTION("""COMPUTED_VALUE"""),0.276)</f>
        <v/>
      </c>
      <c r="P409" s="45">
        <f>IFERROR(__xludf.DUMMYFUNCTION("""COMPUTED_VALUE"""),"Colombo, LK")</f>
        <v/>
      </c>
      <c r="Q409" s="45">
        <f>IFERROR(__xludf.DUMMYFUNCTION("""COMPUTED_VALUE"""),"New York, NY, US")</f>
        <v/>
      </c>
      <c r="R409" s="44">
        <f>IFERROR(__xludf.DUMMYFUNCTION("""COMPUTED_VALUE"""),45824)</f>
        <v/>
      </c>
      <c r="S409" s="44">
        <f>IFERROR(__xludf.DUMMYFUNCTION("""COMPUTED_VALUE"""),45883)</f>
        <v/>
      </c>
      <c r="T409" s="45">
        <f>IFERROR(__xludf.DUMMYFUNCTION("""COMPUTED_VALUE"""),"Mississauga, ON, CA")</f>
        <v/>
      </c>
      <c r="U409" s="45" t="n"/>
      <c r="V409" s="45" t="n"/>
      <c r="W409" s="45" t="n"/>
      <c r="X409" s="45" t="n"/>
      <c r="Y409" s="46">
        <f>IFERROR(__xludf.DUMMYFUNCTION("""COMPUTED_VALUE"""),45832)</f>
        <v/>
      </c>
      <c r="Z409" s="46">
        <f>IFERROR(__xludf.DUMMYFUNCTION("""COMPUTED_VALUE"""),45861)</f>
        <v/>
      </c>
      <c r="AA409" s="46">
        <f>IFERROR(__xludf.DUMMYFUNCTION("""COMPUTED_VALUE"""),45874)</f>
        <v/>
      </c>
      <c r="AB409" s="45">
        <f>IFERROR(__xludf.DUMMYFUNCTION("""COMPUTED_VALUE"""),"3500 Argentia Road")</f>
        <v/>
      </c>
      <c r="AC409" s="45" t="n"/>
      <c r="AD409" s="45">
        <f>IFERROR(__xludf.DUMMYFUNCTION("""COMPUTED_VALUE"""),"OCEAN")</f>
        <v/>
      </c>
      <c r="AE409" s="45">
        <f>IFERROR(__xludf.DUMMYFUNCTION("""COMPUTED_VALUE"""),"N")</f>
        <v/>
      </c>
      <c r="AF409" s="45" t="n"/>
      <c r="AG409" s="49">
        <f>IFERROR(__xludf.DUMMYFUNCTION("IFNA(vlookup(H409,IMPORTRANGE(""1vUGwO1n0QQGx9kKbO0_M5gmuhXZ6-LaxQxgrmJnzgP0"",""'TP# look up'!A:C""),3,0),"""")"),"")</f>
        <v/>
      </c>
      <c r="AH409" s="49">
        <f>LEFT(J409,2)</f>
        <v/>
      </c>
    </row>
    <row r="410" hidden="1" ht="12.75" customHeight="1">
      <c r="A410" s="45">
        <f>IFERROR(__xludf.DUMMYFUNCTION("""COMPUTED_VALUE"""),"Colombo")</f>
        <v/>
      </c>
      <c r="B410" s="45" t="n"/>
      <c r="C410" s="45">
        <f>IFERROR(__xludf.DUMMYFUNCTION("""COMPUTED_VALUE"""),3254506)</f>
        <v/>
      </c>
      <c r="D410" s="45" t="n"/>
      <c r="E410" s="45">
        <f>IFERROR(__xludf.DUMMYFUNCTION("""COMPUTED_VALUE"""),"CFS")</f>
        <v/>
      </c>
      <c r="F410" s="45">
        <f>IFERROR(__xludf.DUMMYFUNCTION("""COMPUTED_VALUE"""),"MAS AMITY PTE LTD")</f>
        <v/>
      </c>
      <c r="G410" s="45">
        <f>IFERROR(__xludf.DUMMYFUNCTION("""COMPUTED_VALUE"""),"MAS Active(Pvt) Ltd – CONTOURLINE")</f>
        <v/>
      </c>
      <c r="H410" s="43">
        <f>IFERROR(__xludf.DUMMYFUNCTION("""COMPUTED_VALUE"""),452893711674)</f>
        <v/>
      </c>
      <c r="I410" s="45">
        <f>IFERROR(__xludf.DUMMYFUNCTION("""COMPUTED_VALUE"""),19890717)</f>
        <v/>
      </c>
      <c r="J410" s="45">
        <f>IFERROR(__xludf.DUMMYFUNCTION("""COMPUTED_VALUE"""),"LW7CPPS")</f>
        <v/>
      </c>
      <c r="K410" s="45">
        <f>IFERROR(__xludf.DUMMYFUNCTION("""COMPUTED_VALUE"""),"LW7CPPS-031382")</f>
        <v/>
      </c>
      <c r="L410" s="45">
        <f>IFERROR(__xludf.DUMMYFUNCTION("""COMPUTED_VALUE"""),6)</f>
        <v/>
      </c>
      <c r="M410" s="45">
        <f>IFERROR(__xludf.DUMMYFUNCTION("""COMPUTED_VALUE"""),374)</f>
        <v/>
      </c>
      <c r="N410" s="45">
        <f>IFERROR(__xludf.DUMMYFUNCTION("""COMPUTED_VALUE"""),58.933)</f>
        <v/>
      </c>
      <c r="O410" s="45">
        <f>IFERROR(__xludf.DUMMYFUNCTION("""COMPUTED_VALUE"""),0.474)</f>
        <v/>
      </c>
      <c r="P410" s="45">
        <f>IFERROR(__xludf.DUMMYFUNCTION("""COMPUTED_VALUE"""),"Colombo, LK")</f>
        <v/>
      </c>
      <c r="Q410" s="45">
        <f>IFERROR(__xludf.DUMMYFUNCTION("""COMPUTED_VALUE"""),"New York, NY, US")</f>
        <v/>
      </c>
      <c r="R410" s="44">
        <f>IFERROR(__xludf.DUMMYFUNCTION("""COMPUTED_VALUE"""),45824)</f>
        <v/>
      </c>
      <c r="S410" s="44">
        <f>IFERROR(__xludf.DUMMYFUNCTION("""COMPUTED_VALUE"""),45883)</f>
        <v/>
      </c>
      <c r="T410" s="45">
        <f>IFERROR(__xludf.DUMMYFUNCTION("""COMPUTED_VALUE"""),"Mississauga, ON, CA")</f>
        <v/>
      </c>
      <c r="U410" s="45" t="n"/>
      <c r="V410" s="45" t="n"/>
      <c r="W410" s="45" t="n"/>
      <c r="X410" s="45" t="n"/>
      <c r="Y410" s="46">
        <f>IFERROR(__xludf.DUMMYFUNCTION("""COMPUTED_VALUE"""),45832)</f>
        <v/>
      </c>
      <c r="Z410" s="46">
        <f>IFERROR(__xludf.DUMMYFUNCTION("""COMPUTED_VALUE"""),45861)</f>
        <v/>
      </c>
      <c r="AA410" s="46">
        <f>IFERROR(__xludf.DUMMYFUNCTION("""COMPUTED_VALUE"""),45874)</f>
        <v/>
      </c>
      <c r="AB410" s="45">
        <f>IFERROR(__xludf.DUMMYFUNCTION("""COMPUTED_VALUE"""),"3500 Argentia Road")</f>
        <v/>
      </c>
      <c r="AC410" s="45" t="n"/>
      <c r="AD410" s="45">
        <f>IFERROR(__xludf.DUMMYFUNCTION("""COMPUTED_VALUE"""),"OCEAN")</f>
        <v/>
      </c>
      <c r="AE410" s="45">
        <f>IFERROR(__xludf.DUMMYFUNCTION("""COMPUTED_VALUE"""),"N")</f>
        <v/>
      </c>
      <c r="AF410" s="45" t="n"/>
      <c r="AG410" s="49">
        <f>IFERROR(__xludf.DUMMYFUNCTION("IFNA(vlookup(H410,IMPORTRANGE(""1vUGwO1n0QQGx9kKbO0_M5gmuhXZ6-LaxQxgrmJnzgP0"",""'TP# look up'!A:C""),3,0),"""")"),"")</f>
        <v/>
      </c>
      <c r="AH410" s="49">
        <f>LEFT(J410,2)</f>
        <v/>
      </c>
    </row>
    <row r="411" hidden="1" ht="12.75" customHeight="1">
      <c r="A411" s="45">
        <f>IFERROR(__xludf.DUMMYFUNCTION("""COMPUTED_VALUE"""),"Colombo")</f>
        <v/>
      </c>
      <c r="B411" s="45" t="n"/>
      <c r="C411" s="45">
        <f>IFERROR(__xludf.DUMMYFUNCTION("""COMPUTED_VALUE"""),3254506)</f>
        <v/>
      </c>
      <c r="D411" s="45" t="n"/>
      <c r="E411" s="45">
        <f>IFERROR(__xludf.DUMMYFUNCTION("""COMPUTED_VALUE"""),"CFS")</f>
        <v/>
      </c>
      <c r="F411" s="45">
        <f>IFERROR(__xludf.DUMMYFUNCTION("""COMPUTED_VALUE"""),"MAS AMITY PTE LTD")</f>
        <v/>
      </c>
      <c r="G411" s="45">
        <f>IFERROR(__xludf.DUMMYFUNCTION("""COMPUTED_VALUE"""),"MAS Active(Pvt) Ltd – CONTOURLINE")</f>
        <v/>
      </c>
      <c r="H411" s="43">
        <f>IFERROR(__xludf.DUMMYFUNCTION("""COMPUTED_VALUE"""),452897061954)</f>
        <v/>
      </c>
      <c r="I411" s="45">
        <f>IFERROR(__xludf.DUMMYFUNCTION("""COMPUTED_VALUE"""),19890781)</f>
        <v/>
      </c>
      <c r="J411" s="45">
        <f>IFERROR(__xludf.DUMMYFUNCTION("""COMPUTED_VALUE"""),"LW7CPPS")</f>
        <v/>
      </c>
      <c r="K411" s="45">
        <f>IFERROR(__xludf.DUMMYFUNCTION("""COMPUTED_VALUE"""),"LW7CPPS-071169")</f>
        <v/>
      </c>
      <c r="L411" s="45">
        <f>IFERROR(__xludf.DUMMYFUNCTION("""COMPUTED_VALUE"""),2)</f>
        <v/>
      </c>
      <c r="M411" s="45">
        <f>IFERROR(__xludf.DUMMYFUNCTION("""COMPUTED_VALUE"""),114)</f>
        <v/>
      </c>
      <c r="N411" s="45">
        <f>IFERROR(__xludf.DUMMYFUNCTION("""COMPUTED_VALUE"""),17.856)</f>
        <v/>
      </c>
      <c r="O411" s="45">
        <f>IFERROR(__xludf.DUMMYFUNCTION("""COMPUTED_VALUE"""),0.118)</f>
        <v/>
      </c>
      <c r="P411" s="45">
        <f>IFERROR(__xludf.DUMMYFUNCTION("""COMPUTED_VALUE"""),"Colombo, LK")</f>
        <v/>
      </c>
      <c r="Q411" s="45">
        <f>IFERROR(__xludf.DUMMYFUNCTION("""COMPUTED_VALUE"""),"New York, NY, US")</f>
        <v/>
      </c>
      <c r="R411" s="44">
        <f>IFERROR(__xludf.DUMMYFUNCTION("""COMPUTED_VALUE"""),45824)</f>
        <v/>
      </c>
      <c r="S411" s="44">
        <f>IFERROR(__xludf.DUMMYFUNCTION("""COMPUTED_VALUE"""),45883)</f>
        <v/>
      </c>
      <c r="T411" s="45">
        <f>IFERROR(__xludf.DUMMYFUNCTION("""COMPUTED_VALUE"""),"Mississauga, ON, CA")</f>
        <v/>
      </c>
      <c r="U411" s="45" t="n"/>
      <c r="V411" s="45" t="n"/>
      <c r="W411" s="45" t="n"/>
      <c r="X411" s="45" t="n"/>
      <c r="Y411" s="46">
        <f>IFERROR(__xludf.DUMMYFUNCTION("""COMPUTED_VALUE"""),45832)</f>
        <v/>
      </c>
      <c r="Z411" s="46">
        <f>IFERROR(__xludf.DUMMYFUNCTION("""COMPUTED_VALUE"""),45861)</f>
        <v/>
      </c>
      <c r="AA411" s="46">
        <f>IFERROR(__xludf.DUMMYFUNCTION("""COMPUTED_VALUE"""),45874)</f>
        <v/>
      </c>
      <c r="AB411" s="45">
        <f>IFERROR(__xludf.DUMMYFUNCTION("""COMPUTED_VALUE"""),"3500 Argentia Road")</f>
        <v/>
      </c>
      <c r="AC411" s="45" t="n"/>
      <c r="AD411" s="45">
        <f>IFERROR(__xludf.DUMMYFUNCTION("""COMPUTED_VALUE"""),"OCEAN")</f>
        <v/>
      </c>
      <c r="AE411" s="45">
        <f>IFERROR(__xludf.DUMMYFUNCTION("""COMPUTED_VALUE"""),"N")</f>
        <v/>
      </c>
      <c r="AF411" s="45" t="n"/>
      <c r="AG411" s="49">
        <f>IFERROR(__xludf.DUMMYFUNCTION("IFNA(vlookup(H411,IMPORTRANGE(""1vUGwO1n0QQGx9kKbO0_M5gmuhXZ6-LaxQxgrmJnzgP0"",""'TP# look up'!A:C""),3,0),"""")"),"")</f>
        <v/>
      </c>
      <c r="AH411" s="49">
        <f>LEFT(J411,2)</f>
        <v/>
      </c>
    </row>
    <row r="412" hidden="1" ht="12.75" customHeight="1">
      <c r="A412" s="45">
        <f>IFERROR(__xludf.DUMMYFUNCTION("""COMPUTED_VALUE"""),"Colombo")</f>
        <v/>
      </c>
      <c r="B412" s="45" t="n"/>
      <c r="C412" s="45">
        <f>IFERROR(__xludf.DUMMYFUNCTION("""COMPUTED_VALUE"""),3254506)</f>
        <v/>
      </c>
      <c r="D412" s="45" t="n"/>
      <c r="E412" s="45">
        <f>IFERROR(__xludf.DUMMYFUNCTION("""COMPUTED_VALUE"""),"CFS")</f>
        <v/>
      </c>
      <c r="F412" s="45">
        <f>IFERROR(__xludf.DUMMYFUNCTION("""COMPUTED_VALUE"""),"MAS AMITY PTE LTD")</f>
        <v/>
      </c>
      <c r="G412" s="45">
        <f>IFERROR(__xludf.DUMMYFUNCTION("""COMPUTED_VALUE"""),"MAS Active(Pvt) Ltd – CONTOURLINE")</f>
        <v/>
      </c>
      <c r="H412" s="43">
        <f>IFERROR(__xludf.DUMMYFUNCTION("""COMPUTED_VALUE"""),452897736645)</f>
        <v/>
      </c>
      <c r="I412" s="45">
        <f>IFERROR(__xludf.DUMMYFUNCTION("""COMPUTED_VALUE"""),19890836)</f>
        <v/>
      </c>
      <c r="J412" s="45">
        <f>IFERROR(__xludf.DUMMYFUNCTION("""COMPUTED_VALUE"""),"LW2EB3S")</f>
        <v/>
      </c>
      <c r="K412" s="45">
        <f>IFERROR(__xludf.DUMMYFUNCTION("""COMPUTED_VALUE"""),"LW2EB3S-038337")</f>
        <v/>
      </c>
      <c r="L412" s="45">
        <f>IFERROR(__xludf.DUMMYFUNCTION("""COMPUTED_VALUE"""),3)</f>
        <v/>
      </c>
      <c r="M412" s="45">
        <f>IFERROR(__xludf.DUMMYFUNCTION("""COMPUTED_VALUE"""),173)</f>
        <v/>
      </c>
      <c r="N412" s="45">
        <f>IFERROR(__xludf.DUMMYFUNCTION("""COMPUTED_VALUE"""),22.451)</f>
        <v/>
      </c>
      <c r="O412" s="45">
        <f>IFERROR(__xludf.DUMMYFUNCTION("""COMPUTED_VALUE"""),0.158)</f>
        <v/>
      </c>
      <c r="P412" s="45">
        <f>IFERROR(__xludf.DUMMYFUNCTION("""COMPUTED_VALUE"""),"Colombo, LK")</f>
        <v/>
      </c>
      <c r="Q412" s="45">
        <f>IFERROR(__xludf.DUMMYFUNCTION("""COMPUTED_VALUE"""),"New York, NY, US")</f>
        <v/>
      </c>
      <c r="R412" s="44">
        <f>IFERROR(__xludf.DUMMYFUNCTION("""COMPUTED_VALUE"""),45824)</f>
        <v/>
      </c>
      <c r="S412" s="44">
        <f>IFERROR(__xludf.DUMMYFUNCTION("""COMPUTED_VALUE"""),45883)</f>
        <v/>
      </c>
      <c r="T412" s="45">
        <f>IFERROR(__xludf.DUMMYFUNCTION("""COMPUTED_VALUE"""),"Mississauga, ON, CA")</f>
        <v/>
      </c>
      <c r="U412" s="45" t="n"/>
      <c r="V412" s="45" t="n"/>
      <c r="W412" s="45" t="n"/>
      <c r="X412" s="45" t="n"/>
      <c r="Y412" s="46">
        <f>IFERROR(__xludf.DUMMYFUNCTION("""COMPUTED_VALUE"""),45832)</f>
        <v/>
      </c>
      <c r="Z412" s="46">
        <f>IFERROR(__xludf.DUMMYFUNCTION("""COMPUTED_VALUE"""),45861)</f>
        <v/>
      </c>
      <c r="AA412" s="46">
        <f>IFERROR(__xludf.DUMMYFUNCTION("""COMPUTED_VALUE"""),45874)</f>
        <v/>
      </c>
      <c r="AB412" s="45">
        <f>IFERROR(__xludf.DUMMYFUNCTION("""COMPUTED_VALUE"""),"3500 Argentia Road")</f>
        <v/>
      </c>
      <c r="AC412" s="45" t="n"/>
      <c r="AD412" s="45">
        <f>IFERROR(__xludf.DUMMYFUNCTION("""COMPUTED_VALUE"""),"OCEAN")</f>
        <v/>
      </c>
      <c r="AE412" s="45">
        <f>IFERROR(__xludf.DUMMYFUNCTION("""COMPUTED_VALUE"""),"N")</f>
        <v/>
      </c>
      <c r="AF412" s="45" t="n"/>
      <c r="AG412" s="49">
        <f>IFERROR(__xludf.DUMMYFUNCTION("IFNA(vlookup(H412,IMPORTRANGE(""1vUGwO1n0QQGx9kKbO0_M5gmuhXZ6-LaxQxgrmJnzgP0"",""'TP# look up'!A:C""),3,0),"""")"),"")</f>
        <v/>
      </c>
      <c r="AH412" s="49">
        <f>LEFT(J412,2)</f>
        <v/>
      </c>
    </row>
    <row r="413" hidden="1" ht="12.75" customHeight="1">
      <c r="A413" s="45">
        <f>IFERROR(__xludf.DUMMYFUNCTION("""COMPUTED_VALUE"""),"Colombo")</f>
        <v/>
      </c>
      <c r="B413" s="45" t="n"/>
      <c r="C413" s="45">
        <f>IFERROR(__xludf.DUMMYFUNCTION("""COMPUTED_VALUE"""),3254506)</f>
        <v/>
      </c>
      <c r="D413" s="45" t="n"/>
      <c r="E413" s="45">
        <f>IFERROR(__xludf.DUMMYFUNCTION("""COMPUTED_VALUE"""),"CFS")</f>
        <v/>
      </c>
      <c r="F413" s="45">
        <f>IFERROR(__xludf.DUMMYFUNCTION("""COMPUTED_VALUE"""),"MAS AMITY PTE LTD")</f>
        <v/>
      </c>
      <c r="G413" s="45">
        <f>IFERROR(__xludf.DUMMYFUNCTION("""COMPUTED_VALUE"""),"MAS Active(Pvt) Ltd – CONTOURLINE")</f>
        <v/>
      </c>
      <c r="H413" s="43">
        <f>IFERROR(__xludf.DUMMYFUNCTION("""COMPUTED_VALUE"""),452897742114)</f>
        <v/>
      </c>
      <c r="I413" s="45">
        <f>IFERROR(__xludf.DUMMYFUNCTION("""COMPUTED_VALUE"""),19890834)</f>
        <v/>
      </c>
      <c r="J413" s="45">
        <f>IFERROR(__xludf.DUMMYFUNCTION("""COMPUTED_VALUE"""),"LW2EB3S")</f>
        <v/>
      </c>
      <c r="K413" s="45">
        <f>IFERROR(__xludf.DUMMYFUNCTION("""COMPUTED_VALUE"""),"LW2EB3S-038337")</f>
        <v/>
      </c>
      <c r="L413" s="45">
        <f>IFERROR(__xludf.DUMMYFUNCTION("""COMPUTED_VALUE"""),8)</f>
        <v/>
      </c>
      <c r="M413" s="45">
        <f>IFERROR(__xludf.DUMMYFUNCTION("""COMPUTED_VALUE"""),628)</f>
        <v/>
      </c>
      <c r="N413" s="45">
        <f>IFERROR(__xludf.DUMMYFUNCTION("""COMPUTED_VALUE"""),77.518)</f>
        <v/>
      </c>
      <c r="O413" s="45">
        <f>IFERROR(__xludf.DUMMYFUNCTION("""COMPUTED_VALUE"""),0.632)</f>
        <v/>
      </c>
      <c r="P413" s="45">
        <f>IFERROR(__xludf.DUMMYFUNCTION("""COMPUTED_VALUE"""),"Colombo, LK")</f>
        <v/>
      </c>
      <c r="Q413" s="45">
        <f>IFERROR(__xludf.DUMMYFUNCTION("""COMPUTED_VALUE"""),"New York, NY, US")</f>
        <v/>
      </c>
      <c r="R413" s="44">
        <f>IFERROR(__xludf.DUMMYFUNCTION("""COMPUTED_VALUE"""),45824)</f>
        <v/>
      </c>
      <c r="S413" s="44">
        <f>IFERROR(__xludf.DUMMYFUNCTION("""COMPUTED_VALUE"""),45883)</f>
        <v/>
      </c>
      <c r="T413" s="45">
        <f>IFERROR(__xludf.DUMMYFUNCTION("""COMPUTED_VALUE"""),"Milton, ON, CA")</f>
        <v/>
      </c>
      <c r="U413" s="45" t="n"/>
      <c r="V413" s="45" t="n"/>
      <c r="W413" s="45" t="n"/>
      <c r="X413" s="45" t="n"/>
      <c r="Y413" s="46">
        <f>IFERROR(__xludf.DUMMYFUNCTION("""COMPUTED_VALUE"""),45832)</f>
        <v/>
      </c>
      <c r="Z413" s="46">
        <f>IFERROR(__xludf.DUMMYFUNCTION("""COMPUTED_VALUE"""),45861)</f>
        <v/>
      </c>
      <c r="AA413" s="46">
        <f>IFERROR(__xludf.DUMMYFUNCTION("""COMPUTED_VALUE"""),45874)</f>
        <v/>
      </c>
      <c r="AB413" s="45">
        <f>IFERROR(__xludf.DUMMYFUNCTION("""COMPUTED_VALUE"""),"7211 Fifth Line")</f>
        <v/>
      </c>
      <c r="AC413" s="45" t="n"/>
      <c r="AD413" s="45">
        <f>IFERROR(__xludf.DUMMYFUNCTION("""COMPUTED_VALUE"""),"OCEAN")</f>
        <v/>
      </c>
      <c r="AE413" s="45">
        <f>IFERROR(__xludf.DUMMYFUNCTION("""COMPUTED_VALUE"""),"N")</f>
        <v/>
      </c>
      <c r="AF413" s="45" t="n"/>
      <c r="AG413" s="49">
        <f>IFERROR(__xludf.DUMMYFUNCTION("IFNA(vlookup(H413,IMPORTRANGE(""1vUGwO1n0QQGx9kKbO0_M5gmuhXZ6-LaxQxgrmJnzgP0"",""'TP# look up'!A:C""),3,0),"""")"),"")</f>
        <v/>
      </c>
      <c r="AH413" s="49">
        <f>LEFT(J413,2)</f>
        <v/>
      </c>
    </row>
    <row r="414" hidden="1" ht="12.75" customHeight="1">
      <c r="A414" s="45">
        <f>IFERROR(__xludf.DUMMYFUNCTION("""COMPUTED_VALUE"""),"Colombo")</f>
        <v/>
      </c>
      <c r="B414" s="45" t="n"/>
      <c r="C414" s="45">
        <f>IFERROR(__xludf.DUMMYFUNCTION("""COMPUTED_VALUE"""),3254506)</f>
        <v/>
      </c>
      <c r="D414" s="45" t="n"/>
      <c r="E414" s="45">
        <f>IFERROR(__xludf.DUMMYFUNCTION("""COMPUTED_VALUE"""),"CFS")</f>
        <v/>
      </c>
      <c r="F414" s="45">
        <f>IFERROR(__xludf.DUMMYFUNCTION("""COMPUTED_VALUE"""),"MAS AMITY PTE LTD")</f>
        <v/>
      </c>
      <c r="G414" s="45">
        <f>IFERROR(__xludf.DUMMYFUNCTION("""COMPUTED_VALUE"""),"MAS Active(Pvt) Ltd – CONTOURLINE")</f>
        <v/>
      </c>
      <c r="H414" s="43">
        <f>IFERROR(__xludf.DUMMYFUNCTION("""COMPUTED_VALUE"""),452898265551)</f>
        <v/>
      </c>
      <c r="I414" s="45">
        <f>IFERROR(__xludf.DUMMYFUNCTION("""COMPUTED_VALUE"""),19890842)</f>
        <v/>
      </c>
      <c r="J414" s="45">
        <f>IFERROR(__xludf.DUMMYFUNCTION("""COMPUTED_VALUE"""),"LW2EB3S")</f>
        <v/>
      </c>
      <c r="K414" s="45">
        <f>IFERROR(__xludf.DUMMYFUNCTION("""COMPUTED_VALUE"""),"LW2EB3S-038337")</f>
        <v/>
      </c>
      <c r="L414" s="45">
        <f>IFERROR(__xludf.DUMMYFUNCTION("""COMPUTED_VALUE"""),4)</f>
        <v/>
      </c>
      <c r="M414" s="45">
        <f>IFERROR(__xludf.DUMMYFUNCTION("""COMPUTED_VALUE"""),308)</f>
        <v/>
      </c>
      <c r="N414" s="45">
        <f>IFERROR(__xludf.DUMMYFUNCTION("""COMPUTED_VALUE"""),39.108)</f>
        <v/>
      </c>
      <c r="O414" s="45">
        <f>IFERROR(__xludf.DUMMYFUNCTION("""COMPUTED_VALUE"""),0.316)</f>
        <v/>
      </c>
      <c r="P414" s="45">
        <f>IFERROR(__xludf.DUMMYFUNCTION("""COMPUTED_VALUE"""),"Colombo, LK")</f>
        <v/>
      </c>
      <c r="Q414" s="45">
        <f>IFERROR(__xludf.DUMMYFUNCTION("""COMPUTED_VALUE"""),"New York, NY, US")</f>
        <v/>
      </c>
      <c r="R414" s="44">
        <f>IFERROR(__xludf.DUMMYFUNCTION("""COMPUTED_VALUE"""),45824)</f>
        <v/>
      </c>
      <c r="S414" s="44">
        <f>IFERROR(__xludf.DUMMYFUNCTION("""COMPUTED_VALUE"""),45883)</f>
        <v/>
      </c>
      <c r="T414" s="45">
        <f>IFERROR(__xludf.DUMMYFUNCTION("""COMPUTED_VALUE"""),"Mississauga, ON, CA")</f>
        <v/>
      </c>
      <c r="U414" s="45" t="n"/>
      <c r="V414" s="45" t="n"/>
      <c r="W414" s="45" t="n"/>
      <c r="X414" s="45" t="n"/>
      <c r="Y414" s="46">
        <f>IFERROR(__xludf.DUMMYFUNCTION("""COMPUTED_VALUE"""),45832)</f>
        <v/>
      </c>
      <c r="Z414" s="46">
        <f>IFERROR(__xludf.DUMMYFUNCTION("""COMPUTED_VALUE"""),45861)</f>
        <v/>
      </c>
      <c r="AA414" s="46">
        <f>IFERROR(__xludf.DUMMYFUNCTION("""COMPUTED_VALUE"""),45874)</f>
        <v/>
      </c>
      <c r="AB414" s="45">
        <f>IFERROR(__xludf.DUMMYFUNCTION("""COMPUTED_VALUE"""),"3500 Argentia Road")</f>
        <v/>
      </c>
      <c r="AC414" s="45" t="n"/>
      <c r="AD414" s="45">
        <f>IFERROR(__xludf.DUMMYFUNCTION("""COMPUTED_VALUE"""),"OCEAN")</f>
        <v/>
      </c>
      <c r="AE414" s="45">
        <f>IFERROR(__xludf.DUMMYFUNCTION("""COMPUTED_VALUE"""),"N")</f>
        <v/>
      </c>
      <c r="AF414" s="45" t="n"/>
      <c r="AG414" s="49">
        <f>IFERROR(__xludf.DUMMYFUNCTION("IFNA(vlookup(H414,IMPORTRANGE(""1vUGwO1n0QQGx9kKbO0_M5gmuhXZ6-LaxQxgrmJnzgP0"",""'TP# look up'!A:C""),3,0),"""")"),"")</f>
        <v/>
      </c>
      <c r="AH414" s="49">
        <f>LEFT(J414,2)</f>
        <v/>
      </c>
    </row>
    <row r="415" hidden="1" ht="12.75" customHeight="1">
      <c r="A415" s="45">
        <f>IFERROR(__xludf.DUMMYFUNCTION("""COMPUTED_VALUE"""),"Colombo")</f>
        <v/>
      </c>
      <c r="B415" s="45" t="n"/>
      <c r="C415" s="45">
        <f>IFERROR(__xludf.DUMMYFUNCTION("""COMPUTED_VALUE"""),3254506)</f>
        <v/>
      </c>
      <c r="D415" s="45" t="n"/>
      <c r="E415" s="45">
        <f>IFERROR(__xludf.DUMMYFUNCTION("""COMPUTED_VALUE"""),"CFS")</f>
        <v/>
      </c>
      <c r="F415" s="45">
        <f>IFERROR(__xludf.DUMMYFUNCTION("""COMPUTED_VALUE"""),"MAS AMITY PTE LTD")</f>
        <v/>
      </c>
      <c r="G415" s="45">
        <f>IFERROR(__xludf.DUMMYFUNCTION("""COMPUTED_VALUE"""),"MAS Active(Pvt) Ltd – CONTOURLINE")</f>
        <v/>
      </c>
      <c r="H415" s="43">
        <f>IFERROR(__xludf.DUMMYFUNCTION("""COMPUTED_VALUE"""),452898624462)</f>
        <v/>
      </c>
      <c r="I415" s="45">
        <f>IFERROR(__xludf.DUMMYFUNCTION("""COMPUTED_VALUE"""),19897883)</f>
        <v/>
      </c>
      <c r="J415" s="45">
        <f>IFERROR(__xludf.DUMMYFUNCTION("""COMPUTED_VALUE"""),"LW7CNIS")</f>
        <v/>
      </c>
      <c r="K415" s="45">
        <f>IFERROR(__xludf.DUMMYFUNCTION("""COMPUTED_VALUE"""),"LW7CNIS-071188")</f>
        <v/>
      </c>
      <c r="L415" s="45">
        <f>IFERROR(__xludf.DUMMYFUNCTION("""COMPUTED_VALUE"""),4)</f>
        <v/>
      </c>
      <c r="M415" s="45">
        <f>IFERROR(__xludf.DUMMYFUNCTION("""COMPUTED_VALUE"""),211)</f>
        <v/>
      </c>
      <c r="N415" s="45">
        <f>IFERROR(__xludf.DUMMYFUNCTION("""COMPUTED_VALUE"""),36.443)</f>
        <v/>
      </c>
      <c r="O415" s="45">
        <f>IFERROR(__xludf.DUMMYFUNCTION("""COMPUTED_VALUE"""),0.237)</f>
        <v/>
      </c>
      <c r="P415" s="45">
        <f>IFERROR(__xludf.DUMMYFUNCTION("""COMPUTED_VALUE"""),"Colombo, LK")</f>
        <v/>
      </c>
      <c r="Q415" s="45">
        <f>IFERROR(__xludf.DUMMYFUNCTION("""COMPUTED_VALUE"""),"New York, NY, US")</f>
        <v/>
      </c>
      <c r="R415" s="44">
        <f>IFERROR(__xludf.DUMMYFUNCTION("""COMPUTED_VALUE"""),45824)</f>
        <v/>
      </c>
      <c r="S415" s="44">
        <f>IFERROR(__xludf.DUMMYFUNCTION("""COMPUTED_VALUE"""),45883)</f>
        <v/>
      </c>
      <c r="T415" s="45">
        <f>IFERROR(__xludf.DUMMYFUNCTION("""COMPUTED_VALUE"""),"Milton, ON, CA")</f>
        <v/>
      </c>
      <c r="U415" s="45" t="n"/>
      <c r="V415" s="45" t="n"/>
      <c r="W415" s="45" t="n"/>
      <c r="X415" s="45" t="n"/>
      <c r="Y415" s="46">
        <f>IFERROR(__xludf.DUMMYFUNCTION("""COMPUTED_VALUE"""),45832)</f>
        <v/>
      </c>
      <c r="Z415" s="46">
        <f>IFERROR(__xludf.DUMMYFUNCTION("""COMPUTED_VALUE"""),45861)</f>
        <v/>
      </c>
      <c r="AA415" s="46">
        <f>IFERROR(__xludf.DUMMYFUNCTION("""COMPUTED_VALUE"""),45874)</f>
        <v/>
      </c>
      <c r="AB415" s="45">
        <f>IFERROR(__xludf.DUMMYFUNCTION("""COMPUTED_VALUE"""),"7211 Fifth Line")</f>
        <v/>
      </c>
      <c r="AC415" s="45" t="n"/>
      <c r="AD415" s="45">
        <f>IFERROR(__xludf.DUMMYFUNCTION("""COMPUTED_VALUE"""),"OCEAN")</f>
        <v/>
      </c>
      <c r="AE415" s="45">
        <f>IFERROR(__xludf.DUMMYFUNCTION("""COMPUTED_VALUE"""),"N")</f>
        <v/>
      </c>
      <c r="AF415" s="45" t="n"/>
      <c r="AG415" s="49">
        <f>IFERROR(__xludf.DUMMYFUNCTION("IFNA(vlookup(H415,IMPORTRANGE(""1vUGwO1n0QQGx9kKbO0_M5gmuhXZ6-LaxQxgrmJnzgP0"",""'TP# look up'!A:C""),3,0),"""")"),"")</f>
        <v/>
      </c>
      <c r="AH415" s="49">
        <f>LEFT(J415,2)</f>
        <v/>
      </c>
    </row>
    <row r="416" hidden="1" ht="12.75" customHeight="1">
      <c r="A416" s="45">
        <f>IFERROR(__xludf.DUMMYFUNCTION("""COMPUTED_VALUE"""),"Colombo")</f>
        <v/>
      </c>
      <c r="B416" s="45" t="n"/>
      <c r="C416" s="45">
        <f>IFERROR(__xludf.DUMMYFUNCTION("""COMPUTED_VALUE"""),3254506)</f>
        <v/>
      </c>
      <c r="D416" s="45" t="n"/>
      <c r="E416" s="45">
        <f>IFERROR(__xludf.DUMMYFUNCTION("""COMPUTED_VALUE"""),"CFS")</f>
        <v/>
      </c>
      <c r="F416" s="45">
        <f>IFERROR(__xludf.DUMMYFUNCTION("""COMPUTED_VALUE"""),"MAS AMITY PTE LTD")</f>
        <v/>
      </c>
      <c r="G416" s="45">
        <f>IFERROR(__xludf.DUMMYFUNCTION("""COMPUTED_VALUE"""),"MAS Active(Pvt) Ltd – CONTOURLINE")</f>
        <v/>
      </c>
      <c r="H416" s="43">
        <f>IFERROR(__xludf.DUMMYFUNCTION("""COMPUTED_VALUE"""),452898671140)</f>
        <v/>
      </c>
      <c r="I416" s="45">
        <f>IFERROR(__xludf.DUMMYFUNCTION("""COMPUTED_VALUE"""),19896665)</f>
        <v/>
      </c>
      <c r="J416" s="45">
        <f>IFERROR(__xludf.DUMMYFUNCTION("""COMPUTED_VALUE"""),"LW1DRKS")</f>
        <v/>
      </c>
      <c r="K416" s="45">
        <f>IFERROR(__xludf.DUMMYFUNCTION("""COMPUTED_VALUE"""),"LW1DRKS-070108")</f>
        <v/>
      </c>
      <c r="L416" s="45">
        <f>IFERROR(__xludf.DUMMYFUNCTION("""COMPUTED_VALUE"""),1)</f>
        <v/>
      </c>
      <c r="M416" s="45">
        <f>IFERROR(__xludf.DUMMYFUNCTION("""COMPUTED_VALUE"""),68)</f>
        <v/>
      </c>
      <c r="N416" s="45">
        <f>IFERROR(__xludf.DUMMYFUNCTION("""COMPUTED_VALUE"""),8.857)</f>
        <v/>
      </c>
      <c r="O416" s="45">
        <f>IFERROR(__xludf.DUMMYFUNCTION("""COMPUTED_VALUE"""),0.079)</f>
        <v/>
      </c>
      <c r="P416" s="45">
        <f>IFERROR(__xludf.DUMMYFUNCTION("""COMPUTED_VALUE"""),"Colombo, LK")</f>
        <v/>
      </c>
      <c r="Q416" s="45">
        <f>IFERROR(__xludf.DUMMYFUNCTION("""COMPUTED_VALUE"""),"New York, NY, US")</f>
        <v/>
      </c>
      <c r="R416" s="44">
        <f>IFERROR(__xludf.DUMMYFUNCTION("""COMPUTED_VALUE"""),45824)</f>
        <v/>
      </c>
      <c r="S416" s="44">
        <f>IFERROR(__xludf.DUMMYFUNCTION("""COMPUTED_VALUE"""),45883)</f>
        <v/>
      </c>
      <c r="T416" s="45">
        <f>IFERROR(__xludf.DUMMYFUNCTION("""COMPUTED_VALUE"""),"Milton, ON, CA")</f>
        <v/>
      </c>
      <c r="U416" s="45" t="n"/>
      <c r="V416" s="45" t="n"/>
      <c r="W416" s="45" t="n"/>
      <c r="X416" s="45" t="n"/>
      <c r="Y416" s="46">
        <f>IFERROR(__xludf.DUMMYFUNCTION("""COMPUTED_VALUE"""),45832)</f>
        <v/>
      </c>
      <c r="Z416" s="46">
        <f>IFERROR(__xludf.DUMMYFUNCTION("""COMPUTED_VALUE"""),45861)</f>
        <v/>
      </c>
      <c r="AA416" s="46">
        <f>IFERROR(__xludf.DUMMYFUNCTION("""COMPUTED_VALUE"""),45874)</f>
        <v/>
      </c>
      <c r="AB416" s="45">
        <f>IFERROR(__xludf.DUMMYFUNCTION("""COMPUTED_VALUE"""),"7211 Fifth Line")</f>
        <v/>
      </c>
      <c r="AC416" s="45" t="n"/>
      <c r="AD416" s="45">
        <f>IFERROR(__xludf.DUMMYFUNCTION("""COMPUTED_VALUE"""),"OCEAN")</f>
        <v/>
      </c>
      <c r="AE416" s="45">
        <f>IFERROR(__xludf.DUMMYFUNCTION("""COMPUTED_VALUE"""),"N")</f>
        <v/>
      </c>
      <c r="AF416" s="45" t="n"/>
      <c r="AG416" s="49">
        <f>IFERROR(__xludf.DUMMYFUNCTION("IFNA(vlookup(H416,IMPORTRANGE(""1vUGwO1n0QQGx9kKbO0_M5gmuhXZ6-LaxQxgrmJnzgP0"",""'TP# look up'!A:C""),3,0),"""")"),"")</f>
        <v/>
      </c>
      <c r="AH416" s="49">
        <f>LEFT(J416,2)</f>
        <v/>
      </c>
    </row>
    <row r="417" hidden="1" ht="12.75" customHeight="1">
      <c r="A417" s="45">
        <f>IFERROR(__xludf.DUMMYFUNCTION("""COMPUTED_VALUE"""),"Colombo")</f>
        <v/>
      </c>
      <c r="B417" s="45" t="n"/>
      <c r="C417" s="45">
        <f>IFERROR(__xludf.DUMMYFUNCTION("""COMPUTED_VALUE"""),3254506)</f>
        <v/>
      </c>
      <c r="D417" s="45" t="n"/>
      <c r="E417" s="45">
        <f>IFERROR(__xludf.DUMMYFUNCTION("""COMPUTED_VALUE"""),"CFS")</f>
        <v/>
      </c>
      <c r="F417" s="45">
        <f>IFERROR(__xludf.DUMMYFUNCTION("""COMPUTED_VALUE"""),"MAS AMITY PTE LTD")</f>
        <v/>
      </c>
      <c r="G417" s="45">
        <f>IFERROR(__xludf.DUMMYFUNCTION("""COMPUTED_VALUE"""),"MAS Active(Pvt) Ltd – CONTOURLINE")</f>
        <v/>
      </c>
      <c r="H417" s="43">
        <f>IFERROR(__xludf.DUMMYFUNCTION("""COMPUTED_VALUE"""),452900314066)</f>
        <v/>
      </c>
      <c r="I417" s="45">
        <f>IFERROR(__xludf.DUMMYFUNCTION("""COMPUTED_VALUE"""),19897897)</f>
        <v/>
      </c>
      <c r="J417" s="45">
        <f>IFERROR(__xludf.DUMMYFUNCTION("""COMPUTED_VALUE"""),"LM3FBSS")</f>
        <v/>
      </c>
      <c r="K417" s="45">
        <f>IFERROR(__xludf.DUMMYFUNCTION("""COMPUTED_VALUE"""),"LM3FBSS-035487")</f>
        <v/>
      </c>
      <c r="L417" s="45">
        <f>IFERROR(__xludf.DUMMYFUNCTION("""COMPUTED_VALUE"""),16)</f>
        <v/>
      </c>
      <c r="M417" s="45">
        <f>IFERROR(__xludf.DUMMYFUNCTION("""COMPUTED_VALUE"""),680)</f>
        <v/>
      </c>
      <c r="N417" s="45">
        <f>IFERROR(__xludf.DUMMYFUNCTION("""COMPUTED_VALUE"""),226.052)</f>
        <v/>
      </c>
      <c r="O417" s="45">
        <f>IFERROR(__xludf.DUMMYFUNCTION("""COMPUTED_VALUE"""),1.264)</f>
        <v/>
      </c>
      <c r="P417" s="45">
        <f>IFERROR(__xludf.DUMMYFUNCTION("""COMPUTED_VALUE"""),"Colombo, LK")</f>
        <v/>
      </c>
      <c r="Q417" s="45">
        <f>IFERROR(__xludf.DUMMYFUNCTION("""COMPUTED_VALUE"""),"New York, NY, US")</f>
        <v/>
      </c>
      <c r="R417" s="44">
        <f>IFERROR(__xludf.DUMMYFUNCTION("""COMPUTED_VALUE"""),45824)</f>
        <v/>
      </c>
      <c r="S417" s="44">
        <f>IFERROR(__xludf.DUMMYFUNCTION("""COMPUTED_VALUE"""),45883)</f>
        <v/>
      </c>
      <c r="T417" s="45">
        <f>IFERROR(__xludf.DUMMYFUNCTION("""COMPUTED_VALUE"""),"Milton, ON, CA")</f>
        <v/>
      </c>
      <c r="U417" s="45" t="n"/>
      <c r="V417" s="45" t="n"/>
      <c r="W417" s="45" t="n"/>
      <c r="X417" s="45" t="n"/>
      <c r="Y417" s="46">
        <f>IFERROR(__xludf.DUMMYFUNCTION("""COMPUTED_VALUE"""),45832)</f>
        <v/>
      </c>
      <c r="Z417" s="46">
        <f>IFERROR(__xludf.DUMMYFUNCTION("""COMPUTED_VALUE"""),45861)</f>
        <v/>
      </c>
      <c r="AA417" s="46">
        <f>IFERROR(__xludf.DUMMYFUNCTION("""COMPUTED_VALUE"""),45874)</f>
        <v/>
      </c>
      <c r="AB417" s="45">
        <f>IFERROR(__xludf.DUMMYFUNCTION("""COMPUTED_VALUE"""),"7211 Fifth Line")</f>
        <v/>
      </c>
      <c r="AC417" s="45" t="n"/>
      <c r="AD417" s="45">
        <f>IFERROR(__xludf.DUMMYFUNCTION("""COMPUTED_VALUE"""),"OCEAN")</f>
        <v/>
      </c>
      <c r="AE417" s="45">
        <f>IFERROR(__xludf.DUMMYFUNCTION("""COMPUTED_VALUE"""),"N")</f>
        <v/>
      </c>
      <c r="AF417" s="45" t="n"/>
      <c r="AG417" s="49">
        <f>IFERROR(__xludf.DUMMYFUNCTION("IFNA(vlookup(H417,IMPORTRANGE(""1vUGwO1n0QQGx9kKbO0_M5gmuhXZ6-LaxQxgrmJnzgP0"",""'TP# look up'!A:C""),3,0),"""")"),"")</f>
        <v/>
      </c>
      <c r="AH417" s="49">
        <f>LEFT(J417,2)</f>
        <v/>
      </c>
    </row>
    <row r="418" hidden="1" ht="12.75" customHeight="1">
      <c r="A418" s="45">
        <f>IFERROR(__xludf.DUMMYFUNCTION("""COMPUTED_VALUE"""),"Colombo")</f>
        <v/>
      </c>
      <c r="B418" s="45" t="n"/>
      <c r="C418" s="45">
        <f>IFERROR(__xludf.DUMMYFUNCTION("""COMPUTED_VALUE"""),3254506)</f>
        <v/>
      </c>
      <c r="D418" s="45" t="n"/>
      <c r="E418" s="45">
        <f>IFERROR(__xludf.DUMMYFUNCTION("""COMPUTED_VALUE"""),"CFS")</f>
        <v/>
      </c>
      <c r="F418" s="45">
        <f>IFERROR(__xludf.DUMMYFUNCTION("""COMPUTED_VALUE"""),"MAS AMITY PTE LTD")</f>
        <v/>
      </c>
      <c r="G418" s="45">
        <f>IFERROR(__xludf.DUMMYFUNCTION("""COMPUTED_VALUE"""),"MAS Active(Pvt) Ltd – CONTOURLINE")</f>
        <v/>
      </c>
      <c r="H418" s="43">
        <f>IFERROR(__xludf.DUMMYFUNCTION("""COMPUTED_VALUE"""),452901003368)</f>
        <v/>
      </c>
      <c r="I418" s="45">
        <f>IFERROR(__xludf.DUMMYFUNCTION("""COMPUTED_VALUE"""),19897915)</f>
        <v/>
      </c>
      <c r="J418" s="45">
        <f>IFERROR(__xludf.DUMMYFUNCTION("""COMPUTED_VALUE"""),"LM7BI2S")</f>
        <v/>
      </c>
      <c r="K418" s="45">
        <f>IFERROR(__xludf.DUMMYFUNCTION("""COMPUTED_VALUE"""),"LM7BI2S-041179")</f>
        <v/>
      </c>
      <c r="L418" s="45">
        <f>IFERROR(__xludf.DUMMYFUNCTION("""COMPUTED_VALUE"""),9)</f>
        <v/>
      </c>
      <c r="M418" s="45">
        <f>IFERROR(__xludf.DUMMYFUNCTION("""COMPUTED_VALUE"""),434)</f>
        <v/>
      </c>
      <c r="N418" s="45">
        <f>IFERROR(__xludf.DUMMYFUNCTION("""COMPUTED_VALUE"""),102.029)</f>
        <v/>
      </c>
      <c r="O418" s="45">
        <f>IFERROR(__xludf.DUMMYFUNCTION("""COMPUTED_VALUE"""),0.711)</f>
        <v/>
      </c>
      <c r="P418" s="45">
        <f>IFERROR(__xludf.DUMMYFUNCTION("""COMPUTED_VALUE"""),"Colombo, LK")</f>
        <v/>
      </c>
      <c r="Q418" s="45">
        <f>IFERROR(__xludf.DUMMYFUNCTION("""COMPUTED_VALUE"""),"New York, NY, US")</f>
        <v/>
      </c>
      <c r="R418" s="44">
        <f>IFERROR(__xludf.DUMMYFUNCTION("""COMPUTED_VALUE"""),45824)</f>
        <v/>
      </c>
      <c r="S418" s="44">
        <f>IFERROR(__xludf.DUMMYFUNCTION("""COMPUTED_VALUE"""),45883)</f>
        <v/>
      </c>
      <c r="T418" s="45">
        <f>IFERROR(__xludf.DUMMYFUNCTION("""COMPUTED_VALUE"""),"Milton, ON, CA")</f>
        <v/>
      </c>
      <c r="U418" s="45" t="n"/>
      <c r="V418" s="45" t="n"/>
      <c r="W418" s="45" t="n"/>
      <c r="X418" s="45" t="n"/>
      <c r="Y418" s="46">
        <f>IFERROR(__xludf.DUMMYFUNCTION("""COMPUTED_VALUE"""),45832)</f>
        <v/>
      </c>
      <c r="Z418" s="46">
        <f>IFERROR(__xludf.DUMMYFUNCTION("""COMPUTED_VALUE"""),45861)</f>
        <v/>
      </c>
      <c r="AA418" s="46">
        <f>IFERROR(__xludf.DUMMYFUNCTION("""COMPUTED_VALUE"""),45874)</f>
        <v/>
      </c>
      <c r="AB418" s="45">
        <f>IFERROR(__xludf.DUMMYFUNCTION("""COMPUTED_VALUE"""),"7211 Fifth Line")</f>
        <v/>
      </c>
      <c r="AC418" s="45" t="n"/>
      <c r="AD418" s="45">
        <f>IFERROR(__xludf.DUMMYFUNCTION("""COMPUTED_VALUE"""),"OCEAN")</f>
        <v/>
      </c>
      <c r="AE418" s="45">
        <f>IFERROR(__xludf.DUMMYFUNCTION("""COMPUTED_VALUE"""),"N")</f>
        <v/>
      </c>
      <c r="AF418" s="45" t="n"/>
      <c r="AG418" s="49">
        <f>IFERROR(__xludf.DUMMYFUNCTION("IFNA(vlookup(H418,IMPORTRANGE(""1vUGwO1n0QQGx9kKbO0_M5gmuhXZ6-LaxQxgrmJnzgP0"",""'TP# look up'!A:C""),3,0),"""")"),"")</f>
        <v/>
      </c>
      <c r="AH418" s="49">
        <f>LEFT(J418,2)</f>
        <v/>
      </c>
    </row>
    <row r="419" hidden="1" ht="12.75" customHeight="1">
      <c r="A419" s="45">
        <f>IFERROR(__xludf.DUMMYFUNCTION("""COMPUTED_VALUE"""),"Colombo")</f>
        <v/>
      </c>
      <c r="B419" s="45" t="n"/>
      <c r="C419" s="45">
        <f>IFERROR(__xludf.DUMMYFUNCTION("""COMPUTED_VALUE"""),3254506)</f>
        <v/>
      </c>
      <c r="D419" s="45" t="n"/>
      <c r="E419" s="45">
        <f>IFERROR(__xludf.DUMMYFUNCTION("""COMPUTED_VALUE"""),"CFS")</f>
        <v/>
      </c>
      <c r="F419" s="45">
        <f>IFERROR(__xludf.DUMMYFUNCTION("""COMPUTED_VALUE"""),"MAS AMITY PTE LTD")</f>
        <v/>
      </c>
      <c r="G419" s="45">
        <f>IFERROR(__xludf.DUMMYFUNCTION("""COMPUTED_VALUE"""),"MAS Active(Pvt) Ltd – CONTOURLINE")</f>
        <v/>
      </c>
      <c r="H419" s="43">
        <f>IFERROR(__xludf.DUMMYFUNCTION("""COMPUTED_VALUE"""),452901003671)</f>
        <v/>
      </c>
      <c r="I419" s="45">
        <f>IFERROR(__xludf.DUMMYFUNCTION("""COMPUTED_VALUE"""),19920744)</f>
        <v/>
      </c>
      <c r="J419" s="45">
        <f>IFERROR(__xludf.DUMMYFUNCTION("""COMPUTED_VALUE"""),"LW5EYKS")</f>
        <v/>
      </c>
      <c r="K419" s="45">
        <f>IFERROR(__xludf.DUMMYFUNCTION("""COMPUTED_VALUE"""),"LW5EYKS-071200")</f>
        <v/>
      </c>
      <c r="L419" s="45">
        <f>IFERROR(__xludf.DUMMYFUNCTION("""COMPUTED_VALUE"""),1)</f>
        <v/>
      </c>
      <c r="M419" s="45">
        <f>IFERROR(__xludf.DUMMYFUNCTION("""COMPUTED_VALUE"""),65)</f>
        <v/>
      </c>
      <c r="N419" s="45">
        <f>IFERROR(__xludf.DUMMYFUNCTION("""COMPUTED_VALUE"""),15.014)</f>
        <v/>
      </c>
      <c r="O419" s="45">
        <f>IFERROR(__xludf.DUMMYFUNCTION("""COMPUTED_VALUE"""),0.079)</f>
        <v/>
      </c>
      <c r="P419" s="45">
        <f>IFERROR(__xludf.DUMMYFUNCTION("""COMPUTED_VALUE"""),"Colombo, LK")</f>
        <v/>
      </c>
      <c r="Q419" s="45">
        <f>IFERROR(__xludf.DUMMYFUNCTION("""COMPUTED_VALUE"""),"New York, NY, US")</f>
        <v/>
      </c>
      <c r="R419" s="44">
        <f>IFERROR(__xludf.DUMMYFUNCTION("""COMPUTED_VALUE"""),45824)</f>
        <v/>
      </c>
      <c r="S419" s="44">
        <f>IFERROR(__xludf.DUMMYFUNCTION("""COMPUTED_VALUE"""),45883)</f>
        <v/>
      </c>
      <c r="T419" s="45">
        <f>IFERROR(__xludf.DUMMYFUNCTION("""COMPUTED_VALUE"""),"Mississauga, ON, CA")</f>
        <v/>
      </c>
      <c r="U419" s="45" t="n"/>
      <c r="V419" s="45" t="n"/>
      <c r="W419" s="45" t="n"/>
      <c r="X419" s="45" t="n"/>
      <c r="Y419" s="46">
        <f>IFERROR(__xludf.DUMMYFUNCTION("""COMPUTED_VALUE"""),45832)</f>
        <v/>
      </c>
      <c r="Z419" s="46">
        <f>IFERROR(__xludf.DUMMYFUNCTION("""COMPUTED_VALUE"""),45861)</f>
        <v/>
      </c>
      <c r="AA419" s="46">
        <f>IFERROR(__xludf.DUMMYFUNCTION("""COMPUTED_VALUE"""),45874)</f>
        <v/>
      </c>
      <c r="AB419" s="45">
        <f>IFERROR(__xludf.DUMMYFUNCTION("""COMPUTED_VALUE"""),"3500 Argentia Road")</f>
        <v/>
      </c>
      <c r="AC419" s="45" t="n"/>
      <c r="AD419" s="45">
        <f>IFERROR(__xludf.DUMMYFUNCTION("""COMPUTED_VALUE"""),"OCEAN")</f>
        <v/>
      </c>
      <c r="AE419" s="45">
        <f>IFERROR(__xludf.DUMMYFUNCTION("""COMPUTED_VALUE"""),"N")</f>
        <v/>
      </c>
      <c r="AF419" s="45" t="n"/>
      <c r="AG419" s="49">
        <f>IFERROR(__xludf.DUMMYFUNCTION("IFNA(vlookup(H419,IMPORTRANGE(""1vUGwO1n0QQGx9kKbO0_M5gmuhXZ6-LaxQxgrmJnzgP0"",""'TP# look up'!A:C""),3,0),"""")"),"")</f>
        <v/>
      </c>
      <c r="AH419" s="49">
        <f>LEFT(J419,2)</f>
        <v/>
      </c>
    </row>
    <row r="420" hidden="1" ht="12.75" customHeight="1">
      <c r="A420" s="45">
        <f>IFERROR(__xludf.DUMMYFUNCTION("""COMPUTED_VALUE"""),"Colombo")</f>
        <v/>
      </c>
      <c r="B420" s="45" t="n"/>
      <c r="C420" s="45">
        <f>IFERROR(__xludf.DUMMYFUNCTION("""COMPUTED_VALUE"""),3254506)</f>
        <v/>
      </c>
      <c r="D420" s="45" t="n"/>
      <c r="E420" s="45">
        <f>IFERROR(__xludf.DUMMYFUNCTION("""COMPUTED_VALUE"""),"CFS")</f>
        <v/>
      </c>
      <c r="F420" s="45">
        <f>IFERROR(__xludf.DUMMYFUNCTION("""COMPUTED_VALUE"""),"MAS AMITY PTE LTD")</f>
        <v/>
      </c>
      <c r="G420" s="45">
        <f>IFERROR(__xludf.DUMMYFUNCTION("""COMPUTED_VALUE"""),"MAS Active(Pvt) Ltd – CONTOURLINE")</f>
        <v/>
      </c>
      <c r="H420" s="43">
        <f>IFERROR(__xludf.DUMMYFUNCTION("""COMPUTED_VALUE"""),452901487847)</f>
        <v/>
      </c>
      <c r="I420" s="45">
        <f>IFERROR(__xludf.DUMMYFUNCTION("""COMPUTED_VALUE"""),19920846)</f>
        <v/>
      </c>
      <c r="J420" s="45">
        <f>IFERROR(__xludf.DUMMYFUNCTION("""COMPUTED_VALUE"""),"LW5FARS")</f>
        <v/>
      </c>
      <c r="K420" s="45">
        <f>IFERROR(__xludf.DUMMYFUNCTION("""COMPUTED_VALUE"""),"LW5FARS-041179")</f>
        <v/>
      </c>
      <c r="L420" s="45">
        <f>IFERROR(__xludf.DUMMYFUNCTION("""COMPUTED_VALUE"""),9)</f>
        <v/>
      </c>
      <c r="M420" s="45">
        <f>IFERROR(__xludf.DUMMYFUNCTION("""COMPUTED_VALUE"""),585)</f>
        <v/>
      </c>
      <c r="N420" s="45">
        <f>IFERROR(__xludf.DUMMYFUNCTION("""COMPUTED_VALUE"""),124.319)</f>
        <v/>
      </c>
      <c r="O420" s="45">
        <f>IFERROR(__xludf.DUMMYFUNCTION("""COMPUTED_VALUE"""),0.671)</f>
        <v/>
      </c>
      <c r="P420" s="45">
        <f>IFERROR(__xludf.DUMMYFUNCTION("""COMPUTED_VALUE"""),"Colombo, LK")</f>
        <v/>
      </c>
      <c r="Q420" s="45">
        <f>IFERROR(__xludf.DUMMYFUNCTION("""COMPUTED_VALUE"""),"New York, NY, US")</f>
        <v/>
      </c>
      <c r="R420" s="44">
        <f>IFERROR(__xludf.DUMMYFUNCTION("""COMPUTED_VALUE"""),45824)</f>
        <v/>
      </c>
      <c r="S420" s="44">
        <f>IFERROR(__xludf.DUMMYFUNCTION("""COMPUTED_VALUE"""),45883)</f>
        <v/>
      </c>
      <c r="T420" s="45">
        <f>IFERROR(__xludf.DUMMYFUNCTION("""COMPUTED_VALUE"""),"Mississauga, ON, CA")</f>
        <v/>
      </c>
      <c r="U420" s="45" t="n"/>
      <c r="V420" s="45" t="n"/>
      <c r="W420" s="45" t="n"/>
      <c r="X420" s="45" t="n"/>
      <c r="Y420" s="46">
        <f>IFERROR(__xludf.DUMMYFUNCTION("""COMPUTED_VALUE"""),45832)</f>
        <v/>
      </c>
      <c r="Z420" s="46">
        <f>IFERROR(__xludf.DUMMYFUNCTION("""COMPUTED_VALUE"""),45861)</f>
        <v/>
      </c>
      <c r="AA420" s="46">
        <f>IFERROR(__xludf.DUMMYFUNCTION("""COMPUTED_VALUE"""),45874)</f>
        <v/>
      </c>
      <c r="AB420" s="45">
        <f>IFERROR(__xludf.DUMMYFUNCTION("""COMPUTED_VALUE"""),"3500 Argentia Road")</f>
        <v/>
      </c>
      <c r="AC420" s="45" t="n"/>
      <c r="AD420" s="45">
        <f>IFERROR(__xludf.DUMMYFUNCTION("""COMPUTED_VALUE"""),"OCEAN")</f>
        <v/>
      </c>
      <c r="AE420" s="45">
        <f>IFERROR(__xludf.DUMMYFUNCTION("""COMPUTED_VALUE"""),"N")</f>
        <v/>
      </c>
      <c r="AF420" s="45" t="n"/>
      <c r="AG420" s="49">
        <f>IFERROR(__xludf.DUMMYFUNCTION("IFNA(vlookup(H420,IMPORTRANGE(""1vUGwO1n0QQGx9kKbO0_M5gmuhXZ6-LaxQxgrmJnzgP0"",""'TP# look up'!A:C""),3,0),"""")"),"")</f>
        <v/>
      </c>
      <c r="AH420" s="49">
        <f>LEFT(J420,2)</f>
        <v/>
      </c>
    </row>
    <row r="421" hidden="1" ht="12.75" customHeight="1">
      <c r="A421" s="45">
        <f>IFERROR(__xludf.DUMMYFUNCTION("""COMPUTED_VALUE"""),"Colombo")</f>
        <v/>
      </c>
      <c r="B421" s="45" t="n"/>
      <c r="C421" s="45">
        <f>IFERROR(__xludf.DUMMYFUNCTION("""COMPUTED_VALUE"""),3254506)</f>
        <v/>
      </c>
      <c r="D421" s="45" t="n"/>
      <c r="E421" s="45">
        <f>IFERROR(__xludf.DUMMYFUNCTION("""COMPUTED_VALUE"""),"CFS")</f>
        <v/>
      </c>
      <c r="F421" s="45">
        <f>IFERROR(__xludf.DUMMYFUNCTION("""COMPUTED_VALUE"""),"MAS AMITY PTE LTD")</f>
        <v/>
      </c>
      <c r="G421" s="45">
        <f>IFERROR(__xludf.DUMMYFUNCTION("""COMPUTED_VALUE"""),"MAS Active(Pvt) Ltd – CONTOURLINE")</f>
        <v/>
      </c>
      <c r="H421" s="43">
        <f>IFERROR(__xludf.DUMMYFUNCTION("""COMPUTED_VALUE"""),452901622156)</f>
        <v/>
      </c>
      <c r="I421" s="45">
        <f>IFERROR(__xludf.DUMMYFUNCTION("""COMPUTED_VALUE"""),19913617)</f>
        <v/>
      </c>
      <c r="J421" s="45">
        <f>IFERROR(__xludf.DUMMYFUNCTION("""COMPUTED_VALUE"""),"LW5EPSS")</f>
        <v/>
      </c>
      <c r="K421" s="45">
        <f>IFERROR(__xludf.DUMMYFUNCTION("""COMPUTED_VALUE"""),"LW5EPSS-071188")</f>
        <v/>
      </c>
      <c r="L421" s="45">
        <f>IFERROR(__xludf.DUMMYFUNCTION("""COMPUTED_VALUE"""),3)</f>
        <v/>
      </c>
      <c r="M421" s="45">
        <f>IFERROR(__xludf.DUMMYFUNCTION("""COMPUTED_VALUE"""),118)</f>
        <v/>
      </c>
      <c r="N421" s="45">
        <f>IFERROR(__xludf.DUMMYFUNCTION("""COMPUTED_VALUE"""),27.177)</f>
        <v/>
      </c>
      <c r="O421" s="45">
        <f>IFERROR(__xludf.DUMMYFUNCTION("""COMPUTED_VALUE"""),0.158)</f>
        <v/>
      </c>
      <c r="P421" s="45">
        <f>IFERROR(__xludf.DUMMYFUNCTION("""COMPUTED_VALUE"""),"Colombo, LK")</f>
        <v/>
      </c>
      <c r="Q421" s="45">
        <f>IFERROR(__xludf.DUMMYFUNCTION("""COMPUTED_VALUE"""),"New York, NY, US")</f>
        <v/>
      </c>
      <c r="R421" s="44">
        <f>IFERROR(__xludf.DUMMYFUNCTION("""COMPUTED_VALUE"""),45824)</f>
        <v/>
      </c>
      <c r="S421" s="44">
        <f>IFERROR(__xludf.DUMMYFUNCTION("""COMPUTED_VALUE"""),45883)</f>
        <v/>
      </c>
      <c r="T421" s="45">
        <f>IFERROR(__xludf.DUMMYFUNCTION("""COMPUTED_VALUE"""),"Mississauga, ON, CA")</f>
        <v/>
      </c>
      <c r="U421" s="45" t="n"/>
      <c r="V421" s="45" t="n"/>
      <c r="W421" s="45" t="n"/>
      <c r="X421" s="45" t="n"/>
      <c r="Y421" s="46">
        <f>IFERROR(__xludf.DUMMYFUNCTION("""COMPUTED_VALUE"""),45832)</f>
        <v/>
      </c>
      <c r="Z421" s="46">
        <f>IFERROR(__xludf.DUMMYFUNCTION("""COMPUTED_VALUE"""),45861)</f>
        <v/>
      </c>
      <c r="AA421" s="46">
        <f>IFERROR(__xludf.DUMMYFUNCTION("""COMPUTED_VALUE"""),45874)</f>
        <v/>
      </c>
      <c r="AB421" s="45">
        <f>IFERROR(__xludf.DUMMYFUNCTION("""COMPUTED_VALUE"""),"3500 Argentia Road")</f>
        <v/>
      </c>
      <c r="AC421" s="45" t="n"/>
      <c r="AD421" s="45">
        <f>IFERROR(__xludf.DUMMYFUNCTION("""COMPUTED_VALUE"""),"OCEAN")</f>
        <v/>
      </c>
      <c r="AE421" s="45">
        <f>IFERROR(__xludf.DUMMYFUNCTION("""COMPUTED_VALUE"""),"N")</f>
        <v/>
      </c>
      <c r="AF421" s="45" t="n"/>
      <c r="AG421" s="49">
        <f>IFERROR(__xludf.DUMMYFUNCTION("IFNA(vlookup(H421,IMPORTRANGE(""1vUGwO1n0QQGx9kKbO0_M5gmuhXZ6-LaxQxgrmJnzgP0"",""'TP# look up'!A:C""),3,0),"""")"),"")</f>
        <v/>
      </c>
      <c r="AH421" s="49">
        <f>LEFT(J421,2)</f>
        <v/>
      </c>
    </row>
    <row r="422" ht="12.75" customHeight="1">
      <c r="A422" s="45">
        <f>IFERROR(__xludf.DUMMYFUNCTION("""COMPUTED_VALUE"""),"Colombo")</f>
        <v/>
      </c>
      <c r="B422" s="45" t="n"/>
      <c r="C422" s="45">
        <f>IFERROR(__xludf.DUMMYFUNCTION("""COMPUTED_VALUE"""),3254506)</f>
        <v/>
      </c>
      <c r="D422" s="45" t="n"/>
      <c r="E422" s="45">
        <f>IFERROR(__xludf.DUMMYFUNCTION("""COMPUTED_VALUE"""),"CFS")</f>
        <v/>
      </c>
      <c r="F422" s="45">
        <f>IFERROR(__xludf.DUMMYFUNCTION("""COMPUTED_VALUE"""),"MAS AMITY PTE LTD")</f>
        <v/>
      </c>
      <c r="G422" s="45">
        <f>IFERROR(__xludf.DUMMYFUNCTION("""COMPUTED_VALUE"""),"MAS Active(Pvt) Ltd – CONTOURLINE")</f>
        <v/>
      </c>
      <c r="H422" s="43">
        <f>IFERROR(__xludf.DUMMYFUNCTION("""COMPUTED_VALUE"""),452902222311)</f>
        <v/>
      </c>
      <c r="I422" s="45">
        <f>IFERROR(__xludf.DUMMYFUNCTION("""COMPUTED_VALUE"""),19920786)</f>
        <v/>
      </c>
      <c r="J422" s="45">
        <f>IFERROR(__xludf.DUMMYFUNCTION("""COMPUTED_VALUE"""),"LM3FBSS")</f>
        <v/>
      </c>
      <c r="K422" s="45">
        <f>IFERROR(__xludf.DUMMYFUNCTION("""COMPUTED_VALUE"""),"LM3FBSS-035487")</f>
        <v/>
      </c>
      <c r="L422" s="45">
        <f>IFERROR(__xludf.DUMMYFUNCTION("""COMPUTED_VALUE"""),3)</f>
        <v/>
      </c>
      <c r="M422" s="45">
        <f>IFERROR(__xludf.DUMMYFUNCTION("""COMPUTED_VALUE"""),93)</f>
        <v/>
      </c>
      <c r="N422" s="45">
        <f>IFERROR(__xludf.DUMMYFUNCTION("""COMPUTED_VALUE"""),32.502)</f>
        <v/>
      </c>
      <c r="O422" s="45">
        <f>IFERROR(__xludf.DUMMYFUNCTION("""COMPUTED_VALUE"""),0.237)</f>
        <v/>
      </c>
      <c r="P422" s="45">
        <f>IFERROR(__xludf.DUMMYFUNCTION("""COMPUTED_VALUE"""),"Colombo, LK")</f>
        <v/>
      </c>
      <c r="Q422" s="45">
        <f>IFERROR(__xludf.DUMMYFUNCTION("""COMPUTED_VALUE"""),"New York, NY, US")</f>
        <v/>
      </c>
      <c r="R422" s="44">
        <f>IFERROR(__xludf.DUMMYFUNCTION("""COMPUTED_VALUE"""),45824)</f>
        <v/>
      </c>
      <c r="S422" s="44">
        <f>IFERROR(__xludf.DUMMYFUNCTION("""COMPUTED_VALUE"""),45883)</f>
        <v/>
      </c>
      <c r="T422" s="45">
        <f>IFERROR(__xludf.DUMMYFUNCTION("""COMPUTED_VALUE"""),"Mississauga, ON, CA")</f>
        <v/>
      </c>
      <c r="U422" s="45" t="n"/>
      <c r="V422" s="45" t="n"/>
      <c r="W422" s="45" t="n"/>
      <c r="X422" s="45" t="n"/>
      <c r="Y422" s="46">
        <f>IFERROR(__xludf.DUMMYFUNCTION("""COMPUTED_VALUE"""),45832)</f>
        <v/>
      </c>
      <c r="Z422" s="46">
        <f>IFERROR(__xludf.DUMMYFUNCTION("""COMPUTED_VALUE"""),45861)</f>
        <v/>
      </c>
      <c r="AA422" s="46">
        <f>IFERROR(__xludf.DUMMYFUNCTION("""COMPUTED_VALUE"""),45874)</f>
        <v/>
      </c>
      <c r="AB422" s="45">
        <f>IFERROR(__xludf.DUMMYFUNCTION("""COMPUTED_VALUE"""),"3500 Argentia Road")</f>
        <v/>
      </c>
      <c r="AC422" s="45" t="n"/>
      <c r="AD422" s="45">
        <f>IFERROR(__xludf.DUMMYFUNCTION("""COMPUTED_VALUE"""),"OCEAN")</f>
        <v/>
      </c>
      <c r="AE422" s="45">
        <f>IFERROR(__xludf.DUMMYFUNCTION("""COMPUTED_VALUE"""),"N")</f>
        <v/>
      </c>
      <c r="AF422" s="45" t="n"/>
      <c r="AG422" s="49">
        <f>IFERROR(__xludf.DUMMYFUNCTION("IFNA(vlookup(H422,IMPORTRANGE(""1vUGwO1n0QQGx9kKbO0_M5gmuhXZ6-LaxQxgrmJnzgP0"",""'TP# look up'!A:C""),3,0),"""")"),"")</f>
        <v/>
      </c>
      <c r="AH422" s="49">
        <f>LEFT(J422,2)</f>
        <v/>
      </c>
    </row>
    <row r="423" ht="12.75" customHeight="1">
      <c r="A423" s="45">
        <f>IFERROR(__xludf.DUMMYFUNCTION("""COMPUTED_VALUE"""),"Colombo")</f>
        <v/>
      </c>
      <c r="B423" s="45" t="n"/>
      <c r="C423" s="45">
        <f>IFERROR(__xludf.DUMMYFUNCTION("""COMPUTED_VALUE"""),3254506)</f>
        <v/>
      </c>
      <c r="D423" s="45" t="n"/>
      <c r="E423" s="45">
        <f>IFERROR(__xludf.DUMMYFUNCTION("""COMPUTED_VALUE"""),"CFS")</f>
        <v/>
      </c>
      <c r="F423" s="45">
        <f>IFERROR(__xludf.DUMMYFUNCTION("""COMPUTED_VALUE"""),"MAS AMITY PTE LTD")</f>
        <v/>
      </c>
      <c r="G423" s="45">
        <f>IFERROR(__xludf.DUMMYFUNCTION("""COMPUTED_VALUE"""),"MAS Active(Pvt) Ltd – CONTOURLINE")</f>
        <v/>
      </c>
      <c r="H423" s="43">
        <f>IFERROR(__xludf.DUMMYFUNCTION("""COMPUTED_VALUE"""),452902798117)</f>
        <v/>
      </c>
      <c r="I423" s="45">
        <f>IFERROR(__xludf.DUMMYFUNCTION("""COMPUTED_VALUE"""),19920857)</f>
        <v/>
      </c>
      <c r="J423" s="45">
        <f>IFERROR(__xludf.DUMMYFUNCTION("""COMPUTED_VALUE"""),"LW5FARS")</f>
        <v/>
      </c>
      <c r="K423" s="45">
        <f>IFERROR(__xludf.DUMMYFUNCTION("""COMPUTED_VALUE"""),"LW5FARS-071195")</f>
        <v/>
      </c>
      <c r="L423" s="45">
        <f>IFERROR(__xludf.DUMMYFUNCTION("""COMPUTED_VALUE"""),6)</f>
        <v/>
      </c>
      <c r="M423" s="45">
        <f>IFERROR(__xludf.DUMMYFUNCTION("""COMPUTED_VALUE"""),335)</f>
        <v/>
      </c>
      <c r="N423" s="45">
        <f>IFERROR(__xludf.DUMMYFUNCTION("""COMPUTED_VALUE"""),71.98)</f>
        <v/>
      </c>
      <c r="O423" s="45">
        <f>IFERROR(__xludf.DUMMYFUNCTION("""COMPUTED_VALUE"""),0.434)</f>
        <v/>
      </c>
      <c r="P423" s="45">
        <f>IFERROR(__xludf.DUMMYFUNCTION("""COMPUTED_VALUE"""),"Colombo, LK")</f>
        <v/>
      </c>
      <c r="Q423" s="45">
        <f>IFERROR(__xludf.DUMMYFUNCTION("""COMPUTED_VALUE"""),"New York, NY, US")</f>
        <v/>
      </c>
      <c r="R423" s="44">
        <f>IFERROR(__xludf.DUMMYFUNCTION("""COMPUTED_VALUE"""),45824)</f>
        <v/>
      </c>
      <c r="S423" s="44">
        <f>IFERROR(__xludf.DUMMYFUNCTION("""COMPUTED_VALUE"""),45883)</f>
        <v/>
      </c>
      <c r="T423" s="45">
        <f>IFERROR(__xludf.DUMMYFUNCTION("""COMPUTED_VALUE"""),"Mississauga, ON, CA")</f>
        <v/>
      </c>
      <c r="U423" s="45" t="n"/>
      <c r="V423" s="45" t="n"/>
      <c r="W423" s="45" t="n"/>
      <c r="X423" s="45" t="n"/>
      <c r="Y423" s="46">
        <f>IFERROR(__xludf.DUMMYFUNCTION("""COMPUTED_VALUE"""),45832)</f>
        <v/>
      </c>
      <c r="Z423" s="46">
        <f>IFERROR(__xludf.DUMMYFUNCTION("""COMPUTED_VALUE"""),45861)</f>
        <v/>
      </c>
      <c r="AA423" s="46">
        <f>IFERROR(__xludf.DUMMYFUNCTION("""COMPUTED_VALUE"""),45874)</f>
        <v/>
      </c>
      <c r="AB423" s="45">
        <f>IFERROR(__xludf.DUMMYFUNCTION("""COMPUTED_VALUE"""),"3500 Argentia Road")</f>
        <v/>
      </c>
      <c r="AC423" s="45" t="n"/>
      <c r="AD423" s="45">
        <f>IFERROR(__xludf.DUMMYFUNCTION("""COMPUTED_VALUE"""),"OCEAN")</f>
        <v/>
      </c>
      <c r="AE423" s="45">
        <f>IFERROR(__xludf.DUMMYFUNCTION("""COMPUTED_VALUE"""),"N")</f>
        <v/>
      </c>
      <c r="AF423" s="45" t="n"/>
      <c r="AG423" s="49">
        <f>IFERROR(__xludf.DUMMYFUNCTION("IFNA(vlookup(H423,IMPORTRANGE(""1vUGwO1n0QQGx9kKbO0_M5gmuhXZ6-LaxQxgrmJnzgP0"",""'TP# look up'!A:C""),3,0),"""")"),"")</f>
        <v/>
      </c>
      <c r="AH423" s="49">
        <f>LEFT(J423,2)</f>
        <v/>
      </c>
    </row>
    <row r="424" ht="12.75" customHeight="1">
      <c r="A424" s="45">
        <f>IFERROR(__xludf.DUMMYFUNCTION("""COMPUTED_VALUE"""),"Colombo")</f>
        <v/>
      </c>
      <c r="B424" s="45" t="n"/>
      <c r="C424" s="45">
        <f>IFERROR(__xludf.DUMMYFUNCTION("""COMPUTED_VALUE"""),3254506)</f>
        <v/>
      </c>
      <c r="D424" s="45" t="n"/>
      <c r="E424" s="45">
        <f>IFERROR(__xludf.DUMMYFUNCTION("""COMPUTED_VALUE"""),"CFS")</f>
        <v/>
      </c>
      <c r="F424" s="45">
        <f>IFERROR(__xludf.DUMMYFUNCTION("""COMPUTED_VALUE"""),"MAS AMITY PTE LTD")</f>
        <v/>
      </c>
      <c r="G424" s="45">
        <f>IFERROR(__xludf.DUMMYFUNCTION("""COMPUTED_VALUE"""),"MAS Active(Pvt) Ltd – CONTOURLINE")</f>
        <v/>
      </c>
      <c r="H424" s="43">
        <f>IFERROR(__xludf.DUMMYFUNCTION("""COMPUTED_VALUE"""),452902914427)</f>
        <v/>
      </c>
      <c r="I424" s="45">
        <f>IFERROR(__xludf.DUMMYFUNCTION("""COMPUTED_VALUE"""),19925161)</f>
        <v/>
      </c>
      <c r="J424" s="45">
        <f>IFERROR(__xludf.DUMMYFUNCTION("""COMPUTED_VALUE"""),"LW5FARS")</f>
        <v/>
      </c>
      <c r="K424" s="45">
        <f>IFERROR(__xludf.DUMMYFUNCTION("""COMPUTED_VALUE"""),"LW5FARS-071195")</f>
        <v/>
      </c>
      <c r="L424" s="45">
        <f>IFERROR(__xludf.DUMMYFUNCTION("""COMPUTED_VALUE"""),3)</f>
        <v/>
      </c>
      <c r="M424" s="45">
        <f>IFERROR(__xludf.DUMMYFUNCTION("""COMPUTED_VALUE"""),105)</f>
        <v/>
      </c>
      <c r="N424" s="45">
        <f>IFERROR(__xludf.DUMMYFUNCTION("""COMPUTED_VALUE"""),23.309)</f>
        <v/>
      </c>
      <c r="O424" s="45">
        <f>IFERROR(__xludf.DUMMYFUNCTION("""COMPUTED_VALUE"""),0.158)</f>
        <v/>
      </c>
      <c r="P424" s="45">
        <f>IFERROR(__xludf.DUMMYFUNCTION("""COMPUTED_VALUE"""),"Colombo, LK")</f>
        <v/>
      </c>
      <c r="Q424" s="45">
        <f>IFERROR(__xludf.DUMMYFUNCTION("""COMPUTED_VALUE"""),"New York, NY, US")</f>
        <v/>
      </c>
      <c r="R424" s="44">
        <f>IFERROR(__xludf.DUMMYFUNCTION("""COMPUTED_VALUE"""),45824)</f>
        <v/>
      </c>
      <c r="S424" s="44">
        <f>IFERROR(__xludf.DUMMYFUNCTION("""COMPUTED_VALUE"""),45883)</f>
        <v/>
      </c>
      <c r="T424" s="45">
        <f>IFERROR(__xludf.DUMMYFUNCTION("""COMPUTED_VALUE"""),"Mississauga, ON, CA")</f>
        <v/>
      </c>
      <c r="U424" s="45" t="n"/>
      <c r="V424" s="45" t="n"/>
      <c r="W424" s="45" t="n"/>
      <c r="X424" s="45" t="n"/>
      <c r="Y424" s="46">
        <f>IFERROR(__xludf.DUMMYFUNCTION("""COMPUTED_VALUE"""),45832)</f>
        <v/>
      </c>
      <c r="Z424" s="46">
        <f>IFERROR(__xludf.DUMMYFUNCTION("""COMPUTED_VALUE"""),45861)</f>
        <v/>
      </c>
      <c r="AA424" s="46">
        <f>IFERROR(__xludf.DUMMYFUNCTION("""COMPUTED_VALUE"""),45874)</f>
        <v/>
      </c>
      <c r="AB424" s="45">
        <f>IFERROR(__xludf.DUMMYFUNCTION("""COMPUTED_VALUE"""),"3500 Argentia Road")</f>
        <v/>
      </c>
      <c r="AC424" s="45" t="n"/>
      <c r="AD424" s="45">
        <f>IFERROR(__xludf.DUMMYFUNCTION("""COMPUTED_VALUE"""),"OCEAN")</f>
        <v/>
      </c>
      <c r="AE424" s="45">
        <f>IFERROR(__xludf.DUMMYFUNCTION("""COMPUTED_VALUE"""),"N")</f>
        <v/>
      </c>
      <c r="AF424" s="45" t="n"/>
      <c r="AG424" s="49">
        <f>IFERROR(__xludf.DUMMYFUNCTION("IFNA(vlookup(H424,IMPORTRANGE(""1vUGwO1n0QQGx9kKbO0_M5gmuhXZ6-LaxQxgrmJnzgP0"",""'TP# look up'!A:C""),3,0),"""")"),"")</f>
        <v/>
      </c>
      <c r="AH424" s="49">
        <f>LEFT(J424,2)</f>
        <v/>
      </c>
    </row>
    <row r="425" ht="12.75" customHeight="1">
      <c r="A425" s="45">
        <f>IFERROR(__xludf.DUMMYFUNCTION("""COMPUTED_VALUE"""),"Colombo")</f>
        <v/>
      </c>
      <c r="B425" s="45" t="n"/>
      <c r="C425" s="45">
        <f>IFERROR(__xludf.DUMMYFUNCTION("""COMPUTED_VALUE"""),3254506)</f>
        <v/>
      </c>
      <c r="D425" s="45" t="n"/>
      <c r="E425" s="45">
        <f>IFERROR(__xludf.DUMMYFUNCTION("""COMPUTED_VALUE"""),"CFS")</f>
        <v/>
      </c>
      <c r="F425" s="45">
        <f>IFERROR(__xludf.DUMMYFUNCTION("""COMPUTED_VALUE"""),"MAS AMITY PTE LTD")</f>
        <v/>
      </c>
      <c r="G425" s="45">
        <f>IFERROR(__xludf.DUMMYFUNCTION("""COMPUTED_VALUE"""),"MAS Active(Pvt) Ltd – CONTOURLINE")</f>
        <v/>
      </c>
      <c r="H425" s="43">
        <f>IFERROR(__xludf.DUMMYFUNCTION("""COMPUTED_VALUE"""),452902914946)</f>
        <v/>
      </c>
      <c r="I425" s="45">
        <f>IFERROR(__xludf.DUMMYFUNCTION("""COMPUTED_VALUE"""),19925377)</f>
        <v/>
      </c>
      <c r="J425" s="45">
        <f>IFERROR(__xludf.DUMMYFUNCTION("""COMPUTED_VALUE"""),"LW5EYKS")</f>
        <v/>
      </c>
      <c r="K425" s="45">
        <f>IFERROR(__xludf.DUMMYFUNCTION("""COMPUTED_VALUE"""),"LW5EYKS-071200")</f>
        <v/>
      </c>
      <c r="L425" s="45">
        <f>IFERROR(__xludf.DUMMYFUNCTION("""COMPUTED_VALUE"""),5)</f>
        <v/>
      </c>
      <c r="M425" s="45">
        <f>IFERROR(__xludf.DUMMYFUNCTION("""COMPUTED_VALUE"""),296)</f>
        <v/>
      </c>
      <c r="N425" s="45">
        <f>IFERROR(__xludf.DUMMYFUNCTION("""COMPUTED_VALUE"""),68.348)</f>
        <v/>
      </c>
      <c r="O425" s="45">
        <f>IFERROR(__xludf.DUMMYFUNCTION("""COMPUTED_VALUE"""),0.395)</f>
        <v/>
      </c>
      <c r="P425" s="45">
        <f>IFERROR(__xludf.DUMMYFUNCTION("""COMPUTED_VALUE"""),"Colombo, LK")</f>
        <v/>
      </c>
      <c r="Q425" s="45">
        <f>IFERROR(__xludf.DUMMYFUNCTION("""COMPUTED_VALUE"""),"New York, NY, US")</f>
        <v/>
      </c>
      <c r="R425" s="44">
        <f>IFERROR(__xludf.DUMMYFUNCTION("""COMPUTED_VALUE"""),45824)</f>
        <v/>
      </c>
      <c r="S425" s="44">
        <f>IFERROR(__xludf.DUMMYFUNCTION("""COMPUTED_VALUE"""),45883)</f>
        <v/>
      </c>
      <c r="T425" s="45">
        <f>IFERROR(__xludf.DUMMYFUNCTION("""COMPUTED_VALUE"""),"Mississauga, ON, CA")</f>
        <v/>
      </c>
      <c r="U425" s="45" t="n"/>
      <c r="V425" s="45" t="n"/>
      <c r="W425" s="45" t="n"/>
      <c r="X425" s="45" t="n"/>
      <c r="Y425" s="46">
        <f>IFERROR(__xludf.DUMMYFUNCTION("""COMPUTED_VALUE"""),45832)</f>
        <v/>
      </c>
      <c r="Z425" s="46">
        <f>IFERROR(__xludf.DUMMYFUNCTION("""COMPUTED_VALUE"""),45861)</f>
        <v/>
      </c>
      <c r="AA425" s="46">
        <f>IFERROR(__xludf.DUMMYFUNCTION("""COMPUTED_VALUE"""),45874)</f>
        <v/>
      </c>
      <c r="AB425" s="45">
        <f>IFERROR(__xludf.DUMMYFUNCTION("""COMPUTED_VALUE"""),"3500 Argentia Road")</f>
        <v/>
      </c>
      <c r="AC425" s="45" t="n"/>
      <c r="AD425" s="45">
        <f>IFERROR(__xludf.DUMMYFUNCTION("""COMPUTED_VALUE"""),"OCEAN")</f>
        <v/>
      </c>
      <c r="AE425" s="45">
        <f>IFERROR(__xludf.DUMMYFUNCTION("""COMPUTED_VALUE"""),"N")</f>
        <v/>
      </c>
      <c r="AF425" s="45" t="n"/>
      <c r="AG425" s="49">
        <f>IFERROR(__xludf.DUMMYFUNCTION("IFNA(vlookup(H425,IMPORTRANGE(""1vUGwO1n0QQGx9kKbO0_M5gmuhXZ6-LaxQxgrmJnzgP0"",""'TP# look up'!A:C""),3,0),"""")"),"")</f>
        <v/>
      </c>
      <c r="AH425" s="49">
        <f>LEFT(J425,2)</f>
        <v/>
      </c>
    </row>
    <row r="426" ht="12.75" customHeight="1">
      <c r="A426" s="45">
        <f>IFERROR(__xludf.DUMMYFUNCTION("""COMPUTED_VALUE"""),"Colombo")</f>
        <v/>
      </c>
      <c r="B426" s="45" t="n"/>
      <c r="C426" s="45">
        <f>IFERROR(__xludf.DUMMYFUNCTION("""COMPUTED_VALUE"""),3254506)</f>
        <v/>
      </c>
      <c r="D426" s="45" t="n"/>
      <c r="E426" s="45">
        <f>IFERROR(__xludf.DUMMYFUNCTION("""COMPUTED_VALUE"""),"CFS")</f>
        <v/>
      </c>
      <c r="F426" s="45">
        <f>IFERROR(__xludf.DUMMYFUNCTION("""COMPUTED_VALUE"""),"MAS AMITY PTE LTD")</f>
        <v/>
      </c>
      <c r="G426" s="45">
        <f>IFERROR(__xludf.DUMMYFUNCTION("""COMPUTED_VALUE"""),"MAS Active(Pvt) Ltd – CONTOURLINE")</f>
        <v/>
      </c>
      <c r="H426" s="43">
        <f>IFERROR(__xludf.DUMMYFUNCTION("""COMPUTED_VALUE"""),452903297077)</f>
        <v/>
      </c>
      <c r="I426" s="45">
        <f>IFERROR(__xludf.DUMMYFUNCTION("""COMPUTED_VALUE"""),19925117)</f>
        <v/>
      </c>
      <c r="J426" s="45">
        <f>IFERROR(__xludf.DUMMYFUNCTION("""COMPUTED_VALUE"""),"LW5ENMS")</f>
        <v/>
      </c>
      <c r="K426" s="45">
        <f>IFERROR(__xludf.DUMMYFUNCTION("""COMPUTED_VALUE"""),"LW5ENMS-070108")</f>
        <v/>
      </c>
      <c r="L426" s="45">
        <f>IFERROR(__xludf.DUMMYFUNCTION("""COMPUTED_VALUE"""),7)</f>
        <v/>
      </c>
      <c r="M426" s="45">
        <f>IFERROR(__xludf.DUMMYFUNCTION("""COMPUTED_VALUE"""),292)</f>
        <v/>
      </c>
      <c r="N426" s="45">
        <f>IFERROR(__xludf.DUMMYFUNCTION("""COMPUTED_VALUE"""),83.794)</f>
        <v/>
      </c>
      <c r="O426" s="45">
        <f>IFERROR(__xludf.DUMMYFUNCTION("""COMPUTED_VALUE"""),0.474)</f>
        <v/>
      </c>
      <c r="P426" s="45">
        <f>IFERROR(__xludf.DUMMYFUNCTION("""COMPUTED_VALUE"""),"Colombo, LK")</f>
        <v/>
      </c>
      <c r="Q426" s="45">
        <f>IFERROR(__xludf.DUMMYFUNCTION("""COMPUTED_VALUE"""),"New York, NY, US")</f>
        <v/>
      </c>
      <c r="R426" s="44">
        <f>IFERROR(__xludf.DUMMYFUNCTION("""COMPUTED_VALUE"""),45824)</f>
        <v/>
      </c>
      <c r="S426" s="44">
        <f>IFERROR(__xludf.DUMMYFUNCTION("""COMPUTED_VALUE"""),45883)</f>
        <v/>
      </c>
      <c r="T426" s="45">
        <f>IFERROR(__xludf.DUMMYFUNCTION("""COMPUTED_VALUE"""),"Mississauga, ON, CA")</f>
        <v/>
      </c>
      <c r="U426" s="45" t="n"/>
      <c r="V426" s="45" t="n"/>
      <c r="W426" s="45" t="n"/>
      <c r="X426" s="45" t="n"/>
      <c r="Y426" s="46">
        <f>IFERROR(__xludf.DUMMYFUNCTION("""COMPUTED_VALUE"""),45832)</f>
        <v/>
      </c>
      <c r="Z426" s="46">
        <f>IFERROR(__xludf.DUMMYFUNCTION("""COMPUTED_VALUE"""),45861)</f>
        <v/>
      </c>
      <c r="AA426" s="46">
        <f>IFERROR(__xludf.DUMMYFUNCTION("""COMPUTED_VALUE"""),45874)</f>
        <v/>
      </c>
      <c r="AB426" s="45">
        <f>IFERROR(__xludf.DUMMYFUNCTION("""COMPUTED_VALUE"""),"3500 Argentia Road")</f>
        <v/>
      </c>
      <c r="AC426" s="45" t="n"/>
      <c r="AD426" s="45">
        <f>IFERROR(__xludf.DUMMYFUNCTION("""COMPUTED_VALUE"""),"OCEAN")</f>
        <v/>
      </c>
      <c r="AE426" s="45">
        <f>IFERROR(__xludf.DUMMYFUNCTION("""COMPUTED_VALUE"""),"N")</f>
        <v/>
      </c>
      <c r="AF426" s="45" t="n"/>
      <c r="AG426" s="49">
        <f>IFERROR(__xludf.DUMMYFUNCTION("IFNA(vlookup(H426,IMPORTRANGE(""1vUGwO1n0QQGx9kKbO0_M5gmuhXZ6-LaxQxgrmJnzgP0"",""'TP# look up'!A:C""),3,0),"""")"),"")</f>
        <v/>
      </c>
      <c r="AH426" s="49">
        <f>LEFT(J426,2)</f>
        <v/>
      </c>
    </row>
    <row r="427" ht="12.75" customHeight="1">
      <c r="A427" s="45">
        <f>IFERROR(__xludf.DUMMYFUNCTION("""COMPUTED_VALUE"""),"Colombo")</f>
        <v/>
      </c>
      <c r="B427" s="45" t="n"/>
      <c r="C427" s="45">
        <f>IFERROR(__xludf.DUMMYFUNCTION("""COMPUTED_VALUE"""),3254506)</f>
        <v/>
      </c>
      <c r="D427" s="45" t="n"/>
      <c r="E427" s="45">
        <f>IFERROR(__xludf.DUMMYFUNCTION("""COMPUTED_VALUE"""),"CFS")</f>
        <v/>
      </c>
      <c r="F427" s="45">
        <f>IFERROR(__xludf.DUMMYFUNCTION("""COMPUTED_VALUE"""),"MAS AMITY PTE LTD")</f>
        <v/>
      </c>
      <c r="G427" s="45">
        <f>IFERROR(__xludf.DUMMYFUNCTION("""COMPUTED_VALUE"""),"MAS Active(Pvt) Ltd – CONTOURLINE")</f>
        <v/>
      </c>
      <c r="H427" s="43">
        <f>IFERROR(__xludf.DUMMYFUNCTION("""COMPUTED_VALUE"""),452903298624)</f>
        <v/>
      </c>
      <c r="I427" s="45">
        <f>IFERROR(__xludf.DUMMYFUNCTION("""COMPUTED_VALUE"""),19925475)</f>
        <v/>
      </c>
      <c r="J427" s="45">
        <f>IFERROR(__xludf.DUMMYFUNCTION("""COMPUTED_VALUE"""),"LW5FARS")</f>
        <v/>
      </c>
      <c r="K427" s="45">
        <f>IFERROR(__xludf.DUMMYFUNCTION("""COMPUTED_VALUE"""),"LW5FARS-070108")</f>
        <v/>
      </c>
      <c r="L427" s="45">
        <f>IFERROR(__xludf.DUMMYFUNCTION("""COMPUTED_VALUE"""),7)</f>
        <v/>
      </c>
      <c r="M427" s="45">
        <f>IFERROR(__xludf.DUMMYFUNCTION("""COMPUTED_VALUE"""),346)</f>
        <v/>
      </c>
      <c r="N427" s="45">
        <f>IFERROR(__xludf.DUMMYFUNCTION("""COMPUTED_VALUE"""),74.989)</f>
        <v/>
      </c>
      <c r="O427" s="45">
        <f>IFERROR(__xludf.DUMMYFUNCTION("""COMPUTED_VALUE"""),0.474)</f>
        <v/>
      </c>
      <c r="P427" s="45">
        <f>IFERROR(__xludf.DUMMYFUNCTION("""COMPUTED_VALUE"""),"Colombo, LK")</f>
        <v/>
      </c>
      <c r="Q427" s="45">
        <f>IFERROR(__xludf.DUMMYFUNCTION("""COMPUTED_VALUE"""),"New York, NY, US")</f>
        <v/>
      </c>
      <c r="R427" s="44">
        <f>IFERROR(__xludf.DUMMYFUNCTION("""COMPUTED_VALUE"""),45824)</f>
        <v/>
      </c>
      <c r="S427" s="44">
        <f>IFERROR(__xludf.DUMMYFUNCTION("""COMPUTED_VALUE"""),45883)</f>
        <v/>
      </c>
      <c r="T427" s="45">
        <f>IFERROR(__xludf.DUMMYFUNCTION("""COMPUTED_VALUE"""),"Mississauga, ON, CA")</f>
        <v/>
      </c>
      <c r="U427" s="45" t="n"/>
      <c r="V427" s="45" t="n"/>
      <c r="W427" s="45" t="n"/>
      <c r="X427" s="45" t="n"/>
      <c r="Y427" s="46">
        <f>IFERROR(__xludf.DUMMYFUNCTION("""COMPUTED_VALUE"""),45832)</f>
        <v/>
      </c>
      <c r="Z427" s="46">
        <f>IFERROR(__xludf.DUMMYFUNCTION("""COMPUTED_VALUE"""),45861)</f>
        <v/>
      </c>
      <c r="AA427" s="46">
        <f>IFERROR(__xludf.DUMMYFUNCTION("""COMPUTED_VALUE"""),45874)</f>
        <v/>
      </c>
      <c r="AB427" s="45">
        <f>IFERROR(__xludf.DUMMYFUNCTION("""COMPUTED_VALUE"""),"3500 Argentia Road")</f>
        <v/>
      </c>
      <c r="AC427" s="45" t="n"/>
      <c r="AD427" s="45">
        <f>IFERROR(__xludf.DUMMYFUNCTION("""COMPUTED_VALUE"""),"OCEAN")</f>
        <v/>
      </c>
      <c r="AE427" s="45">
        <f>IFERROR(__xludf.DUMMYFUNCTION("""COMPUTED_VALUE"""),"N")</f>
        <v/>
      </c>
      <c r="AF427" s="45" t="n"/>
      <c r="AG427" s="49">
        <f>IFERROR(__xludf.DUMMYFUNCTION("IFNA(vlookup(H427,IMPORTRANGE(""1vUGwO1n0QQGx9kKbO0_M5gmuhXZ6-LaxQxgrmJnzgP0"",""'TP# look up'!A:C""),3,0),"""")"),"")</f>
        <v/>
      </c>
      <c r="AH427" s="49">
        <f>LEFT(J427,2)</f>
        <v/>
      </c>
    </row>
    <row r="428" ht="12.75" customHeight="1">
      <c r="A428" s="45">
        <f>IFERROR(__xludf.DUMMYFUNCTION("""COMPUTED_VALUE"""),"Colombo")</f>
        <v/>
      </c>
      <c r="B428" s="45" t="n"/>
      <c r="C428" s="45">
        <f>IFERROR(__xludf.DUMMYFUNCTION("""COMPUTED_VALUE"""),3254506)</f>
        <v/>
      </c>
      <c r="D428" s="45" t="n"/>
      <c r="E428" s="45">
        <f>IFERROR(__xludf.DUMMYFUNCTION("""COMPUTED_VALUE"""),"CFS")</f>
        <v/>
      </c>
      <c r="F428" s="45">
        <f>IFERROR(__xludf.DUMMYFUNCTION("""COMPUTED_VALUE"""),"MAS AMITY PTE LTD")</f>
        <v/>
      </c>
      <c r="G428" s="45">
        <f>IFERROR(__xludf.DUMMYFUNCTION("""COMPUTED_VALUE"""),"MAS Active(Pvt) Ltd – CONTOURLINE")</f>
        <v/>
      </c>
      <c r="H428" s="43">
        <f>IFERROR(__xludf.DUMMYFUNCTION("""COMPUTED_VALUE"""),452903872795)</f>
        <v/>
      </c>
      <c r="I428" s="45">
        <f>IFERROR(__xludf.DUMMYFUNCTION("""COMPUTED_VALUE"""),19925107)</f>
        <v/>
      </c>
      <c r="J428" s="45">
        <f>IFERROR(__xludf.DUMMYFUNCTION("""COMPUTED_VALUE"""),"LW5ENMS")</f>
        <v/>
      </c>
      <c r="K428" s="45">
        <f>IFERROR(__xludf.DUMMYFUNCTION("""COMPUTED_VALUE"""),"LW5ENMS-071148")</f>
        <v/>
      </c>
      <c r="L428" s="45">
        <f>IFERROR(__xludf.DUMMYFUNCTION("""COMPUTED_VALUE"""),4)</f>
        <v/>
      </c>
      <c r="M428" s="45">
        <f>IFERROR(__xludf.DUMMYFUNCTION("""COMPUTED_VALUE"""),114)</f>
        <v/>
      </c>
      <c r="N428" s="45">
        <f>IFERROR(__xludf.DUMMYFUNCTION("""COMPUTED_VALUE"""),33.436)</f>
        <v/>
      </c>
      <c r="O428" s="45">
        <f>IFERROR(__xludf.DUMMYFUNCTION("""COMPUTED_VALUE"""),0.197)</f>
        <v/>
      </c>
      <c r="P428" s="45">
        <f>IFERROR(__xludf.DUMMYFUNCTION("""COMPUTED_VALUE"""),"Colombo, LK")</f>
        <v/>
      </c>
      <c r="Q428" s="45">
        <f>IFERROR(__xludf.DUMMYFUNCTION("""COMPUTED_VALUE"""),"New York, NY, US")</f>
        <v/>
      </c>
      <c r="R428" s="44">
        <f>IFERROR(__xludf.DUMMYFUNCTION("""COMPUTED_VALUE"""),45824)</f>
        <v/>
      </c>
      <c r="S428" s="44">
        <f>IFERROR(__xludf.DUMMYFUNCTION("""COMPUTED_VALUE"""),45883)</f>
        <v/>
      </c>
      <c r="T428" s="45">
        <f>IFERROR(__xludf.DUMMYFUNCTION("""COMPUTED_VALUE"""),"Mississauga, ON, CA")</f>
        <v/>
      </c>
      <c r="U428" s="45" t="n"/>
      <c r="V428" s="45" t="n"/>
      <c r="W428" s="45" t="n"/>
      <c r="X428" s="45" t="n"/>
      <c r="Y428" s="46">
        <f>IFERROR(__xludf.DUMMYFUNCTION("""COMPUTED_VALUE"""),45832)</f>
        <v/>
      </c>
      <c r="Z428" s="46">
        <f>IFERROR(__xludf.DUMMYFUNCTION("""COMPUTED_VALUE"""),45861)</f>
        <v/>
      </c>
      <c r="AA428" s="46">
        <f>IFERROR(__xludf.DUMMYFUNCTION("""COMPUTED_VALUE"""),45874)</f>
        <v/>
      </c>
      <c r="AB428" s="45">
        <f>IFERROR(__xludf.DUMMYFUNCTION("""COMPUTED_VALUE"""),"3500 Argentia Road")</f>
        <v/>
      </c>
      <c r="AC428" s="45" t="n"/>
      <c r="AD428" s="45">
        <f>IFERROR(__xludf.DUMMYFUNCTION("""COMPUTED_VALUE"""),"OCEAN")</f>
        <v/>
      </c>
      <c r="AE428" s="45">
        <f>IFERROR(__xludf.DUMMYFUNCTION("""COMPUTED_VALUE"""),"N")</f>
        <v/>
      </c>
      <c r="AF428" s="45" t="n"/>
      <c r="AG428" s="49">
        <f>IFERROR(__xludf.DUMMYFUNCTION("IFNA(vlookup(H428,IMPORTRANGE(""1vUGwO1n0QQGx9kKbO0_M5gmuhXZ6-LaxQxgrmJnzgP0"",""'TP# look up'!A:C""),3,0),"""")"),"")</f>
        <v/>
      </c>
      <c r="AH428" s="49">
        <f>LEFT(J428,2)</f>
        <v/>
      </c>
    </row>
    <row r="429" ht="12.75" customHeight="1">
      <c r="A429" s="45">
        <f>IFERROR(__xludf.DUMMYFUNCTION("""COMPUTED_VALUE"""),"Colombo")</f>
        <v/>
      </c>
      <c r="B429" s="45" t="n"/>
      <c r="C429" s="45">
        <f>IFERROR(__xludf.DUMMYFUNCTION("""COMPUTED_VALUE"""),3254506)</f>
        <v/>
      </c>
      <c r="D429" s="45" t="n"/>
      <c r="E429" s="45">
        <f>IFERROR(__xludf.DUMMYFUNCTION("""COMPUTED_VALUE"""),"CFS")</f>
        <v/>
      </c>
      <c r="F429" s="45">
        <f>IFERROR(__xludf.DUMMYFUNCTION("""COMPUTED_VALUE"""),"MAS AMITY PTE LTD")</f>
        <v/>
      </c>
      <c r="G429" s="45">
        <f>IFERROR(__xludf.DUMMYFUNCTION("""COMPUTED_VALUE"""),"MAS Active(Pvt) Ltd – CONTOURLINE")</f>
        <v/>
      </c>
      <c r="H429" s="43">
        <f>IFERROR(__xludf.DUMMYFUNCTION("""COMPUTED_VALUE"""),452903873171)</f>
        <v/>
      </c>
      <c r="I429" s="45">
        <f>IFERROR(__xludf.DUMMYFUNCTION("""COMPUTED_VALUE"""),19925369)</f>
        <v/>
      </c>
      <c r="J429" s="45">
        <f>IFERROR(__xludf.DUMMYFUNCTION("""COMPUTED_VALUE"""),"LW5EPSS")</f>
        <v/>
      </c>
      <c r="K429" s="45">
        <f>IFERROR(__xludf.DUMMYFUNCTION("""COMPUTED_VALUE"""),"LW5EPSS-071188")</f>
        <v/>
      </c>
      <c r="L429" s="45">
        <f>IFERROR(__xludf.DUMMYFUNCTION("""COMPUTED_VALUE"""),6)</f>
        <v/>
      </c>
      <c r="M429" s="45">
        <f>IFERROR(__xludf.DUMMYFUNCTION("""COMPUTED_VALUE"""),328)</f>
        <v/>
      </c>
      <c r="N429" s="45">
        <f>IFERROR(__xludf.DUMMYFUNCTION("""COMPUTED_VALUE"""),74.133)</f>
        <v/>
      </c>
      <c r="O429" s="45">
        <f>IFERROR(__xludf.DUMMYFUNCTION("""COMPUTED_VALUE"""),0.474)</f>
        <v/>
      </c>
      <c r="P429" s="45">
        <f>IFERROR(__xludf.DUMMYFUNCTION("""COMPUTED_VALUE"""),"Colombo, LK")</f>
        <v/>
      </c>
      <c r="Q429" s="45">
        <f>IFERROR(__xludf.DUMMYFUNCTION("""COMPUTED_VALUE"""),"New York, NY, US")</f>
        <v/>
      </c>
      <c r="R429" s="44">
        <f>IFERROR(__xludf.DUMMYFUNCTION("""COMPUTED_VALUE"""),45824)</f>
        <v/>
      </c>
      <c r="S429" s="44">
        <f>IFERROR(__xludf.DUMMYFUNCTION("""COMPUTED_VALUE"""),45883)</f>
        <v/>
      </c>
      <c r="T429" s="45">
        <f>IFERROR(__xludf.DUMMYFUNCTION("""COMPUTED_VALUE"""),"Mississauga, ON, CA")</f>
        <v/>
      </c>
      <c r="U429" s="45" t="n"/>
      <c r="V429" s="45" t="n"/>
      <c r="W429" s="45" t="n"/>
      <c r="X429" s="45" t="n"/>
      <c r="Y429" s="46">
        <f>IFERROR(__xludf.DUMMYFUNCTION("""COMPUTED_VALUE"""),45832)</f>
        <v/>
      </c>
      <c r="Z429" s="46">
        <f>IFERROR(__xludf.DUMMYFUNCTION("""COMPUTED_VALUE"""),45861)</f>
        <v/>
      </c>
      <c r="AA429" s="46">
        <f>IFERROR(__xludf.DUMMYFUNCTION("""COMPUTED_VALUE"""),45874)</f>
        <v/>
      </c>
      <c r="AB429" s="45">
        <f>IFERROR(__xludf.DUMMYFUNCTION("""COMPUTED_VALUE"""),"3500 Argentia Road")</f>
        <v/>
      </c>
      <c r="AC429" s="45" t="n"/>
      <c r="AD429" s="45">
        <f>IFERROR(__xludf.DUMMYFUNCTION("""COMPUTED_VALUE"""),"OCEAN")</f>
        <v/>
      </c>
      <c r="AE429" s="45">
        <f>IFERROR(__xludf.DUMMYFUNCTION("""COMPUTED_VALUE"""),"N")</f>
        <v/>
      </c>
      <c r="AF429" s="45" t="n"/>
      <c r="AG429" s="49">
        <f>IFERROR(__xludf.DUMMYFUNCTION("IFNA(vlookup(H429,IMPORTRANGE(""1vUGwO1n0QQGx9kKbO0_M5gmuhXZ6-LaxQxgrmJnzgP0"",""'TP# look up'!A:C""),3,0),"""")"),"")</f>
        <v/>
      </c>
      <c r="AH429" s="49">
        <f>LEFT(J429,2)</f>
        <v/>
      </c>
    </row>
    <row r="430" ht="12.75" customHeight="1">
      <c r="A430" s="45">
        <f>IFERROR(__xludf.DUMMYFUNCTION("""COMPUTED_VALUE"""),"Colombo")</f>
        <v/>
      </c>
      <c r="B430" s="45" t="n"/>
      <c r="C430" s="45">
        <f>IFERROR(__xludf.DUMMYFUNCTION("""COMPUTED_VALUE"""),3254508)</f>
        <v/>
      </c>
      <c r="D430" s="45" t="n"/>
      <c r="E430" s="45">
        <f>IFERROR(__xludf.DUMMYFUNCTION("""COMPUTED_VALUE"""),"CFS")</f>
        <v/>
      </c>
      <c r="F430" s="45">
        <f>IFERROR(__xludf.DUMMYFUNCTION("""COMPUTED_VALUE"""),"MAS AMITY PTE LTD")</f>
        <v/>
      </c>
      <c r="G430" s="45">
        <f>IFERROR(__xludf.DUMMYFUNCTION("""COMPUTED_VALUE"""),"MAS Active(Pvt) Ltd – CONTOURLINE")</f>
        <v/>
      </c>
      <c r="H430" s="43">
        <f>IFERROR(__xludf.DUMMYFUNCTION("""COMPUTED_VALUE"""),452907207315)</f>
        <v/>
      </c>
      <c r="I430" s="45">
        <f>IFERROR(__xludf.DUMMYFUNCTION("""COMPUTED_VALUE"""),19939403)</f>
        <v/>
      </c>
      <c r="J430" s="45">
        <f>IFERROR(__xludf.DUMMYFUNCTION("""COMPUTED_VALUE"""),"LM7BI2S")</f>
        <v/>
      </c>
      <c r="K430" s="45">
        <f>IFERROR(__xludf.DUMMYFUNCTION("""COMPUTED_VALUE"""),"LM7BI2S-041179")</f>
        <v/>
      </c>
      <c r="L430" s="45">
        <f>IFERROR(__xludf.DUMMYFUNCTION("""COMPUTED_VALUE"""),1)</f>
        <v/>
      </c>
      <c r="M430" s="45">
        <f>IFERROR(__xludf.DUMMYFUNCTION("""COMPUTED_VALUE"""),36)</f>
        <v/>
      </c>
      <c r="N430" s="45">
        <f>IFERROR(__xludf.DUMMYFUNCTION("""COMPUTED_VALUE"""),8.788)</f>
        <v/>
      </c>
      <c r="O430" s="45">
        <f>IFERROR(__xludf.DUMMYFUNCTION("""COMPUTED_VALUE"""),0.079)</f>
        <v/>
      </c>
      <c r="P430" s="45">
        <f>IFERROR(__xludf.DUMMYFUNCTION("""COMPUTED_VALUE"""),"Colombo, LK")</f>
        <v/>
      </c>
      <c r="Q430" s="45">
        <f>IFERROR(__xludf.DUMMYFUNCTION("""COMPUTED_VALUE"""),"New York, NY, US")</f>
        <v/>
      </c>
      <c r="R430" s="44">
        <f>IFERROR(__xludf.DUMMYFUNCTION("""COMPUTED_VALUE"""),45824)</f>
        <v/>
      </c>
      <c r="S430" s="44">
        <f>IFERROR(__xludf.DUMMYFUNCTION("""COMPUTED_VALUE"""),45883)</f>
        <v/>
      </c>
      <c r="T430" s="45">
        <f>IFERROR(__xludf.DUMMYFUNCTION("""COMPUTED_VALUE"""),"Mississauga, ON, CA")</f>
        <v/>
      </c>
      <c r="U430" s="45" t="n"/>
      <c r="V430" s="45" t="n"/>
      <c r="W430" s="45" t="n"/>
      <c r="X430" s="45" t="n"/>
      <c r="Y430" s="46">
        <f>IFERROR(__xludf.DUMMYFUNCTION("""COMPUTED_VALUE"""),45832)</f>
        <v/>
      </c>
      <c r="Z430" s="46">
        <f>IFERROR(__xludf.DUMMYFUNCTION("""COMPUTED_VALUE"""),45861)</f>
        <v/>
      </c>
      <c r="AA430" s="46">
        <f>IFERROR(__xludf.DUMMYFUNCTION("""COMPUTED_VALUE"""),45874)</f>
        <v/>
      </c>
      <c r="AB430" s="45">
        <f>IFERROR(__xludf.DUMMYFUNCTION("""COMPUTED_VALUE"""),"3500 Argentia Road")</f>
        <v/>
      </c>
      <c r="AC430" s="45" t="n"/>
      <c r="AD430" s="45">
        <f>IFERROR(__xludf.DUMMYFUNCTION("""COMPUTED_VALUE"""),"OCEAN")</f>
        <v/>
      </c>
      <c r="AE430" s="45">
        <f>IFERROR(__xludf.DUMMYFUNCTION("""COMPUTED_VALUE"""),"N")</f>
        <v/>
      </c>
      <c r="AF430" s="45" t="n"/>
      <c r="AG430" s="49">
        <f>IFERROR(__xludf.DUMMYFUNCTION("IFNA(vlookup(H430,IMPORTRANGE(""1vUGwO1n0QQGx9kKbO0_M5gmuhXZ6-LaxQxgrmJnzgP0"",""'TP# look up'!A:C""),3,0),"""")"),"")</f>
        <v/>
      </c>
      <c r="AH430" s="49">
        <f>LEFT(J430,2)</f>
        <v/>
      </c>
    </row>
    <row r="431" ht="12.75" customHeight="1">
      <c r="A431" s="45">
        <f>IFERROR(__xludf.DUMMYFUNCTION("""COMPUTED_VALUE"""),"Colombo")</f>
        <v/>
      </c>
      <c r="B431" s="45" t="n"/>
      <c r="C431" s="45">
        <f>IFERROR(__xludf.DUMMYFUNCTION("""COMPUTED_VALUE"""),3254508)</f>
        <v/>
      </c>
      <c r="D431" s="45" t="n"/>
      <c r="E431" s="45">
        <f>IFERROR(__xludf.DUMMYFUNCTION("""COMPUTED_VALUE"""),"CFS")</f>
        <v/>
      </c>
      <c r="F431" s="45">
        <f>IFERROR(__xludf.DUMMYFUNCTION("""COMPUTED_VALUE"""),"MAS AMITY PTE LTD")</f>
        <v/>
      </c>
      <c r="G431" s="45">
        <f>IFERROR(__xludf.DUMMYFUNCTION("""COMPUTED_VALUE"""),"MAS Active(Pvt) Ltd – CONTOURLINE")</f>
        <v/>
      </c>
      <c r="H431" s="43">
        <f>IFERROR(__xludf.DUMMYFUNCTION("""COMPUTED_VALUE"""),452907209433)</f>
        <v/>
      </c>
      <c r="I431" s="45">
        <f>IFERROR(__xludf.DUMMYFUNCTION("""COMPUTED_VALUE"""),19939664)</f>
        <v/>
      </c>
      <c r="J431" s="45">
        <f>IFERROR(__xludf.DUMMYFUNCTION("""COMPUTED_VALUE"""),"LW6CLQS")</f>
        <v/>
      </c>
      <c r="K431" s="45">
        <f>IFERROR(__xludf.DUMMYFUNCTION("""COMPUTED_VALUE"""),"LW6CLQS-0001")</f>
        <v/>
      </c>
      <c r="L431" s="45">
        <f>IFERROR(__xludf.DUMMYFUNCTION("""COMPUTED_VALUE"""),9)</f>
        <v/>
      </c>
      <c r="M431" s="45">
        <f>IFERROR(__xludf.DUMMYFUNCTION("""COMPUTED_VALUE"""),555)</f>
        <v/>
      </c>
      <c r="N431" s="45">
        <f>IFERROR(__xludf.DUMMYFUNCTION("""COMPUTED_VALUE"""),125.505)</f>
        <v/>
      </c>
      <c r="O431" s="45">
        <f>IFERROR(__xludf.DUMMYFUNCTION("""COMPUTED_VALUE"""),0.711)</f>
        <v/>
      </c>
      <c r="P431" s="45">
        <f>IFERROR(__xludf.DUMMYFUNCTION("""COMPUTED_VALUE"""),"Colombo, LK")</f>
        <v/>
      </c>
      <c r="Q431" s="45">
        <f>IFERROR(__xludf.DUMMYFUNCTION("""COMPUTED_VALUE"""),"New York, NY, US")</f>
        <v/>
      </c>
      <c r="R431" s="44">
        <f>IFERROR(__xludf.DUMMYFUNCTION("""COMPUTED_VALUE"""),45824)</f>
        <v/>
      </c>
      <c r="S431" s="44">
        <f>IFERROR(__xludf.DUMMYFUNCTION("""COMPUTED_VALUE"""),45883)</f>
        <v/>
      </c>
      <c r="T431" s="45">
        <f>IFERROR(__xludf.DUMMYFUNCTION("""COMPUTED_VALUE"""),"Mississauga, ON, CA")</f>
        <v/>
      </c>
      <c r="U431" s="45" t="n"/>
      <c r="V431" s="45" t="n"/>
      <c r="W431" s="45" t="n"/>
      <c r="X431" s="45" t="n"/>
      <c r="Y431" s="46">
        <f>IFERROR(__xludf.DUMMYFUNCTION("""COMPUTED_VALUE"""),45832)</f>
        <v/>
      </c>
      <c r="Z431" s="46">
        <f>IFERROR(__xludf.DUMMYFUNCTION("""COMPUTED_VALUE"""),45861)</f>
        <v/>
      </c>
      <c r="AA431" s="46">
        <f>IFERROR(__xludf.DUMMYFUNCTION("""COMPUTED_VALUE"""),45874)</f>
        <v/>
      </c>
      <c r="AB431" s="45">
        <f>IFERROR(__xludf.DUMMYFUNCTION("""COMPUTED_VALUE"""),"3500 Argentia Road")</f>
        <v/>
      </c>
      <c r="AC431" s="45" t="n"/>
      <c r="AD431" s="45">
        <f>IFERROR(__xludf.DUMMYFUNCTION("""COMPUTED_VALUE"""),"OCEAN")</f>
        <v/>
      </c>
      <c r="AE431" s="45">
        <f>IFERROR(__xludf.DUMMYFUNCTION("""COMPUTED_VALUE"""),"N")</f>
        <v/>
      </c>
      <c r="AF431" s="45" t="n"/>
      <c r="AG431" s="49">
        <f>IFERROR(__xludf.DUMMYFUNCTION("IFNA(vlookup(H431,IMPORTRANGE(""1vUGwO1n0QQGx9kKbO0_M5gmuhXZ6-LaxQxgrmJnzgP0"",""'TP# look up'!A:C""),3,0),"""")"),"")</f>
        <v/>
      </c>
      <c r="AH431" s="49">
        <f>LEFT(J431,2)</f>
        <v/>
      </c>
    </row>
    <row r="432" ht="12.75" customHeight="1">
      <c r="A432" s="45">
        <f>IFERROR(__xludf.DUMMYFUNCTION("""COMPUTED_VALUE"""),"Colombo")</f>
        <v/>
      </c>
      <c r="B432" s="45" t="n"/>
      <c r="C432" s="45">
        <f>IFERROR(__xludf.DUMMYFUNCTION("""COMPUTED_VALUE"""),3254508)</f>
        <v/>
      </c>
      <c r="D432" s="45" t="n"/>
      <c r="E432" s="45">
        <f>IFERROR(__xludf.DUMMYFUNCTION("""COMPUTED_VALUE"""),"CFS")</f>
        <v/>
      </c>
      <c r="F432" s="45">
        <f>IFERROR(__xludf.DUMMYFUNCTION("""COMPUTED_VALUE"""),"MAS AMITY PTE LTD")</f>
        <v/>
      </c>
      <c r="G432" s="45">
        <f>IFERROR(__xludf.DUMMYFUNCTION("""COMPUTED_VALUE"""),"MAS Active(Pvt) Ltd – CONTOURLINE")</f>
        <v/>
      </c>
      <c r="H432" s="43">
        <f>IFERROR(__xludf.DUMMYFUNCTION("""COMPUTED_VALUE"""),452907289795)</f>
        <v/>
      </c>
      <c r="I432" s="45">
        <f>IFERROR(__xludf.DUMMYFUNCTION("""COMPUTED_VALUE"""),19925418)</f>
        <v/>
      </c>
      <c r="J432" s="45">
        <f>IFERROR(__xludf.DUMMYFUNCTION("""COMPUTED_VALUE"""),"LW5FARS")</f>
        <v/>
      </c>
      <c r="K432" s="45">
        <f>IFERROR(__xludf.DUMMYFUNCTION("""COMPUTED_VALUE"""),"LW5FARS-0001")</f>
        <v/>
      </c>
      <c r="L432" s="45">
        <f>IFERROR(__xludf.DUMMYFUNCTION("""COMPUTED_VALUE"""),1)</f>
        <v/>
      </c>
      <c r="M432" s="45">
        <f>IFERROR(__xludf.DUMMYFUNCTION("""COMPUTED_VALUE"""),3)</f>
        <v/>
      </c>
      <c r="N432" s="45">
        <f>IFERROR(__xludf.DUMMYFUNCTION("""COMPUTED_VALUE"""),1.638)</f>
        <v/>
      </c>
      <c r="O432" s="45">
        <f>IFERROR(__xludf.DUMMYFUNCTION("""COMPUTED_VALUE"""),0.039)</f>
        <v/>
      </c>
      <c r="P432" s="45">
        <f>IFERROR(__xludf.DUMMYFUNCTION("""COMPUTED_VALUE"""),"Colombo, LK")</f>
        <v/>
      </c>
      <c r="Q432" s="45">
        <f>IFERROR(__xludf.DUMMYFUNCTION("""COMPUTED_VALUE"""),"New York, NY, US")</f>
        <v/>
      </c>
      <c r="R432" s="44">
        <f>IFERROR(__xludf.DUMMYFUNCTION("""COMPUTED_VALUE"""),45824)</f>
        <v/>
      </c>
      <c r="S432" s="44">
        <f>IFERROR(__xludf.DUMMYFUNCTION("""COMPUTED_VALUE"""),45883)</f>
        <v/>
      </c>
      <c r="T432" s="45">
        <f>IFERROR(__xludf.DUMMYFUNCTION("""COMPUTED_VALUE"""),"Mississauga, ON, CA")</f>
        <v/>
      </c>
      <c r="U432" s="45" t="n"/>
      <c r="V432" s="45" t="n"/>
      <c r="W432" s="45" t="n"/>
      <c r="X432" s="45" t="n"/>
      <c r="Y432" s="46">
        <f>IFERROR(__xludf.DUMMYFUNCTION("""COMPUTED_VALUE"""),45832)</f>
        <v/>
      </c>
      <c r="Z432" s="46">
        <f>IFERROR(__xludf.DUMMYFUNCTION("""COMPUTED_VALUE"""),45861)</f>
        <v/>
      </c>
      <c r="AA432" s="46">
        <f>IFERROR(__xludf.DUMMYFUNCTION("""COMPUTED_VALUE"""),45874)</f>
        <v/>
      </c>
      <c r="AB432" s="45">
        <f>IFERROR(__xludf.DUMMYFUNCTION("""COMPUTED_VALUE"""),"3500 Argentia Road")</f>
        <v/>
      </c>
      <c r="AC432" s="45" t="n"/>
      <c r="AD432" s="45">
        <f>IFERROR(__xludf.DUMMYFUNCTION("""COMPUTED_VALUE"""),"OCEAN")</f>
        <v/>
      </c>
      <c r="AE432" s="45">
        <f>IFERROR(__xludf.DUMMYFUNCTION("""COMPUTED_VALUE"""),"N")</f>
        <v/>
      </c>
      <c r="AF432" s="45" t="n"/>
      <c r="AG432" s="49">
        <f>IFERROR(__xludf.DUMMYFUNCTION("IFNA(vlookup(H432,IMPORTRANGE(""1vUGwO1n0QQGx9kKbO0_M5gmuhXZ6-LaxQxgrmJnzgP0"",""'TP# look up'!A:C""),3,0),"""")"),"")</f>
        <v/>
      </c>
      <c r="AH432" s="49">
        <f>LEFT(J432,2)</f>
        <v/>
      </c>
    </row>
    <row r="433" ht="12.75" customHeight="1">
      <c r="A433" s="45">
        <f>IFERROR(__xludf.DUMMYFUNCTION("""COMPUTED_VALUE"""),"Colombo")</f>
        <v/>
      </c>
      <c r="B433" s="45" t="n"/>
      <c r="C433" s="45">
        <f>IFERROR(__xludf.DUMMYFUNCTION("""COMPUTED_VALUE"""),3254508)</f>
        <v/>
      </c>
      <c r="D433" s="45" t="n"/>
      <c r="E433" s="45">
        <f>IFERROR(__xludf.DUMMYFUNCTION("""COMPUTED_VALUE"""),"CFS")</f>
        <v/>
      </c>
      <c r="F433" s="45">
        <f>IFERROR(__xludf.DUMMYFUNCTION("""COMPUTED_VALUE"""),"MAS AMITY PTE LTD")</f>
        <v/>
      </c>
      <c r="G433" s="45">
        <f>IFERROR(__xludf.DUMMYFUNCTION("""COMPUTED_VALUE"""),"MAS Active(Pvt) Ltd – CONTOURLINE")</f>
        <v/>
      </c>
      <c r="H433" s="43">
        <f>IFERROR(__xludf.DUMMYFUNCTION("""COMPUTED_VALUE"""),452910674494)</f>
        <v/>
      </c>
      <c r="I433" s="45">
        <f>IFERROR(__xludf.DUMMYFUNCTION("""COMPUTED_VALUE"""),19939445)</f>
        <v/>
      </c>
      <c r="J433" s="45">
        <f>IFERROR(__xludf.DUMMYFUNCTION("""COMPUTED_VALUE"""),"LW5ENMS")</f>
        <v/>
      </c>
      <c r="K433" s="45">
        <f>IFERROR(__xludf.DUMMYFUNCTION("""COMPUTED_VALUE"""),"LW5ENMS-071148")</f>
        <v/>
      </c>
      <c r="L433" s="45">
        <f>IFERROR(__xludf.DUMMYFUNCTION("""COMPUTED_VALUE"""),5)</f>
        <v/>
      </c>
      <c r="M433" s="45">
        <f>IFERROR(__xludf.DUMMYFUNCTION("""COMPUTED_VALUE"""),246)</f>
        <v/>
      </c>
      <c r="N433" s="45">
        <f>IFERROR(__xludf.DUMMYFUNCTION("""COMPUTED_VALUE"""),70.06)</f>
        <v/>
      </c>
      <c r="O433" s="45">
        <f>IFERROR(__xludf.DUMMYFUNCTION("""COMPUTED_VALUE"""),0.395)</f>
        <v/>
      </c>
      <c r="P433" s="45">
        <f>IFERROR(__xludf.DUMMYFUNCTION("""COMPUTED_VALUE"""),"Colombo, LK")</f>
        <v/>
      </c>
      <c r="Q433" s="45">
        <f>IFERROR(__xludf.DUMMYFUNCTION("""COMPUTED_VALUE"""),"New York, NY, US")</f>
        <v/>
      </c>
      <c r="R433" s="44">
        <f>IFERROR(__xludf.DUMMYFUNCTION("""COMPUTED_VALUE"""),45824)</f>
        <v/>
      </c>
      <c r="S433" s="44">
        <f>IFERROR(__xludf.DUMMYFUNCTION("""COMPUTED_VALUE"""),45883)</f>
        <v/>
      </c>
      <c r="T433" s="45">
        <f>IFERROR(__xludf.DUMMYFUNCTION("""COMPUTED_VALUE"""),"Mississauga, ON, CA")</f>
        <v/>
      </c>
      <c r="U433" s="45" t="n"/>
      <c r="V433" s="45" t="n"/>
      <c r="W433" s="45" t="n"/>
      <c r="X433" s="45" t="n"/>
      <c r="Y433" s="46">
        <f>IFERROR(__xludf.DUMMYFUNCTION("""COMPUTED_VALUE"""),45832)</f>
        <v/>
      </c>
      <c r="Z433" s="46">
        <f>IFERROR(__xludf.DUMMYFUNCTION("""COMPUTED_VALUE"""),45861)</f>
        <v/>
      </c>
      <c r="AA433" s="46">
        <f>IFERROR(__xludf.DUMMYFUNCTION("""COMPUTED_VALUE"""),45874)</f>
        <v/>
      </c>
      <c r="AB433" s="45">
        <f>IFERROR(__xludf.DUMMYFUNCTION("""COMPUTED_VALUE"""),"3500 Argentia Road")</f>
        <v/>
      </c>
      <c r="AC433" s="45" t="n"/>
      <c r="AD433" s="45">
        <f>IFERROR(__xludf.DUMMYFUNCTION("""COMPUTED_VALUE"""),"OCEAN")</f>
        <v/>
      </c>
      <c r="AE433" s="45">
        <f>IFERROR(__xludf.DUMMYFUNCTION("""COMPUTED_VALUE"""),"N")</f>
        <v/>
      </c>
      <c r="AF433" s="45" t="n"/>
      <c r="AG433" s="49">
        <f>IFERROR(__xludf.DUMMYFUNCTION("IFNA(vlookup(H433,IMPORTRANGE(""1vUGwO1n0QQGx9kKbO0_M5gmuhXZ6-LaxQxgrmJnzgP0"",""'TP# look up'!A:C""),3,0),"""")"),"")</f>
        <v/>
      </c>
      <c r="AH433" s="49">
        <f>LEFT(J433,2)</f>
        <v/>
      </c>
    </row>
    <row r="434" ht="12.75" customHeight="1">
      <c r="A434" s="45">
        <f>IFERROR(__xludf.DUMMYFUNCTION("""COMPUTED_VALUE"""),"Colombo")</f>
        <v/>
      </c>
      <c r="B434" s="45" t="n"/>
      <c r="C434" s="45">
        <f>IFERROR(__xludf.DUMMYFUNCTION("""COMPUTED_VALUE"""),3254508)</f>
        <v/>
      </c>
      <c r="D434" s="45" t="n"/>
      <c r="E434" s="45">
        <f>IFERROR(__xludf.DUMMYFUNCTION("""COMPUTED_VALUE"""),"CFS")</f>
        <v/>
      </c>
      <c r="F434" s="45">
        <f>IFERROR(__xludf.DUMMYFUNCTION("""COMPUTED_VALUE"""),"MAS AMITY PTE LTD")</f>
        <v/>
      </c>
      <c r="G434" s="45">
        <f>IFERROR(__xludf.DUMMYFUNCTION("""COMPUTED_VALUE"""),"MAS Active(Pvt) Ltd – CONTOURLINE")</f>
        <v/>
      </c>
      <c r="H434" s="43">
        <f>IFERROR(__xludf.DUMMYFUNCTION("""COMPUTED_VALUE"""),452914344646)</f>
        <v/>
      </c>
      <c r="I434" s="45">
        <f>IFERROR(__xludf.DUMMYFUNCTION("""COMPUTED_VALUE"""),19939843)</f>
        <v/>
      </c>
      <c r="J434" s="45">
        <f>IFERROR(__xludf.DUMMYFUNCTION("""COMPUTED_VALUE"""),"LM7BI2S")</f>
        <v/>
      </c>
      <c r="K434" s="45">
        <f>IFERROR(__xludf.DUMMYFUNCTION("""COMPUTED_VALUE"""),"LM7BI2S-068578")</f>
        <v/>
      </c>
      <c r="L434" s="45">
        <f>IFERROR(__xludf.DUMMYFUNCTION("""COMPUTED_VALUE"""),8)</f>
        <v/>
      </c>
      <c r="M434" s="45">
        <f>IFERROR(__xludf.DUMMYFUNCTION("""COMPUTED_VALUE"""),399)</f>
        <v/>
      </c>
      <c r="N434" s="45">
        <f>IFERROR(__xludf.DUMMYFUNCTION("""COMPUTED_VALUE"""),93.913)</f>
        <v/>
      </c>
      <c r="O434" s="45">
        <f>IFERROR(__xludf.DUMMYFUNCTION("""COMPUTED_VALUE"""),0.632)</f>
        <v/>
      </c>
      <c r="P434" s="45">
        <f>IFERROR(__xludf.DUMMYFUNCTION("""COMPUTED_VALUE"""),"Colombo, LK")</f>
        <v/>
      </c>
      <c r="Q434" s="45">
        <f>IFERROR(__xludf.DUMMYFUNCTION("""COMPUTED_VALUE"""),"New York, NY, US")</f>
        <v/>
      </c>
      <c r="R434" s="44">
        <f>IFERROR(__xludf.DUMMYFUNCTION("""COMPUTED_VALUE"""),45824)</f>
        <v/>
      </c>
      <c r="S434" s="44">
        <f>IFERROR(__xludf.DUMMYFUNCTION("""COMPUTED_VALUE"""),45883)</f>
        <v/>
      </c>
      <c r="T434" s="45">
        <f>IFERROR(__xludf.DUMMYFUNCTION("""COMPUTED_VALUE"""),"Mississauga, ON, CA")</f>
        <v/>
      </c>
      <c r="U434" s="45" t="n"/>
      <c r="V434" s="45" t="n"/>
      <c r="W434" s="45" t="n"/>
      <c r="X434" s="45" t="n"/>
      <c r="Y434" s="46">
        <f>IFERROR(__xludf.DUMMYFUNCTION("""COMPUTED_VALUE"""),45832)</f>
        <v/>
      </c>
      <c r="Z434" s="46">
        <f>IFERROR(__xludf.DUMMYFUNCTION("""COMPUTED_VALUE"""),45861)</f>
        <v/>
      </c>
      <c r="AA434" s="46">
        <f>IFERROR(__xludf.DUMMYFUNCTION("""COMPUTED_VALUE"""),45874)</f>
        <v/>
      </c>
      <c r="AB434" s="45">
        <f>IFERROR(__xludf.DUMMYFUNCTION("""COMPUTED_VALUE"""),"3500 Argentia Road")</f>
        <v/>
      </c>
      <c r="AC434" s="45" t="n"/>
      <c r="AD434" s="45">
        <f>IFERROR(__xludf.DUMMYFUNCTION("""COMPUTED_VALUE"""),"OCEAN")</f>
        <v/>
      </c>
      <c r="AE434" s="45">
        <f>IFERROR(__xludf.DUMMYFUNCTION("""COMPUTED_VALUE"""),"N")</f>
        <v/>
      </c>
      <c r="AF434" s="45" t="n"/>
      <c r="AG434" s="49">
        <f>IFERROR(__xludf.DUMMYFUNCTION("IFNA(vlookup(H434,IMPORTRANGE(""1vUGwO1n0QQGx9kKbO0_M5gmuhXZ6-LaxQxgrmJnzgP0"",""'TP# look up'!A:C""),3,0),"""")"),"")</f>
        <v/>
      </c>
      <c r="AH434" s="49">
        <f>LEFT(J434,2)</f>
        <v/>
      </c>
    </row>
    <row r="435" ht="12.75" customHeight="1">
      <c r="A435" s="45">
        <f>IFERROR(__xludf.DUMMYFUNCTION("""COMPUTED_VALUE"""),"Colombo")</f>
        <v/>
      </c>
      <c r="B435" s="45" t="n"/>
      <c r="C435" s="45">
        <f>IFERROR(__xludf.DUMMYFUNCTION("""COMPUTED_VALUE"""),3254508)</f>
        <v/>
      </c>
      <c r="D435" s="45" t="n"/>
      <c r="E435" s="45">
        <f>IFERROR(__xludf.DUMMYFUNCTION("""COMPUTED_VALUE"""),"CFS")</f>
        <v/>
      </c>
      <c r="F435" s="45">
        <f>IFERROR(__xludf.DUMMYFUNCTION("""COMPUTED_VALUE"""),"MAS AMITY PTE LTD")</f>
        <v/>
      </c>
      <c r="G435" s="45">
        <f>IFERROR(__xludf.DUMMYFUNCTION("""COMPUTED_VALUE"""),"MAS Active(Pvt) Ltd – CONTOURLINE")</f>
        <v/>
      </c>
      <c r="H435" s="43">
        <f>IFERROR(__xludf.DUMMYFUNCTION("""COMPUTED_VALUE"""),452914765943)</f>
        <v/>
      </c>
      <c r="I435" s="45">
        <f>IFERROR(__xludf.DUMMYFUNCTION("""COMPUTED_VALUE"""),19939735)</f>
        <v/>
      </c>
      <c r="J435" s="45">
        <f>IFERROR(__xludf.DUMMYFUNCTION("""COMPUTED_VALUE"""),"LM3FBSS")</f>
        <v/>
      </c>
      <c r="K435" s="45">
        <f>IFERROR(__xludf.DUMMYFUNCTION("""COMPUTED_VALUE"""),"LM3FBSS-035487")</f>
        <v/>
      </c>
      <c r="L435" s="45">
        <f>IFERROR(__xludf.DUMMYFUNCTION("""COMPUTED_VALUE"""),9)</f>
        <v/>
      </c>
      <c r="M435" s="45">
        <f>IFERROR(__xludf.DUMMYFUNCTION("""COMPUTED_VALUE"""),350)</f>
        <v/>
      </c>
      <c r="N435" s="45">
        <f>IFERROR(__xludf.DUMMYFUNCTION("""COMPUTED_VALUE"""),120.451)</f>
        <v/>
      </c>
      <c r="O435" s="45">
        <f>IFERROR(__xludf.DUMMYFUNCTION("""COMPUTED_VALUE"""),0.711)</f>
        <v/>
      </c>
      <c r="P435" s="45">
        <f>IFERROR(__xludf.DUMMYFUNCTION("""COMPUTED_VALUE"""),"Colombo, LK")</f>
        <v/>
      </c>
      <c r="Q435" s="45">
        <f>IFERROR(__xludf.DUMMYFUNCTION("""COMPUTED_VALUE"""),"New York, NY, US")</f>
        <v/>
      </c>
      <c r="R435" s="44">
        <f>IFERROR(__xludf.DUMMYFUNCTION("""COMPUTED_VALUE"""),45824)</f>
        <v/>
      </c>
      <c r="S435" s="44">
        <f>IFERROR(__xludf.DUMMYFUNCTION("""COMPUTED_VALUE"""),45883)</f>
        <v/>
      </c>
      <c r="T435" s="45">
        <f>IFERROR(__xludf.DUMMYFUNCTION("""COMPUTED_VALUE"""),"Mississauga, ON, CA")</f>
        <v/>
      </c>
      <c r="U435" s="45" t="n"/>
      <c r="V435" s="45" t="n"/>
      <c r="W435" s="45" t="n"/>
      <c r="X435" s="45" t="n"/>
      <c r="Y435" s="46">
        <f>IFERROR(__xludf.DUMMYFUNCTION("""COMPUTED_VALUE"""),45832)</f>
        <v/>
      </c>
      <c r="Z435" s="46">
        <f>IFERROR(__xludf.DUMMYFUNCTION("""COMPUTED_VALUE"""),45861)</f>
        <v/>
      </c>
      <c r="AA435" s="46">
        <f>IFERROR(__xludf.DUMMYFUNCTION("""COMPUTED_VALUE"""),45874)</f>
        <v/>
      </c>
      <c r="AB435" s="45">
        <f>IFERROR(__xludf.DUMMYFUNCTION("""COMPUTED_VALUE"""),"3500 Argentia Road")</f>
        <v/>
      </c>
      <c r="AC435" s="45" t="n"/>
      <c r="AD435" s="45">
        <f>IFERROR(__xludf.DUMMYFUNCTION("""COMPUTED_VALUE"""),"OCEAN")</f>
        <v/>
      </c>
      <c r="AE435" s="45">
        <f>IFERROR(__xludf.DUMMYFUNCTION("""COMPUTED_VALUE"""),"N")</f>
        <v/>
      </c>
      <c r="AF435" s="45" t="n"/>
      <c r="AG435" s="49">
        <f>IFERROR(__xludf.DUMMYFUNCTION("IFNA(vlookup(H435,IMPORTRANGE(""1vUGwO1n0QQGx9kKbO0_M5gmuhXZ6-LaxQxgrmJnzgP0"",""'TP# look up'!A:C""),3,0),"""")"),"")</f>
        <v/>
      </c>
      <c r="AH435" s="49">
        <f>LEFT(J435,2)</f>
        <v/>
      </c>
    </row>
    <row r="436" ht="12.75" customHeight="1">
      <c r="A436" s="45">
        <f>IFERROR(__xludf.DUMMYFUNCTION("""COMPUTED_VALUE"""),"Colombo")</f>
        <v/>
      </c>
      <c r="B436" s="45" t="n"/>
      <c r="C436" s="45">
        <f>IFERROR(__xludf.DUMMYFUNCTION("""COMPUTED_VALUE"""),3254508)</f>
        <v/>
      </c>
      <c r="D436" s="45" t="n"/>
      <c r="E436" s="45">
        <f>IFERROR(__xludf.DUMMYFUNCTION("""COMPUTED_VALUE"""),"CFS")</f>
        <v/>
      </c>
      <c r="F436" s="45">
        <f>IFERROR(__xludf.DUMMYFUNCTION("""COMPUTED_VALUE"""),"MAS AMITY PTE LTD")</f>
        <v/>
      </c>
      <c r="G436" s="45">
        <f>IFERROR(__xludf.DUMMYFUNCTION("""COMPUTED_VALUE"""),"MAS Active (Pvt) Ltd - Linea Intimo")</f>
        <v/>
      </c>
      <c r="H436" s="43">
        <f>IFERROR(__xludf.DUMMYFUNCTION("""COMPUTED_VALUE"""),454698382746)</f>
        <v/>
      </c>
      <c r="I436" s="45">
        <f>IFERROR(__xludf.DUMMYFUNCTION("""COMPUTED_VALUE"""),19900473)</f>
        <v/>
      </c>
      <c r="J436" s="45">
        <f>IFERROR(__xludf.DUMMYFUNCTION("""COMPUTED_VALUE"""),"LW3DOBS")</f>
        <v/>
      </c>
      <c r="K436" s="45">
        <f>IFERROR(__xludf.DUMMYFUNCTION("""COMPUTED_VALUE"""),"LW3DOBS-035647")</f>
        <v/>
      </c>
      <c r="L436" s="45">
        <f>IFERROR(__xludf.DUMMYFUNCTION("""COMPUTED_VALUE"""),4)</f>
        <v/>
      </c>
      <c r="M436" s="45">
        <f>IFERROR(__xludf.DUMMYFUNCTION("""COMPUTED_VALUE"""),157)</f>
        <v/>
      </c>
      <c r="N436" s="45">
        <f>IFERROR(__xludf.DUMMYFUNCTION("""COMPUTED_VALUE"""),26.482)</f>
        <v/>
      </c>
      <c r="O436" s="45">
        <f>IFERROR(__xludf.DUMMYFUNCTION("""COMPUTED_VALUE"""),0.237)</f>
        <v/>
      </c>
      <c r="P436" s="45">
        <f>IFERROR(__xludf.DUMMYFUNCTION("""COMPUTED_VALUE"""),"Colombo, LK")</f>
        <v/>
      </c>
      <c r="Q436" s="45">
        <f>IFERROR(__xludf.DUMMYFUNCTION("""COMPUTED_VALUE"""),"New York, NY, US")</f>
        <v/>
      </c>
      <c r="R436" s="44">
        <f>IFERROR(__xludf.DUMMYFUNCTION("""COMPUTED_VALUE"""),45824)</f>
        <v/>
      </c>
      <c r="S436" s="44">
        <f>IFERROR(__xludf.DUMMYFUNCTION("""COMPUTED_VALUE"""),45883)</f>
        <v/>
      </c>
      <c r="T436" s="45">
        <f>IFERROR(__xludf.DUMMYFUNCTION("""COMPUTED_VALUE"""),"Milton, ON, CA")</f>
        <v/>
      </c>
      <c r="U436" s="45" t="n"/>
      <c r="V436" s="45" t="n"/>
      <c r="W436" s="45" t="n"/>
      <c r="X436" s="45" t="n"/>
      <c r="Y436" s="46">
        <f>IFERROR(__xludf.DUMMYFUNCTION("""COMPUTED_VALUE"""),45832)</f>
        <v/>
      </c>
      <c r="Z436" s="46">
        <f>IFERROR(__xludf.DUMMYFUNCTION("""COMPUTED_VALUE"""),45861)</f>
        <v/>
      </c>
      <c r="AA436" s="46">
        <f>IFERROR(__xludf.DUMMYFUNCTION("""COMPUTED_VALUE"""),45874)</f>
        <v/>
      </c>
      <c r="AB436" s="45">
        <f>IFERROR(__xludf.DUMMYFUNCTION("""COMPUTED_VALUE"""),"7211 Fifth Line")</f>
        <v/>
      </c>
      <c r="AC436" s="45" t="n"/>
      <c r="AD436" s="45">
        <f>IFERROR(__xludf.DUMMYFUNCTION("""COMPUTED_VALUE"""),"OCEAN")</f>
        <v/>
      </c>
      <c r="AE436" s="45">
        <f>IFERROR(__xludf.DUMMYFUNCTION("""COMPUTED_VALUE"""),"N")</f>
        <v/>
      </c>
      <c r="AF436" s="45" t="n"/>
      <c r="AG436" s="49">
        <f>IFERROR(__xludf.DUMMYFUNCTION("IFNA(vlookup(H436,IMPORTRANGE(""1vUGwO1n0QQGx9kKbO0_M5gmuhXZ6-LaxQxgrmJnzgP0"",""'TP# look up'!A:C""),3,0),"""")"),"")</f>
        <v/>
      </c>
      <c r="AH436" s="49">
        <f>LEFT(J436,2)</f>
        <v/>
      </c>
    </row>
    <row r="437" ht="12.75" customHeight="1">
      <c r="A437" s="45">
        <f>IFERROR(__xludf.DUMMYFUNCTION("""COMPUTED_VALUE"""),"Colombo")</f>
        <v/>
      </c>
      <c r="B437" s="45" t="n"/>
      <c r="C437" s="45">
        <f>IFERROR(__xludf.DUMMYFUNCTION("""COMPUTED_VALUE"""),3254508)</f>
        <v/>
      </c>
      <c r="D437" s="45" t="n"/>
      <c r="E437" s="45">
        <f>IFERROR(__xludf.DUMMYFUNCTION("""COMPUTED_VALUE"""),"CFS")</f>
        <v/>
      </c>
      <c r="F437" s="45">
        <f>IFERROR(__xludf.DUMMYFUNCTION("""COMPUTED_VALUE"""),"MAS AMITY PTE LTD")</f>
        <v/>
      </c>
      <c r="G437" s="45">
        <f>IFERROR(__xludf.DUMMYFUNCTION("""COMPUTED_VALUE"""),"MAS Active (Pvt) Ltd - Linea Intimo")</f>
        <v/>
      </c>
      <c r="H437" s="43">
        <f>IFERROR(__xludf.DUMMYFUNCTION("""COMPUTED_VALUE"""),454698451896)</f>
        <v/>
      </c>
      <c r="I437" s="45">
        <f>IFERROR(__xludf.DUMMYFUNCTION("""COMPUTED_VALUE"""),19897814)</f>
        <v/>
      </c>
      <c r="J437" s="45">
        <f>IFERROR(__xludf.DUMMYFUNCTION("""COMPUTED_VALUE"""),"LM3FHKS")</f>
        <v/>
      </c>
      <c r="K437" s="45">
        <f>IFERROR(__xludf.DUMMYFUNCTION("""COMPUTED_VALUE"""),"LM3FHKS-4780")</f>
        <v/>
      </c>
      <c r="L437" s="45">
        <f>IFERROR(__xludf.DUMMYFUNCTION("""COMPUTED_VALUE"""),3)</f>
        <v/>
      </c>
      <c r="M437" s="45">
        <f>IFERROR(__xludf.DUMMYFUNCTION("""COMPUTED_VALUE"""),95)</f>
        <v/>
      </c>
      <c r="N437" s="45">
        <f>IFERROR(__xludf.DUMMYFUNCTION("""COMPUTED_VALUE"""),21.629)</f>
        <v/>
      </c>
      <c r="O437" s="45">
        <f>IFERROR(__xludf.DUMMYFUNCTION("""COMPUTED_VALUE"""),0.158)</f>
        <v/>
      </c>
      <c r="P437" s="45">
        <f>IFERROR(__xludf.DUMMYFUNCTION("""COMPUTED_VALUE"""),"Colombo, LK")</f>
        <v/>
      </c>
      <c r="Q437" s="45">
        <f>IFERROR(__xludf.DUMMYFUNCTION("""COMPUTED_VALUE"""),"New York, NY, US")</f>
        <v/>
      </c>
      <c r="R437" s="44">
        <f>IFERROR(__xludf.DUMMYFUNCTION("""COMPUTED_VALUE"""),45824)</f>
        <v/>
      </c>
      <c r="S437" s="44">
        <f>IFERROR(__xludf.DUMMYFUNCTION("""COMPUTED_VALUE"""),45883)</f>
        <v/>
      </c>
      <c r="T437" s="45">
        <f>IFERROR(__xludf.DUMMYFUNCTION("""COMPUTED_VALUE"""),"Milton, ON, CA")</f>
        <v/>
      </c>
      <c r="U437" s="45" t="n"/>
      <c r="V437" s="45" t="n"/>
      <c r="W437" s="45" t="n"/>
      <c r="X437" s="45" t="n"/>
      <c r="Y437" s="46">
        <f>IFERROR(__xludf.DUMMYFUNCTION("""COMPUTED_VALUE"""),45832)</f>
        <v/>
      </c>
      <c r="Z437" s="46">
        <f>IFERROR(__xludf.DUMMYFUNCTION("""COMPUTED_VALUE"""),45861)</f>
        <v/>
      </c>
      <c r="AA437" s="46">
        <f>IFERROR(__xludf.DUMMYFUNCTION("""COMPUTED_VALUE"""),45874)</f>
        <v/>
      </c>
      <c r="AB437" s="45">
        <f>IFERROR(__xludf.DUMMYFUNCTION("""COMPUTED_VALUE"""),"7211 Fifth Line")</f>
        <v/>
      </c>
      <c r="AC437" s="45" t="n"/>
      <c r="AD437" s="45">
        <f>IFERROR(__xludf.DUMMYFUNCTION("""COMPUTED_VALUE"""),"OCEAN")</f>
        <v/>
      </c>
      <c r="AE437" s="45">
        <f>IFERROR(__xludf.DUMMYFUNCTION("""COMPUTED_VALUE"""),"N")</f>
        <v/>
      </c>
      <c r="AF437" s="45" t="n"/>
      <c r="AG437" s="49">
        <f>IFERROR(__xludf.DUMMYFUNCTION("IFNA(vlookup(H437,IMPORTRANGE(""1vUGwO1n0QQGx9kKbO0_M5gmuhXZ6-LaxQxgrmJnzgP0"",""'TP# look up'!A:C""),3,0),"""")"),"")</f>
        <v/>
      </c>
      <c r="AH437" s="49">
        <f>LEFT(J437,2)</f>
        <v/>
      </c>
    </row>
    <row r="438" ht="12.75" customHeight="1">
      <c r="A438" s="45">
        <f>IFERROR(__xludf.DUMMYFUNCTION("""COMPUTED_VALUE"""),"Colombo")</f>
        <v/>
      </c>
      <c r="B438" s="45" t="n"/>
      <c r="C438" s="45">
        <f>IFERROR(__xludf.DUMMYFUNCTION("""COMPUTED_VALUE"""),3254508)</f>
        <v/>
      </c>
      <c r="D438" s="45" t="n"/>
      <c r="E438" s="45">
        <f>IFERROR(__xludf.DUMMYFUNCTION("""COMPUTED_VALUE"""),"CFS")</f>
        <v/>
      </c>
      <c r="F438" s="45">
        <f>IFERROR(__xludf.DUMMYFUNCTION("""COMPUTED_VALUE"""),"MAS AMITY PTE LTD")</f>
        <v/>
      </c>
      <c r="G438" s="45">
        <f>IFERROR(__xludf.DUMMYFUNCTION("""COMPUTED_VALUE"""),"MAS Active (Pvt) Ltd - Linea Intimo")</f>
        <v/>
      </c>
      <c r="H438" s="43">
        <f>IFERROR(__xludf.DUMMYFUNCTION("""COMPUTED_VALUE"""),454698452151)</f>
        <v/>
      </c>
      <c r="I438" s="45">
        <f>IFERROR(__xludf.DUMMYFUNCTION("""COMPUTED_VALUE"""),19897818)</f>
        <v/>
      </c>
      <c r="J438" s="45">
        <f>IFERROR(__xludf.DUMMYFUNCTION("""COMPUTED_VALUE"""),"LM3FHKS")</f>
        <v/>
      </c>
      <c r="K438" s="45">
        <f>IFERROR(__xludf.DUMMYFUNCTION("""COMPUTED_VALUE"""),"LM3FHKS-069299")</f>
        <v/>
      </c>
      <c r="L438" s="45">
        <f>IFERROR(__xludf.DUMMYFUNCTION("""COMPUTED_VALUE"""),3)</f>
        <v/>
      </c>
      <c r="M438" s="45">
        <f>IFERROR(__xludf.DUMMYFUNCTION("""COMPUTED_VALUE"""),101)</f>
        <v/>
      </c>
      <c r="N438" s="45">
        <f>IFERROR(__xludf.DUMMYFUNCTION("""COMPUTED_VALUE"""),22.839)</f>
        <v/>
      </c>
      <c r="O438" s="45">
        <f>IFERROR(__xludf.DUMMYFUNCTION("""COMPUTED_VALUE"""),0.158)</f>
        <v/>
      </c>
      <c r="P438" s="45">
        <f>IFERROR(__xludf.DUMMYFUNCTION("""COMPUTED_VALUE"""),"Colombo, LK")</f>
        <v/>
      </c>
      <c r="Q438" s="45">
        <f>IFERROR(__xludf.DUMMYFUNCTION("""COMPUTED_VALUE"""),"New York, NY, US")</f>
        <v/>
      </c>
      <c r="R438" s="44">
        <f>IFERROR(__xludf.DUMMYFUNCTION("""COMPUTED_VALUE"""),45824)</f>
        <v/>
      </c>
      <c r="S438" s="44">
        <f>IFERROR(__xludf.DUMMYFUNCTION("""COMPUTED_VALUE"""),45883)</f>
        <v/>
      </c>
      <c r="T438" s="45">
        <f>IFERROR(__xludf.DUMMYFUNCTION("""COMPUTED_VALUE"""),"Milton, ON, CA")</f>
        <v/>
      </c>
      <c r="U438" s="45" t="n"/>
      <c r="V438" s="45" t="n"/>
      <c r="W438" s="45" t="n"/>
      <c r="X438" s="45" t="n"/>
      <c r="Y438" s="46">
        <f>IFERROR(__xludf.DUMMYFUNCTION("""COMPUTED_VALUE"""),45832)</f>
        <v/>
      </c>
      <c r="Z438" s="46">
        <f>IFERROR(__xludf.DUMMYFUNCTION("""COMPUTED_VALUE"""),45861)</f>
        <v/>
      </c>
      <c r="AA438" s="46">
        <f>IFERROR(__xludf.DUMMYFUNCTION("""COMPUTED_VALUE"""),45874)</f>
        <v/>
      </c>
      <c r="AB438" s="45">
        <f>IFERROR(__xludf.DUMMYFUNCTION("""COMPUTED_VALUE"""),"7211 Fifth Line")</f>
        <v/>
      </c>
      <c r="AC438" s="45" t="n"/>
      <c r="AD438" s="45">
        <f>IFERROR(__xludf.DUMMYFUNCTION("""COMPUTED_VALUE"""),"OCEAN")</f>
        <v/>
      </c>
      <c r="AE438" s="45">
        <f>IFERROR(__xludf.DUMMYFUNCTION("""COMPUTED_VALUE"""),"N")</f>
        <v/>
      </c>
      <c r="AF438" s="45" t="n"/>
      <c r="AG438" s="49">
        <f>IFERROR(__xludf.DUMMYFUNCTION("IFNA(vlookup(H438,IMPORTRANGE(""1vUGwO1n0QQGx9kKbO0_M5gmuhXZ6-LaxQxgrmJnzgP0"",""'TP# look up'!A:C""),3,0),"""")"),"")</f>
        <v/>
      </c>
      <c r="AH438" s="49">
        <f>LEFT(J438,2)</f>
        <v/>
      </c>
    </row>
    <row r="439" ht="12.75" customHeight="1">
      <c r="A439" s="45">
        <f>IFERROR(__xludf.DUMMYFUNCTION("""COMPUTED_VALUE"""),"Colombo")</f>
        <v/>
      </c>
      <c r="B439" s="45" t="n"/>
      <c r="C439" s="45">
        <f>IFERROR(__xludf.DUMMYFUNCTION("""COMPUTED_VALUE"""),3254508)</f>
        <v/>
      </c>
      <c r="D439" s="45" t="n"/>
      <c r="E439" s="45">
        <f>IFERROR(__xludf.DUMMYFUNCTION("""COMPUTED_VALUE"""),"CFS")</f>
        <v/>
      </c>
      <c r="F439" s="45">
        <f>IFERROR(__xludf.DUMMYFUNCTION("""COMPUTED_VALUE"""),"MAS AMITY PTE LTD")</f>
        <v/>
      </c>
      <c r="G439" s="45">
        <f>IFERROR(__xludf.DUMMYFUNCTION("""COMPUTED_VALUE"""),"MAS Active (Pvt) Ltd - Linea Intimo")</f>
        <v/>
      </c>
      <c r="H439" s="43">
        <f>IFERROR(__xludf.DUMMYFUNCTION("""COMPUTED_VALUE"""),454698725219)</f>
        <v/>
      </c>
      <c r="I439" s="45">
        <f>IFERROR(__xludf.DUMMYFUNCTION("""COMPUTED_VALUE"""),19897806)</f>
        <v/>
      </c>
      <c r="J439" s="45">
        <f>IFERROR(__xludf.DUMMYFUNCTION("""COMPUTED_VALUE"""),"LM3FG2S")</f>
        <v/>
      </c>
      <c r="K439" s="45">
        <f>IFERROR(__xludf.DUMMYFUNCTION("""COMPUTED_VALUE"""),"LM3FG2S-0572")</f>
        <v/>
      </c>
      <c r="L439" s="45">
        <f>IFERROR(__xludf.DUMMYFUNCTION("""COMPUTED_VALUE"""),2)</f>
        <v/>
      </c>
      <c r="M439" s="45">
        <f>IFERROR(__xludf.DUMMYFUNCTION("""COMPUTED_VALUE"""),164)</f>
        <v/>
      </c>
      <c r="N439" s="45">
        <f>IFERROR(__xludf.DUMMYFUNCTION("""COMPUTED_VALUE"""),24.668)</f>
        <v/>
      </c>
      <c r="O439" s="45">
        <f>IFERROR(__xludf.DUMMYFUNCTION("""COMPUTED_VALUE"""),0.158)</f>
        <v/>
      </c>
      <c r="P439" s="45">
        <f>IFERROR(__xludf.DUMMYFUNCTION("""COMPUTED_VALUE"""),"Colombo, LK")</f>
        <v/>
      </c>
      <c r="Q439" s="45">
        <f>IFERROR(__xludf.DUMMYFUNCTION("""COMPUTED_VALUE"""),"New York, NY, US")</f>
        <v/>
      </c>
      <c r="R439" s="44">
        <f>IFERROR(__xludf.DUMMYFUNCTION("""COMPUTED_VALUE"""),45824)</f>
        <v/>
      </c>
      <c r="S439" s="44">
        <f>IFERROR(__xludf.DUMMYFUNCTION("""COMPUTED_VALUE"""),45883)</f>
        <v/>
      </c>
      <c r="T439" s="45">
        <f>IFERROR(__xludf.DUMMYFUNCTION("""COMPUTED_VALUE"""),"Milton, ON, CA")</f>
        <v/>
      </c>
      <c r="U439" s="45" t="n"/>
      <c r="V439" s="45" t="n"/>
      <c r="W439" s="45" t="n"/>
      <c r="X439" s="45" t="n"/>
      <c r="Y439" s="46">
        <f>IFERROR(__xludf.DUMMYFUNCTION("""COMPUTED_VALUE"""),45832)</f>
        <v/>
      </c>
      <c r="Z439" s="46">
        <f>IFERROR(__xludf.DUMMYFUNCTION("""COMPUTED_VALUE"""),45861)</f>
        <v/>
      </c>
      <c r="AA439" s="46">
        <f>IFERROR(__xludf.DUMMYFUNCTION("""COMPUTED_VALUE"""),45874)</f>
        <v/>
      </c>
      <c r="AB439" s="45">
        <f>IFERROR(__xludf.DUMMYFUNCTION("""COMPUTED_VALUE"""),"7211 Fifth Line")</f>
        <v/>
      </c>
      <c r="AC439" s="45" t="n"/>
      <c r="AD439" s="45">
        <f>IFERROR(__xludf.DUMMYFUNCTION("""COMPUTED_VALUE"""),"OCEAN")</f>
        <v/>
      </c>
      <c r="AE439" s="45">
        <f>IFERROR(__xludf.DUMMYFUNCTION("""COMPUTED_VALUE"""),"N")</f>
        <v/>
      </c>
      <c r="AF439" s="45" t="n"/>
      <c r="AG439" s="49">
        <f>IFERROR(__xludf.DUMMYFUNCTION("IFNA(vlookup(H439,IMPORTRANGE(""1vUGwO1n0QQGx9kKbO0_M5gmuhXZ6-LaxQxgrmJnzgP0"",""'TP# look up'!A:C""),3,0),"""")"),"")</f>
        <v/>
      </c>
      <c r="AH439" s="49">
        <f>LEFT(J439,2)</f>
        <v/>
      </c>
    </row>
    <row r="440" ht="12.75" customHeight="1">
      <c r="A440" s="45">
        <f>IFERROR(__xludf.DUMMYFUNCTION("""COMPUTED_VALUE"""),"Colombo")</f>
        <v/>
      </c>
      <c r="B440" s="45" t="n"/>
      <c r="C440" s="45">
        <f>IFERROR(__xludf.DUMMYFUNCTION("""COMPUTED_VALUE"""),3254508)</f>
        <v/>
      </c>
      <c r="D440" s="45" t="n"/>
      <c r="E440" s="45">
        <f>IFERROR(__xludf.DUMMYFUNCTION("""COMPUTED_VALUE"""),"CFS")</f>
        <v/>
      </c>
      <c r="F440" s="45">
        <f>IFERROR(__xludf.DUMMYFUNCTION("""COMPUTED_VALUE"""),"MAS AMITY PTE LTD")</f>
        <v/>
      </c>
      <c r="G440" s="45">
        <f>IFERROR(__xludf.DUMMYFUNCTION("""COMPUTED_VALUE"""),"MAS Active (Pvt) Ltd - Linea Intimo")</f>
        <v/>
      </c>
      <c r="H440" s="43">
        <f>IFERROR(__xludf.DUMMYFUNCTION("""COMPUTED_VALUE"""),454699451892)</f>
        <v/>
      </c>
      <c r="I440" s="45">
        <f>IFERROR(__xludf.DUMMYFUNCTION("""COMPUTED_VALUE"""),19897828)</f>
        <v/>
      </c>
      <c r="J440" s="45">
        <f>IFERROR(__xludf.DUMMYFUNCTION("""COMPUTED_VALUE"""),"LM3FPES")</f>
        <v/>
      </c>
      <c r="K440" s="45">
        <f>IFERROR(__xludf.DUMMYFUNCTION("""COMPUTED_VALUE"""),"LM3FPES-042836")</f>
        <v/>
      </c>
      <c r="L440" s="45">
        <f>IFERROR(__xludf.DUMMYFUNCTION("""COMPUTED_VALUE"""),6)</f>
        <v/>
      </c>
      <c r="M440" s="45">
        <f>IFERROR(__xludf.DUMMYFUNCTION("""COMPUTED_VALUE"""),377)</f>
        <v/>
      </c>
      <c r="N440" s="45">
        <f>IFERROR(__xludf.DUMMYFUNCTION("""COMPUTED_VALUE"""),63.954)</f>
        <v/>
      </c>
      <c r="O440" s="45">
        <f>IFERROR(__xludf.DUMMYFUNCTION("""COMPUTED_VALUE"""),0.395)</f>
        <v/>
      </c>
      <c r="P440" s="45">
        <f>IFERROR(__xludf.DUMMYFUNCTION("""COMPUTED_VALUE"""),"Colombo, LK")</f>
        <v/>
      </c>
      <c r="Q440" s="45">
        <f>IFERROR(__xludf.DUMMYFUNCTION("""COMPUTED_VALUE"""),"New York, NY, US")</f>
        <v/>
      </c>
      <c r="R440" s="44">
        <f>IFERROR(__xludf.DUMMYFUNCTION("""COMPUTED_VALUE"""),45824)</f>
        <v/>
      </c>
      <c r="S440" s="44">
        <f>IFERROR(__xludf.DUMMYFUNCTION("""COMPUTED_VALUE"""),45883)</f>
        <v/>
      </c>
      <c r="T440" s="45">
        <f>IFERROR(__xludf.DUMMYFUNCTION("""COMPUTED_VALUE"""),"Milton, ON, CA")</f>
        <v/>
      </c>
      <c r="U440" s="45" t="n"/>
      <c r="V440" s="45" t="n"/>
      <c r="W440" s="45" t="n"/>
      <c r="X440" s="45" t="n"/>
      <c r="Y440" s="46">
        <f>IFERROR(__xludf.DUMMYFUNCTION("""COMPUTED_VALUE"""),45832)</f>
        <v/>
      </c>
      <c r="Z440" s="46">
        <f>IFERROR(__xludf.DUMMYFUNCTION("""COMPUTED_VALUE"""),45861)</f>
        <v/>
      </c>
      <c r="AA440" s="46">
        <f>IFERROR(__xludf.DUMMYFUNCTION("""COMPUTED_VALUE"""),45874)</f>
        <v/>
      </c>
      <c r="AB440" s="45">
        <f>IFERROR(__xludf.DUMMYFUNCTION("""COMPUTED_VALUE"""),"7211 Fifth Line")</f>
        <v/>
      </c>
      <c r="AC440" s="45" t="n"/>
      <c r="AD440" s="45">
        <f>IFERROR(__xludf.DUMMYFUNCTION("""COMPUTED_VALUE"""),"OCEAN")</f>
        <v/>
      </c>
      <c r="AE440" s="45">
        <f>IFERROR(__xludf.DUMMYFUNCTION("""COMPUTED_VALUE"""),"N")</f>
        <v/>
      </c>
      <c r="AF440" s="45" t="n"/>
      <c r="AG440" s="49">
        <f>IFERROR(__xludf.DUMMYFUNCTION("IFNA(vlookup(H440,IMPORTRANGE(""1vUGwO1n0QQGx9kKbO0_M5gmuhXZ6-LaxQxgrmJnzgP0"",""'TP# look up'!A:C""),3,0),"""")"),"")</f>
        <v/>
      </c>
      <c r="AH440" s="49">
        <f>LEFT(J440,2)</f>
        <v/>
      </c>
    </row>
    <row r="441" ht="12.75" customHeight="1">
      <c r="A441" s="45">
        <f>IFERROR(__xludf.DUMMYFUNCTION("""COMPUTED_VALUE"""),"Colombo")</f>
        <v/>
      </c>
      <c r="B441" s="45" t="n"/>
      <c r="C441" s="45">
        <f>IFERROR(__xludf.DUMMYFUNCTION("""COMPUTED_VALUE"""),3254508)</f>
        <v/>
      </c>
      <c r="D441" s="45" t="n"/>
      <c r="E441" s="45">
        <f>IFERROR(__xludf.DUMMYFUNCTION("""COMPUTED_VALUE"""),"CFS")</f>
        <v/>
      </c>
      <c r="F441" s="45">
        <f>IFERROR(__xludf.DUMMYFUNCTION("""COMPUTED_VALUE"""),"MAS AMITY PTE LTD")</f>
        <v/>
      </c>
      <c r="G441" s="45">
        <f>IFERROR(__xludf.DUMMYFUNCTION("""COMPUTED_VALUE"""),"MAS Active (Pvt) Ltd - Linea Intimo")</f>
        <v/>
      </c>
      <c r="H441" s="43">
        <f>IFERROR(__xludf.DUMMYFUNCTION("""COMPUTED_VALUE"""),454700125508)</f>
        <v/>
      </c>
      <c r="I441" s="45">
        <f>IFERROR(__xludf.DUMMYFUNCTION("""COMPUTED_VALUE"""),19900411)</f>
        <v/>
      </c>
      <c r="J441" s="45">
        <f>IFERROR(__xludf.DUMMYFUNCTION("""COMPUTED_VALUE"""),"LW3DFMS")</f>
        <v/>
      </c>
      <c r="K441" s="45">
        <f>IFERROR(__xludf.DUMMYFUNCTION("""COMPUTED_VALUE"""),"LW3DFMS-035647")</f>
        <v/>
      </c>
      <c r="L441" s="45">
        <f>IFERROR(__xludf.DUMMYFUNCTION("""COMPUTED_VALUE"""),1)</f>
        <v/>
      </c>
      <c r="M441" s="45">
        <f>IFERROR(__xludf.DUMMYFUNCTION("""COMPUTED_VALUE"""),51)</f>
        <v/>
      </c>
      <c r="N441" s="45">
        <f>IFERROR(__xludf.DUMMYFUNCTION("""COMPUTED_VALUE"""),7.042)</f>
        <v/>
      </c>
      <c r="O441" s="45">
        <f>IFERROR(__xludf.DUMMYFUNCTION("""COMPUTED_VALUE"""),0.079)</f>
        <v/>
      </c>
      <c r="P441" s="45">
        <f>IFERROR(__xludf.DUMMYFUNCTION("""COMPUTED_VALUE"""),"Colombo, LK")</f>
        <v/>
      </c>
      <c r="Q441" s="45">
        <f>IFERROR(__xludf.DUMMYFUNCTION("""COMPUTED_VALUE"""),"New York, NY, US")</f>
        <v/>
      </c>
      <c r="R441" s="44">
        <f>IFERROR(__xludf.DUMMYFUNCTION("""COMPUTED_VALUE"""),45824)</f>
        <v/>
      </c>
      <c r="S441" s="44">
        <f>IFERROR(__xludf.DUMMYFUNCTION("""COMPUTED_VALUE"""),45883)</f>
        <v/>
      </c>
      <c r="T441" s="45">
        <f>IFERROR(__xludf.DUMMYFUNCTION("""COMPUTED_VALUE"""),"Milton, ON, CA")</f>
        <v/>
      </c>
      <c r="U441" s="45" t="n"/>
      <c r="V441" s="45" t="n"/>
      <c r="W441" s="45" t="n"/>
      <c r="X441" s="45" t="n"/>
      <c r="Y441" s="46">
        <f>IFERROR(__xludf.DUMMYFUNCTION("""COMPUTED_VALUE"""),45832)</f>
        <v/>
      </c>
      <c r="Z441" s="46">
        <f>IFERROR(__xludf.DUMMYFUNCTION("""COMPUTED_VALUE"""),45861)</f>
        <v/>
      </c>
      <c r="AA441" s="46">
        <f>IFERROR(__xludf.DUMMYFUNCTION("""COMPUTED_VALUE"""),45874)</f>
        <v/>
      </c>
      <c r="AB441" s="45">
        <f>IFERROR(__xludf.DUMMYFUNCTION("""COMPUTED_VALUE"""),"7211 Fifth Line")</f>
        <v/>
      </c>
      <c r="AC441" s="45" t="n"/>
      <c r="AD441" s="45">
        <f>IFERROR(__xludf.DUMMYFUNCTION("""COMPUTED_VALUE"""),"OCEAN")</f>
        <v/>
      </c>
      <c r="AE441" s="45">
        <f>IFERROR(__xludf.DUMMYFUNCTION("""COMPUTED_VALUE"""),"N")</f>
        <v/>
      </c>
      <c r="AF441" s="45" t="n"/>
      <c r="AG441" s="49">
        <f>IFERROR(__xludf.DUMMYFUNCTION("IFNA(vlookup(H441,IMPORTRANGE(""1vUGwO1n0QQGx9kKbO0_M5gmuhXZ6-LaxQxgrmJnzgP0"",""'TP# look up'!A:C""),3,0),"""")"),"")</f>
        <v/>
      </c>
      <c r="AH441" s="49">
        <f>LEFT(J441,2)</f>
        <v/>
      </c>
    </row>
    <row r="442" ht="12.75" customHeight="1">
      <c r="A442" s="45">
        <f>IFERROR(__xludf.DUMMYFUNCTION("""COMPUTED_VALUE"""),"Colombo")</f>
        <v/>
      </c>
      <c r="B442" s="45" t="n"/>
      <c r="C442" s="45">
        <f>IFERROR(__xludf.DUMMYFUNCTION("""COMPUTED_VALUE"""),3254508)</f>
        <v/>
      </c>
      <c r="D442" s="45" t="n"/>
      <c r="E442" s="45">
        <f>IFERROR(__xludf.DUMMYFUNCTION("""COMPUTED_VALUE"""),"CFS")</f>
        <v/>
      </c>
      <c r="F442" s="45">
        <f>IFERROR(__xludf.DUMMYFUNCTION("""COMPUTED_VALUE"""),"MAS AMITY PTE LTD")</f>
        <v/>
      </c>
      <c r="G442" s="45">
        <f>IFERROR(__xludf.DUMMYFUNCTION("""COMPUTED_VALUE"""),"MAS Active (Pvt) Ltd - Linea Intimo")</f>
        <v/>
      </c>
      <c r="H442" s="43">
        <f>IFERROR(__xludf.DUMMYFUNCTION("""COMPUTED_VALUE"""),454700362711)</f>
        <v/>
      </c>
      <c r="I442" s="45">
        <f>IFERROR(__xludf.DUMMYFUNCTION("""COMPUTED_VALUE"""),19900461)</f>
        <v/>
      </c>
      <c r="J442" s="45">
        <f>IFERROR(__xludf.DUMMYFUNCTION("""COMPUTED_VALUE"""),"LW3DFNS")</f>
        <v/>
      </c>
      <c r="K442" s="45">
        <f>IFERROR(__xludf.DUMMYFUNCTION("""COMPUTED_VALUE"""),"LW3DFNS-0572")</f>
        <v/>
      </c>
      <c r="L442" s="45">
        <f>IFERROR(__xludf.DUMMYFUNCTION("""COMPUTED_VALUE"""),9)</f>
        <v/>
      </c>
      <c r="M442" s="45">
        <f>IFERROR(__xludf.DUMMYFUNCTION("""COMPUTED_VALUE"""),794)</f>
        <v/>
      </c>
      <c r="N442" s="45">
        <f>IFERROR(__xludf.DUMMYFUNCTION("""COMPUTED_VALUE"""),95.38)</f>
        <v/>
      </c>
      <c r="O442" s="45">
        <f>IFERROR(__xludf.DUMMYFUNCTION("""COMPUTED_VALUE"""),0.714)</f>
        <v/>
      </c>
      <c r="P442" s="45">
        <f>IFERROR(__xludf.DUMMYFUNCTION("""COMPUTED_VALUE"""),"Colombo, LK")</f>
        <v/>
      </c>
      <c r="Q442" s="45">
        <f>IFERROR(__xludf.DUMMYFUNCTION("""COMPUTED_VALUE"""),"New York, NY, US")</f>
        <v/>
      </c>
      <c r="R442" s="44">
        <f>IFERROR(__xludf.DUMMYFUNCTION("""COMPUTED_VALUE"""),45824)</f>
        <v/>
      </c>
      <c r="S442" s="44">
        <f>IFERROR(__xludf.DUMMYFUNCTION("""COMPUTED_VALUE"""),45883)</f>
        <v/>
      </c>
      <c r="T442" s="45">
        <f>IFERROR(__xludf.DUMMYFUNCTION("""COMPUTED_VALUE"""),"Milton, ON, CA")</f>
        <v/>
      </c>
      <c r="U442" s="45" t="n"/>
      <c r="V442" s="45" t="n"/>
      <c r="W442" s="45" t="n"/>
      <c r="X442" s="45" t="n"/>
      <c r="Y442" s="46">
        <f>IFERROR(__xludf.DUMMYFUNCTION("""COMPUTED_VALUE"""),45832)</f>
        <v/>
      </c>
      <c r="Z442" s="46">
        <f>IFERROR(__xludf.DUMMYFUNCTION("""COMPUTED_VALUE"""),45861)</f>
        <v/>
      </c>
      <c r="AA442" s="46">
        <f>IFERROR(__xludf.DUMMYFUNCTION("""COMPUTED_VALUE"""),45874)</f>
        <v/>
      </c>
      <c r="AB442" s="45">
        <f>IFERROR(__xludf.DUMMYFUNCTION("""COMPUTED_VALUE"""),"7211 Fifth Line")</f>
        <v/>
      </c>
      <c r="AC442" s="45" t="n"/>
      <c r="AD442" s="45">
        <f>IFERROR(__xludf.DUMMYFUNCTION("""COMPUTED_VALUE"""),"OCEAN")</f>
        <v/>
      </c>
      <c r="AE442" s="45">
        <f>IFERROR(__xludf.DUMMYFUNCTION("""COMPUTED_VALUE"""),"N")</f>
        <v/>
      </c>
      <c r="AF442" s="45" t="n"/>
      <c r="AG442" s="49">
        <f>IFERROR(__xludf.DUMMYFUNCTION("IFNA(vlookup(H442,IMPORTRANGE(""1vUGwO1n0QQGx9kKbO0_M5gmuhXZ6-LaxQxgrmJnzgP0"",""'TP# look up'!A:C""),3,0),"""")"),"")</f>
        <v/>
      </c>
      <c r="AH442" s="49">
        <f>LEFT(J442,2)</f>
        <v/>
      </c>
    </row>
    <row r="443" ht="12.75" customHeight="1">
      <c r="A443" s="45">
        <f>IFERROR(__xludf.DUMMYFUNCTION("""COMPUTED_VALUE"""),"Colombo")</f>
        <v/>
      </c>
      <c r="B443" s="45" t="n"/>
      <c r="C443" s="45">
        <f>IFERROR(__xludf.DUMMYFUNCTION("""COMPUTED_VALUE"""),3254508)</f>
        <v/>
      </c>
      <c r="D443" s="45" t="n"/>
      <c r="E443" s="45">
        <f>IFERROR(__xludf.DUMMYFUNCTION("""COMPUTED_VALUE"""),"CFS")</f>
        <v/>
      </c>
      <c r="F443" s="45">
        <f>IFERROR(__xludf.DUMMYFUNCTION("""COMPUTED_VALUE"""),"MAS AMITY PTE LTD")</f>
        <v/>
      </c>
      <c r="G443" s="45">
        <f>IFERROR(__xludf.DUMMYFUNCTION("""COMPUTED_VALUE"""),"MAS Active (Pvt) Ltd - Linea Intimo")</f>
        <v/>
      </c>
      <c r="H443" s="43">
        <f>IFERROR(__xludf.DUMMYFUNCTION("""COMPUTED_VALUE"""),454700762303)</f>
        <v/>
      </c>
      <c r="I443" s="45">
        <f>IFERROR(__xludf.DUMMYFUNCTION("""COMPUTED_VALUE"""),19900412)</f>
        <v/>
      </c>
      <c r="J443" s="45">
        <f>IFERROR(__xludf.DUMMYFUNCTION("""COMPUTED_VALUE"""),"LW3DFMS")</f>
        <v/>
      </c>
      <c r="K443" s="45">
        <f>IFERROR(__xludf.DUMMYFUNCTION("""COMPUTED_VALUE"""),"LW3DFMS-062658")</f>
        <v/>
      </c>
      <c r="L443" s="45">
        <f>IFERROR(__xludf.DUMMYFUNCTION("""COMPUTED_VALUE"""),6)</f>
        <v/>
      </c>
      <c r="M443" s="45">
        <f>IFERROR(__xludf.DUMMYFUNCTION("""COMPUTED_VALUE"""),356)</f>
        <v/>
      </c>
      <c r="N443" s="45">
        <f>IFERROR(__xludf.DUMMYFUNCTION("""COMPUTED_VALUE"""),46.725)</f>
        <v/>
      </c>
      <c r="O443" s="45">
        <f>IFERROR(__xludf.DUMMYFUNCTION("""COMPUTED_VALUE"""),0.395)</f>
        <v/>
      </c>
      <c r="P443" s="45">
        <f>IFERROR(__xludf.DUMMYFUNCTION("""COMPUTED_VALUE"""),"Colombo, LK")</f>
        <v/>
      </c>
      <c r="Q443" s="45">
        <f>IFERROR(__xludf.DUMMYFUNCTION("""COMPUTED_VALUE"""),"New York, NY, US")</f>
        <v/>
      </c>
      <c r="R443" s="44">
        <f>IFERROR(__xludf.DUMMYFUNCTION("""COMPUTED_VALUE"""),45824)</f>
        <v/>
      </c>
      <c r="S443" s="44">
        <f>IFERROR(__xludf.DUMMYFUNCTION("""COMPUTED_VALUE"""),45883)</f>
        <v/>
      </c>
      <c r="T443" s="45">
        <f>IFERROR(__xludf.DUMMYFUNCTION("""COMPUTED_VALUE"""),"Milton, ON, CA")</f>
        <v/>
      </c>
      <c r="U443" s="45" t="n"/>
      <c r="V443" s="45" t="n"/>
      <c r="W443" s="45" t="n"/>
      <c r="X443" s="45" t="n"/>
      <c r="Y443" s="46">
        <f>IFERROR(__xludf.DUMMYFUNCTION("""COMPUTED_VALUE"""),45832)</f>
        <v/>
      </c>
      <c r="Z443" s="46">
        <f>IFERROR(__xludf.DUMMYFUNCTION("""COMPUTED_VALUE"""),45861)</f>
        <v/>
      </c>
      <c r="AA443" s="46">
        <f>IFERROR(__xludf.DUMMYFUNCTION("""COMPUTED_VALUE"""),45874)</f>
        <v/>
      </c>
      <c r="AB443" s="45">
        <f>IFERROR(__xludf.DUMMYFUNCTION("""COMPUTED_VALUE"""),"7211 Fifth Line")</f>
        <v/>
      </c>
      <c r="AC443" s="45" t="n"/>
      <c r="AD443" s="45">
        <f>IFERROR(__xludf.DUMMYFUNCTION("""COMPUTED_VALUE"""),"OCEAN")</f>
        <v/>
      </c>
      <c r="AE443" s="45">
        <f>IFERROR(__xludf.DUMMYFUNCTION("""COMPUTED_VALUE"""),"N")</f>
        <v/>
      </c>
      <c r="AF443" s="45" t="n"/>
      <c r="AG443" s="49">
        <f>IFERROR(__xludf.DUMMYFUNCTION("IFNA(vlookup(H443,IMPORTRANGE(""1vUGwO1n0QQGx9kKbO0_M5gmuhXZ6-LaxQxgrmJnzgP0"",""'TP# look up'!A:C""),3,0),"""")"),"")</f>
        <v/>
      </c>
      <c r="AH443" s="49">
        <f>LEFT(J443,2)</f>
        <v/>
      </c>
    </row>
    <row r="444" ht="12.75" customHeight="1">
      <c r="A444" s="45">
        <f>IFERROR(__xludf.DUMMYFUNCTION("""COMPUTED_VALUE"""),"Colombo")</f>
        <v/>
      </c>
      <c r="B444" s="45" t="n"/>
      <c r="C444" s="45">
        <f>IFERROR(__xludf.DUMMYFUNCTION("""COMPUTED_VALUE"""),3254508)</f>
        <v/>
      </c>
      <c r="D444" s="45" t="n"/>
      <c r="E444" s="45">
        <f>IFERROR(__xludf.DUMMYFUNCTION("""COMPUTED_VALUE"""),"CFS")</f>
        <v/>
      </c>
      <c r="F444" s="45">
        <f>IFERROR(__xludf.DUMMYFUNCTION("""COMPUTED_VALUE"""),"MAS AMITY PTE LTD")</f>
        <v/>
      </c>
      <c r="G444" s="45">
        <f>IFERROR(__xludf.DUMMYFUNCTION("""COMPUTED_VALUE"""),"MAS Active (Pvt) Ltd - Linea Intimo")</f>
        <v/>
      </c>
      <c r="H444" s="43">
        <f>IFERROR(__xludf.DUMMYFUNCTION("""COMPUTED_VALUE"""),454700903665)</f>
        <v/>
      </c>
      <c r="I444" s="45">
        <f>IFERROR(__xludf.DUMMYFUNCTION("""COMPUTED_VALUE"""),19900430)</f>
        <v/>
      </c>
      <c r="J444" s="45">
        <f>IFERROR(__xludf.DUMMYFUNCTION("""COMPUTED_VALUE"""),"LW3DFMS")</f>
        <v/>
      </c>
      <c r="K444" s="45">
        <f>IFERROR(__xludf.DUMMYFUNCTION("""COMPUTED_VALUE"""),"LW3DFMS-062659")</f>
        <v/>
      </c>
      <c r="L444" s="45">
        <f>IFERROR(__xludf.DUMMYFUNCTION("""COMPUTED_VALUE"""),8)</f>
        <v/>
      </c>
      <c r="M444" s="45">
        <f>IFERROR(__xludf.DUMMYFUNCTION("""COMPUTED_VALUE"""),469)</f>
        <v/>
      </c>
      <c r="N444" s="45">
        <f>IFERROR(__xludf.DUMMYFUNCTION("""COMPUTED_VALUE"""),61.232)</f>
        <v/>
      </c>
      <c r="O444" s="45">
        <f>IFERROR(__xludf.DUMMYFUNCTION("""COMPUTED_VALUE"""),0.474)</f>
        <v/>
      </c>
      <c r="P444" s="45">
        <f>IFERROR(__xludf.DUMMYFUNCTION("""COMPUTED_VALUE"""),"Colombo, LK")</f>
        <v/>
      </c>
      <c r="Q444" s="45">
        <f>IFERROR(__xludf.DUMMYFUNCTION("""COMPUTED_VALUE"""),"New York, NY, US")</f>
        <v/>
      </c>
      <c r="R444" s="44">
        <f>IFERROR(__xludf.DUMMYFUNCTION("""COMPUTED_VALUE"""),45824)</f>
        <v/>
      </c>
      <c r="S444" s="44">
        <f>IFERROR(__xludf.DUMMYFUNCTION("""COMPUTED_VALUE"""),45883)</f>
        <v/>
      </c>
      <c r="T444" s="45">
        <f>IFERROR(__xludf.DUMMYFUNCTION("""COMPUTED_VALUE"""),"Milton, ON, CA")</f>
        <v/>
      </c>
      <c r="U444" s="45" t="n"/>
      <c r="V444" s="45" t="n"/>
      <c r="W444" s="45" t="n"/>
      <c r="X444" s="45" t="n"/>
      <c r="Y444" s="46">
        <f>IFERROR(__xludf.DUMMYFUNCTION("""COMPUTED_VALUE"""),45832)</f>
        <v/>
      </c>
      <c r="Z444" s="46">
        <f>IFERROR(__xludf.DUMMYFUNCTION("""COMPUTED_VALUE"""),45861)</f>
        <v/>
      </c>
      <c r="AA444" s="46">
        <f>IFERROR(__xludf.DUMMYFUNCTION("""COMPUTED_VALUE"""),45874)</f>
        <v/>
      </c>
      <c r="AB444" s="45">
        <f>IFERROR(__xludf.DUMMYFUNCTION("""COMPUTED_VALUE"""),"7211 Fifth Line")</f>
        <v/>
      </c>
      <c r="AC444" s="45" t="n"/>
      <c r="AD444" s="45">
        <f>IFERROR(__xludf.DUMMYFUNCTION("""COMPUTED_VALUE"""),"OCEAN")</f>
        <v/>
      </c>
      <c r="AE444" s="45">
        <f>IFERROR(__xludf.DUMMYFUNCTION("""COMPUTED_VALUE"""),"N")</f>
        <v/>
      </c>
      <c r="AF444" s="45" t="n"/>
      <c r="AG444" s="49">
        <f>IFERROR(__xludf.DUMMYFUNCTION("IFNA(vlookup(H444,IMPORTRANGE(""1vUGwO1n0QQGx9kKbO0_M5gmuhXZ6-LaxQxgrmJnzgP0"",""'TP# look up'!A:C""),3,0),"""")"),"")</f>
        <v/>
      </c>
      <c r="AH444" s="49">
        <f>LEFT(J444,2)</f>
        <v/>
      </c>
    </row>
    <row r="445" ht="12.75" customHeight="1">
      <c r="A445" s="45">
        <f>IFERROR(__xludf.DUMMYFUNCTION("""COMPUTED_VALUE"""),"Colombo")</f>
        <v/>
      </c>
      <c r="B445" s="45" t="n"/>
      <c r="C445" s="45">
        <f>IFERROR(__xludf.DUMMYFUNCTION("""COMPUTED_VALUE"""),3254508)</f>
        <v/>
      </c>
      <c r="D445" s="45" t="n"/>
      <c r="E445" s="45">
        <f>IFERROR(__xludf.DUMMYFUNCTION("""COMPUTED_VALUE"""),"CFS")</f>
        <v/>
      </c>
      <c r="F445" s="45">
        <f>IFERROR(__xludf.DUMMYFUNCTION("""COMPUTED_VALUE"""),"MAS AMITY PTE LTD")</f>
        <v/>
      </c>
      <c r="G445" s="45">
        <f>IFERROR(__xludf.DUMMYFUNCTION("""COMPUTED_VALUE"""),"MAS Active (Pvt) Ltd - Linea Intimo")</f>
        <v/>
      </c>
      <c r="H445" s="43">
        <f>IFERROR(__xludf.DUMMYFUNCTION("""COMPUTED_VALUE"""),454701117988)</f>
        <v/>
      </c>
      <c r="I445" s="45">
        <f>IFERROR(__xludf.DUMMYFUNCTION("""COMPUTED_VALUE"""),19900444)</f>
        <v/>
      </c>
      <c r="J445" s="45">
        <f>IFERROR(__xludf.DUMMYFUNCTION("""COMPUTED_VALUE"""),"LW3DFMS")</f>
        <v/>
      </c>
      <c r="K445" s="45">
        <f>IFERROR(__xludf.DUMMYFUNCTION("""COMPUTED_VALUE"""),"LW3DFMS-071178")</f>
        <v/>
      </c>
      <c r="L445" s="45">
        <f>IFERROR(__xludf.DUMMYFUNCTION("""COMPUTED_VALUE"""),2)</f>
        <v/>
      </c>
      <c r="M445" s="45">
        <f>IFERROR(__xludf.DUMMYFUNCTION("""COMPUTED_VALUE"""),94)</f>
        <v/>
      </c>
      <c r="N445" s="45">
        <f>IFERROR(__xludf.DUMMYFUNCTION("""COMPUTED_VALUE"""),12.34)</f>
        <v/>
      </c>
      <c r="O445" s="45">
        <f>IFERROR(__xludf.DUMMYFUNCTION("""COMPUTED_VALUE"""),0.119)</f>
        <v/>
      </c>
      <c r="P445" s="45">
        <f>IFERROR(__xludf.DUMMYFUNCTION("""COMPUTED_VALUE"""),"Colombo, LK")</f>
        <v/>
      </c>
      <c r="Q445" s="45">
        <f>IFERROR(__xludf.DUMMYFUNCTION("""COMPUTED_VALUE"""),"New York, NY, US")</f>
        <v/>
      </c>
      <c r="R445" s="44">
        <f>IFERROR(__xludf.DUMMYFUNCTION("""COMPUTED_VALUE"""),45824)</f>
        <v/>
      </c>
      <c r="S445" s="44">
        <f>IFERROR(__xludf.DUMMYFUNCTION("""COMPUTED_VALUE"""),45883)</f>
        <v/>
      </c>
      <c r="T445" s="45">
        <f>IFERROR(__xludf.DUMMYFUNCTION("""COMPUTED_VALUE"""),"Milton, ON, CA")</f>
        <v/>
      </c>
      <c r="U445" s="45" t="n"/>
      <c r="V445" s="45" t="n"/>
      <c r="W445" s="45" t="n"/>
      <c r="X445" s="45" t="n"/>
      <c r="Y445" s="46">
        <f>IFERROR(__xludf.DUMMYFUNCTION("""COMPUTED_VALUE"""),45832)</f>
        <v/>
      </c>
      <c r="Z445" s="46">
        <f>IFERROR(__xludf.DUMMYFUNCTION("""COMPUTED_VALUE"""),45861)</f>
        <v/>
      </c>
      <c r="AA445" s="46">
        <f>IFERROR(__xludf.DUMMYFUNCTION("""COMPUTED_VALUE"""),45874)</f>
        <v/>
      </c>
      <c r="AB445" s="45">
        <f>IFERROR(__xludf.DUMMYFUNCTION("""COMPUTED_VALUE"""),"7211 Fifth Line")</f>
        <v/>
      </c>
      <c r="AC445" s="45" t="n"/>
      <c r="AD445" s="45">
        <f>IFERROR(__xludf.DUMMYFUNCTION("""COMPUTED_VALUE"""),"OCEAN")</f>
        <v/>
      </c>
      <c r="AE445" s="45">
        <f>IFERROR(__xludf.DUMMYFUNCTION("""COMPUTED_VALUE"""),"N")</f>
        <v/>
      </c>
      <c r="AF445" s="45" t="n"/>
      <c r="AG445" s="49">
        <f>IFERROR(__xludf.DUMMYFUNCTION("IFNA(vlookup(H445,IMPORTRANGE(""1vUGwO1n0QQGx9kKbO0_M5gmuhXZ6-LaxQxgrmJnzgP0"",""'TP# look up'!A:C""),3,0),"""")"),"")</f>
        <v/>
      </c>
      <c r="AH445" s="49">
        <f>LEFT(J445,2)</f>
        <v/>
      </c>
    </row>
    <row r="446" ht="12.75" customHeight="1">
      <c r="A446" s="45">
        <f>IFERROR(__xludf.DUMMYFUNCTION("""COMPUTED_VALUE"""),"Colombo")</f>
        <v/>
      </c>
      <c r="B446" s="45" t="n"/>
      <c r="C446" s="45">
        <f>IFERROR(__xludf.DUMMYFUNCTION("""COMPUTED_VALUE"""),3254508)</f>
        <v/>
      </c>
      <c r="D446" s="45" t="n"/>
      <c r="E446" s="45">
        <f>IFERROR(__xludf.DUMMYFUNCTION("""COMPUTED_VALUE"""),"CFS")</f>
        <v/>
      </c>
      <c r="F446" s="45">
        <f>IFERROR(__xludf.DUMMYFUNCTION("""COMPUTED_VALUE"""),"MAS AMITY PTE LTD")</f>
        <v/>
      </c>
      <c r="G446" s="45">
        <f>IFERROR(__xludf.DUMMYFUNCTION("""COMPUTED_VALUE"""),"MAS Active (Pvt) Ltd - Linea Intimo")</f>
        <v/>
      </c>
      <c r="H446" s="43">
        <f>IFERROR(__xludf.DUMMYFUNCTION("""COMPUTED_VALUE"""),454701118361)</f>
        <v/>
      </c>
      <c r="I446" s="45">
        <f>IFERROR(__xludf.DUMMYFUNCTION("""COMPUTED_VALUE"""),19900496)</f>
        <v/>
      </c>
      <c r="J446" s="45">
        <f>IFERROR(__xludf.DUMMYFUNCTION("""COMPUTED_VALUE"""),"LW3JE9S")</f>
        <v/>
      </c>
      <c r="K446" s="45">
        <f>IFERROR(__xludf.DUMMYFUNCTION("""COMPUTED_VALUE"""),"LW3JE9S-4780")</f>
        <v/>
      </c>
      <c r="L446" s="45">
        <f>IFERROR(__xludf.DUMMYFUNCTION("""COMPUTED_VALUE"""),11)</f>
        <v/>
      </c>
      <c r="M446" s="45">
        <f>IFERROR(__xludf.DUMMYFUNCTION("""COMPUTED_VALUE"""),687)</f>
        <v/>
      </c>
      <c r="N446" s="45">
        <f>IFERROR(__xludf.DUMMYFUNCTION("""COMPUTED_VALUE"""),126.54)</f>
        <v/>
      </c>
      <c r="O446" s="45">
        <f>IFERROR(__xludf.DUMMYFUNCTION("""COMPUTED_VALUE"""),0.829)</f>
        <v/>
      </c>
      <c r="P446" s="45">
        <f>IFERROR(__xludf.DUMMYFUNCTION("""COMPUTED_VALUE"""),"Colombo, LK")</f>
        <v/>
      </c>
      <c r="Q446" s="45">
        <f>IFERROR(__xludf.DUMMYFUNCTION("""COMPUTED_VALUE"""),"New York, NY, US")</f>
        <v/>
      </c>
      <c r="R446" s="44">
        <f>IFERROR(__xludf.DUMMYFUNCTION("""COMPUTED_VALUE"""),45824)</f>
        <v/>
      </c>
      <c r="S446" s="44">
        <f>IFERROR(__xludf.DUMMYFUNCTION("""COMPUTED_VALUE"""),45883)</f>
        <v/>
      </c>
      <c r="T446" s="45">
        <f>IFERROR(__xludf.DUMMYFUNCTION("""COMPUTED_VALUE"""),"Milton, ON, CA")</f>
        <v/>
      </c>
      <c r="U446" s="45" t="n"/>
      <c r="V446" s="45" t="n"/>
      <c r="W446" s="45" t="n"/>
      <c r="X446" s="45" t="n"/>
      <c r="Y446" s="46">
        <f>IFERROR(__xludf.DUMMYFUNCTION("""COMPUTED_VALUE"""),45832)</f>
        <v/>
      </c>
      <c r="Z446" s="46">
        <f>IFERROR(__xludf.DUMMYFUNCTION("""COMPUTED_VALUE"""),45861)</f>
        <v/>
      </c>
      <c r="AA446" s="46">
        <f>IFERROR(__xludf.DUMMYFUNCTION("""COMPUTED_VALUE"""),45874)</f>
        <v/>
      </c>
      <c r="AB446" s="45">
        <f>IFERROR(__xludf.DUMMYFUNCTION("""COMPUTED_VALUE"""),"7211 Fifth Line")</f>
        <v/>
      </c>
      <c r="AC446" s="45" t="n"/>
      <c r="AD446" s="45">
        <f>IFERROR(__xludf.DUMMYFUNCTION("""COMPUTED_VALUE"""),"OCEAN")</f>
        <v/>
      </c>
      <c r="AE446" s="45">
        <f>IFERROR(__xludf.DUMMYFUNCTION("""COMPUTED_VALUE"""),"N")</f>
        <v/>
      </c>
      <c r="AF446" s="45" t="n"/>
      <c r="AG446" s="49">
        <f>IFERROR(__xludf.DUMMYFUNCTION("IFNA(vlookup(H446,IMPORTRANGE(""1vUGwO1n0QQGx9kKbO0_M5gmuhXZ6-LaxQxgrmJnzgP0"",""'TP# look up'!A:C""),3,0),"""")"),"")</f>
        <v/>
      </c>
      <c r="AH446" s="49">
        <f>LEFT(J446,2)</f>
        <v/>
      </c>
    </row>
    <row r="447" ht="12.75" customHeight="1">
      <c r="A447" s="45">
        <f>IFERROR(__xludf.DUMMYFUNCTION("""COMPUTED_VALUE"""),"Colombo")</f>
        <v/>
      </c>
      <c r="B447" s="45" t="n"/>
      <c r="C447" s="45">
        <f>IFERROR(__xludf.DUMMYFUNCTION("""COMPUTED_VALUE"""),3254508)</f>
        <v/>
      </c>
      <c r="D447" s="45" t="n"/>
      <c r="E447" s="45">
        <f>IFERROR(__xludf.DUMMYFUNCTION("""COMPUTED_VALUE"""),"CFS")</f>
        <v/>
      </c>
      <c r="F447" s="45">
        <f>IFERROR(__xludf.DUMMYFUNCTION("""COMPUTED_VALUE"""),"MAS AMITY PTE LTD")</f>
        <v/>
      </c>
      <c r="G447" s="45">
        <f>IFERROR(__xludf.DUMMYFUNCTION("""COMPUTED_VALUE"""),"MAS Active (Pvt) Ltd - Linea Intimo")</f>
        <v/>
      </c>
      <c r="H447" s="43">
        <f>IFERROR(__xludf.DUMMYFUNCTION("""COMPUTED_VALUE"""),454701233029)</f>
        <v/>
      </c>
      <c r="I447" s="45">
        <f>IFERROR(__xludf.DUMMYFUNCTION("""COMPUTED_VALUE"""),19900451)</f>
        <v/>
      </c>
      <c r="J447" s="45">
        <f>IFERROR(__xludf.DUMMYFUNCTION("""COMPUTED_VALUE"""),"LW3DFNS")</f>
        <v/>
      </c>
      <c r="K447" s="45">
        <f>IFERROR(__xludf.DUMMYFUNCTION("""COMPUTED_VALUE"""),"LW3DFNS-0572")</f>
        <v/>
      </c>
      <c r="L447" s="45">
        <f>IFERROR(__xludf.DUMMYFUNCTION("""COMPUTED_VALUE"""),18)</f>
        <v/>
      </c>
      <c r="M447" s="45">
        <f>IFERROR(__xludf.DUMMYFUNCTION("""COMPUTED_VALUE"""),1695)</f>
        <v/>
      </c>
      <c r="N447" s="45">
        <f>IFERROR(__xludf.DUMMYFUNCTION("""COMPUTED_VALUE"""),198.66)</f>
        <v/>
      </c>
      <c r="O447" s="45">
        <f>IFERROR(__xludf.DUMMYFUNCTION("""COMPUTED_VALUE"""),1.348)</f>
        <v/>
      </c>
      <c r="P447" s="45">
        <f>IFERROR(__xludf.DUMMYFUNCTION("""COMPUTED_VALUE"""),"Colombo, LK")</f>
        <v/>
      </c>
      <c r="Q447" s="45">
        <f>IFERROR(__xludf.DUMMYFUNCTION("""COMPUTED_VALUE"""),"New York, NY, US")</f>
        <v/>
      </c>
      <c r="R447" s="44">
        <f>IFERROR(__xludf.DUMMYFUNCTION("""COMPUTED_VALUE"""),45824)</f>
        <v/>
      </c>
      <c r="S447" s="44">
        <f>IFERROR(__xludf.DUMMYFUNCTION("""COMPUTED_VALUE"""),45883)</f>
        <v/>
      </c>
      <c r="T447" s="45">
        <f>IFERROR(__xludf.DUMMYFUNCTION("""COMPUTED_VALUE"""),"Milton, ON, CA")</f>
        <v/>
      </c>
      <c r="U447" s="45" t="n"/>
      <c r="V447" s="45" t="n"/>
      <c r="W447" s="45" t="n"/>
      <c r="X447" s="45" t="n"/>
      <c r="Y447" s="46">
        <f>IFERROR(__xludf.DUMMYFUNCTION("""COMPUTED_VALUE"""),45832)</f>
        <v/>
      </c>
      <c r="Z447" s="46">
        <f>IFERROR(__xludf.DUMMYFUNCTION("""COMPUTED_VALUE"""),45861)</f>
        <v/>
      </c>
      <c r="AA447" s="46">
        <f>IFERROR(__xludf.DUMMYFUNCTION("""COMPUTED_VALUE"""),45874)</f>
        <v/>
      </c>
      <c r="AB447" s="45">
        <f>IFERROR(__xludf.DUMMYFUNCTION("""COMPUTED_VALUE"""),"7211 Fifth Line")</f>
        <v/>
      </c>
      <c r="AC447" s="45" t="n"/>
      <c r="AD447" s="45">
        <f>IFERROR(__xludf.DUMMYFUNCTION("""COMPUTED_VALUE"""),"OCEAN")</f>
        <v/>
      </c>
      <c r="AE447" s="45">
        <f>IFERROR(__xludf.DUMMYFUNCTION("""COMPUTED_VALUE"""),"N")</f>
        <v/>
      </c>
      <c r="AF447" s="45" t="n"/>
      <c r="AG447" s="49">
        <f>IFERROR(__xludf.DUMMYFUNCTION("IFNA(vlookup(H447,IMPORTRANGE(""1vUGwO1n0QQGx9kKbO0_M5gmuhXZ6-LaxQxgrmJnzgP0"",""'TP# look up'!A:C""),3,0),"""")"),"")</f>
        <v/>
      </c>
      <c r="AH447" s="49">
        <f>LEFT(J447,2)</f>
        <v/>
      </c>
    </row>
    <row r="448" ht="12.75" customHeight="1">
      <c r="A448" s="45">
        <f>IFERROR(__xludf.DUMMYFUNCTION("""COMPUTED_VALUE"""),"Colombo")</f>
        <v/>
      </c>
      <c r="B448" s="45" t="n"/>
      <c r="C448" s="45">
        <f>IFERROR(__xludf.DUMMYFUNCTION("""COMPUTED_VALUE"""),3254508)</f>
        <v/>
      </c>
      <c r="D448" s="45" t="n"/>
      <c r="E448" s="45">
        <f>IFERROR(__xludf.DUMMYFUNCTION("""COMPUTED_VALUE"""),"CFS")</f>
        <v/>
      </c>
      <c r="F448" s="45">
        <f>IFERROR(__xludf.DUMMYFUNCTION("""COMPUTED_VALUE"""),"MAS AMITY PTE LTD")</f>
        <v/>
      </c>
      <c r="G448" s="45">
        <f>IFERROR(__xludf.DUMMYFUNCTION("""COMPUTED_VALUE"""),"MAS Active (Pvt) Ltd - Linea Intimo")</f>
        <v/>
      </c>
      <c r="H448" s="43">
        <f>IFERROR(__xludf.DUMMYFUNCTION("""COMPUTED_VALUE"""),454701612929)</f>
        <v/>
      </c>
      <c r="I448" s="45">
        <f>IFERROR(__xludf.DUMMYFUNCTION("""COMPUTED_VALUE"""),19900474)</f>
        <v/>
      </c>
      <c r="J448" s="45">
        <f>IFERROR(__xludf.DUMMYFUNCTION("""COMPUTED_VALUE"""),"LW3DOBS")</f>
        <v/>
      </c>
      <c r="K448" s="45">
        <f>IFERROR(__xludf.DUMMYFUNCTION("""COMPUTED_VALUE"""),"LW3DOBS-071365")</f>
        <v/>
      </c>
      <c r="L448" s="45">
        <f>IFERROR(__xludf.DUMMYFUNCTION("""COMPUTED_VALUE"""),5)</f>
        <v/>
      </c>
      <c r="M448" s="45">
        <f>IFERROR(__xludf.DUMMYFUNCTION("""COMPUTED_VALUE"""),187)</f>
        <v/>
      </c>
      <c r="N448" s="45">
        <f>IFERROR(__xludf.DUMMYFUNCTION("""COMPUTED_VALUE"""),32.222)</f>
        <v/>
      </c>
      <c r="O448" s="45">
        <f>IFERROR(__xludf.DUMMYFUNCTION("""COMPUTED_VALUE"""),0.355)</f>
        <v/>
      </c>
      <c r="P448" s="45">
        <f>IFERROR(__xludf.DUMMYFUNCTION("""COMPUTED_VALUE"""),"Colombo, LK")</f>
        <v/>
      </c>
      <c r="Q448" s="45">
        <f>IFERROR(__xludf.DUMMYFUNCTION("""COMPUTED_VALUE"""),"New York, NY, US")</f>
        <v/>
      </c>
      <c r="R448" s="44">
        <f>IFERROR(__xludf.DUMMYFUNCTION("""COMPUTED_VALUE"""),45824)</f>
        <v/>
      </c>
      <c r="S448" s="44">
        <f>IFERROR(__xludf.DUMMYFUNCTION("""COMPUTED_VALUE"""),45883)</f>
        <v/>
      </c>
      <c r="T448" s="45">
        <f>IFERROR(__xludf.DUMMYFUNCTION("""COMPUTED_VALUE"""),"Milton, ON, CA")</f>
        <v/>
      </c>
      <c r="U448" s="45" t="n"/>
      <c r="V448" s="45" t="n"/>
      <c r="W448" s="45" t="n"/>
      <c r="X448" s="45" t="n"/>
      <c r="Y448" s="46">
        <f>IFERROR(__xludf.DUMMYFUNCTION("""COMPUTED_VALUE"""),45832)</f>
        <v/>
      </c>
      <c r="Z448" s="46">
        <f>IFERROR(__xludf.DUMMYFUNCTION("""COMPUTED_VALUE"""),45861)</f>
        <v/>
      </c>
      <c r="AA448" s="46">
        <f>IFERROR(__xludf.DUMMYFUNCTION("""COMPUTED_VALUE"""),45874)</f>
        <v/>
      </c>
      <c r="AB448" s="45">
        <f>IFERROR(__xludf.DUMMYFUNCTION("""COMPUTED_VALUE"""),"7211 Fifth Line")</f>
        <v/>
      </c>
      <c r="AC448" s="45" t="n"/>
      <c r="AD448" s="45">
        <f>IFERROR(__xludf.DUMMYFUNCTION("""COMPUTED_VALUE"""),"OCEAN")</f>
        <v/>
      </c>
      <c r="AE448" s="45">
        <f>IFERROR(__xludf.DUMMYFUNCTION("""COMPUTED_VALUE"""),"N")</f>
        <v/>
      </c>
      <c r="AF448" s="45" t="n"/>
      <c r="AG448" s="49">
        <f>IFERROR(__xludf.DUMMYFUNCTION("IFNA(vlookup(H448,IMPORTRANGE(""1vUGwO1n0QQGx9kKbO0_M5gmuhXZ6-LaxQxgrmJnzgP0"",""'TP# look up'!A:C""),3,0),"""")"),"")</f>
        <v/>
      </c>
      <c r="AH448" s="49">
        <f>LEFT(J448,2)</f>
        <v/>
      </c>
    </row>
    <row r="449" ht="12.75" customHeight="1">
      <c r="A449" s="45">
        <f>IFERROR(__xludf.DUMMYFUNCTION("""COMPUTED_VALUE"""),"Colombo")</f>
        <v/>
      </c>
      <c r="B449" s="45" t="n"/>
      <c r="C449" s="45">
        <f>IFERROR(__xludf.DUMMYFUNCTION("""COMPUTED_VALUE"""),3254508)</f>
        <v/>
      </c>
      <c r="D449" s="45" t="n"/>
      <c r="E449" s="45">
        <f>IFERROR(__xludf.DUMMYFUNCTION("""COMPUTED_VALUE"""),"CFS")</f>
        <v/>
      </c>
      <c r="F449" s="45">
        <f>IFERROR(__xludf.DUMMYFUNCTION("""COMPUTED_VALUE"""),"MAS AMITY PTE LTD")</f>
        <v/>
      </c>
      <c r="G449" s="45">
        <f>IFERROR(__xludf.DUMMYFUNCTION("""COMPUTED_VALUE"""),"MAS Active (Pvt) Ltd - Linea Intimo")</f>
        <v/>
      </c>
      <c r="H449" s="43">
        <f>IFERROR(__xludf.DUMMYFUNCTION("""COMPUTED_VALUE"""),454703725465)</f>
        <v/>
      </c>
      <c r="I449" s="45">
        <f>IFERROR(__xludf.DUMMYFUNCTION("""COMPUTED_VALUE"""),19911862)</f>
        <v/>
      </c>
      <c r="J449" s="45">
        <f>IFERROR(__xludf.DUMMYFUNCTION("""COMPUTED_VALUE"""),"LW3JE9S")</f>
        <v/>
      </c>
      <c r="K449" s="45">
        <f>IFERROR(__xludf.DUMMYFUNCTION("""COMPUTED_VALUE"""),"LW3JE9S-0572")</f>
        <v/>
      </c>
      <c r="L449" s="45">
        <f>IFERROR(__xludf.DUMMYFUNCTION("""COMPUTED_VALUE"""),5)</f>
        <v/>
      </c>
      <c r="M449" s="45">
        <f>IFERROR(__xludf.DUMMYFUNCTION("""COMPUTED_VALUE"""),269)</f>
        <v/>
      </c>
      <c r="N449" s="45">
        <f>IFERROR(__xludf.DUMMYFUNCTION("""COMPUTED_VALUE"""),53.487)</f>
        <v/>
      </c>
      <c r="O449" s="45">
        <f>IFERROR(__xludf.DUMMYFUNCTION("""COMPUTED_VALUE"""),0.395)</f>
        <v/>
      </c>
      <c r="P449" s="45">
        <f>IFERROR(__xludf.DUMMYFUNCTION("""COMPUTED_VALUE"""),"Colombo, LK")</f>
        <v/>
      </c>
      <c r="Q449" s="45">
        <f>IFERROR(__xludf.DUMMYFUNCTION("""COMPUTED_VALUE"""),"New York, NY, US")</f>
        <v/>
      </c>
      <c r="R449" s="44">
        <f>IFERROR(__xludf.DUMMYFUNCTION("""COMPUTED_VALUE"""),45824)</f>
        <v/>
      </c>
      <c r="S449" s="44">
        <f>IFERROR(__xludf.DUMMYFUNCTION("""COMPUTED_VALUE"""),45883)</f>
        <v/>
      </c>
      <c r="T449" s="45">
        <f>IFERROR(__xludf.DUMMYFUNCTION("""COMPUTED_VALUE"""),"Mississauga, ON, CA")</f>
        <v/>
      </c>
      <c r="U449" s="45" t="n"/>
      <c r="V449" s="45" t="n"/>
      <c r="W449" s="45" t="n"/>
      <c r="X449" s="45" t="n"/>
      <c r="Y449" s="46">
        <f>IFERROR(__xludf.DUMMYFUNCTION("""COMPUTED_VALUE"""),45832)</f>
        <v/>
      </c>
      <c r="Z449" s="46">
        <f>IFERROR(__xludf.DUMMYFUNCTION("""COMPUTED_VALUE"""),45861)</f>
        <v/>
      </c>
      <c r="AA449" s="46">
        <f>IFERROR(__xludf.DUMMYFUNCTION("""COMPUTED_VALUE"""),45874)</f>
        <v/>
      </c>
      <c r="AB449" s="45">
        <f>IFERROR(__xludf.DUMMYFUNCTION("""COMPUTED_VALUE"""),"3500 Argentia Road")</f>
        <v/>
      </c>
      <c r="AC449" s="45" t="n"/>
      <c r="AD449" s="45">
        <f>IFERROR(__xludf.DUMMYFUNCTION("""COMPUTED_VALUE"""),"OCEAN")</f>
        <v/>
      </c>
      <c r="AE449" s="45">
        <f>IFERROR(__xludf.DUMMYFUNCTION("""COMPUTED_VALUE"""),"N")</f>
        <v/>
      </c>
      <c r="AF449" s="45" t="n"/>
      <c r="AG449" s="49">
        <f>IFERROR(__xludf.DUMMYFUNCTION("IFNA(vlookup(H449,IMPORTRANGE(""1vUGwO1n0QQGx9kKbO0_M5gmuhXZ6-LaxQxgrmJnzgP0"",""'TP# look up'!A:C""),3,0),"""")"),"")</f>
        <v/>
      </c>
      <c r="AH449" s="49">
        <f>LEFT(J449,2)</f>
        <v/>
      </c>
    </row>
    <row r="450" ht="12.75" customHeight="1">
      <c r="A450" s="45">
        <f>IFERROR(__xludf.DUMMYFUNCTION("""COMPUTED_VALUE"""),"Colombo")</f>
        <v/>
      </c>
      <c r="B450" s="45" t="n"/>
      <c r="C450" s="45">
        <f>IFERROR(__xludf.DUMMYFUNCTION("""COMPUTED_VALUE"""),3254508)</f>
        <v/>
      </c>
      <c r="D450" s="45" t="n"/>
      <c r="E450" s="45">
        <f>IFERROR(__xludf.DUMMYFUNCTION("""COMPUTED_VALUE"""),"CFS")</f>
        <v/>
      </c>
      <c r="F450" s="45">
        <f>IFERROR(__xludf.DUMMYFUNCTION("""COMPUTED_VALUE"""),"MAS AMITY PTE LTD")</f>
        <v/>
      </c>
      <c r="G450" s="45">
        <f>IFERROR(__xludf.DUMMYFUNCTION("""COMPUTED_VALUE"""),"MAS Active (Pvt) Ltd - Linea Intimo")</f>
        <v/>
      </c>
      <c r="H450" s="43">
        <f>IFERROR(__xludf.DUMMYFUNCTION("""COMPUTED_VALUE"""),454703726031)</f>
        <v/>
      </c>
      <c r="I450" s="45">
        <f>IFERROR(__xludf.DUMMYFUNCTION("""COMPUTED_VALUE"""),19911951)</f>
        <v/>
      </c>
      <c r="J450" s="45">
        <f>IFERROR(__xludf.DUMMYFUNCTION("""COMPUTED_VALUE"""),"LM3F64S")</f>
        <v/>
      </c>
      <c r="K450" s="45">
        <f>IFERROR(__xludf.DUMMYFUNCTION("""COMPUTED_VALUE"""),"LM3F64S-071159")</f>
        <v/>
      </c>
      <c r="L450" s="45">
        <f>IFERROR(__xludf.DUMMYFUNCTION("""COMPUTED_VALUE"""),3)</f>
        <v/>
      </c>
      <c r="M450" s="45">
        <f>IFERROR(__xludf.DUMMYFUNCTION("""COMPUTED_VALUE"""),46)</f>
        <v/>
      </c>
      <c r="N450" s="45">
        <f>IFERROR(__xludf.DUMMYFUNCTION("""COMPUTED_VALUE"""),12.385)</f>
        <v/>
      </c>
      <c r="O450" s="45">
        <f>IFERROR(__xludf.DUMMYFUNCTION("""COMPUTED_VALUE"""),0.158)</f>
        <v/>
      </c>
      <c r="P450" s="45">
        <f>IFERROR(__xludf.DUMMYFUNCTION("""COMPUTED_VALUE"""),"Colombo, LK")</f>
        <v/>
      </c>
      <c r="Q450" s="45">
        <f>IFERROR(__xludf.DUMMYFUNCTION("""COMPUTED_VALUE"""),"New York, NY, US")</f>
        <v/>
      </c>
      <c r="R450" s="44">
        <f>IFERROR(__xludf.DUMMYFUNCTION("""COMPUTED_VALUE"""),45824)</f>
        <v/>
      </c>
      <c r="S450" s="44">
        <f>IFERROR(__xludf.DUMMYFUNCTION("""COMPUTED_VALUE"""),45883)</f>
        <v/>
      </c>
      <c r="T450" s="45">
        <f>IFERROR(__xludf.DUMMYFUNCTION("""COMPUTED_VALUE"""),"Mississauga, ON, CA")</f>
        <v/>
      </c>
      <c r="U450" s="45" t="n"/>
      <c r="V450" s="45" t="n"/>
      <c r="W450" s="45" t="n"/>
      <c r="X450" s="45" t="n"/>
      <c r="Y450" s="46">
        <f>IFERROR(__xludf.DUMMYFUNCTION("""COMPUTED_VALUE"""),45832)</f>
        <v/>
      </c>
      <c r="Z450" s="46">
        <f>IFERROR(__xludf.DUMMYFUNCTION("""COMPUTED_VALUE"""),45861)</f>
        <v/>
      </c>
      <c r="AA450" s="46">
        <f>IFERROR(__xludf.DUMMYFUNCTION("""COMPUTED_VALUE"""),45874)</f>
        <v/>
      </c>
      <c r="AB450" s="45">
        <f>IFERROR(__xludf.DUMMYFUNCTION("""COMPUTED_VALUE"""),"3500 Argentia Road")</f>
        <v/>
      </c>
      <c r="AC450" s="45" t="n"/>
      <c r="AD450" s="45">
        <f>IFERROR(__xludf.DUMMYFUNCTION("""COMPUTED_VALUE"""),"OCEAN")</f>
        <v/>
      </c>
      <c r="AE450" s="45">
        <f>IFERROR(__xludf.DUMMYFUNCTION("""COMPUTED_VALUE"""),"N")</f>
        <v/>
      </c>
      <c r="AF450" s="45" t="n"/>
      <c r="AG450" s="49">
        <f>IFERROR(__xludf.DUMMYFUNCTION("IFNA(vlookup(H450,IMPORTRANGE(""1vUGwO1n0QQGx9kKbO0_M5gmuhXZ6-LaxQxgrmJnzgP0"",""'TP# look up'!A:C""),3,0),"""")"),"")</f>
        <v/>
      </c>
      <c r="AH450" s="49">
        <f>LEFT(J450,2)</f>
        <v/>
      </c>
    </row>
    <row r="451" ht="12.75" customHeight="1">
      <c r="A451" s="45">
        <f>IFERROR(__xludf.DUMMYFUNCTION("""COMPUTED_VALUE"""),"Colombo")</f>
        <v/>
      </c>
      <c r="B451" s="45" t="n"/>
      <c r="C451" s="45">
        <f>IFERROR(__xludf.DUMMYFUNCTION("""COMPUTED_VALUE"""),3254508)</f>
        <v/>
      </c>
      <c r="D451" s="45" t="n"/>
      <c r="E451" s="45">
        <f>IFERROR(__xludf.DUMMYFUNCTION("""COMPUTED_VALUE"""),"CFS")</f>
        <v/>
      </c>
      <c r="F451" s="45">
        <f>IFERROR(__xludf.DUMMYFUNCTION("""COMPUTED_VALUE"""),"MAS AMITY PTE LTD")</f>
        <v/>
      </c>
      <c r="G451" s="45">
        <f>IFERROR(__xludf.DUMMYFUNCTION("""COMPUTED_VALUE"""),"MAS Active (Pvt) Ltd - Linea Intimo")</f>
        <v/>
      </c>
      <c r="H451" s="43">
        <f>IFERROR(__xludf.DUMMYFUNCTION("""COMPUTED_VALUE"""),454704211021)</f>
        <v/>
      </c>
      <c r="I451" s="45">
        <f>IFERROR(__xludf.DUMMYFUNCTION("""COMPUTED_VALUE"""),19911845)</f>
        <v/>
      </c>
      <c r="J451" s="45">
        <f>IFERROR(__xludf.DUMMYFUNCTION("""COMPUTED_VALUE"""),"LW3JE9S")</f>
        <v/>
      </c>
      <c r="K451" s="45">
        <f>IFERROR(__xludf.DUMMYFUNCTION("""COMPUTED_VALUE"""),"LW3JE9S-042836")</f>
        <v/>
      </c>
      <c r="L451" s="45">
        <f>IFERROR(__xludf.DUMMYFUNCTION("""COMPUTED_VALUE"""),5)</f>
        <v/>
      </c>
      <c r="M451" s="45">
        <f>IFERROR(__xludf.DUMMYFUNCTION("""COMPUTED_VALUE"""),203)</f>
        <v/>
      </c>
      <c r="N451" s="45">
        <f>IFERROR(__xludf.DUMMYFUNCTION("""COMPUTED_VALUE"""),41.402)</f>
        <v/>
      </c>
      <c r="O451" s="45">
        <f>IFERROR(__xludf.DUMMYFUNCTION("""COMPUTED_VALUE"""),0.355)</f>
        <v/>
      </c>
      <c r="P451" s="45">
        <f>IFERROR(__xludf.DUMMYFUNCTION("""COMPUTED_VALUE"""),"Colombo, LK")</f>
        <v/>
      </c>
      <c r="Q451" s="45">
        <f>IFERROR(__xludf.DUMMYFUNCTION("""COMPUTED_VALUE"""),"New York, NY, US")</f>
        <v/>
      </c>
      <c r="R451" s="44">
        <f>IFERROR(__xludf.DUMMYFUNCTION("""COMPUTED_VALUE"""),45824)</f>
        <v/>
      </c>
      <c r="S451" s="44">
        <f>IFERROR(__xludf.DUMMYFUNCTION("""COMPUTED_VALUE"""),45883)</f>
        <v/>
      </c>
      <c r="T451" s="45">
        <f>IFERROR(__xludf.DUMMYFUNCTION("""COMPUTED_VALUE"""),"Mississauga, ON, CA")</f>
        <v/>
      </c>
      <c r="U451" s="45" t="n"/>
      <c r="V451" s="45" t="n"/>
      <c r="W451" s="45" t="n"/>
      <c r="X451" s="45" t="n"/>
      <c r="Y451" s="46">
        <f>IFERROR(__xludf.DUMMYFUNCTION("""COMPUTED_VALUE"""),45832)</f>
        <v/>
      </c>
      <c r="Z451" s="46">
        <f>IFERROR(__xludf.DUMMYFUNCTION("""COMPUTED_VALUE"""),45861)</f>
        <v/>
      </c>
      <c r="AA451" s="46">
        <f>IFERROR(__xludf.DUMMYFUNCTION("""COMPUTED_VALUE"""),45874)</f>
        <v/>
      </c>
      <c r="AB451" s="45">
        <f>IFERROR(__xludf.DUMMYFUNCTION("""COMPUTED_VALUE"""),"3500 Argentia Road")</f>
        <v/>
      </c>
      <c r="AC451" s="45" t="n"/>
      <c r="AD451" s="45">
        <f>IFERROR(__xludf.DUMMYFUNCTION("""COMPUTED_VALUE"""),"OCEAN")</f>
        <v/>
      </c>
      <c r="AE451" s="45">
        <f>IFERROR(__xludf.DUMMYFUNCTION("""COMPUTED_VALUE"""),"N")</f>
        <v/>
      </c>
      <c r="AF451" s="45" t="n"/>
      <c r="AG451" s="49">
        <f>IFERROR(__xludf.DUMMYFUNCTION("IFNA(vlookup(H451,IMPORTRANGE(""1vUGwO1n0QQGx9kKbO0_M5gmuhXZ6-LaxQxgrmJnzgP0"",""'TP# look up'!A:C""),3,0),"""")"),"")</f>
        <v/>
      </c>
      <c r="AH451" s="49">
        <f>LEFT(J451,2)</f>
        <v/>
      </c>
    </row>
    <row r="452" ht="12.75" customHeight="1">
      <c r="A452" s="45">
        <f>IFERROR(__xludf.DUMMYFUNCTION("""COMPUTED_VALUE"""),"Colombo")</f>
        <v/>
      </c>
      <c r="B452" s="45" t="n"/>
      <c r="C452" s="45">
        <f>IFERROR(__xludf.DUMMYFUNCTION("""COMPUTED_VALUE"""),3254508)</f>
        <v/>
      </c>
      <c r="D452" s="45" t="n"/>
      <c r="E452" s="45">
        <f>IFERROR(__xludf.DUMMYFUNCTION("""COMPUTED_VALUE"""),"CFS")</f>
        <v/>
      </c>
      <c r="F452" s="45">
        <f>IFERROR(__xludf.DUMMYFUNCTION("""COMPUTED_VALUE"""),"MAS AMITY PTE LTD")</f>
        <v/>
      </c>
      <c r="G452" s="45">
        <f>IFERROR(__xludf.DUMMYFUNCTION("""COMPUTED_VALUE"""),"MAS Active (Pvt) Ltd - Linea Intimo")</f>
        <v/>
      </c>
      <c r="H452" s="43">
        <f>IFERROR(__xludf.DUMMYFUNCTION("""COMPUTED_VALUE"""),454705023730)</f>
        <v/>
      </c>
      <c r="I452" s="45">
        <f>IFERROR(__xludf.DUMMYFUNCTION("""COMPUTED_VALUE"""),19911878)</f>
        <v/>
      </c>
      <c r="J452" s="45">
        <f>IFERROR(__xludf.DUMMYFUNCTION("""COMPUTED_VALUE"""),"LW3JE9S")</f>
        <v/>
      </c>
      <c r="K452" s="45">
        <f>IFERROR(__xludf.DUMMYFUNCTION("""COMPUTED_VALUE"""),"LW3JE9S-012826")</f>
        <v/>
      </c>
      <c r="L452" s="45">
        <f>IFERROR(__xludf.DUMMYFUNCTION("""COMPUTED_VALUE"""),5)</f>
        <v/>
      </c>
      <c r="M452" s="45">
        <f>IFERROR(__xludf.DUMMYFUNCTION("""COMPUTED_VALUE"""),215)</f>
        <v/>
      </c>
      <c r="N452" s="45">
        <f>IFERROR(__xludf.DUMMYFUNCTION("""COMPUTED_VALUE"""),43.492)</f>
        <v/>
      </c>
      <c r="O452" s="45">
        <f>IFERROR(__xludf.DUMMYFUNCTION("""COMPUTED_VALUE"""),0.355)</f>
        <v/>
      </c>
      <c r="P452" s="45">
        <f>IFERROR(__xludf.DUMMYFUNCTION("""COMPUTED_VALUE"""),"Colombo, LK")</f>
        <v/>
      </c>
      <c r="Q452" s="45">
        <f>IFERROR(__xludf.DUMMYFUNCTION("""COMPUTED_VALUE"""),"New York, NY, US")</f>
        <v/>
      </c>
      <c r="R452" s="44">
        <f>IFERROR(__xludf.DUMMYFUNCTION("""COMPUTED_VALUE"""),45824)</f>
        <v/>
      </c>
      <c r="S452" s="44">
        <f>IFERROR(__xludf.DUMMYFUNCTION("""COMPUTED_VALUE"""),45883)</f>
        <v/>
      </c>
      <c r="T452" s="45">
        <f>IFERROR(__xludf.DUMMYFUNCTION("""COMPUTED_VALUE"""),"Mississauga, ON, CA")</f>
        <v/>
      </c>
      <c r="U452" s="45" t="n"/>
      <c r="V452" s="45" t="n"/>
      <c r="W452" s="45" t="n"/>
      <c r="X452" s="45" t="n"/>
      <c r="Y452" s="46">
        <f>IFERROR(__xludf.DUMMYFUNCTION("""COMPUTED_VALUE"""),45832)</f>
        <v/>
      </c>
      <c r="Z452" s="46">
        <f>IFERROR(__xludf.DUMMYFUNCTION("""COMPUTED_VALUE"""),45861)</f>
        <v/>
      </c>
      <c r="AA452" s="46">
        <f>IFERROR(__xludf.DUMMYFUNCTION("""COMPUTED_VALUE"""),45874)</f>
        <v/>
      </c>
      <c r="AB452" s="45">
        <f>IFERROR(__xludf.DUMMYFUNCTION("""COMPUTED_VALUE"""),"3500 Argentia Road")</f>
        <v/>
      </c>
      <c r="AC452" s="45" t="n"/>
      <c r="AD452" s="45">
        <f>IFERROR(__xludf.DUMMYFUNCTION("""COMPUTED_VALUE"""),"OCEAN")</f>
        <v/>
      </c>
      <c r="AE452" s="45">
        <f>IFERROR(__xludf.DUMMYFUNCTION("""COMPUTED_VALUE"""),"N")</f>
        <v/>
      </c>
      <c r="AF452" s="45" t="n"/>
      <c r="AG452" s="49">
        <f>IFERROR(__xludf.DUMMYFUNCTION("IFNA(vlookup(H452,IMPORTRANGE(""1vUGwO1n0QQGx9kKbO0_M5gmuhXZ6-LaxQxgrmJnzgP0"",""'TP# look up'!A:C""),3,0),"""")"),"")</f>
        <v/>
      </c>
      <c r="AH452" s="49">
        <f>LEFT(J452,2)</f>
        <v/>
      </c>
    </row>
    <row r="453" ht="12.75" customHeight="1">
      <c r="A453" s="45">
        <f>IFERROR(__xludf.DUMMYFUNCTION("""COMPUTED_VALUE"""),"Colombo")</f>
        <v/>
      </c>
      <c r="B453" s="45" t="n"/>
      <c r="C453" s="45">
        <f>IFERROR(__xludf.DUMMYFUNCTION("""COMPUTED_VALUE"""),3254508)</f>
        <v/>
      </c>
      <c r="D453" s="45" t="n"/>
      <c r="E453" s="45">
        <f>IFERROR(__xludf.DUMMYFUNCTION("""COMPUTED_VALUE"""),"CFS")</f>
        <v/>
      </c>
      <c r="F453" s="45">
        <f>IFERROR(__xludf.DUMMYFUNCTION("""COMPUTED_VALUE"""),"MAS AMITY PTE LTD")</f>
        <v/>
      </c>
      <c r="G453" s="45">
        <f>IFERROR(__xludf.DUMMYFUNCTION("""COMPUTED_VALUE"""),"MAS Active (Pvt) Ltd - Linea Intimo")</f>
        <v/>
      </c>
      <c r="H453" s="43">
        <f>IFERROR(__xludf.DUMMYFUNCTION("""COMPUTED_VALUE"""),454705502633)</f>
        <v/>
      </c>
      <c r="I453" s="45">
        <f>IFERROR(__xludf.DUMMYFUNCTION("""COMPUTED_VALUE"""),19911967)</f>
        <v/>
      </c>
      <c r="J453" s="45">
        <f>IFERROR(__xludf.DUMMYFUNCTION("""COMPUTED_VALUE"""),"LM3F64S")</f>
        <v/>
      </c>
      <c r="K453" s="45">
        <f>IFERROR(__xludf.DUMMYFUNCTION("""COMPUTED_VALUE"""),"LM3F64S-070110")</f>
        <v/>
      </c>
      <c r="L453" s="45">
        <f>IFERROR(__xludf.DUMMYFUNCTION("""COMPUTED_VALUE"""),3)</f>
        <v/>
      </c>
      <c r="M453" s="45">
        <f>IFERROR(__xludf.DUMMYFUNCTION("""COMPUTED_VALUE"""),70)</f>
        <v/>
      </c>
      <c r="N453" s="45">
        <f>IFERROR(__xludf.DUMMYFUNCTION("""COMPUTED_VALUE"""),17.733)</f>
        <v/>
      </c>
      <c r="O453" s="45">
        <f>IFERROR(__xludf.DUMMYFUNCTION("""COMPUTED_VALUE"""),0.197)</f>
        <v/>
      </c>
      <c r="P453" s="45">
        <f>IFERROR(__xludf.DUMMYFUNCTION("""COMPUTED_VALUE"""),"Colombo, LK")</f>
        <v/>
      </c>
      <c r="Q453" s="45">
        <f>IFERROR(__xludf.DUMMYFUNCTION("""COMPUTED_VALUE"""),"New York, NY, US")</f>
        <v/>
      </c>
      <c r="R453" s="44">
        <f>IFERROR(__xludf.DUMMYFUNCTION("""COMPUTED_VALUE"""),45824)</f>
        <v/>
      </c>
      <c r="S453" s="44">
        <f>IFERROR(__xludf.DUMMYFUNCTION("""COMPUTED_VALUE"""),45883)</f>
        <v/>
      </c>
      <c r="T453" s="45">
        <f>IFERROR(__xludf.DUMMYFUNCTION("""COMPUTED_VALUE"""),"Mississauga, ON, CA")</f>
        <v/>
      </c>
      <c r="U453" s="45" t="n"/>
      <c r="V453" s="45" t="n"/>
      <c r="W453" s="45" t="n"/>
      <c r="X453" s="45" t="n"/>
      <c r="Y453" s="46">
        <f>IFERROR(__xludf.DUMMYFUNCTION("""COMPUTED_VALUE"""),45832)</f>
        <v/>
      </c>
      <c r="Z453" s="46">
        <f>IFERROR(__xludf.DUMMYFUNCTION("""COMPUTED_VALUE"""),45861)</f>
        <v/>
      </c>
      <c r="AA453" s="46">
        <f>IFERROR(__xludf.DUMMYFUNCTION("""COMPUTED_VALUE"""),45874)</f>
        <v/>
      </c>
      <c r="AB453" s="45">
        <f>IFERROR(__xludf.DUMMYFUNCTION("""COMPUTED_VALUE"""),"3500 Argentia Road")</f>
        <v/>
      </c>
      <c r="AC453" s="45" t="n"/>
      <c r="AD453" s="45">
        <f>IFERROR(__xludf.DUMMYFUNCTION("""COMPUTED_VALUE"""),"OCEAN")</f>
        <v/>
      </c>
      <c r="AE453" s="45">
        <f>IFERROR(__xludf.DUMMYFUNCTION("""COMPUTED_VALUE"""),"N")</f>
        <v/>
      </c>
      <c r="AF453" s="45" t="n"/>
      <c r="AG453" s="49">
        <f>IFERROR(__xludf.DUMMYFUNCTION("IFNA(vlookup(H453,IMPORTRANGE(""1vUGwO1n0QQGx9kKbO0_M5gmuhXZ6-LaxQxgrmJnzgP0"",""'TP# look up'!A:C""),3,0),"""")"),"")</f>
        <v/>
      </c>
      <c r="AH453" s="49">
        <f>LEFT(J453,2)</f>
        <v/>
      </c>
    </row>
    <row r="454" ht="12.75" customHeight="1">
      <c r="A454" s="45">
        <f>IFERROR(__xludf.DUMMYFUNCTION("""COMPUTED_VALUE"""),"Colombo")</f>
        <v/>
      </c>
      <c r="B454" s="45" t="n"/>
      <c r="C454" s="45">
        <f>IFERROR(__xludf.DUMMYFUNCTION("""COMPUTED_VALUE"""),3254508)</f>
        <v/>
      </c>
      <c r="D454" s="45" t="n"/>
      <c r="E454" s="45">
        <f>IFERROR(__xludf.DUMMYFUNCTION("""COMPUTED_VALUE"""),"CFS")</f>
        <v/>
      </c>
      <c r="F454" s="45">
        <f>IFERROR(__xludf.DUMMYFUNCTION("""COMPUTED_VALUE"""),"MAS AMITY PTE LTD")</f>
        <v/>
      </c>
      <c r="G454" s="45">
        <f>IFERROR(__xludf.DUMMYFUNCTION("""COMPUTED_VALUE"""),"MAS Active (Pvt) Ltd - Linea Intimo")</f>
        <v/>
      </c>
      <c r="H454" s="43">
        <f>IFERROR(__xludf.DUMMYFUNCTION("""COMPUTED_VALUE"""),454705691334)</f>
        <v/>
      </c>
      <c r="I454" s="45">
        <f>IFERROR(__xludf.DUMMYFUNCTION("""COMPUTED_VALUE"""),19911975)</f>
        <v/>
      </c>
      <c r="J454" s="45">
        <f>IFERROR(__xludf.DUMMYFUNCTION("""COMPUTED_VALUE"""),"LM3FG2S")</f>
        <v/>
      </c>
      <c r="K454" s="45">
        <f>IFERROR(__xludf.DUMMYFUNCTION("""COMPUTED_VALUE"""),"LM3FG2S-0572")</f>
        <v/>
      </c>
      <c r="L454" s="45">
        <f>IFERROR(__xludf.DUMMYFUNCTION("""COMPUTED_VALUE"""),2)</f>
        <v/>
      </c>
      <c r="M454" s="45">
        <f>IFERROR(__xludf.DUMMYFUNCTION("""COMPUTED_VALUE"""),128)</f>
        <v/>
      </c>
      <c r="N454" s="45">
        <f>IFERROR(__xludf.DUMMYFUNCTION("""COMPUTED_VALUE"""),20.928)</f>
        <v/>
      </c>
      <c r="O454" s="45">
        <f>IFERROR(__xludf.DUMMYFUNCTION("""COMPUTED_VALUE"""),0.158)</f>
        <v/>
      </c>
      <c r="P454" s="45">
        <f>IFERROR(__xludf.DUMMYFUNCTION("""COMPUTED_VALUE"""),"Colombo, LK")</f>
        <v/>
      </c>
      <c r="Q454" s="45">
        <f>IFERROR(__xludf.DUMMYFUNCTION("""COMPUTED_VALUE"""),"New York, NY, US")</f>
        <v/>
      </c>
      <c r="R454" s="44">
        <f>IFERROR(__xludf.DUMMYFUNCTION("""COMPUTED_VALUE"""),45824)</f>
        <v/>
      </c>
      <c r="S454" s="44">
        <f>IFERROR(__xludf.DUMMYFUNCTION("""COMPUTED_VALUE"""),45883)</f>
        <v/>
      </c>
      <c r="T454" s="45">
        <f>IFERROR(__xludf.DUMMYFUNCTION("""COMPUTED_VALUE"""),"Mississauga, ON, CA")</f>
        <v/>
      </c>
      <c r="U454" s="45" t="n"/>
      <c r="V454" s="45" t="n"/>
      <c r="W454" s="45" t="n"/>
      <c r="X454" s="45" t="n"/>
      <c r="Y454" s="46">
        <f>IFERROR(__xludf.DUMMYFUNCTION("""COMPUTED_VALUE"""),45832)</f>
        <v/>
      </c>
      <c r="Z454" s="46">
        <f>IFERROR(__xludf.DUMMYFUNCTION("""COMPUTED_VALUE"""),45861)</f>
        <v/>
      </c>
      <c r="AA454" s="46">
        <f>IFERROR(__xludf.DUMMYFUNCTION("""COMPUTED_VALUE"""),45874)</f>
        <v/>
      </c>
      <c r="AB454" s="45">
        <f>IFERROR(__xludf.DUMMYFUNCTION("""COMPUTED_VALUE"""),"3500 Argentia Road")</f>
        <v/>
      </c>
      <c r="AC454" s="45" t="n"/>
      <c r="AD454" s="45">
        <f>IFERROR(__xludf.DUMMYFUNCTION("""COMPUTED_VALUE"""),"OCEAN")</f>
        <v/>
      </c>
      <c r="AE454" s="45">
        <f>IFERROR(__xludf.DUMMYFUNCTION("""COMPUTED_VALUE"""),"N")</f>
        <v/>
      </c>
      <c r="AF454" s="45" t="n"/>
      <c r="AG454" s="49">
        <f>IFERROR(__xludf.DUMMYFUNCTION("IFNA(vlookup(H454,IMPORTRANGE(""1vUGwO1n0QQGx9kKbO0_M5gmuhXZ6-LaxQxgrmJnzgP0"",""'TP# look up'!A:C""),3,0),"""")"),"")</f>
        <v/>
      </c>
      <c r="AH454" s="49">
        <f>LEFT(J454,2)</f>
        <v/>
      </c>
    </row>
    <row r="455" ht="12.75" customHeight="1">
      <c r="A455" s="45">
        <f>IFERROR(__xludf.DUMMYFUNCTION("""COMPUTED_VALUE"""),"Colombo")</f>
        <v/>
      </c>
      <c r="B455" s="45" t="n"/>
      <c r="C455" s="45">
        <f>IFERROR(__xludf.DUMMYFUNCTION("""COMPUTED_VALUE"""),3254508)</f>
        <v/>
      </c>
      <c r="D455" s="45" t="n"/>
      <c r="E455" s="45">
        <f>IFERROR(__xludf.DUMMYFUNCTION("""COMPUTED_VALUE"""),"CFS")</f>
        <v/>
      </c>
      <c r="F455" s="45">
        <f>IFERROR(__xludf.DUMMYFUNCTION("""COMPUTED_VALUE"""),"MAS AMITY PTE LTD")</f>
        <v/>
      </c>
      <c r="G455" s="45">
        <f>IFERROR(__xludf.DUMMYFUNCTION("""COMPUTED_VALUE"""),"MAS Active (Pvt) Ltd - Linea Intimo")</f>
        <v/>
      </c>
      <c r="H455" s="43">
        <f>IFERROR(__xludf.DUMMYFUNCTION("""COMPUTED_VALUE"""),454706023813)</f>
        <v/>
      </c>
      <c r="I455" s="45">
        <f>IFERROR(__xludf.DUMMYFUNCTION("""COMPUTED_VALUE"""),19912128)</f>
        <v/>
      </c>
      <c r="J455" s="45">
        <f>IFERROR(__xludf.DUMMYFUNCTION("""COMPUTED_VALUE"""),"LM3FHKS")</f>
        <v/>
      </c>
      <c r="K455" s="45">
        <f>IFERROR(__xludf.DUMMYFUNCTION("""COMPUTED_VALUE"""),"LM3FHKS-070561")</f>
        <v/>
      </c>
      <c r="L455" s="45">
        <f>IFERROR(__xludf.DUMMYFUNCTION("""COMPUTED_VALUE"""),2)</f>
        <v/>
      </c>
      <c r="M455" s="45">
        <f>IFERROR(__xludf.DUMMYFUNCTION("""COMPUTED_VALUE"""),79)</f>
        <v/>
      </c>
      <c r="N455" s="45">
        <f>IFERROR(__xludf.DUMMYFUNCTION("""COMPUTED_VALUE"""),17.236)</f>
        <v/>
      </c>
      <c r="O455" s="45">
        <f>IFERROR(__xludf.DUMMYFUNCTION("""COMPUTED_VALUE"""),0.118)</f>
        <v/>
      </c>
      <c r="P455" s="45">
        <f>IFERROR(__xludf.DUMMYFUNCTION("""COMPUTED_VALUE"""),"Colombo, LK")</f>
        <v/>
      </c>
      <c r="Q455" s="45">
        <f>IFERROR(__xludf.DUMMYFUNCTION("""COMPUTED_VALUE"""),"New York, NY, US")</f>
        <v/>
      </c>
      <c r="R455" s="44">
        <f>IFERROR(__xludf.DUMMYFUNCTION("""COMPUTED_VALUE"""),45824)</f>
        <v/>
      </c>
      <c r="S455" s="44">
        <f>IFERROR(__xludf.DUMMYFUNCTION("""COMPUTED_VALUE"""),45883)</f>
        <v/>
      </c>
      <c r="T455" s="45">
        <f>IFERROR(__xludf.DUMMYFUNCTION("""COMPUTED_VALUE"""),"Mississauga, ON, CA")</f>
        <v/>
      </c>
      <c r="U455" s="45" t="n"/>
      <c r="V455" s="45" t="n"/>
      <c r="W455" s="45" t="n"/>
      <c r="X455" s="45" t="n"/>
      <c r="Y455" s="46">
        <f>IFERROR(__xludf.DUMMYFUNCTION("""COMPUTED_VALUE"""),45832)</f>
        <v/>
      </c>
      <c r="Z455" s="46">
        <f>IFERROR(__xludf.DUMMYFUNCTION("""COMPUTED_VALUE"""),45861)</f>
        <v/>
      </c>
      <c r="AA455" s="46">
        <f>IFERROR(__xludf.DUMMYFUNCTION("""COMPUTED_VALUE"""),45874)</f>
        <v/>
      </c>
      <c r="AB455" s="45">
        <f>IFERROR(__xludf.DUMMYFUNCTION("""COMPUTED_VALUE"""),"3500 Argentia Road")</f>
        <v/>
      </c>
      <c r="AC455" s="45" t="n"/>
      <c r="AD455" s="45">
        <f>IFERROR(__xludf.DUMMYFUNCTION("""COMPUTED_VALUE"""),"OCEAN")</f>
        <v/>
      </c>
      <c r="AE455" s="45">
        <f>IFERROR(__xludf.DUMMYFUNCTION("""COMPUTED_VALUE"""),"N")</f>
        <v/>
      </c>
      <c r="AF455" s="45" t="n"/>
      <c r="AG455" s="49">
        <f>IFERROR(__xludf.DUMMYFUNCTION("IFNA(vlookup(H455,IMPORTRANGE(""1vUGwO1n0QQGx9kKbO0_M5gmuhXZ6-LaxQxgrmJnzgP0"",""'TP# look up'!A:C""),3,0),"""")"),"")</f>
        <v/>
      </c>
      <c r="AH455" s="49">
        <f>LEFT(J455,2)</f>
        <v/>
      </c>
    </row>
    <row r="456" ht="12.75" customHeight="1">
      <c r="A456" s="45">
        <f>IFERROR(__xludf.DUMMYFUNCTION("""COMPUTED_VALUE"""),"Colombo")</f>
        <v/>
      </c>
      <c r="B456" s="45" t="n"/>
      <c r="C456" s="45">
        <f>IFERROR(__xludf.DUMMYFUNCTION("""COMPUTED_VALUE"""),3254508)</f>
        <v/>
      </c>
      <c r="D456" s="45" t="n"/>
      <c r="E456" s="45">
        <f>IFERROR(__xludf.DUMMYFUNCTION("""COMPUTED_VALUE"""),"CFS")</f>
        <v/>
      </c>
      <c r="F456" s="45">
        <f>IFERROR(__xludf.DUMMYFUNCTION("""COMPUTED_VALUE"""),"MAS AMITY PTE LTD")</f>
        <v/>
      </c>
      <c r="G456" s="45">
        <f>IFERROR(__xludf.DUMMYFUNCTION("""COMPUTED_VALUE"""),"MAS Active (Pvt) Ltd - Linea Intimo")</f>
        <v/>
      </c>
      <c r="H456" s="43">
        <f>IFERROR(__xludf.DUMMYFUNCTION("""COMPUTED_VALUE"""),454706080383)</f>
        <v/>
      </c>
      <c r="I456" s="45">
        <f>IFERROR(__xludf.DUMMYFUNCTION("""COMPUTED_VALUE"""),19912833)</f>
        <v/>
      </c>
      <c r="J456" s="45">
        <f>IFERROR(__xludf.DUMMYFUNCTION("""COMPUTED_VALUE"""),"LW3DFLS")</f>
        <v/>
      </c>
      <c r="K456" s="45">
        <f>IFERROR(__xludf.DUMMYFUNCTION("""COMPUTED_VALUE"""),"LW3DFLS-012826")</f>
        <v/>
      </c>
      <c r="L456" s="45">
        <f>IFERROR(__xludf.DUMMYFUNCTION("""COMPUTED_VALUE"""),10)</f>
        <v/>
      </c>
      <c r="M456" s="45">
        <f>IFERROR(__xludf.DUMMYFUNCTION("""COMPUTED_VALUE"""),469)</f>
        <v/>
      </c>
      <c r="N456" s="45">
        <f>IFERROR(__xludf.DUMMYFUNCTION("""COMPUTED_VALUE"""),87.441)</f>
        <v/>
      </c>
      <c r="O456" s="45">
        <f>IFERROR(__xludf.DUMMYFUNCTION("""COMPUTED_VALUE"""),0.671)</f>
        <v/>
      </c>
      <c r="P456" s="45">
        <f>IFERROR(__xludf.DUMMYFUNCTION("""COMPUTED_VALUE"""),"Colombo, LK")</f>
        <v/>
      </c>
      <c r="Q456" s="45">
        <f>IFERROR(__xludf.DUMMYFUNCTION("""COMPUTED_VALUE"""),"New York, NY, US")</f>
        <v/>
      </c>
      <c r="R456" s="44">
        <f>IFERROR(__xludf.DUMMYFUNCTION("""COMPUTED_VALUE"""),45824)</f>
        <v/>
      </c>
      <c r="S456" s="44">
        <f>IFERROR(__xludf.DUMMYFUNCTION("""COMPUTED_VALUE"""),45883)</f>
        <v/>
      </c>
      <c r="T456" s="45">
        <f>IFERROR(__xludf.DUMMYFUNCTION("""COMPUTED_VALUE"""),"Mississauga, ON, CA")</f>
        <v/>
      </c>
      <c r="U456" s="45" t="n"/>
      <c r="V456" s="45" t="n"/>
      <c r="W456" s="45" t="n"/>
      <c r="X456" s="45" t="n"/>
      <c r="Y456" s="46">
        <f>IFERROR(__xludf.DUMMYFUNCTION("""COMPUTED_VALUE"""),45832)</f>
        <v/>
      </c>
      <c r="Z456" s="46">
        <f>IFERROR(__xludf.DUMMYFUNCTION("""COMPUTED_VALUE"""),45861)</f>
        <v/>
      </c>
      <c r="AA456" s="46">
        <f>IFERROR(__xludf.DUMMYFUNCTION("""COMPUTED_VALUE"""),45874)</f>
        <v/>
      </c>
      <c r="AB456" s="45">
        <f>IFERROR(__xludf.DUMMYFUNCTION("""COMPUTED_VALUE"""),"3500 Argentia Road")</f>
        <v/>
      </c>
      <c r="AC456" s="45" t="n"/>
      <c r="AD456" s="45">
        <f>IFERROR(__xludf.DUMMYFUNCTION("""COMPUTED_VALUE"""),"OCEAN")</f>
        <v/>
      </c>
      <c r="AE456" s="45">
        <f>IFERROR(__xludf.DUMMYFUNCTION("""COMPUTED_VALUE"""),"N")</f>
        <v/>
      </c>
      <c r="AF456" s="45" t="n"/>
      <c r="AG456" s="49">
        <f>IFERROR(__xludf.DUMMYFUNCTION("IFNA(vlookup(H456,IMPORTRANGE(""1vUGwO1n0QQGx9kKbO0_M5gmuhXZ6-LaxQxgrmJnzgP0"",""'TP# look up'!A:C""),3,0),"""")"),"")</f>
        <v/>
      </c>
      <c r="AH456" s="49">
        <f>LEFT(J456,2)</f>
        <v/>
      </c>
    </row>
    <row r="457" ht="12.75" customHeight="1">
      <c r="A457" s="45">
        <f>IFERROR(__xludf.DUMMYFUNCTION("""COMPUTED_VALUE"""),"Colombo")</f>
        <v/>
      </c>
      <c r="B457" s="45" t="n"/>
      <c r="C457" s="45">
        <f>IFERROR(__xludf.DUMMYFUNCTION("""COMPUTED_VALUE"""),3254508)</f>
        <v/>
      </c>
      <c r="D457" s="45" t="n"/>
      <c r="E457" s="45">
        <f>IFERROR(__xludf.DUMMYFUNCTION("""COMPUTED_VALUE"""),"CFS")</f>
        <v/>
      </c>
      <c r="F457" s="45">
        <f>IFERROR(__xludf.DUMMYFUNCTION("""COMPUTED_VALUE"""),"MAS AMITY PTE LTD")</f>
        <v/>
      </c>
      <c r="G457" s="45">
        <f>IFERROR(__xludf.DUMMYFUNCTION("""COMPUTED_VALUE"""),"MAS Active (Pvt) Ltd - Linea Intimo")</f>
        <v/>
      </c>
      <c r="H457" s="43">
        <f>IFERROR(__xludf.DUMMYFUNCTION("""COMPUTED_VALUE"""),454706121015)</f>
        <v/>
      </c>
      <c r="I457" s="45">
        <f>IFERROR(__xludf.DUMMYFUNCTION("""COMPUTED_VALUE"""),19912083)</f>
        <v/>
      </c>
      <c r="J457" s="45">
        <f>IFERROR(__xludf.DUMMYFUNCTION("""COMPUTED_VALUE"""),"LM3FHKS")</f>
        <v/>
      </c>
      <c r="K457" s="45">
        <f>IFERROR(__xludf.DUMMYFUNCTION("""COMPUTED_VALUE"""),"LM3FHKS-071162")</f>
        <v/>
      </c>
      <c r="L457" s="45">
        <f>IFERROR(__xludf.DUMMYFUNCTION("""COMPUTED_VALUE"""),2)</f>
        <v/>
      </c>
      <c r="M457" s="45">
        <f>IFERROR(__xludf.DUMMYFUNCTION("""COMPUTED_VALUE"""),66)</f>
        <v/>
      </c>
      <c r="N457" s="45">
        <f>IFERROR(__xludf.DUMMYFUNCTION("""COMPUTED_VALUE"""),14.717)</f>
        <v/>
      </c>
      <c r="O457" s="45">
        <f>IFERROR(__xludf.DUMMYFUNCTION("""COMPUTED_VALUE"""),0.118)</f>
        <v/>
      </c>
      <c r="P457" s="45">
        <f>IFERROR(__xludf.DUMMYFUNCTION("""COMPUTED_VALUE"""),"Colombo, LK")</f>
        <v/>
      </c>
      <c r="Q457" s="45">
        <f>IFERROR(__xludf.DUMMYFUNCTION("""COMPUTED_VALUE"""),"New York, NY, US")</f>
        <v/>
      </c>
      <c r="R457" s="44">
        <f>IFERROR(__xludf.DUMMYFUNCTION("""COMPUTED_VALUE"""),45824)</f>
        <v/>
      </c>
      <c r="S457" s="44">
        <f>IFERROR(__xludf.DUMMYFUNCTION("""COMPUTED_VALUE"""),45883)</f>
        <v/>
      </c>
      <c r="T457" s="45">
        <f>IFERROR(__xludf.DUMMYFUNCTION("""COMPUTED_VALUE"""),"Mississauga, ON, CA")</f>
        <v/>
      </c>
      <c r="U457" s="45" t="n"/>
      <c r="V457" s="45" t="n"/>
      <c r="W457" s="45" t="n"/>
      <c r="X457" s="45" t="n"/>
      <c r="Y457" s="46">
        <f>IFERROR(__xludf.DUMMYFUNCTION("""COMPUTED_VALUE"""),45832)</f>
        <v/>
      </c>
      <c r="Z457" s="46">
        <f>IFERROR(__xludf.DUMMYFUNCTION("""COMPUTED_VALUE"""),45861)</f>
        <v/>
      </c>
      <c r="AA457" s="46">
        <f>IFERROR(__xludf.DUMMYFUNCTION("""COMPUTED_VALUE"""),45874)</f>
        <v/>
      </c>
      <c r="AB457" s="45">
        <f>IFERROR(__xludf.DUMMYFUNCTION("""COMPUTED_VALUE"""),"3500 Argentia Road")</f>
        <v/>
      </c>
      <c r="AC457" s="45" t="n"/>
      <c r="AD457" s="45">
        <f>IFERROR(__xludf.DUMMYFUNCTION("""COMPUTED_VALUE"""),"OCEAN")</f>
        <v/>
      </c>
      <c r="AE457" s="45">
        <f>IFERROR(__xludf.DUMMYFUNCTION("""COMPUTED_VALUE"""),"N")</f>
        <v/>
      </c>
      <c r="AF457" s="45" t="n"/>
      <c r="AG457" s="49">
        <f>IFERROR(__xludf.DUMMYFUNCTION("IFNA(vlookup(H457,IMPORTRANGE(""1vUGwO1n0QQGx9kKbO0_M5gmuhXZ6-LaxQxgrmJnzgP0"",""'TP# look up'!A:C""),3,0),"""")"),"")</f>
        <v/>
      </c>
      <c r="AH457" s="49">
        <f>LEFT(J457,2)</f>
        <v/>
      </c>
    </row>
    <row r="458" ht="12.75" customHeight="1">
      <c r="A458" s="45">
        <f>IFERROR(__xludf.DUMMYFUNCTION("""COMPUTED_VALUE"""),"Colombo")</f>
        <v/>
      </c>
      <c r="B458" s="45" t="n"/>
      <c r="C458" s="45">
        <f>IFERROR(__xludf.DUMMYFUNCTION("""COMPUTED_VALUE"""),3254508)</f>
        <v/>
      </c>
      <c r="D458" s="45" t="n"/>
      <c r="E458" s="45">
        <f>IFERROR(__xludf.DUMMYFUNCTION("""COMPUTED_VALUE"""),"CFS")</f>
        <v/>
      </c>
      <c r="F458" s="45">
        <f>IFERROR(__xludf.DUMMYFUNCTION("""COMPUTED_VALUE"""),"MAS AMITY PTE LTD")</f>
        <v/>
      </c>
      <c r="G458" s="45">
        <f>IFERROR(__xludf.DUMMYFUNCTION("""COMPUTED_VALUE"""),"MAS Active (Pvt) Ltd - Linea Intimo")</f>
        <v/>
      </c>
      <c r="H458" s="43">
        <f>IFERROR(__xludf.DUMMYFUNCTION("""COMPUTED_VALUE"""),454706405931)</f>
        <v/>
      </c>
      <c r="I458" s="45">
        <f>IFERROR(__xludf.DUMMYFUNCTION("""COMPUTED_VALUE"""),19913413)</f>
        <v/>
      </c>
      <c r="J458" s="45">
        <f>IFERROR(__xludf.DUMMYFUNCTION("""COMPUTED_VALUE"""),"LW3JE9S")</f>
        <v/>
      </c>
      <c r="K458" s="45">
        <f>IFERROR(__xludf.DUMMYFUNCTION("""COMPUTED_VALUE"""),"LW3JE9S-4780")</f>
        <v/>
      </c>
      <c r="L458" s="45">
        <f>IFERROR(__xludf.DUMMYFUNCTION("""COMPUTED_VALUE"""),11)</f>
        <v/>
      </c>
      <c r="M458" s="45">
        <f>IFERROR(__xludf.DUMMYFUNCTION("""COMPUTED_VALUE"""),686)</f>
        <v/>
      </c>
      <c r="N458" s="45">
        <f>IFERROR(__xludf.DUMMYFUNCTION("""COMPUTED_VALUE"""),132.919)</f>
        <v/>
      </c>
      <c r="O458" s="45">
        <f>IFERROR(__xludf.DUMMYFUNCTION("""COMPUTED_VALUE"""),0.869)</f>
        <v/>
      </c>
      <c r="P458" s="45">
        <f>IFERROR(__xludf.DUMMYFUNCTION("""COMPUTED_VALUE"""),"Colombo, LK")</f>
        <v/>
      </c>
      <c r="Q458" s="45">
        <f>IFERROR(__xludf.DUMMYFUNCTION("""COMPUTED_VALUE"""),"New York, NY, US")</f>
        <v/>
      </c>
      <c r="R458" s="44">
        <f>IFERROR(__xludf.DUMMYFUNCTION("""COMPUTED_VALUE"""),45824)</f>
        <v/>
      </c>
      <c r="S458" s="44">
        <f>IFERROR(__xludf.DUMMYFUNCTION("""COMPUTED_VALUE"""),45883)</f>
        <v/>
      </c>
      <c r="T458" s="45">
        <f>IFERROR(__xludf.DUMMYFUNCTION("""COMPUTED_VALUE"""),"Mississauga, ON, CA")</f>
        <v/>
      </c>
      <c r="U458" s="45" t="n"/>
      <c r="V458" s="45" t="n"/>
      <c r="W458" s="45" t="n"/>
      <c r="X458" s="45" t="n"/>
      <c r="Y458" s="46">
        <f>IFERROR(__xludf.DUMMYFUNCTION("""COMPUTED_VALUE"""),45832)</f>
        <v/>
      </c>
      <c r="Z458" s="46">
        <f>IFERROR(__xludf.DUMMYFUNCTION("""COMPUTED_VALUE"""),45861)</f>
        <v/>
      </c>
      <c r="AA458" s="46">
        <f>IFERROR(__xludf.DUMMYFUNCTION("""COMPUTED_VALUE"""),45874)</f>
        <v/>
      </c>
      <c r="AB458" s="45">
        <f>IFERROR(__xludf.DUMMYFUNCTION("""COMPUTED_VALUE"""),"3500 Argentia Road")</f>
        <v/>
      </c>
      <c r="AC458" s="45" t="n"/>
      <c r="AD458" s="45">
        <f>IFERROR(__xludf.DUMMYFUNCTION("""COMPUTED_VALUE"""),"OCEAN")</f>
        <v/>
      </c>
      <c r="AE458" s="45">
        <f>IFERROR(__xludf.DUMMYFUNCTION("""COMPUTED_VALUE"""),"N")</f>
        <v/>
      </c>
      <c r="AF458" s="45" t="n"/>
      <c r="AG458" s="49">
        <f>IFERROR(__xludf.DUMMYFUNCTION("IFNA(vlookup(H458,IMPORTRANGE(""1vUGwO1n0QQGx9kKbO0_M5gmuhXZ6-LaxQxgrmJnzgP0"",""'TP# look up'!A:C""),3,0),"""")"),"")</f>
        <v/>
      </c>
      <c r="AH458" s="49">
        <f>LEFT(J458,2)</f>
        <v/>
      </c>
    </row>
    <row r="459" ht="12.75" customHeight="1">
      <c r="A459" s="45">
        <f>IFERROR(__xludf.DUMMYFUNCTION("""COMPUTED_VALUE"""),"Colombo")</f>
        <v/>
      </c>
      <c r="B459" s="45" t="n"/>
      <c r="C459" s="45">
        <f>IFERROR(__xludf.DUMMYFUNCTION("""COMPUTED_VALUE"""),3254508)</f>
        <v/>
      </c>
      <c r="D459" s="45" t="n"/>
      <c r="E459" s="45">
        <f>IFERROR(__xludf.DUMMYFUNCTION("""COMPUTED_VALUE"""),"CFS")</f>
        <v/>
      </c>
      <c r="F459" s="45">
        <f>IFERROR(__xludf.DUMMYFUNCTION("""COMPUTED_VALUE"""),"MAS AMITY PTE LTD")</f>
        <v/>
      </c>
      <c r="G459" s="45">
        <f>IFERROR(__xludf.DUMMYFUNCTION("""COMPUTED_VALUE"""),"MAS Active (Pvt) Ltd - Linea Intimo")</f>
        <v/>
      </c>
      <c r="H459" s="43">
        <f>IFERROR(__xludf.DUMMYFUNCTION("""COMPUTED_VALUE"""),454706712546)</f>
        <v/>
      </c>
      <c r="I459" s="45">
        <f>IFERROR(__xludf.DUMMYFUNCTION("""COMPUTED_VALUE"""),19913277)</f>
        <v/>
      </c>
      <c r="J459" s="45">
        <f>IFERROR(__xludf.DUMMYFUNCTION("""COMPUTED_VALUE"""),"LW3FQHS")</f>
        <v/>
      </c>
      <c r="K459" s="45">
        <f>IFERROR(__xludf.DUMMYFUNCTION("""COMPUTED_VALUE"""),"LW3FQHS-0572")</f>
        <v/>
      </c>
      <c r="L459" s="45">
        <f>IFERROR(__xludf.DUMMYFUNCTION("""COMPUTED_VALUE"""),9)</f>
        <v/>
      </c>
      <c r="M459" s="45">
        <f>IFERROR(__xludf.DUMMYFUNCTION("""COMPUTED_VALUE"""),1031)</f>
        <v/>
      </c>
      <c r="N459" s="45">
        <f>IFERROR(__xludf.DUMMYFUNCTION("""COMPUTED_VALUE"""),101.09)</f>
        <v/>
      </c>
      <c r="O459" s="45">
        <f>IFERROR(__xludf.DUMMYFUNCTION("""COMPUTED_VALUE"""),0.674)</f>
        <v/>
      </c>
      <c r="P459" s="45">
        <f>IFERROR(__xludf.DUMMYFUNCTION("""COMPUTED_VALUE"""),"Colombo, LK")</f>
        <v/>
      </c>
      <c r="Q459" s="45">
        <f>IFERROR(__xludf.DUMMYFUNCTION("""COMPUTED_VALUE"""),"New York, NY, US")</f>
        <v/>
      </c>
      <c r="R459" s="44">
        <f>IFERROR(__xludf.DUMMYFUNCTION("""COMPUTED_VALUE"""),45824)</f>
        <v/>
      </c>
      <c r="S459" s="44">
        <f>IFERROR(__xludf.DUMMYFUNCTION("""COMPUTED_VALUE"""),45883)</f>
        <v/>
      </c>
      <c r="T459" s="45">
        <f>IFERROR(__xludf.DUMMYFUNCTION("""COMPUTED_VALUE"""),"Mississauga, ON, CA")</f>
        <v/>
      </c>
      <c r="U459" s="45" t="n"/>
      <c r="V459" s="45" t="n"/>
      <c r="W459" s="45" t="n"/>
      <c r="X459" s="45" t="n"/>
      <c r="Y459" s="46">
        <f>IFERROR(__xludf.DUMMYFUNCTION("""COMPUTED_VALUE"""),45832)</f>
        <v/>
      </c>
      <c r="Z459" s="46">
        <f>IFERROR(__xludf.DUMMYFUNCTION("""COMPUTED_VALUE"""),45861)</f>
        <v/>
      </c>
      <c r="AA459" s="46">
        <f>IFERROR(__xludf.DUMMYFUNCTION("""COMPUTED_VALUE"""),45874)</f>
        <v/>
      </c>
      <c r="AB459" s="45">
        <f>IFERROR(__xludf.DUMMYFUNCTION("""COMPUTED_VALUE"""),"3500 Argentia Road")</f>
        <v/>
      </c>
      <c r="AC459" s="45" t="n"/>
      <c r="AD459" s="45">
        <f>IFERROR(__xludf.DUMMYFUNCTION("""COMPUTED_VALUE"""),"OCEAN")</f>
        <v/>
      </c>
      <c r="AE459" s="45">
        <f>IFERROR(__xludf.DUMMYFUNCTION("""COMPUTED_VALUE"""),"N")</f>
        <v/>
      </c>
      <c r="AF459" s="45" t="n"/>
      <c r="AG459" s="49">
        <f>IFERROR(__xludf.DUMMYFUNCTION("IFNA(vlookup(H459,IMPORTRANGE(""1vUGwO1n0QQGx9kKbO0_M5gmuhXZ6-LaxQxgrmJnzgP0"",""'TP# look up'!A:C""),3,0),"""")"),"")</f>
        <v/>
      </c>
      <c r="AH459" s="49">
        <f>LEFT(J459,2)</f>
        <v/>
      </c>
    </row>
    <row r="460" ht="12.75" customHeight="1">
      <c r="A460" s="45">
        <f>IFERROR(__xludf.DUMMYFUNCTION("""COMPUTED_VALUE"""),"Colombo")</f>
        <v/>
      </c>
      <c r="B460" s="45" t="n"/>
      <c r="C460" s="45">
        <f>IFERROR(__xludf.DUMMYFUNCTION("""COMPUTED_VALUE"""),3254508)</f>
        <v/>
      </c>
      <c r="D460" s="45" t="n"/>
      <c r="E460" s="45">
        <f>IFERROR(__xludf.DUMMYFUNCTION("""COMPUTED_VALUE"""),"CFS")</f>
        <v/>
      </c>
      <c r="F460" s="45">
        <f>IFERROR(__xludf.DUMMYFUNCTION("""COMPUTED_VALUE"""),"MAS AMITY PTE LTD")</f>
        <v/>
      </c>
      <c r="G460" s="45">
        <f>IFERROR(__xludf.DUMMYFUNCTION("""COMPUTED_VALUE"""),"MAS Active (Pvt) Ltd - Linea Intimo")</f>
        <v/>
      </c>
      <c r="H460" s="43">
        <f>IFERROR(__xludf.DUMMYFUNCTION("""COMPUTED_VALUE"""),454706949394)</f>
        <v/>
      </c>
      <c r="I460" s="45">
        <f>IFERROR(__xludf.DUMMYFUNCTION("""COMPUTED_VALUE"""),19913431)</f>
        <v/>
      </c>
      <c r="J460" s="45">
        <f>IFERROR(__xludf.DUMMYFUNCTION("""COMPUTED_VALUE"""),"LW3JE9S")</f>
        <v/>
      </c>
      <c r="K460" s="45">
        <f>IFERROR(__xludf.DUMMYFUNCTION("""COMPUTED_VALUE"""),"LW3JE9S-042836")</f>
        <v/>
      </c>
      <c r="L460" s="45">
        <f>IFERROR(__xludf.DUMMYFUNCTION("""COMPUTED_VALUE"""),6)</f>
        <v/>
      </c>
      <c r="M460" s="45">
        <f>IFERROR(__xludf.DUMMYFUNCTION("""COMPUTED_VALUE"""),366)</f>
        <v/>
      </c>
      <c r="N460" s="45">
        <f>IFERROR(__xludf.DUMMYFUNCTION("""COMPUTED_VALUE"""),71.025)</f>
        <v/>
      </c>
      <c r="O460" s="45">
        <f>IFERROR(__xludf.DUMMYFUNCTION("""COMPUTED_VALUE"""),0.474)</f>
        <v/>
      </c>
      <c r="P460" s="45">
        <f>IFERROR(__xludf.DUMMYFUNCTION("""COMPUTED_VALUE"""),"Colombo, LK")</f>
        <v/>
      </c>
      <c r="Q460" s="45">
        <f>IFERROR(__xludf.DUMMYFUNCTION("""COMPUTED_VALUE"""),"New York, NY, US")</f>
        <v/>
      </c>
      <c r="R460" s="44">
        <f>IFERROR(__xludf.DUMMYFUNCTION("""COMPUTED_VALUE"""),45824)</f>
        <v/>
      </c>
      <c r="S460" s="44">
        <f>IFERROR(__xludf.DUMMYFUNCTION("""COMPUTED_VALUE"""),45883)</f>
        <v/>
      </c>
      <c r="T460" s="45">
        <f>IFERROR(__xludf.DUMMYFUNCTION("""COMPUTED_VALUE"""),"Mississauga, ON, CA")</f>
        <v/>
      </c>
      <c r="U460" s="45" t="n"/>
      <c r="V460" s="45" t="n"/>
      <c r="W460" s="45" t="n"/>
      <c r="X460" s="45" t="n"/>
      <c r="Y460" s="46">
        <f>IFERROR(__xludf.DUMMYFUNCTION("""COMPUTED_VALUE"""),45832)</f>
        <v/>
      </c>
      <c r="Z460" s="46">
        <f>IFERROR(__xludf.DUMMYFUNCTION("""COMPUTED_VALUE"""),45861)</f>
        <v/>
      </c>
      <c r="AA460" s="46">
        <f>IFERROR(__xludf.DUMMYFUNCTION("""COMPUTED_VALUE"""),45874)</f>
        <v/>
      </c>
      <c r="AB460" s="45">
        <f>IFERROR(__xludf.DUMMYFUNCTION("""COMPUTED_VALUE"""),"3500 Argentia Road")</f>
        <v/>
      </c>
      <c r="AC460" s="45" t="n"/>
      <c r="AD460" s="45">
        <f>IFERROR(__xludf.DUMMYFUNCTION("""COMPUTED_VALUE"""),"OCEAN")</f>
        <v/>
      </c>
      <c r="AE460" s="45">
        <f>IFERROR(__xludf.DUMMYFUNCTION("""COMPUTED_VALUE"""),"N")</f>
        <v/>
      </c>
      <c r="AF460" s="45" t="n"/>
      <c r="AG460" s="49">
        <f>IFERROR(__xludf.DUMMYFUNCTION("IFNA(vlookup(H460,IMPORTRANGE(""1vUGwO1n0QQGx9kKbO0_M5gmuhXZ6-LaxQxgrmJnzgP0"",""'TP# look up'!A:C""),3,0),"""")"),"")</f>
        <v/>
      </c>
      <c r="AH460" s="49">
        <f>LEFT(J460,2)</f>
        <v/>
      </c>
    </row>
    <row r="461" ht="12.75" customHeight="1">
      <c r="A461" s="45">
        <f>IFERROR(__xludf.DUMMYFUNCTION("""COMPUTED_VALUE"""),"Colombo")</f>
        <v/>
      </c>
      <c r="B461" s="45" t="n"/>
      <c r="C461" s="45">
        <f>IFERROR(__xludf.DUMMYFUNCTION("""COMPUTED_VALUE"""),3254508)</f>
        <v/>
      </c>
      <c r="D461" s="45" t="n"/>
      <c r="E461" s="45">
        <f>IFERROR(__xludf.DUMMYFUNCTION("""COMPUTED_VALUE"""),"CFS")</f>
        <v/>
      </c>
      <c r="F461" s="45">
        <f>IFERROR(__xludf.DUMMYFUNCTION("""COMPUTED_VALUE"""),"MAS AMITY PTE LTD")</f>
        <v/>
      </c>
      <c r="G461" s="45">
        <f>IFERROR(__xludf.DUMMYFUNCTION("""COMPUTED_VALUE"""),"MAS Active (Pvt) Ltd - Linea Intimo")</f>
        <v/>
      </c>
      <c r="H461" s="43">
        <f>IFERROR(__xludf.DUMMYFUNCTION("""COMPUTED_VALUE"""),454707107149)</f>
        <v/>
      </c>
      <c r="I461" s="45">
        <f>IFERROR(__xludf.DUMMYFUNCTION("""COMPUTED_VALUE"""),19913463)</f>
        <v/>
      </c>
      <c r="J461" s="45">
        <f>IFERROR(__xludf.DUMMYFUNCTION("""COMPUTED_VALUE"""),"LM1364S")</f>
        <v/>
      </c>
      <c r="K461" s="45">
        <f>IFERROR(__xludf.DUMMYFUNCTION("""COMPUTED_VALUE"""),"LM1364S-070561")</f>
        <v/>
      </c>
      <c r="L461" s="45">
        <f>IFERROR(__xludf.DUMMYFUNCTION("""COMPUTED_VALUE"""),4)</f>
        <v/>
      </c>
      <c r="M461" s="45">
        <f>IFERROR(__xludf.DUMMYFUNCTION("""COMPUTED_VALUE"""),232)</f>
        <v/>
      </c>
      <c r="N461" s="45">
        <f>IFERROR(__xludf.DUMMYFUNCTION("""COMPUTED_VALUE"""),35.936)</f>
        <v/>
      </c>
      <c r="O461" s="45">
        <f>IFERROR(__xludf.DUMMYFUNCTION("""COMPUTED_VALUE"""),0.316)</f>
        <v/>
      </c>
      <c r="P461" s="45">
        <f>IFERROR(__xludf.DUMMYFUNCTION("""COMPUTED_VALUE"""),"Colombo, LK")</f>
        <v/>
      </c>
      <c r="Q461" s="45">
        <f>IFERROR(__xludf.DUMMYFUNCTION("""COMPUTED_VALUE"""),"New York, NY, US")</f>
        <v/>
      </c>
      <c r="R461" s="44">
        <f>IFERROR(__xludf.DUMMYFUNCTION("""COMPUTED_VALUE"""),45824)</f>
        <v/>
      </c>
      <c r="S461" s="44">
        <f>IFERROR(__xludf.DUMMYFUNCTION("""COMPUTED_VALUE"""),45883)</f>
        <v/>
      </c>
      <c r="T461" s="45">
        <f>IFERROR(__xludf.DUMMYFUNCTION("""COMPUTED_VALUE"""),"Mississauga, ON, CA")</f>
        <v/>
      </c>
      <c r="U461" s="45" t="n"/>
      <c r="V461" s="45" t="n"/>
      <c r="W461" s="45" t="n"/>
      <c r="X461" s="45" t="n"/>
      <c r="Y461" s="46">
        <f>IFERROR(__xludf.DUMMYFUNCTION("""COMPUTED_VALUE"""),45832)</f>
        <v/>
      </c>
      <c r="Z461" s="46">
        <f>IFERROR(__xludf.DUMMYFUNCTION("""COMPUTED_VALUE"""),45861)</f>
        <v/>
      </c>
      <c r="AA461" s="46">
        <f>IFERROR(__xludf.DUMMYFUNCTION("""COMPUTED_VALUE"""),45874)</f>
        <v/>
      </c>
      <c r="AB461" s="45">
        <f>IFERROR(__xludf.DUMMYFUNCTION("""COMPUTED_VALUE"""),"3500 Argentia Road")</f>
        <v/>
      </c>
      <c r="AC461" s="45" t="n"/>
      <c r="AD461" s="45">
        <f>IFERROR(__xludf.DUMMYFUNCTION("""COMPUTED_VALUE"""),"OCEAN")</f>
        <v/>
      </c>
      <c r="AE461" s="45">
        <f>IFERROR(__xludf.DUMMYFUNCTION("""COMPUTED_VALUE"""),"N")</f>
        <v/>
      </c>
      <c r="AF461" s="45" t="n"/>
      <c r="AG461" s="49">
        <f>IFERROR(__xludf.DUMMYFUNCTION("IFNA(vlookup(H461,IMPORTRANGE(""1vUGwO1n0QQGx9kKbO0_M5gmuhXZ6-LaxQxgrmJnzgP0"",""'TP# look up'!A:C""),3,0),"""")"),"")</f>
        <v/>
      </c>
      <c r="AH461" s="49">
        <f>LEFT(J461,2)</f>
        <v/>
      </c>
    </row>
    <row r="462" ht="12.75" customHeight="1">
      <c r="A462" s="45">
        <f>IFERROR(__xludf.DUMMYFUNCTION("""COMPUTED_VALUE"""),"Colombo")</f>
        <v/>
      </c>
      <c r="B462" s="45" t="n"/>
      <c r="C462" s="45">
        <f>IFERROR(__xludf.DUMMYFUNCTION("""COMPUTED_VALUE"""),3254508)</f>
        <v/>
      </c>
      <c r="D462" s="45" t="n"/>
      <c r="E462" s="45">
        <f>IFERROR(__xludf.DUMMYFUNCTION("""COMPUTED_VALUE"""),"CFS")</f>
        <v/>
      </c>
      <c r="F462" s="45">
        <f>IFERROR(__xludf.DUMMYFUNCTION("""COMPUTED_VALUE"""),"MAS AMITY PTE LTD")</f>
        <v/>
      </c>
      <c r="G462" s="45">
        <f>IFERROR(__xludf.DUMMYFUNCTION("""COMPUTED_VALUE"""),"MAS Active (Pvt) Ltd - Linea Intimo")</f>
        <v/>
      </c>
      <c r="H462" s="43">
        <f>IFERROR(__xludf.DUMMYFUNCTION("""COMPUTED_VALUE"""),454707657000)</f>
        <v/>
      </c>
      <c r="I462" s="45">
        <f>IFERROR(__xludf.DUMMYFUNCTION("""COMPUTED_VALUE"""),19913514)</f>
        <v/>
      </c>
      <c r="J462" s="45">
        <f>IFERROR(__xludf.DUMMYFUNCTION("""COMPUTED_VALUE"""),"LM3FHKS")</f>
        <v/>
      </c>
      <c r="K462" s="45">
        <f>IFERROR(__xludf.DUMMYFUNCTION("""COMPUTED_VALUE"""),"LM3FHKS-071162")</f>
        <v/>
      </c>
      <c r="L462" s="45">
        <f>IFERROR(__xludf.DUMMYFUNCTION("""COMPUTED_VALUE"""),6)</f>
        <v/>
      </c>
      <c r="M462" s="45">
        <f>IFERROR(__xludf.DUMMYFUNCTION("""COMPUTED_VALUE"""),275)</f>
        <v/>
      </c>
      <c r="N462" s="45">
        <f>IFERROR(__xludf.DUMMYFUNCTION("""COMPUTED_VALUE"""),60.972)</f>
        <v/>
      </c>
      <c r="O462" s="45">
        <f>IFERROR(__xludf.DUMMYFUNCTION("""COMPUTED_VALUE"""),0.395)</f>
        <v/>
      </c>
      <c r="P462" s="45">
        <f>IFERROR(__xludf.DUMMYFUNCTION("""COMPUTED_VALUE"""),"Colombo, LK")</f>
        <v/>
      </c>
      <c r="Q462" s="45">
        <f>IFERROR(__xludf.DUMMYFUNCTION("""COMPUTED_VALUE"""),"New York, NY, US")</f>
        <v/>
      </c>
      <c r="R462" s="44">
        <f>IFERROR(__xludf.DUMMYFUNCTION("""COMPUTED_VALUE"""),45824)</f>
        <v/>
      </c>
      <c r="S462" s="44">
        <f>IFERROR(__xludf.DUMMYFUNCTION("""COMPUTED_VALUE"""),45883)</f>
        <v/>
      </c>
      <c r="T462" s="45">
        <f>IFERROR(__xludf.DUMMYFUNCTION("""COMPUTED_VALUE"""),"Mississauga, ON, CA")</f>
        <v/>
      </c>
      <c r="U462" s="45" t="n"/>
      <c r="V462" s="45" t="n"/>
      <c r="W462" s="45" t="n"/>
      <c r="X462" s="45" t="n"/>
      <c r="Y462" s="46">
        <f>IFERROR(__xludf.DUMMYFUNCTION("""COMPUTED_VALUE"""),45832)</f>
        <v/>
      </c>
      <c r="Z462" s="46">
        <f>IFERROR(__xludf.DUMMYFUNCTION("""COMPUTED_VALUE"""),45861)</f>
        <v/>
      </c>
      <c r="AA462" s="46">
        <f>IFERROR(__xludf.DUMMYFUNCTION("""COMPUTED_VALUE"""),45874)</f>
        <v/>
      </c>
      <c r="AB462" s="45">
        <f>IFERROR(__xludf.DUMMYFUNCTION("""COMPUTED_VALUE"""),"3500 Argentia Road")</f>
        <v/>
      </c>
      <c r="AC462" s="45" t="n"/>
      <c r="AD462" s="45">
        <f>IFERROR(__xludf.DUMMYFUNCTION("""COMPUTED_VALUE"""),"OCEAN")</f>
        <v/>
      </c>
      <c r="AE462" s="45">
        <f>IFERROR(__xludf.DUMMYFUNCTION("""COMPUTED_VALUE"""),"N")</f>
        <v/>
      </c>
      <c r="AF462" s="45" t="n"/>
      <c r="AG462" s="49">
        <f>IFERROR(__xludf.DUMMYFUNCTION("IFNA(vlookup(H462,IMPORTRANGE(""1vUGwO1n0QQGx9kKbO0_M5gmuhXZ6-LaxQxgrmJnzgP0"",""'TP# look up'!A:C""),3,0),"""")"),"")</f>
        <v/>
      </c>
      <c r="AH462" s="49">
        <f>LEFT(J462,2)</f>
        <v/>
      </c>
    </row>
    <row r="463" ht="12.75" customHeight="1">
      <c r="A463" s="45">
        <f>IFERROR(__xludf.DUMMYFUNCTION("""COMPUTED_VALUE"""),"Colombo")</f>
        <v/>
      </c>
      <c r="B463" s="45" t="n"/>
      <c r="C463" s="45">
        <f>IFERROR(__xludf.DUMMYFUNCTION("""COMPUTED_VALUE"""),3254508)</f>
        <v/>
      </c>
      <c r="D463" s="45" t="n"/>
      <c r="E463" s="45">
        <f>IFERROR(__xludf.DUMMYFUNCTION("""COMPUTED_VALUE"""),"CFS")</f>
        <v/>
      </c>
      <c r="F463" s="45">
        <f>IFERROR(__xludf.DUMMYFUNCTION("""COMPUTED_VALUE"""),"MAS AMITY PTE LTD")</f>
        <v/>
      </c>
      <c r="G463" s="45">
        <f>IFERROR(__xludf.DUMMYFUNCTION("""COMPUTED_VALUE"""),"MAS Active (Pvt) Ltd - Linea Intimo")</f>
        <v/>
      </c>
      <c r="H463" s="43">
        <f>IFERROR(__xludf.DUMMYFUNCTION("""COMPUTED_VALUE"""),454707704516)</f>
        <v/>
      </c>
      <c r="I463" s="45">
        <f>IFERROR(__xludf.DUMMYFUNCTION("""COMPUTED_VALUE"""),19913502)</f>
        <v/>
      </c>
      <c r="J463" s="45">
        <f>IFERROR(__xludf.DUMMYFUNCTION("""COMPUTED_VALUE"""),"LM3FHKS")</f>
        <v/>
      </c>
      <c r="K463" s="45">
        <f>IFERROR(__xludf.DUMMYFUNCTION("""COMPUTED_VALUE"""),"LM3FHKS-069299")</f>
        <v/>
      </c>
      <c r="L463" s="45">
        <f>IFERROR(__xludf.DUMMYFUNCTION("""COMPUTED_VALUE"""),7)</f>
        <v/>
      </c>
      <c r="M463" s="45">
        <f>IFERROR(__xludf.DUMMYFUNCTION("""COMPUTED_VALUE"""),374)</f>
        <v/>
      </c>
      <c r="N463" s="45">
        <f>IFERROR(__xludf.DUMMYFUNCTION("""COMPUTED_VALUE"""),81.849)</f>
        <v/>
      </c>
      <c r="O463" s="45">
        <f>IFERROR(__xludf.DUMMYFUNCTION("""COMPUTED_VALUE"""),0.474)</f>
        <v/>
      </c>
      <c r="P463" s="45">
        <f>IFERROR(__xludf.DUMMYFUNCTION("""COMPUTED_VALUE"""),"Colombo, LK")</f>
        <v/>
      </c>
      <c r="Q463" s="45">
        <f>IFERROR(__xludf.DUMMYFUNCTION("""COMPUTED_VALUE"""),"New York, NY, US")</f>
        <v/>
      </c>
      <c r="R463" s="44">
        <f>IFERROR(__xludf.DUMMYFUNCTION("""COMPUTED_VALUE"""),45824)</f>
        <v/>
      </c>
      <c r="S463" s="44">
        <f>IFERROR(__xludf.DUMMYFUNCTION("""COMPUTED_VALUE"""),45883)</f>
        <v/>
      </c>
      <c r="T463" s="45">
        <f>IFERROR(__xludf.DUMMYFUNCTION("""COMPUTED_VALUE"""),"Mississauga, ON, CA")</f>
        <v/>
      </c>
      <c r="U463" s="45" t="n"/>
      <c r="V463" s="45" t="n"/>
      <c r="W463" s="45" t="n"/>
      <c r="X463" s="45" t="n"/>
      <c r="Y463" s="46">
        <f>IFERROR(__xludf.DUMMYFUNCTION("""COMPUTED_VALUE"""),45832)</f>
        <v/>
      </c>
      <c r="Z463" s="46">
        <f>IFERROR(__xludf.DUMMYFUNCTION("""COMPUTED_VALUE"""),45861)</f>
        <v/>
      </c>
      <c r="AA463" s="46">
        <f>IFERROR(__xludf.DUMMYFUNCTION("""COMPUTED_VALUE"""),45874)</f>
        <v/>
      </c>
      <c r="AB463" s="45">
        <f>IFERROR(__xludf.DUMMYFUNCTION("""COMPUTED_VALUE"""),"3500 Argentia Road")</f>
        <v/>
      </c>
      <c r="AC463" s="45" t="n"/>
      <c r="AD463" s="45">
        <f>IFERROR(__xludf.DUMMYFUNCTION("""COMPUTED_VALUE"""),"OCEAN")</f>
        <v/>
      </c>
      <c r="AE463" s="45">
        <f>IFERROR(__xludf.DUMMYFUNCTION("""COMPUTED_VALUE"""),"N")</f>
        <v/>
      </c>
      <c r="AF463" s="45" t="n"/>
      <c r="AG463" s="49">
        <f>IFERROR(__xludf.DUMMYFUNCTION("IFNA(vlookup(H463,IMPORTRANGE(""1vUGwO1n0QQGx9kKbO0_M5gmuhXZ6-LaxQxgrmJnzgP0"",""'TP# look up'!A:C""),3,0),"""")"),"")</f>
        <v/>
      </c>
      <c r="AH463" s="49">
        <f>LEFT(J463,2)</f>
        <v/>
      </c>
    </row>
    <row r="464" ht="12.75" customHeight="1">
      <c r="A464" s="45">
        <f>IFERROR(__xludf.DUMMYFUNCTION("""COMPUTED_VALUE"""),"Colombo")</f>
        <v/>
      </c>
      <c r="B464" s="45" t="n"/>
      <c r="C464" s="45">
        <f>IFERROR(__xludf.DUMMYFUNCTION("""COMPUTED_VALUE"""),3254508)</f>
        <v/>
      </c>
      <c r="D464" s="45" t="n"/>
      <c r="E464" s="45">
        <f>IFERROR(__xludf.DUMMYFUNCTION("""COMPUTED_VALUE"""),"CFS")</f>
        <v/>
      </c>
      <c r="F464" s="45">
        <f>IFERROR(__xludf.DUMMYFUNCTION("""COMPUTED_VALUE"""),"MAS AMITY PTE LTD")</f>
        <v/>
      </c>
      <c r="G464" s="45">
        <f>IFERROR(__xludf.DUMMYFUNCTION("""COMPUTED_VALUE"""),"MAS Active (Pvt) Ltd - Linea Intimo")</f>
        <v/>
      </c>
      <c r="H464" s="43">
        <f>IFERROR(__xludf.DUMMYFUNCTION("""COMPUTED_VALUE"""),454707967199)</f>
        <v/>
      </c>
      <c r="I464" s="45">
        <f>IFERROR(__xludf.DUMMYFUNCTION("""COMPUTED_VALUE"""),19918362)</f>
        <v/>
      </c>
      <c r="J464" s="45">
        <f>IFERROR(__xludf.DUMMYFUNCTION("""COMPUTED_VALUE"""),"LW3DFLS")</f>
        <v/>
      </c>
      <c r="K464" s="45">
        <f>IFERROR(__xludf.DUMMYFUNCTION("""COMPUTED_VALUE"""),"LW3DFLS-0572")</f>
        <v/>
      </c>
      <c r="L464" s="45">
        <f>IFERROR(__xludf.DUMMYFUNCTION("""COMPUTED_VALUE"""),7)</f>
        <v/>
      </c>
      <c r="M464" s="45">
        <f>IFERROR(__xludf.DUMMYFUNCTION("""COMPUTED_VALUE"""),292)</f>
        <v/>
      </c>
      <c r="N464" s="45">
        <f>IFERROR(__xludf.DUMMYFUNCTION("""COMPUTED_VALUE"""),56.03)</f>
        <v/>
      </c>
      <c r="O464" s="45">
        <f>IFERROR(__xludf.DUMMYFUNCTION("""COMPUTED_VALUE"""),0.434)</f>
        <v/>
      </c>
      <c r="P464" s="45">
        <f>IFERROR(__xludf.DUMMYFUNCTION("""COMPUTED_VALUE"""),"Colombo, LK")</f>
        <v/>
      </c>
      <c r="Q464" s="45">
        <f>IFERROR(__xludf.DUMMYFUNCTION("""COMPUTED_VALUE"""),"New York, NY, US")</f>
        <v/>
      </c>
      <c r="R464" s="44">
        <f>IFERROR(__xludf.DUMMYFUNCTION("""COMPUTED_VALUE"""),45824)</f>
        <v/>
      </c>
      <c r="S464" s="44">
        <f>IFERROR(__xludf.DUMMYFUNCTION("""COMPUTED_VALUE"""),45883)</f>
        <v/>
      </c>
      <c r="T464" s="45">
        <f>IFERROR(__xludf.DUMMYFUNCTION("""COMPUTED_VALUE"""),"Mississauga, ON, CA")</f>
        <v/>
      </c>
      <c r="U464" s="45" t="n"/>
      <c r="V464" s="45" t="n"/>
      <c r="W464" s="45" t="n"/>
      <c r="X464" s="45" t="n"/>
      <c r="Y464" s="46">
        <f>IFERROR(__xludf.DUMMYFUNCTION("""COMPUTED_VALUE"""),45832)</f>
        <v/>
      </c>
      <c r="Z464" s="46">
        <f>IFERROR(__xludf.DUMMYFUNCTION("""COMPUTED_VALUE"""),45861)</f>
        <v/>
      </c>
      <c r="AA464" s="46">
        <f>IFERROR(__xludf.DUMMYFUNCTION("""COMPUTED_VALUE"""),45874)</f>
        <v/>
      </c>
      <c r="AB464" s="45">
        <f>IFERROR(__xludf.DUMMYFUNCTION("""COMPUTED_VALUE"""),"3500 Argentia Road")</f>
        <v/>
      </c>
      <c r="AC464" s="45" t="n"/>
      <c r="AD464" s="45">
        <f>IFERROR(__xludf.DUMMYFUNCTION("""COMPUTED_VALUE"""),"OCEAN")</f>
        <v/>
      </c>
      <c r="AE464" s="45">
        <f>IFERROR(__xludf.DUMMYFUNCTION("""COMPUTED_VALUE"""),"N")</f>
        <v/>
      </c>
      <c r="AF464" s="45" t="n"/>
      <c r="AG464" s="49">
        <f>IFERROR(__xludf.DUMMYFUNCTION("IFNA(vlookup(H464,IMPORTRANGE(""1vUGwO1n0QQGx9kKbO0_M5gmuhXZ6-LaxQxgrmJnzgP0"",""'TP# look up'!A:C""),3,0),"""")"),"")</f>
        <v/>
      </c>
      <c r="AH464" s="49">
        <f>LEFT(J464,2)</f>
        <v/>
      </c>
    </row>
    <row r="465" ht="12.75" customHeight="1">
      <c r="A465" s="45">
        <f>IFERROR(__xludf.DUMMYFUNCTION("""COMPUTED_VALUE"""),"Colombo")</f>
        <v/>
      </c>
      <c r="B465" s="45" t="n"/>
      <c r="C465" s="45">
        <f>IFERROR(__xludf.DUMMYFUNCTION("""COMPUTED_VALUE"""),3254508)</f>
        <v/>
      </c>
      <c r="D465" s="45" t="n"/>
      <c r="E465" s="45">
        <f>IFERROR(__xludf.DUMMYFUNCTION("""COMPUTED_VALUE"""),"CFS")</f>
        <v/>
      </c>
      <c r="F465" s="45">
        <f>IFERROR(__xludf.DUMMYFUNCTION("""COMPUTED_VALUE"""),"MAS AMITY PTE LTD")</f>
        <v/>
      </c>
      <c r="G465" s="45">
        <f>IFERROR(__xludf.DUMMYFUNCTION("""COMPUTED_VALUE"""),"MAS Active (Pvt) Ltd - Linea Intimo")</f>
        <v/>
      </c>
      <c r="H465" s="43">
        <f>IFERROR(__xludf.DUMMYFUNCTION("""COMPUTED_VALUE"""),454708168021)</f>
        <v/>
      </c>
      <c r="I465" s="45">
        <f>IFERROR(__xludf.DUMMYFUNCTION("""COMPUTED_VALUE"""),19918384)</f>
        <v/>
      </c>
      <c r="J465" s="45">
        <f>IFERROR(__xludf.DUMMYFUNCTION("""COMPUTED_VALUE"""),"LW3DFLS")</f>
        <v/>
      </c>
      <c r="K465" s="45">
        <f>IFERROR(__xludf.DUMMYFUNCTION("""COMPUTED_VALUE"""),"LW3DFLS-012826")</f>
        <v/>
      </c>
      <c r="L465" s="45">
        <f>IFERROR(__xludf.DUMMYFUNCTION("""COMPUTED_VALUE"""),6)</f>
        <v/>
      </c>
      <c r="M465" s="45">
        <f>IFERROR(__xludf.DUMMYFUNCTION("""COMPUTED_VALUE"""),228)</f>
        <v/>
      </c>
      <c r="N465" s="45">
        <f>IFERROR(__xludf.DUMMYFUNCTION("""COMPUTED_VALUE"""),44.476)</f>
        <v/>
      </c>
      <c r="O465" s="45">
        <f>IFERROR(__xludf.DUMMYFUNCTION("""COMPUTED_VALUE"""),0.395)</f>
        <v/>
      </c>
      <c r="P465" s="45">
        <f>IFERROR(__xludf.DUMMYFUNCTION("""COMPUTED_VALUE"""),"Colombo, LK")</f>
        <v/>
      </c>
      <c r="Q465" s="45">
        <f>IFERROR(__xludf.DUMMYFUNCTION("""COMPUTED_VALUE"""),"New York, NY, US")</f>
        <v/>
      </c>
      <c r="R465" s="44">
        <f>IFERROR(__xludf.DUMMYFUNCTION("""COMPUTED_VALUE"""),45824)</f>
        <v/>
      </c>
      <c r="S465" s="44">
        <f>IFERROR(__xludf.DUMMYFUNCTION("""COMPUTED_VALUE"""),45883)</f>
        <v/>
      </c>
      <c r="T465" s="45">
        <f>IFERROR(__xludf.DUMMYFUNCTION("""COMPUTED_VALUE"""),"Mississauga, ON, CA")</f>
        <v/>
      </c>
      <c r="U465" s="45" t="n"/>
      <c r="V465" s="45" t="n"/>
      <c r="W465" s="45" t="n"/>
      <c r="X465" s="45" t="n"/>
      <c r="Y465" s="46">
        <f>IFERROR(__xludf.DUMMYFUNCTION("""COMPUTED_VALUE"""),45832)</f>
        <v/>
      </c>
      <c r="Z465" s="46">
        <f>IFERROR(__xludf.DUMMYFUNCTION("""COMPUTED_VALUE"""),45861)</f>
        <v/>
      </c>
      <c r="AA465" s="46">
        <f>IFERROR(__xludf.DUMMYFUNCTION("""COMPUTED_VALUE"""),45874)</f>
        <v/>
      </c>
      <c r="AB465" s="45">
        <f>IFERROR(__xludf.DUMMYFUNCTION("""COMPUTED_VALUE"""),"3500 Argentia Road")</f>
        <v/>
      </c>
      <c r="AC465" s="45" t="n"/>
      <c r="AD465" s="45">
        <f>IFERROR(__xludf.DUMMYFUNCTION("""COMPUTED_VALUE"""),"OCEAN")</f>
        <v/>
      </c>
      <c r="AE465" s="45">
        <f>IFERROR(__xludf.DUMMYFUNCTION("""COMPUTED_VALUE"""),"N")</f>
        <v/>
      </c>
      <c r="AF465" s="45" t="n"/>
      <c r="AG465" s="49">
        <f>IFERROR(__xludf.DUMMYFUNCTION("IFNA(vlookup(H465,IMPORTRANGE(""1vUGwO1n0QQGx9kKbO0_M5gmuhXZ6-LaxQxgrmJnzgP0"",""'TP# look up'!A:C""),3,0),"""")"),"")</f>
        <v/>
      </c>
      <c r="AH465" s="49">
        <f>LEFT(J465,2)</f>
        <v/>
      </c>
    </row>
    <row r="466" ht="12.75" customHeight="1">
      <c r="A466" s="45">
        <f>IFERROR(__xludf.DUMMYFUNCTION("""COMPUTED_VALUE"""),"Colombo")</f>
        <v/>
      </c>
      <c r="B466" s="45" t="n"/>
      <c r="C466" s="45">
        <f>IFERROR(__xludf.DUMMYFUNCTION("""COMPUTED_VALUE"""),3254508)</f>
        <v/>
      </c>
      <c r="D466" s="45" t="n"/>
      <c r="E466" s="45">
        <f>IFERROR(__xludf.DUMMYFUNCTION("""COMPUTED_VALUE"""),"CFS")</f>
        <v/>
      </c>
      <c r="F466" s="45">
        <f>IFERROR(__xludf.DUMMYFUNCTION("""COMPUTED_VALUE"""),"MAS AMITY PTE LTD")</f>
        <v/>
      </c>
      <c r="G466" s="45">
        <f>IFERROR(__xludf.DUMMYFUNCTION("""COMPUTED_VALUE"""),"MAS Active (Pvt) Ltd - Linea Intimo")</f>
        <v/>
      </c>
      <c r="H466" s="43">
        <f>IFERROR(__xludf.DUMMYFUNCTION("""COMPUTED_VALUE"""),454708616885)</f>
        <v/>
      </c>
      <c r="I466" s="45">
        <f>IFERROR(__xludf.DUMMYFUNCTION("""COMPUTED_VALUE"""),19918474)</f>
        <v/>
      </c>
      <c r="J466" s="45">
        <f>IFERROR(__xludf.DUMMYFUNCTION("""COMPUTED_VALUE"""),"LW3FQHS")</f>
        <v/>
      </c>
      <c r="K466" s="45">
        <f>IFERROR(__xludf.DUMMYFUNCTION("""COMPUTED_VALUE"""),"LW3FQHS-0572")</f>
        <v/>
      </c>
      <c r="L466" s="45">
        <f>IFERROR(__xludf.DUMMYFUNCTION("""COMPUTED_VALUE"""),4)</f>
        <v/>
      </c>
      <c r="M466" s="45">
        <f>IFERROR(__xludf.DUMMYFUNCTION("""COMPUTED_VALUE"""),250)</f>
        <v/>
      </c>
      <c r="N466" s="45">
        <f>IFERROR(__xludf.DUMMYFUNCTION("""COMPUTED_VALUE"""),26.556)</f>
        <v/>
      </c>
      <c r="O466" s="45">
        <f>IFERROR(__xludf.DUMMYFUNCTION("""COMPUTED_VALUE"""),0.237)</f>
        <v/>
      </c>
      <c r="P466" s="45">
        <f>IFERROR(__xludf.DUMMYFUNCTION("""COMPUTED_VALUE"""),"Colombo, LK")</f>
        <v/>
      </c>
      <c r="Q466" s="45">
        <f>IFERROR(__xludf.DUMMYFUNCTION("""COMPUTED_VALUE"""),"New York, NY, US")</f>
        <v/>
      </c>
      <c r="R466" s="44">
        <f>IFERROR(__xludf.DUMMYFUNCTION("""COMPUTED_VALUE"""),45824)</f>
        <v/>
      </c>
      <c r="S466" s="44">
        <f>IFERROR(__xludf.DUMMYFUNCTION("""COMPUTED_VALUE"""),45883)</f>
        <v/>
      </c>
      <c r="T466" s="45">
        <f>IFERROR(__xludf.DUMMYFUNCTION("""COMPUTED_VALUE"""),"Mississauga, ON, CA")</f>
        <v/>
      </c>
      <c r="U466" s="45" t="n"/>
      <c r="V466" s="45" t="n"/>
      <c r="W466" s="45" t="n"/>
      <c r="X466" s="45" t="n"/>
      <c r="Y466" s="46">
        <f>IFERROR(__xludf.DUMMYFUNCTION("""COMPUTED_VALUE"""),45832)</f>
        <v/>
      </c>
      <c r="Z466" s="46">
        <f>IFERROR(__xludf.DUMMYFUNCTION("""COMPUTED_VALUE"""),45861)</f>
        <v/>
      </c>
      <c r="AA466" s="46">
        <f>IFERROR(__xludf.DUMMYFUNCTION("""COMPUTED_VALUE"""),45874)</f>
        <v/>
      </c>
      <c r="AB466" s="45">
        <f>IFERROR(__xludf.DUMMYFUNCTION("""COMPUTED_VALUE"""),"3500 Argentia Road")</f>
        <v/>
      </c>
      <c r="AC466" s="45" t="n"/>
      <c r="AD466" s="45">
        <f>IFERROR(__xludf.DUMMYFUNCTION("""COMPUTED_VALUE"""),"OCEAN")</f>
        <v/>
      </c>
      <c r="AE466" s="45">
        <f>IFERROR(__xludf.DUMMYFUNCTION("""COMPUTED_VALUE"""),"N")</f>
        <v/>
      </c>
      <c r="AF466" s="45" t="n"/>
      <c r="AG466" s="49">
        <f>IFERROR(__xludf.DUMMYFUNCTION("IFNA(vlookup(H466,IMPORTRANGE(""1vUGwO1n0QQGx9kKbO0_M5gmuhXZ6-LaxQxgrmJnzgP0"",""'TP# look up'!A:C""),3,0),"""")"),"")</f>
        <v/>
      </c>
      <c r="AH466" s="49">
        <f>LEFT(J466,2)</f>
        <v/>
      </c>
    </row>
    <row r="467" ht="12.75" customHeight="1">
      <c r="A467" s="45">
        <f>IFERROR(__xludf.DUMMYFUNCTION("""COMPUTED_VALUE"""),"Colombo")</f>
        <v/>
      </c>
      <c r="B467" s="45" t="n"/>
      <c r="C467" s="45">
        <f>IFERROR(__xludf.DUMMYFUNCTION("""COMPUTED_VALUE"""),3254508)</f>
        <v/>
      </c>
      <c r="D467" s="45" t="n"/>
      <c r="E467" s="45">
        <f>IFERROR(__xludf.DUMMYFUNCTION("""COMPUTED_VALUE"""),"CFS")</f>
        <v/>
      </c>
      <c r="F467" s="45">
        <f>IFERROR(__xludf.DUMMYFUNCTION("""COMPUTED_VALUE"""),"MAS AMITY PTE LTD")</f>
        <v/>
      </c>
      <c r="G467" s="45">
        <f>IFERROR(__xludf.DUMMYFUNCTION("""COMPUTED_VALUE"""),"MAS Active (Pvt) Ltd - Linea Intimo")</f>
        <v/>
      </c>
      <c r="H467" s="43">
        <f>IFERROR(__xludf.DUMMYFUNCTION("""COMPUTED_VALUE"""),454708617020)</f>
        <v/>
      </c>
      <c r="I467" s="45">
        <f>IFERROR(__xludf.DUMMYFUNCTION("""COMPUTED_VALUE"""),19918434)</f>
        <v/>
      </c>
      <c r="J467" s="45">
        <f>IFERROR(__xludf.DUMMYFUNCTION("""COMPUTED_VALUE"""),"LW3DFNS")</f>
        <v/>
      </c>
      <c r="K467" s="45">
        <f>IFERROR(__xludf.DUMMYFUNCTION("""COMPUTED_VALUE"""),"LW3DFNS-0572")</f>
        <v/>
      </c>
      <c r="L467" s="45">
        <f>IFERROR(__xludf.DUMMYFUNCTION("""COMPUTED_VALUE"""),3)</f>
        <v/>
      </c>
      <c r="M467" s="45">
        <f>IFERROR(__xludf.DUMMYFUNCTION("""COMPUTED_VALUE"""),263)</f>
        <v/>
      </c>
      <c r="N467" s="45">
        <f>IFERROR(__xludf.DUMMYFUNCTION("""COMPUTED_VALUE"""),27.09)</f>
        <v/>
      </c>
      <c r="O467" s="45">
        <f>IFERROR(__xludf.DUMMYFUNCTION("""COMPUTED_VALUE"""),0.198)</f>
        <v/>
      </c>
      <c r="P467" s="45">
        <f>IFERROR(__xludf.DUMMYFUNCTION("""COMPUTED_VALUE"""),"Colombo, LK")</f>
        <v/>
      </c>
      <c r="Q467" s="45">
        <f>IFERROR(__xludf.DUMMYFUNCTION("""COMPUTED_VALUE"""),"New York, NY, US")</f>
        <v/>
      </c>
      <c r="R467" s="44">
        <f>IFERROR(__xludf.DUMMYFUNCTION("""COMPUTED_VALUE"""),45824)</f>
        <v/>
      </c>
      <c r="S467" s="44">
        <f>IFERROR(__xludf.DUMMYFUNCTION("""COMPUTED_VALUE"""),45883)</f>
        <v/>
      </c>
      <c r="T467" s="45">
        <f>IFERROR(__xludf.DUMMYFUNCTION("""COMPUTED_VALUE"""),"Mississauga, ON, CA")</f>
        <v/>
      </c>
      <c r="U467" s="45" t="n"/>
      <c r="V467" s="45" t="n"/>
      <c r="W467" s="45" t="n"/>
      <c r="X467" s="45" t="n"/>
      <c r="Y467" s="46">
        <f>IFERROR(__xludf.DUMMYFUNCTION("""COMPUTED_VALUE"""),45832)</f>
        <v/>
      </c>
      <c r="Z467" s="46">
        <f>IFERROR(__xludf.DUMMYFUNCTION("""COMPUTED_VALUE"""),45861)</f>
        <v/>
      </c>
      <c r="AA467" s="46">
        <f>IFERROR(__xludf.DUMMYFUNCTION("""COMPUTED_VALUE"""),45874)</f>
        <v/>
      </c>
      <c r="AB467" s="45">
        <f>IFERROR(__xludf.DUMMYFUNCTION("""COMPUTED_VALUE"""),"3500 Argentia Road")</f>
        <v/>
      </c>
      <c r="AC467" s="45" t="n"/>
      <c r="AD467" s="45">
        <f>IFERROR(__xludf.DUMMYFUNCTION("""COMPUTED_VALUE"""),"OCEAN")</f>
        <v/>
      </c>
      <c r="AE467" s="45">
        <f>IFERROR(__xludf.DUMMYFUNCTION("""COMPUTED_VALUE"""),"N")</f>
        <v/>
      </c>
      <c r="AF467" s="45" t="n"/>
      <c r="AG467" s="49">
        <f>IFERROR(__xludf.DUMMYFUNCTION("IFNA(vlookup(H467,IMPORTRANGE(""1vUGwO1n0QQGx9kKbO0_M5gmuhXZ6-LaxQxgrmJnzgP0"",""'TP# look up'!A:C""),3,0),"""")"),"")</f>
        <v/>
      </c>
      <c r="AH467" s="49">
        <f>LEFT(J467,2)</f>
        <v/>
      </c>
    </row>
    <row r="468" ht="12.75" customHeight="1">
      <c r="A468" s="45">
        <f>IFERROR(__xludf.DUMMYFUNCTION("""COMPUTED_VALUE"""),"Colombo")</f>
        <v/>
      </c>
      <c r="B468" s="45" t="n"/>
      <c r="C468" s="45">
        <f>IFERROR(__xludf.DUMMYFUNCTION("""COMPUTED_VALUE"""),3254508)</f>
        <v/>
      </c>
      <c r="D468" s="45" t="n"/>
      <c r="E468" s="45">
        <f>IFERROR(__xludf.DUMMYFUNCTION("""COMPUTED_VALUE"""),"CFS")</f>
        <v/>
      </c>
      <c r="F468" s="45">
        <f>IFERROR(__xludf.DUMMYFUNCTION("""COMPUTED_VALUE"""),"MAS AMITY PTE LTD")</f>
        <v/>
      </c>
      <c r="G468" s="45">
        <f>IFERROR(__xludf.DUMMYFUNCTION("""COMPUTED_VALUE"""),"MAS Active (Pvt) Ltd - Linea Intimo")</f>
        <v/>
      </c>
      <c r="H468" s="43">
        <f>IFERROR(__xludf.DUMMYFUNCTION("""COMPUTED_VALUE"""),454708657110)</f>
        <v/>
      </c>
      <c r="I468" s="45">
        <f>IFERROR(__xludf.DUMMYFUNCTION("""COMPUTED_VALUE"""),19918549)</f>
        <v/>
      </c>
      <c r="J468" s="45">
        <f>IFERROR(__xludf.DUMMYFUNCTION("""COMPUTED_VALUE"""),"LM1364S")</f>
        <v/>
      </c>
      <c r="K468" s="45">
        <f>IFERROR(__xludf.DUMMYFUNCTION("""COMPUTED_VALUE"""),"LM1364S-070561")</f>
        <v/>
      </c>
      <c r="L468" s="45">
        <f>IFERROR(__xludf.DUMMYFUNCTION("""COMPUTED_VALUE"""),2)</f>
        <v/>
      </c>
      <c r="M468" s="45">
        <f>IFERROR(__xludf.DUMMYFUNCTION("""COMPUTED_VALUE"""),76)</f>
        <v/>
      </c>
      <c r="N468" s="45">
        <f>IFERROR(__xludf.DUMMYFUNCTION("""COMPUTED_VALUE"""),12.189)</f>
        <v/>
      </c>
      <c r="O468" s="45">
        <f>IFERROR(__xludf.DUMMYFUNCTION("""COMPUTED_VALUE"""),0.118)</f>
        <v/>
      </c>
      <c r="P468" s="45">
        <f>IFERROR(__xludf.DUMMYFUNCTION("""COMPUTED_VALUE"""),"Colombo, LK")</f>
        <v/>
      </c>
      <c r="Q468" s="45">
        <f>IFERROR(__xludf.DUMMYFUNCTION("""COMPUTED_VALUE"""),"New York, NY, US")</f>
        <v/>
      </c>
      <c r="R468" s="44">
        <f>IFERROR(__xludf.DUMMYFUNCTION("""COMPUTED_VALUE"""),45824)</f>
        <v/>
      </c>
      <c r="S468" s="44">
        <f>IFERROR(__xludf.DUMMYFUNCTION("""COMPUTED_VALUE"""),45883)</f>
        <v/>
      </c>
      <c r="T468" s="45">
        <f>IFERROR(__xludf.DUMMYFUNCTION("""COMPUTED_VALUE"""),"Mississauga, ON, CA")</f>
        <v/>
      </c>
      <c r="U468" s="45" t="n"/>
      <c r="V468" s="45" t="n"/>
      <c r="W468" s="45" t="n"/>
      <c r="X468" s="45" t="n"/>
      <c r="Y468" s="46">
        <f>IFERROR(__xludf.DUMMYFUNCTION("""COMPUTED_VALUE"""),45832)</f>
        <v/>
      </c>
      <c r="Z468" s="46">
        <f>IFERROR(__xludf.DUMMYFUNCTION("""COMPUTED_VALUE"""),45861)</f>
        <v/>
      </c>
      <c r="AA468" s="46">
        <f>IFERROR(__xludf.DUMMYFUNCTION("""COMPUTED_VALUE"""),45874)</f>
        <v/>
      </c>
      <c r="AB468" s="45">
        <f>IFERROR(__xludf.DUMMYFUNCTION("""COMPUTED_VALUE"""),"3500 Argentia Road")</f>
        <v/>
      </c>
      <c r="AC468" s="45" t="n"/>
      <c r="AD468" s="45">
        <f>IFERROR(__xludf.DUMMYFUNCTION("""COMPUTED_VALUE"""),"OCEAN")</f>
        <v/>
      </c>
      <c r="AE468" s="45">
        <f>IFERROR(__xludf.DUMMYFUNCTION("""COMPUTED_VALUE"""),"N")</f>
        <v/>
      </c>
      <c r="AF468" s="45" t="n"/>
      <c r="AG468" s="49">
        <f>IFERROR(__xludf.DUMMYFUNCTION("IFNA(vlookup(H468,IMPORTRANGE(""1vUGwO1n0QQGx9kKbO0_M5gmuhXZ6-LaxQxgrmJnzgP0"",""'TP# look up'!A:C""),3,0),"""")"),"")</f>
        <v/>
      </c>
      <c r="AH468" s="49">
        <f>LEFT(J468,2)</f>
        <v/>
      </c>
    </row>
    <row r="469" ht="12.75" customHeight="1">
      <c r="A469" s="45">
        <f>IFERROR(__xludf.DUMMYFUNCTION("""COMPUTED_VALUE"""),"Colombo")</f>
        <v/>
      </c>
      <c r="B469" s="45" t="n"/>
      <c r="C469" s="45">
        <f>IFERROR(__xludf.DUMMYFUNCTION("""COMPUTED_VALUE"""),3254508)</f>
        <v/>
      </c>
      <c r="D469" s="45" t="n"/>
      <c r="E469" s="45">
        <f>IFERROR(__xludf.DUMMYFUNCTION("""COMPUTED_VALUE"""),"CFS")</f>
        <v/>
      </c>
      <c r="F469" s="45">
        <f>IFERROR(__xludf.DUMMYFUNCTION("""COMPUTED_VALUE"""),"MAS AMITY PTE LTD")</f>
        <v/>
      </c>
      <c r="G469" s="45">
        <f>IFERROR(__xludf.DUMMYFUNCTION("""COMPUTED_VALUE"""),"MAS Active (Pvt) Ltd - Linea Intimo")</f>
        <v/>
      </c>
      <c r="H469" s="43">
        <f>IFERROR(__xludf.DUMMYFUNCTION("""COMPUTED_VALUE"""),454708773563)</f>
        <v/>
      </c>
      <c r="I469" s="45">
        <f>IFERROR(__xludf.DUMMYFUNCTION("""COMPUTED_VALUE"""),19918537)</f>
        <v/>
      </c>
      <c r="J469" s="45">
        <f>IFERROR(__xludf.DUMMYFUNCTION("""COMPUTED_VALUE"""),"LM1364S")</f>
        <v/>
      </c>
      <c r="K469" s="45">
        <f>IFERROR(__xludf.DUMMYFUNCTION("""COMPUTED_VALUE"""),"LM1364S-4780")</f>
        <v/>
      </c>
      <c r="L469" s="45">
        <f>IFERROR(__xludf.DUMMYFUNCTION("""COMPUTED_VALUE"""),2)</f>
        <v/>
      </c>
      <c r="M469" s="45">
        <f>IFERROR(__xludf.DUMMYFUNCTION("""COMPUTED_VALUE"""),99)</f>
        <v/>
      </c>
      <c r="N469" s="45">
        <f>IFERROR(__xludf.DUMMYFUNCTION("""COMPUTED_VALUE"""),15.328)</f>
        <v/>
      </c>
      <c r="O469" s="45">
        <f>IFERROR(__xludf.DUMMYFUNCTION("""COMPUTED_VALUE"""),0.118)</f>
        <v/>
      </c>
      <c r="P469" s="45">
        <f>IFERROR(__xludf.DUMMYFUNCTION("""COMPUTED_VALUE"""),"Colombo, LK")</f>
        <v/>
      </c>
      <c r="Q469" s="45">
        <f>IFERROR(__xludf.DUMMYFUNCTION("""COMPUTED_VALUE"""),"New York, NY, US")</f>
        <v/>
      </c>
      <c r="R469" s="44">
        <f>IFERROR(__xludf.DUMMYFUNCTION("""COMPUTED_VALUE"""),45824)</f>
        <v/>
      </c>
      <c r="S469" s="44">
        <f>IFERROR(__xludf.DUMMYFUNCTION("""COMPUTED_VALUE"""),45883)</f>
        <v/>
      </c>
      <c r="T469" s="45">
        <f>IFERROR(__xludf.DUMMYFUNCTION("""COMPUTED_VALUE"""),"Mississauga, ON, CA")</f>
        <v/>
      </c>
      <c r="U469" s="45" t="n"/>
      <c r="V469" s="45" t="n"/>
      <c r="W469" s="45" t="n"/>
      <c r="X469" s="45" t="n"/>
      <c r="Y469" s="46">
        <f>IFERROR(__xludf.DUMMYFUNCTION("""COMPUTED_VALUE"""),45832)</f>
        <v/>
      </c>
      <c r="Z469" s="46">
        <f>IFERROR(__xludf.DUMMYFUNCTION("""COMPUTED_VALUE"""),45861)</f>
        <v/>
      </c>
      <c r="AA469" s="46">
        <f>IFERROR(__xludf.DUMMYFUNCTION("""COMPUTED_VALUE"""),45874)</f>
        <v/>
      </c>
      <c r="AB469" s="45">
        <f>IFERROR(__xludf.DUMMYFUNCTION("""COMPUTED_VALUE"""),"3500 Argentia Road")</f>
        <v/>
      </c>
      <c r="AC469" s="45" t="n"/>
      <c r="AD469" s="45">
        <f>IFERROR(__xludf.DUMMYFUNCTION("""COMPUTED_VALUE"""),"OCEAN")</f>
        <v/>
      </c>
      <c r="AE469" s="45">
        <f>IFERROR(__xludf.DUMMYFUNCTION("""COMPUTED_VALUE"""),"N")</f>
        <v/>
      </c>
      <c r="AF469" s="45" t="n"/>
      <c r="AG469" s="49">
        <f>IFERROR(__xludf.DUMMYFUNCTION("IFNA(vlookup(H469,IMPORTRANGE(""1vUGwO1n0QQGx9kKbO0_M5gmuhXZ6-LaxQxgrmJnzgP0"",""'TP# look up'!A:C""),3,0),"""")"),"")</f>
        <v/>
      </c>
      <c r="AH469" s="49">
        <f>LEFT(J469,2)</f>
        <v/>
      </c>
    </row>
    <row r="470" ht="12.75" customHeight="1">
      <c r="A470" s="45">
        <f>IFERROR(__xludf.DUMMYFUNCTION("""COMPUTED_VALUE"""),"Colombo")</f>
        <v/>
      </c>
      <c r="B470" s="45" t="n"/>
      <c r="C470" s="45">
        <f>IFERROR(__xludf.DUMMYFUNCTION("""COMPUTED_VALUE"""),3254508)</f>
        <v/>
      </c>
      <c r="D470" s="45" t="n"/>
      <c r="E470" s="45">
        <f>IFERROR(__xludf.DUMMYFUNCTION("""COMPUTED_VALUE"""),"CFS")</f>
        <v/>
      </c>
      <c r="F470" s="45">
        <f>IFERROR(__xludf.DUMMYFUNCTION("""COMPUTED_VALUE"""),"MAS AMITY PTE LTD")</f>
        <v/>
      </c>
      <c r="G470" s="45">
        <f>IFERROR(__xludf.DUMMYFUNCTION("""COMPUTED_VALUE"""),"MAS Active (Pvt) Ltd - Linea Intimo")</f>
        <v/>
      </c>
      <c r="H470" s="43">
        <f>IFERROR(__xludf.DUMMYFUNCTION("""COMPUTED_VALUE"""),454708903460)</f>
        <v/>
      </c>
      <c r="I470" s="45">
        <f>IFERROR(__xludf.DUMMYFUNCTION("""COMPUTED_VALUE"""),19918559)</f>
        <v/>
      </c>
      <c r="J470" s="45">
        <f>IFERROR(__xludf.DUMMYFUNCTION("""COMPUTED_VALUE"""),"LM3F64S")</f>
        <v/>
      </c>
      <c r="K470" s="45">
        <f>IFERROR(__xludf.DUMMYFUNCTION("""COMPUTED_VALUE"""),"LM3F64S-4780")</f>
        <v/>
      </c>
      <c r="L470" s="45">
        <f>IFERROR(__xludf.DUMMYFUNCTION("""COMPUTED_VALUE"""),4)</f>
        <v/>
      </c>
      <c r="M470" s="45">
        <f>IFERROR(__xludf.DUMMYFUNCTION("""COMPUTED_VALUE"""),94)</f>
        <v/>
      </c>
      <c r="N470" s="45">
        <f>IFERROR(__xludf.DUMMYFUNCTION("""COMPUTED_VALUE"""),23.88)</f>
        <v/>
      </c>
      <c r="O470" s="45">
        <f>IFERROR(__xludf.DUMMYFUNCTION("""COMPUTED_VALUE"""),0.276)</f>
        <v/>
      </c>
      <c r="P470" s="45">
        <f>IFERROR(__xludf.DUMMYFUNCTION("""COMPUTED_VALUE"""),"Colombo, LK")</f>
        <v/>
      </c>
      <c r="Q470" s="45">
        <f>IFERROR(__xludf.DUMMYFUNCTION("""COMPUTED_VALUE"""),"New York, NY, US")</f>
        <v/>
      </c>
      <c r="R470" s="44">
        <f>IFERROR(__xludf.DUMMYFUNCTION("""COMPUTED_VALUE"""),45824)</f>
        <v/>
      </c>
      <c r="S470" s="44">
        <f>IFERROR(__xludf.DUMMYFUNCTION("""COMPUTED_VALUE"""),45883)</f>
        <v/>
      </c>
      <c r="T470" s="45">
        <f>IFERROR(__xludf.DUMMYFUNCTION("""COMPUTED_VALUE"""),"Mississauga, ON, CA")</f>
        <v/>
      </c>
      <c r="U470" s="45" t="n"/>
      <c r="V470" s="45" t="n"/>
      <c r="W470" s="45" t="n"/>
      <c r="X470" s="45" t="n"/>
      <c r="Y470" s="46">
        <f>IFERROR(__xludf.DUMMYFUNCTION("""COMPUTED_VALUE"""),45832)</f>
        <v/>
      </c>
      <c r="Z470" s="46">
        <f>IFERROR(__xludf.DUMMYFUNCTION("""COMPUTED_VALUE"""),45861)</f>
        <v/>
      </c>
      <c r="AA470" s="46">
        <f>IFERROR(__xludf.DUMMYFUNCTION("""COMPUTED_VALUE"""),45874)</f>
        <v/>
      </c>
      <c r="AB470" s="45">
        <f>IFERROR(__xludf.DUMMYFUNCTION("""COMPUTED_VALUE"""),"3500 Argentia Road")</f>
        <v/>
      </c>
      <c r="AC470" s="45" t="n"/>
      <c r="AD470" s="45">
        <f>IFERROR(__xludf.DUMMYFUNCTION("""COMPUTED_VALUE"""),"OCEAN")</f>
        <v/>
      </c>
      <c r="AE470" s="45">
        <f>IFERROR(__xludf.DUMMYFUNCTION("""COMPUTED_VALUE"""),"N")</f>
        <v/>
      </c>
      <c r="AF470" s="45" t="n"/>
      <c r="AG470" s="49">
        <f>IFERROR(__xludf.DUMMYFUNCTION("IFNA(vlookup(H470,IMPORTRANGE(""1vUGwO1n0QQGx9kKbO0_M5gmuhXZ6-LaxQxgrmJnzgP0"",""'TP# look up'!A:C""),3,0),"""")"),"")</f>
        <v/>
      </c>
      <c r="AH470" s="49">
        <f>LEFT(J470,2)</f>
        <v/>
      </c>
    </row>
    <row r="471" ht="12.75" customHeight="1">
      <c r="A471" s="45">
        <f>IFERROR(__xludf.DUMMYFUNCTION("""COMPUTED_VALUE"""),"Colombo")</f>
        <v/>
      </c>
      <c r="B471" s="45" t="n"/>
      <c r="C471" s="45">
        <f>IFERROR(__xludf.DUMMYFUNCTION("""COMPUTED_VALUE"""),3254508)</f>
        <v/>
      </c>
      <c r="D471" s="45" t="n"/>
      <c r="E471" s="45">
        <f>IFERROR(__xludf.DUMMYFUNCTION("""COMPUTED_VALUE"""),"CFS")</f>
        <v/>
      </c>
      <c r="F471" s="45">
        <f>IFERROR(__xludf.DUMMYFUNCTION("""COMPUTED_VALUE"""),"MAS AMITY PTE LTD")</f>
        <v/>
      </c>
      <c r="G471" s="45">
        <f>IFERROR(__xludf.DUMMYFUNCTION("""COMPUTED_VALUE"""),"MAS Active (Pvt) Ltd - Linea Intimo")</f>
        <v/>
      </c>
      <c r="H471" s="43">
        <f>IFERROR(__xludf.DUMMYFUNCTION("""COMPUTED_VALUE"""),454709130141)</f>
        <v/>
      </c>
      <c r="I471" s="45">
        <f>IFERROR(__xludf.DUMMYFUNCTION("""COMPUTED_VALUE"""),19918612)</f>
        <v/>
      </c>
      <c r="J471" s="45">
        <f>IFERROR(__xludf.DUMMYFUNCTION("""COMPUTED_VALUE"""),"LM3FHKS")</f>
        <v/>
      </c>
      <c r="K471" s="45">
        <f>IFERROR(__xludf.DUMMYFUNCTION("""COMPUTED_VALUE"""),"LM3FHKS-4780")</f>
        <v/>
      </c>
      <c r="L471" s="45">
        <f>IFERROR(__xludf.DUMMYFUNCTION("""COMPUTED_VALUE"""),4)</f>
        <v/>
      </c>
      <c r="M471" s="45">
        <f>IFERROR(__xludf.DUMMYFUNCTION("""COMPUTED_VALUE"""),142)</f>
        <v/>
      </c>
      <c r="N471" s="45">
        <f>IFERROR(__xludf.DUMMYFUNCTION("""COMPUTED_VALUE"""),31.698)</f>
        <v/>
      </c>
      <c r="O471" s="45">
        <f>IFERROR(__xludf.DUMMYFUNCTION("""COMPUTED_VALUE"""),0.276)</f>
        <v/>
      </c>
      <c r="P471" s="45">
        <f>IFERROR(__xludf.DUMMYFUNCTION("""COMPUTED_VALUE"""),"Colombo, LK")</f>
        <v/>
      </c>
      <c r="Q471" s="45">
        <f>IFERROR(__xludf.DUMMYFUNCTION("""COMPUTED_VALUE"""),"New York, NY, US")</f>
        <v/>
      </c>
      <c r="R471" s="44">
        <f>IFERROR(__xludf.DUMMYFUNCTION("""COMPUTED_VALUE"""),45824)</f>
        <v/>
      </c>
      <c r="S471" s="44">
        <f>IFERROR(__xludf.DUMMYFUNCTION("""COMPUTED_VALUE"""),45883)</f>
        <v/>
      </c>
      <c r="T471" s="45">
        <f>IFERROR(__xludf.DUMMYFUNCTION("""COMPUTED_VALUE"""),"Mississauga, ON, CA")</f>
        <v/>
      </c>
      <c r="U471" s="45" t="n"/>
      <c r="V471" s="45" t="n"/>
      <c r="W471" s="45" t="n"/>
      <c r="X471" s="45" t="n"/>
      <c r="Y471" s="46">
        <f>IFERROR(__xludf.DUMMYFUNCTION("""COMPUTED_VALUE"""),45832)</f>
        <v/>
      </c>
      <c r="Z471" s="46">
        <f>IFERROR(__xludf.DUMMYFUNCTION("""COMPUTED_VALUE"""),45861)</f>
        <v/>
      </c>
      <c r="AA471" s="46">
        <f>IFERROR(__xludf.DUMMYFUNCTION("""COMPUTED_VALUE"""),45874)</f>
        <v/>
      </c>
      <c r="AB471" s="45">
        <f>IFERROR(__xludf.DUMMYFUNCTION("""COMPUTED_VALUE"""),"3500 Argentia Road")</f>
        <v/>
      </c>
      <c r="AC471" s="45" t="n"/>
      <c r="AD471" s="45">
        <f>IFERROR(__xludf.DUMMYFUNCTION("""COMPUTED_VALUE"""),"OCEAN")</f>
        <v/>
      </c>
      <c r="AE471" s="45">
        <f>IFERROR(__xludf.DUMMYFUNCTION("""COMPUTED_VALUE"""),"N")</f>
        <v/>
      </c>
      <c r="AF471" s="45" t="n"/>
      <c r="AG471" s="49">
        <f>IFERROR(__xludf.DUMMYFUNCTION("IFNA(vlookup(H471,IMPORTRANGE(""1vUGwO1n0QQGx9kKbO0_M5gmuhXZ6-LaxQxgrmJnzgP0"",""'TP# look up'!A:C""),3,0),"""")"),"")</f>
        <v/>
      </c>
      <c r="AH471" s="49">
        <f>LEFT(J471,2)</f>
        <v/>
      </c>
    </row>
    <row r="472" ht="12.75" customHeight="1">
      <c r="A472" s="45">
        <f>IFERROR(__xludf.DUMMYFUNCTION("""COMPUTED_VALUE"""),"Colombo")</f>
        <v/>
      </c>
      <c r="B472" s="45" t="n"/>
      <c r="C472" s="45">
        <f>IFERROR(__xludf.DUMMYFUNCTION("""COMPUTED_VALUE"""),3254508)</f>
        <v/>
      </c>
      <c r="D472" s="45" t="n"/>
      <c r="E472" s="45">
        <f>IFERROR(__xludf.DUMMYFUNCTION("""COMPUTED_VALUE"""),"CFS")</f>
        <v/>
      </c>
      <c r="F472" s="45">
        <f>IFERROR(__xludf.DUMMYFUNCTION("""COMPUTED_VALUE"""),"MAS AMITY PTE LTD")</f>
        <v/>
      </c>
      <c r="G472" s="45">
        <f>IFERROR(__xludf.DUMMYFUNCTION("""COMPUTED_VALUE"""),"MAS Active (Pvt) Ltd - Linea Intimo")</f>
        <v/>
      </c>
      <c r="H472" s="43">
        <f>IFERROR(__xludf.DUMMYFUNCTION("""COMPUTED_VALUE"""),454709285841)</f>
        <v/>
      </c>
      <c r="I472" s="45">
        <f>IFERROR(__xludf.DUMMYFUNCTION("""COMPUTED_VALUE"""),19918585)</f>
        <v/>
      </c>
      <c r="J472" s="45">
        <f>IFERROR(__xludf.DUMMYFUNCTION("""COMPUTED_VALUE"""),"LM3F64S")</f>
        <v/>
      </c>
      <c r="K472" s="45">
        <f>IFERROR(__xludf.DUMMYFUNCTION("""COMPUTED_VALUE"""),"LM3F64S-070561")</f>
        <v/>
      </c>
      <c r="L472" s="45">
        <f>IFERROR(__xludf.DUMMYFUNCTION("""COMPUTED_VALUE"""),3)</f>
        <v/>
      </c>
      <c r="M472" s="45">
        <f>IFERROR(__xludf.DUMMYFUNCTION("""COMPUTED_VALUE"""),63)</f>
        <v/>
      </c>
      <c r="N472" s="45">
        <f>IFERROR(__xludf.DUMMYFUNCTION("""COMPUTED_VALUE"""),16.25)</f>
        <v/>
      </c>
      <c r="O472" s="45">
        <f>IFERROR(__xludf.DUMMYFUNCTION("""COMPUTED_VALUE"""),0.197)</f>
        <v/>
      </c>
      <c r="P472" s="45">
        <f>IFERROR(__xludf.DUMMYFUNCTION("""COMPUTED_VALUE"""),"Colombo, LK")</f>
        <v/>
      </c>
      <c r="Q472" s="45">
        <f>IFERROR(__xludf.DUMMYFUNCTION("""COMPUTED_VALUE"""),"New York, NY, US")</f>
        <v/>
      </c>
      <c r="R472" s="44">
        <f>IFERROR(__xludf.DUMMYFUNCTION("""COMPUTED_VALUE"""),45824)</f>
        <v/>
      </c>
      <c r="S472" s="44">
        <f>IFERROR(__xludf.DUMMYFUNCTION("""COMPUTED_VALUE"""),45883)</f>
        <v/>
      </c>
      <c r="T472" s="45">
        <f>IFERROR(__xludf.DUMMYFUNCTION("""COMPUTED_VALUE"""),"Mississauga, ON, CA")</f>
        <v/>
      </c>
      <c r="U472" s="45" t="n"/>
      <c r="V472" s="45" t="n"/>
      <c r="W472" s="45" t="n"/>
      <c r="X472" s="45" t="n"/>
      <c r="Y472" s="46">
        <f>IFERROR(__xludf.DUMMYFUNCTION("""COMPUTED_VALUE"""),45832)</f>
        <v/>
      </c>
      <c r="Z472" s="46">
        <f>IFERROR(__xludf.DUMMYFUNCTION("""COMPUTED_VALUE"""),45861)</f>
        <v/>
      </c>
      <c r="AA472" s="46">
        <f>IFERROR(__xludf.DUMMYFUNCTION("""COMPUTED_VALUE"""),45874)</f>
        <v/>
      </c>
      <c r="AB472" s="45">
        <f>IFERROR(__xludf.DUMMYFUNCTION("""COMPUTED_VALUE"""),"3500 Argentia Road")</f>
        <v/>
      </c>
      <c r="AC472" s="45" t="n"/>
      <c r="AD472" s="45">
        <f>IFERROR(__xludf.DUMMYFUNCTION("""COMPUTED_VALUE"""),"OCEAN")</f>
        <v/>
      </c>
      <c r="AE472" s="45">
        <f>IFERROR(__xludf.DUMMYFUNCTION("""COMPUTED_VALUE"""),"N")</f>
        <v/>
      </c>
      <c r="AF472" s="45" t="n"/>
      <c r="AG472" s="49">
        <f>IFERROR(__xludf.DUMMYFUNCTION("IFNA(vlookup(H472,IMPORTRANGE(""1vUGwO1n0QQGx9kKbO0_M5gmuhXZ6-LaxQxgrmJnzgP0"",""'TP# look up'!A:C""),3,0),"""")"),"")</f>
        <v/>
      </c>
      <c r="AH472" s="49">
        <f>LEFT(J472,2)</f>
        <v/>
      </c>
    </row>
    <row r="473" ht="12.75" customHeight="1">
      <c r="A473" s="45">
        <f>IFERROR(__xludf.DUMMYFUNCTION("""COMPUTED_VALUE"""),"Colombo")</f>
        <v/>
      </c>
      <c r="B473" s="45" t="n"/>
      <c r="C473" s="45">
        <f>IFERROR(__xludf.DUMMYFUNCTION("""COMPUTED_VALUE"""),3254508)</f>
        <v/>
      </c>
      <c r="D473" s="45" t="n"/>
      <c r="E473" s="45">
        <f>IFERROR(__xludf.DUMMYFUNCTION("""COMPUTED_VALUE"""),"CFS")</f>
        <v/>
      </c>
      <c r="F473" s="45">
        <f>IFERROR(__xludf.DUMMYFUNCTION("""COMPUTED_VALUE"""),"MAS AMITY PTE LTD")</f>
        <v/>
      </c>
      <c r="G473" s="45">
        <f>IFERROR(__xludf.DUMMYFUNCTION("""COMPUTED_VALUE"""),"MAS Active (Pvt) Ltd - Linea Intimo")</f>
        <v/>
      </c>
      <c r="H473" s="43">
        <f>IFERROR(__xludf.DUMMYFUNCTION("""COMPUTED_VALUE"""),454709307367)</f>
        <v/>
      </c>
      <c r="I473" s="45">
        <f>IFERROR(__xludf.DUMMYFUNCTION("""COMPUTED_VALUE"""),19918638)</f>
        <v/>
      </c>
      <c r="J473" s="45">
        <f>IFERROR(__xludf.DUMMYFUNCTION("""COMPUTED_VALUE"""),"LM3FIKS")</f>
        <v/>
      </c>
      <c r="K473" s="45">
        <f>IFERROR(__xludf.DUMMYFUNCTION("""COMPUTED_VALUE"""),"LM3FIKS-4780")</f>
        <v/>
      </c>
      <c r="L473" s="45">
        <f>IFERROR(__xludf.DUMMYFUNCTION("""COMPUTED_VALUE"""),2)</f>
        <v/>
      </c>
      <c r="M473" s="45">
        <f>IFERROR(__xludf.DUMMYFUNCTION("""COMPUTED_VALUE"""),68)</f>
        <v/>
      </c>
      <c r="N473" s="45">
        <f>IFERROR(__xludf.DUMMYFUNCTION("""COMPUTED_VALUE"""),13.341)</f>
        <v/>
      </c>
      <c r="O473" s="45">
        <f>IFERROR(__xludf.DUMMYFUNCTION("""COMPUTED_VALUE"""),0.118)</f>
        <v/>
      </c>
      <c r="P473" s="45">
        <f>IFERROR(__xludf.DUMMYFUNCTION("""COMPUTED_VALUE"""),"Colombo, LK")</f>
        <v/>
      </c>
      <c r="Q473" s="45">
        <f>IFERROR(__xludf.DUMMYFUNCTION("""COMPUTED_VALUE"""),"New York, NY, US")</f>
        <v/>
      </c>
      <c r="R473" s="44">
        <f>IFERROR(__xludf.DUMMYFUNCTION("""COMPUTED_VALUE"""),45824)</f>
        <v/>
      </c>
      <c r="S473" s="44">
        <f>IFERROR(__xludf.DUMMYFUNCTION("""COMPUTED_VALUE"""),45883)</f>
        <v/>
      </c>
      <c r="T473" s="45">
        <f>IFERROR(__xludf.DUMMYFUNCTION("""COMPUTED_VALUE"""),"Mississauga, ON, CA")</f>
        <v/>
      </c>
      <c r="U473" s="45" t="n"/>
      <c r="V473" s="45" t="n"/>
      <c r="W473" s="45" t="n"/>
      <c r="X473" s="45" t="n"/>
      <c r="Y473" s="46">
        <f>IFERROR(__xludf.DUMMYFUNCTION("""COMPUTED_VALUE"""),45832)</f>
        <v/>
      </c>
      <c r="Z473" s="46">
        <f>IFERROR(__xludf.DUMMYFUNCTION("""COMPUTED_VALUE"""),45861)</f>
        <v/>
      </c>
      <c r="AA473" s="46">
        <f>IFERROR(__xludf.DUMMYFUNCTION("""COMPUTED_VALUE"""),45874)</f>
        <v/>
      </c>
      <c r="AB473" s="45">
        <f>IFERROR(__xludf.DUMMYFUNCTION("""COMPUTED_VALUE"""),"3500 Argentia Road")</f>
        <v/>
      </c>
      <c r="AC473" s="45" t="n"/>
      <c r="AD473" s="45">
        <f>IFERROR(__xludf.DUMMYFUNCTION("""COMPUTED_VALUE"""),"OCEAN")</f>
        <v/>
      </c>
      <c r="AE473" s="45">
        <f>IFERROR(__xludf.DUMMYFUNCTION("""COMPUTED_VALUE"""),"N")</f>
        <v/>
      </c>
      <c r="AF473" s="45" t="n"/>
      <c r="AG473" s="49">
        <f>IFERROR(__xludf.DUMMYFUNCTION("IFNA(vlookup(H473,IMPORTRANGE(""1vUGwO1n0QQGx9kKbO0_M5gmuhXZ6-LaxQxgrmJnzgP0"",""'TP# look up'!A:C""),3,0),"""")"),"")</f>
        <v/>
      </c>
      <c r="AH473" s="49">
        <f>LEFT(J473,2)</f>
        <v/>
      </c>
    </row>
    <row r="474" ht="12.75" customHeight="1">
      <c r="A474" s="45">
        <f>IFERROR(__xludf.DUMMYFUNCTION("""COMPUTED_VALUE"""),"Colombo")</f>
        <v/>
      </c>
      <c r="B474" s="45" t="n"/>
      <c r="C474" s="45">
        <f>IFERROR(__xludf.DUMMYFUNCTION("""COMPUTED_VALUE"""),3254508)</f>
        <v/>
      </c>
      <c r="D474" s="45" t="n"/>
      <c r="E474" s="45">
        <f>IFERROR(__xludf.DUMMYFUNCTION("""COMPUTED_VALUE"""),"CFS")</f>
        <v/>
      </c>
      <c r="F474" s="45">
        <f>IFERROR(__xludf.DUMMYFUNCTION("""COMPUTED_VALUE"""),"MAS AMITY PTE LTD")</f>
        <v/>
      </c>
      <c r="G474" s="45">
        <f>IFERROR(__xludf.DUMMYFUNCTION("""COMPUTED_VALUE"""),"MAS Active (Pvt) Ltd - Linea Intimo")</f>
        <v/>
      </c>
      <c r="H474" s="43">
        <f>IFERROR(__xludf.DUMMYFUNCTION("""COMPUTED_VALUE"""),454709477054)</f>
        <v/>
      </c>
      <c r="I474" s="45">
        <f>IFERROR(__xludf.DUMMYFUNCTION("""COMPUTED_VALUE"""),19918654)</f>
        <v/>
      </c>
      <c r="J474" s="45">
        <f>IFERROR(__xludf.DUMMYFUNCTION("""COMPUTED_VALUE"""),"LM3FPES")</f>
        <v/>
      </c>
      <c r="K474" s="45">
        <f>IFERROR(__xludf.DUMMYFUNCTION("""COMPUTED_VALUE"""),"LM3FPES-042836")</f>
        <v/>
      </c>
      <c r="L474" s="45">
        <f>IFERROR(__xludf.DUMMYFUNCTION("""COMPUTED_VALUE"""),3)</f>
        <v/>
      </c>
      <c r="M474" s="45">
        <f>IFERROR(__xludf.DUMMYFUNCTION("""COMPUTED_VALUE"""),125)</f>
        <v/>
      </c>
      <c r="N474" s="45">
        <f>IFERROR(__xludf.DUMMYFUNCTION("""COMPUTED_VALUE"""),21.785)</f>
        <v/>
      </c>
      <c r="O474" s="45">
        <f>IFERROR(__xludf.DUMMYFUNCTION("""COMPUTED_VALUE"""),0.158)</f>
        <v/>
      </c>
      <c r="P474" s="45">
        <f>IFERROR(__xludf.DUMMYFUNCTION("""COMPUTED_VALUE"""),"Colombo, LK")</f>
        <v/>
      </c>
      <c r="Q474" s="45">
        <f>IFERROR(__xludf.DUMMYFUNCTION("""COMPUTED_VALUE"""),"New York, NY, US")</f>
        <v/>
      </c>
      <c r="R474" s="44">
        <f>IFERROR(__xludf.DUMMYFUNCTION("""COMPUTED_VALUE"""),45824)</f>
        <v/>
      </c>
      <c r="S474" s="44">
        <f>IFERROR(__xludf.DUMMYFUNCTION("""COMPUTED_VALUE"""),45883)</f>
        <v/>
      </c>
      <c r="T474" s="45">
        <f>IFERROR(__xludf.DUMMYFUNCTION("""COMPUTED_VALUE"""),"Mississauga, ON, CA")</f>
        <v/>
      </c>
      <c r="U474" s="45" t="n"/>
      <c r="V474" s="45" t="n"/>
      <c r="W474" s="45" t="n"/>
      <c r="X474" s="45" t="n"/>
      <c r="Y474" s="46">
        <f>IFERROR(__xludf.DUMMYFUNCTION("""COMPUTED_VALUE"""),45832)</f>
        <v/>
      </c>
      <c r="Z474" s="46">
        <f>IFERROR(__xludf.DUMMYFUNCTION("""COMPUTED_VALUE"""),45861)</f>
        <v/>
      </c>
      <c r="AA474" s="46">
        <f>IFERROR(__xludf.DUMMYFUNCTION("""COMPUTED_VALUE"""),45874)</f>
        <v/>
      </c>
      <c r="AB474" s="45">
        <f>IFERROR(__xludf.DUMMYFUNCTION("""COMPUTED_VALUE"""),"3500 Argentia Road")</f>
        <v/>
      </c>
      <c r="AC474" s="45" t="n"/>
      <c r="AD474" s="45">
        <f>IFERROR(__xludf.DUMMYFUNCTION("""COMPUTED_VALUE"""),"OCEAN")</f>
        <v/>
      </c>
      <c r="AE474" s="45">
        <f>IFERROR(__xludf.DUMMYFUNCTION("""COMPUTED_VALUE"""),"N")</f>
        <v/>
      </c>
      <c r="AF474" s="45" t="n"/>
      <c r="AG474" s="49">
        <f>IFERROR(__xludf.DUMMYFUNCTION("IFNA(vlookup(H474,IMPORTRANGE(""1vUGwO1n0QQGx9kKbO0_M5gmuhXZ6-LaxQxgrmJnzgP0"",""'TP# look up'!A:C""),3,0),"""")"),"")</f>
        <v/>
      </c>
      <c r="AH474" s="49">
        <f>LEFT(J474,2)</f>
        <v/>
      </c>
    </row>
    <row r="475" ht="12.75" customHeight="1">
      <c r="A475" s="45">
        <f>IFERROR(__xludf.DUMMYFUNCTION("""COMPUTED_VALUE"""),"Colombo")</f>
        <v/>
      </c>
      <c r="B475" s="45" t="n"/>
      <c r="C475" s="45">
        <f>IFERROR(__xludf.DUMMYFUNCTION("""COMPUTED_VALUE"""),3254508)</f>
        <v/>
      </c>
      <c r="D475" s="45" t="n"/>
      <c r="E475" s="45">
        <f>IFERROR(__xludf.DUMMYFUNCTION("""COMPUTED_VALUE"""),"CFS")</f>
        <v/>
      </c>
      <c r="F475" s="45">
        <f>IFERROR(__xludf.DUMMYFUNCTION("""COMPUTED_VALUE"""),"MAS AMITY PTE LTD")</f>
        <v/>
      </c>
      <c r="G475" s="45">
        <f>IFERROR(__xludf.DUMMYFUNCTION("""COMPUTED_VALUE"""),"MAS Active (Pvt) Ltd - Linea Intimo")</f>
        <v/>
      </c>
      <c r="H475" s="43">
        <f>IFERROR(__xludf.DUMMYFUNCTION("""COMPUTED_VALUE"""),454709781645)</f>
        <v/>
      </c>
      <c r="I475" s="45">
        <f>IFERROR(__xludf.DUMMYFUNCTION("""COMPUTED_VALUE"""),19918778)</f>
        <v/>
      </c>
      <c r="J475" s="45">
        <f>IFERROR(__xludf.DUMMYFUNCTION("""COMPUTED_VALUE"""),"LW3DFLS")</f>
        <v/>
      </c>
      <c r="K475" s="45">
        <f>IFERROR(__xludf.DUMMYFUNCTION("""COMPUTED_VALUE"""),"LW3DFLS-0572")</f>
        <v/>
      </c>
      <c r="L475" s="45">
        <f>IFERROR(__xludf.DUMMYFUNCTION("""COMPUTED_VALUE"""),13)</f>
        <v/>
      </c>
      <c r="M475" s="45">
        <f>IFERROR(__xludf.DUMMYFUNCTION("""COMPUTED_VALUE"""),699)</f>
        <v/>
      </c>
      <c r="N475" s="45">
        <f>IFERROR(__xludf.DUMMYFUNCTION("""COMPUTED_VALUE"""),128.646)</f>
        <v/>
      </c>
      <c r="O475" s="45">
        <f>IFERROR(__xludf.DUMMYFUNCTION("""COMPUTED_VALUE"""),0.908)</f>
        <v/>
      </c>
      <c r="P475" s="45">
        <f>IFERROR(__xludf.DUMMYFUNCTION("""COMPUTED_VALUE"""),"Colombo, LK")</f>
        <v/>
      </c>
      <c r="Q475" s="45">
        <f>IFERROR(__xludf.DUMMYFUNCTION("""COMPUTED_VALUE"""),"New York, NY, US")</f>
        <v/>
      </c>
      <c r="R475" s="44">
        <f>IFERROR(__xludf.DUMMYFUNCTION("""COMPUTED_VALUE"""),45824)</f>
        <v/>
      </c>
      <c r="S475" s="44">
        <f>IFERROR(__xludf.DUMMYFUNCTION("""COMPUTED_VALUE"""),45883)</f>
        <v/>
      </c>
      <c r="T475" s="45">
        <f>IFERROR(__xludf.DUMMYFUNCTION("""COMPUTED_VALUE"""),"Mississauga, ON, CA")</f>
        <v/>
      </c>
      <c r="U475" s="45" t="n"/>
      <c r="V475" s="45" t="n"/>
      <c r="W475" s="45" t="n"/>
      <c r="X475" s="45" t="n"/>
      <c r="Y475" s="46">
        <f>IFERROR(__xludf.DUMMYFUNCTION("""COMPUTED_VALUE"""),45832)</f>
        <v/>
      </c>
      <c r="Z475" s="46">
        <f>IFERROR(__xludf.DUMMYFUNCTION("""COMPUTED_VALUE"""),45861)</f>
        <v/>
      </c>
      <c r="AA475" s="46">
        <f>IFERROR(__xludf.DUMMYFUNCTION("""COMPUTED_VALUE"""),45874)</f>
        <v/>
      </c>
      <c r="AB475" s="45">
        <f>IFERROR(__xludf.DUMMYFUNCTION("""COMPUTED_VALUE"""),"3500 Argentia Road")</f>
        <v/>
      </c>
      <c r="AC475" s="45" t="n"/>
      <c r="AD475" s="45">
        <f>IFERROR(__xludf.DUMMYFUNCTION("""COMPUTED_VALUE"""),"OCEAN")</f>
        <v/>
      </c>
      <c r="AE475" s="45">
        <f>IFERROR(__xludf.DUMMYFUNCTION("""COMPUTED_VALUE"""),"N")</f>
        <v/>
      </c>
      <c r="AF475" s="45" t="n"/>
      <c r="AG475" s="49">
        <f>IFERROR(__xludf.DUMMYFUNCTION("IFNA(vlookup(H475,IMPORTRANGE(""1vUGwO1n0QQGx9kKbO0_M5gmuhXZ6-LaxQxgrmJnzgP0"",""'TP# look up'!A:C""),3,0),"""")"),"")</f>
        <v/>
      </c>
      <c r="AH475" s="49">
        <f>LEFT(J475,2)</f>
        <v/>
      </c>
    </row>
    <row r="476" ht="12.75" customHeight="1">
      <c r="A476" s="45">
        <f>IFERROR(__xludf.DUMMYFUNCTION("""COMPUTED_VALUE"""),"Colombo")</f>
        <v/>
      </c>
      <c r="B476" s="45" t="n"/>
      <c r="C476" s="45">
        <f>IFERROR(__xludf.DUMMYFUNCTION("""COMPUTED_VALUE"""),3254508)</f>
        <v/>
      </c>
      <c r="D476" s="45" t="n"/>
      <c r="E476" s="45">
        <f>IFERROR(__xludf.DUMMYFUNCTION("""COMPUTED_VALUE"""),"CFS")</f>
        <v/>
      </c>
      <c r="F476" s="45">
        <f>IFERROR(__xludf.DUMMYFUNCTION("""COMPUTED_VALUE"""),"MAS AMITY PTE LTD")</f>
        <v/>
      </c>
      <c r="G476" s="45">
        <f>IFERROR(__xludf.DUMMYFUNCTION("""COMPUTED_VALUE"""),"MAS Active (Pvt) Ltd - Linea Intimo")</f>
        <v/>
      </c>
      <c r="H476" s="43">
        <f>IFERROR(__xludf.DUMMYFUNCTION("""COMPUTED_VALUE"""),454709782023)</f>
        <v/>
      </c>
      <c r="I476" s="45">
        <f>IFERROR(__xludf.DUMMYFUNCTION("""COMPUTED_VALUE"""),19918920)</f>
        <v/>
      </c>
      <c r="J476" s="45">
        <f>IFERROR(__xludf.DUMMYFUNCTION("""COMPUTED_VALUE"""),"LW3FQHS")</f>
        <v/>
      </c>
      <c r="K476" s="45">
        <f>IFERROR(__xludf.DUMMYFUNCTION("""COMPUTED_VALUE"""),"LW3FQHS-012826")</f>
        <v/>
      </c>
      <c r="L476" s="45">
        <f>IFERROR(__xludf.DUMMYFUNCTION("""COMPUTED_VALUE"""),8)</f>
        <v/>
      </c>
      <c r="M476" s="45">
        <f>IFERROR(__xludf.DUMMYFUNCTION("""COMPUTED_VALUE"""),847)</f>
        <v/>
      </c>
      <c r="N476" s="45">
        <f>IFERROR(__xludf.DUMMYFUNCTION("""COMPUTED_VALUE"""),84.045)</f>
        <v/>
      </c>
      <c r="O476" s="45">
        <f>IFERROR(__xludf.DUMMYFUNCTION("""COMPUTED_VALUE"""),0.592)</f>
        <v/>
      </c>
      <c r="P476" s="45">
        <f>IFERROR(__xludf.DUMMYFUNCTION("""COMPUTED_VALUE"""),"Colombo, LK")</f>
        <v/>
      </c>
      <c r="Q476" s="45">
        <f>IFERROR(__xludf.DUMMYFUNCTION("""COMPUTED_VALUE"""),"New York, NY, US")</f>
        <v/>
      </c>
      <c r="R476" s="44">
        <f>IFERROR(__xludf.DUMMYFUNCTION("""COMPUTED_VALUE"""),45824)</f>
        <v/>
      </c>
      <c r="S476" s="44">
        <f>IFERROR(__xludf.DUMMYFUNCTION("""COMPUTED_VALUE"""),45883)</f>
        <v/>
      </c>
      <c r="T476" s="45">
        <f>IFERROR(__xludf.DUMMYFUNCTION("""COMPUTED_VALUE"""),"Mississauga, ON, CA")</f>
        <v/>
      </c>
      <c r="U476" s="45" t="n"/>
      <c r="V476" s="45" t="n"/>
      <c r="W476" s="45" t="n"/>
      <c r="X476" s="45" t="n"/>
      <c r="Y476" s="46">
        <f>IFERROR(__xludf.DUMMYFUNCTION("""COMPUTED_VALUE"""),45832)</f>
        <v/>
      </c>
      <c r="Z476" s="46">
        <f>IFERROR(__xludf.DUMMYFUNCTION("""COMPUTED_VALUE"""),45861)</f>
        <v/>
      </c>
      <c r="AA476" s="46">
        <f>IFERROR(__xludf.DUMMYFUNCTION("""COMPUTED_VALUE"""),45874)</f>
        <v/>
      </c>
      <c r="AB476" s="45">
        <f>IFERROR(__xludf.DUMMYFUNCTION("""COMPUTED_VALUE"""),"3500 Argentia Road")</f>
        <v/>
      </c>
      <c r="AC476" s="45" t="n"/>
      <c r="AD476" s="45">
        <f>IFERROR(__xludf.DUMMYFUNCTION("""COMPUTED_VALUE"""),"OCEAN")</f>
        <v/>
      </c>
      <c r="AE476" s="45">
        <f>IFERROR(__xludf.DUMMYFUNCTION("""COMPUTED_VALUE"""),"N")</f>
        <v/>
      </c>
      <c r="AF476" s="45" t="n"/>
      <c r="AG476" s="49">
        <f>IFERROR(__xludf.DUMMYFUNCTION("IFNA(vlookup(H476,IMPORTRANGE(""1vUGwO1n0QQGx9kKbO0_M5gmuhXZ6-LaxQxgrmJnzgP0"",""'TP# look up'!A:C""),3,0),"""")"),"")</f>
        <v/>
      </c>
      <c r="AH476" s="49">
        <f>LEFT(J476,2)</f>
        <v/>
      </c>
    </row>
    <row r="477" ht="12.75" customHeight="1">
      <c r="A477" s="45">
        <f>IFERROR(__xludf.DUMMYFUNCTION("""COMPUTED_VALUE"""),"Colombo")</f>
        <v/>
      </c>
      <c r="B477" s="45" t="n"/>
      <c r="C477" s="45">
        <f>IFERROR(__xludf.DUMMYFUNCTION("""COMPUTED_VALUE"""),3254508)</f>
        <v/>
      </c>
      <c r="D477" s="45" t="n"/>
      <c r="E477" s="45">
        <f>IFERROR(__xludf.DUMMYFUNCTION("""COMPUTED_VALUE"""),"CFS")</f>
        <v/>
      </c>
      <c r="F477" s="45">
        <f>IFERROR(__xludf.DUMMYFUNCTION("""COMPUTED_VALUE"""),"MAS AMITY PTE LTD")</f>
        <v/>
      </c>
      <c r="G477" s="45">
        <f>IFERROR(__xludf.DUMMYFUNCTION("""COMPUTED_VALUE"""),"MAS Active (Pvt) Ltd - Linea Intimo")</f>
        <v/>
      </c>
      <c r="H477" s="43">
        <f>IFERROR(__xludf.DUMMYFUNCTION("""COMPUTED_VALUE"""),454710211186)</f>
        <v/>
      </c>
      <c r="I477" s="45">
        <f>IFERROR(__xludf.DUMMYFUNCTION("""COMPUTED_VALUE"""),19919209)</f>
        <v/>
      </c>
      <c r="J477" s="45">
        <f>IFERROR(__xludf.DUMMYFUNCTION("""COMPUTED_VALUE"""),"LM1364S")</f>
        <v/>
      </c>
      <c r="K477" s="45">
        <f>IFERROR(__xludf.DUMMYFUNCTION("""COMPUTED_VALUE"""),"LM1364S-4780")</f>
        <v/>
      </c>
      <c r="L477" s="45">
        <f>IFERROR(__xludf.DUMMYFUNCTION("""COMPUTED_VALUE"""),7)</f>
        <v/>
      </c>
      <c r="M477" s="45">
        <f>IFERROR(__xludf.DUMMYFUNCTION("""COMPUTED_VALUE"""),409)</f>
        <v/>
      </c>
      <c r="N477" s="45">
        <f>IFERROR(__xludf.DUMMYFUNCTION("""COMPUTED_VALUE"""),62.688)</f>
        <v/>
      </c>
      <c r="O477" s="45">
        <f>IFERROR(__xludf.DUMMYFUNCTION("""COMPUTED_VALUE"""),0.474)</f>
        <v/>
      </c>
      <c r="P477" s="45">
        <f>IFERROR(__xludf.DUMMYFUNCTION("""COMPUTED_VALUE"""),"Colombo, LK")</f>
        <v/>
      </c>
      <c r="Q477" s="45">
        <f>IFERROR(__xludf.DUMMYFUNCTION("""COMPUTED_VALUE"""),"New York, NY, US")</f>
        <v/>
      </c>
      <c r="R477" s="44">
        <f>IFERROR(__xludf.DUMMYFUNCTION("""COMPUTED_VALUE"""),45824)</f>
        <v/>
      </c>
      <c r="S477" s="44">
        <f>IFERROR(__xludf.DUMMYFUNCTION("""COMPUTED_VALUE"""),45883)</f>
        <v/>
      </c>
      <c r="T477" s="45">
        <f>IFERROR(__xludf.DUMMYFUNCTION("""COMPUTED_VALUE"""),"Mississauga, ON, CA")</f>
        <v/>
      </c>
      <c r="U477" s="45" t="n"/>
      <c r="V477" s="45" t="n"/>
      <c r="W477" s="45" t="n"/>
      <c r="X477" s="45" t="n"/>
      <c r="Y477" s="46">
        <f>IFERROR(__xludf.DUMMYFUNCTION("""COMPUTED_VALUE"""),45832)</f>
        <v/>
      </c>
      <c r="Z477" s="46">
        <f>IFERROR(__xludf.DUMMYFUNCTION("""COMPUTED_VALUE"""),45861)</f>
        <v/>
      </c>
      <c r="AA477" s="46">
        <f>IFERROR(__xludf.DUMMYFUNCTION("""COMPUTED_VALUE"""),45874)</f>
        <v/>
      </c>
      <c r="AB477" s="45">
        <f>IFERROR(__xludf.DUMMYFUNCTION("""COMPUTED_VALUE"""),"3500 Argentia Road")</f>
        <v/>
      </c>
      <c r="AC477" s="45" t="n"/>
      <c r="AD477" s="45">
        <f>IFERROR(__xludf.DUMMYFUNCTION("""COMPUTED_VALUE"""),"OCEAN")</f>
        <v/>
      </c>
      <c r="AE477" s="45">
        <f>IFERROR(__xludf.DUMMYFUNCTION("""COMPUTED_VALUE"""),"N")</f>
        <v/>
      </c>
      <c r="AF477" s="45" t="n"/>
      <c r="AG477" s="49">
        <f>IFERROR(__xludf.DUMMYFUNCTION("IFNA(vlookup(H477,IMPORTRANGE(""1vUGwO1n0QQGx9kKbO0_M5gmuhXZ6-LaxQxgrmJnzgP0"",""'TP# look up'!A:C""),3,0),"""")"),"")</f>
        <v/>
      </c>
      <c r="AH477" s="49">
        <f>LEFT(J477,2)</f>
        <v/>
      </c>
    </row>
    <row r="478" ht="12.75" customHeight="1">
      <c r="A478" s="45">
        <f>IFERROR(__xludf.DUMMYFUNCTION("""COMPUTED_VALUE"""),"Colombo")</f>
        <v/>
      </c>
      <c r="B478" s="45" t="n"/>
      <c r="C478" s="45">
        <f>IFERROR(__xludf.DUMMYFUNCTION("""COMPUTED_VALUE"""),3254508)</f>
        <v/>
      </c>
      <c r="D478" s="45" t="n"/>
      <c r="E478" s="45">
        <f>IFERROR(__xludf.DUMMYFUNCTION("""COMPUTED_VALUE"""),"CFS")</f>
        <v/>
      </c>
      <c r="F478" s="45">
        <f>IFERROR(__xludf.DUMMYFUNCTION("""COMPUTED_VALUE"""),"MAS AMITY PTE LTD")</f>
        <v/>
      </c>
      <c r="G478" s="45">
        <f>IFERROR(__xludf.DUMMYFUNCTION("""COMPUTED_VALUE"""),"MAS Active (Pvt) Ltd - Linea Intimo")</f>
        <v/>
      </c>
      <c r="H478" s="43">
        <f>IFERROR(__xludf.DUMMYFUNCTION("""COMPUTED_VALUE"""),454710569610)</f>
        <v/>
      </c>
      <c r="I478" s="45">
        <f>IFERROR(__xludf.DUMMYFUNCTION("""COMPUTED_VALUE"""),19919241)</f>
        <v/>
      </c>
      <c r="J478" s="45">
        <f>IFERROR(__xludf.DUMMYFUNCTION("""COMPUTED_VALUE"""),"LM1364S")</f>
        <v/>
      </c>
      <c r="K478" s="45">
        <f>IFERROR(__xludf.DUMMYFUNCTION("""COMPUTED_VALUE"""),"LM1364S-071159")</f>
        <v/>
      </c>
      <c r="L478" s="45">
        <f>IFERROR(__xludf.DUMMYFUNCTION("""COMPUTED_VALUE"""),3)</f>
        <v/>
      </c>
      <c r="M478" s="45">
        <f>IFERROR(__xludf.DUMMYFUNCTION("""COMPUTED_VALUE"""),162)</f>
        <v/>
      </c>
      <c r="N478" s="45">
        <f>IFERROR(__xludf.DUMMYFUNCTION("""COMPUTED_VALUE"""),25.299)</f>
        <v/>
      </c>
      <c r="O478" s="45">
        <f>IFERROR(__xludf.DUMMYFUNCTION("""COMPUTED_VALUE"""),0.237)</f>
        <v/>
      </c>
      <c r="P478" s="45">
        <f>IFERROR(__xludf.DUMMYFUNCTION("""COMPUTED_VALUE"""),"Colombo, LK")</f>
        <v/>
      </c>
      <c r="Q478" s="45">
        <f>IFERROR(__xludf.DUMMYFUNCTION("""COMPUTED_VALUE"""),"New York, NY, US")</f>
        <v/>
      </c>
      <c r="R478" s="44">
        <f>IFERROR(__xludf.DUMMYFUNCTION("""COMPUTED_VALUE"""),45824)</f>
        <v/>
      </c>
      <c r="S478" s="44">
        <f>IFERROR(__xludf.DUMMYFUNCTION("""COMPUTED_VALUE"""),45883)</f>
        <v/>
      </c>
      <c r="T478" s="45">
        <f>IFERROR(__xludf.DUMMYFUNCTION("""COMPUTED_VALUE"""),"Mississauga, ON, CA")</f>
        <v/>
      </c>
      <c r="U478" s="45" t="n"/>
      <c r="V478" s="45" t="n"/>
      <c r="W478" s="45" t="n"/>
      <c r="X478" s="45" t="n"/>
      <c r="Y478" s="46">
        <f>IFERROR(__xludf.DUMMYFUNCTION("""COMPUTED_VALUE"""),45832)</f>
        <v/>
      </c>
      <c r="Z478" s="46">
        <f>IFERROR(__xludf.DUMMYFUNCTION("""COMPUTED_VALUE"""),45861)</f>
        <v/>
      </c>
      <c r="AA478" s="46">
        <f>IFERROR(__xludf.DUMMYFUNCTION("""COMPUTED_VALUE"""),45874)</f>
        <v/>
      </c>
      <c r="AB478" s="45">
        <f>IFERROR(__xludf.DUMMYFUNCTION("""COMPUTED_VALUE"""),"3500 Argentia Road")</f>
        <v/>
      </c>
      <c r="AC478" s="45" t="n"/>
      <c r="AD478" s="45">
        <f>IFERROR(__xludf.DUMMYFUNCTION("""COMPUTED_VALUE"""),"OCEAN")</f>
        <v/>
      </c>
      <c r="AE478" s="45">
        <f>IFERROR(__xludf.DUMMYFUNCTION("""COMPUTED_VALUE"""),"N")</f>
        <v/>
      </c>
      <c r="AF478" s="45" t="n"/>
      <c r="AG478" s="49">
        <f>IFERROR(__xludf.DUMMYFUNCTION("IFNA(vlookup(H478,IMPORTRANGE(""1vUGwO1n0QQGx9kKbO0_M5gmuhXZ6-LaxQxgrmJnzgP0"",""'TP# look up'!A:C""),3,0),"""")"),"")</f>
        <v/>
      </c>
      <c r="AH478" s="49">
        <f>LEFT(J478,2)</f>
        <v/>
      </c>
    </row>
    <row r="479" ht="12.75" customHeight="1">
      <c r="A479" s="45">
        <f>IFERROR(__xludf.DUMMYFUNCTION("""COMPUTED_VALUE"""),"Colombo")</f>
        <v/>
      </c>
      <c r="B479" s="45" t="n"/>
      <c r="C479" s="45">
        <f>IFERROR(__xludf.DUMMYFUNCTION("""COMPUTED_VALUE"""),3254508)</f>
        <v/>
      </c>
      <c r="D479" s="45" t="n"/>
      <c r="E479" s="45">
        <f>IFERROR(__xludf.DUMMYFUNCTION("""COMPUTED_VALUE"""),"CFS")</f>
        <v/>
      </c>
      <c r="F479" s="45">
        <f>IFERROR(__xludf.DUMMYFUNCTION("""COMPUTED_VALUE"""),"MAS AMITY PTE LTD")</f>
        <v/>
      </c>
      <c r="G479" s="45">
        <f>IFERROR(__xludf.DUMMYFUNCTION("""COMPUTED_VALUE"""),"MAS Active (Pvt) Ltd - Linea Intimo")</f>
        <v/>
      </c>
      <c r="H479" s="43">
        <f>IFERROR(__xludf.DUMMYFUNCTION("""COMPUTED_VALUE"""),454710569927)</f>
        <v/>
      </c>
      <c r="I479" s="45">
        <f>IFERROR(__xludf.DUMMYFUNCTION("""COMPUTED_VALUE"""),19919259)</f>
        <v/>
      </c>
      <c r="J479" s="45">
        <f>IFERROR(__xludf.DUMMYFUNCTION("""COMPUTED_VALUE"""),"LM3F64S")</f>
        <v/>
      </c>
      <c r="K479" s="45">
        <f>IFERROR(__xludf.DUMMYFUNCTION("""COMPUTED_VALUE"""),"LM3F64S-4780")</f>
        <v/>
      </c>
      <c r="L479" s="45">
        <f>IFERROR(__xludf.DUMMYFUNCTION("""COMPUTED_VALUE"""),12)</f>
        <v/>
      </c>
      <c r="M479" s="45">
        <f>IFERROR(__xludf.DUMMYFUNCTION("""COMPUTED_VALUE"""),386)</f>
        <v/>
      </c>
      <c r="N479" s="45">
        <f>IFERROR(__xludf.DUMMYFUNCTION("""COMPUTED_VALUE"""),95.786)</f>
        <v/>
      </c>
      <c r="O479" s="45">
        <f>IFERROR(__xludf.DUMMYFUNCTION("""COMPUTED_VALUE"""),0.948)</f>
        <v/>
      </c>
      <c r="P479" s="45">
        <f>IFERROR(__xludf.DUMMYFUNCTION("""COMPUTED_VALUE"""),"Colombo, LK")</f>
        <v/>
      </c>
      <c r="Q479" s="45">
        <f>IFERROR(__xludf.DUMMYFUNCTION("""COMPUTED_VALUE"""),"New York, NY, US")</f>
        <v/>
      </c>
      <c r="R479" s="44">
        <f>IFERROR(__xludf.DUMMYFUNCTION("""COMPUTED_VALUE"""),45824)</f>
        <v/>
      </c>
      <c r="S479" s="44">
        <f>IFERROR(__xludf.DUMMYFUNCTION("""COMPUTED_VALUE"""),45883)</f>
        <v/>
      </c>
      <c r="T479" s="45">
        <f>IFERROR(__xludf.DUMMYFUNCTION("""COMPUTED_VALUE"""),"Mississauga, ON, CA")</f>
        <v/>
      </c>
      <c r="U479" s="45" t="n"/>
      <c r="V479" s="45" t="n"/>
      <c r="W479" s="45" t="n"/>
      <c r="X479" s="45" t="n"/>
      <c r="Y479" s="46">
        <f>IFERROR(__xludf.DUMMYFUNCTION("""COMPUTED_VALUE"""),45832)</f>
        <v/>
      </c>
      <c r="Z479" s="46">
        <f>IFERROR(__xludf.DUMMYFUNCTION("""COMPUTED_VALUE"""),45861)</f>
        <v/>
      </c>
      <c r="AA479" s="46">
        <f>IFERROR(__xludf.DUMMYFUNCTION("""COMPUTED_VALUE"""),45874)</f>
        <v/>
      </c>
      <c r="AB479" s="45">
        <f>IFERROR(__xludf.DUMMYFUNCTION("""COMPUTED_VALUE"""),"3500 Argentia Road")</f>
        <v/>
      </c>
      <c r="AC479" s="45" t="n"/>
      <c r="AD479" s="45">
        <f>IFERROR(__xludf.DUMMYFUNCTION("""COMPUTED_VALUE"""),"OCEAN")</f>
        <v/>
      </c>
      <c r="AE479" s="45">
        <f>IFERROR(__xludf.DUMMYFUNCTION("""COMPUTED_VALUE"""),"N")</f>
        <v/>
      </c>
      <c r="AF479" s="45" t="n"/>
      <c r="AG479" s="49">
        <f>IFERROR(__xludf.DUMMYFUNCTION("IFNA(vlookup(H479,IMPORTRANGE(""1vUGwO1n0QQGx9kKbO0_M5gmuhXZ6-LaxQxgrmJnzgP0"",""'TP# look up'!A:C""),3,0),"""")"),"")</f>
        <v/>
      </c>
      <c r="AH479" s="49">
        <f>LEFT(J479,2)</f>
        <v/>
      </c>
    </row>
    <row r="480" ht="12.75" customHeight="1">
      <c r="A480" s="45">
        <f>IFERROR(__xludf.DUMMYFUNCTION("""COMPUTED_VALUE"""),"Colombo")</f>
        <v/>
      </c>
      <c r="B480" s="45" t="n"/>
      <c r="C480" s="45">
        <f>IFERROR(__xludf.DUMMYFUNCTION("""COMPUTED_VALUE"""),3254508)</f>
        <v/>
      </c>
      <c r="D480" s="45" t="n"/>
      <c r="E480" s="45">
        <f>IFERROR(__xludf.DUMMYFUNCTION("""COMPUTED_VALUE"""),"CFS")</f>
        <v/>
      </c>
      <c r="F480" s="45">
        <f>IFERROR(__xludf.DUMMYFUNCTION("""COMPUTED_VALUE"""),"MAS AMITY PTE LTD")</f>
        <v/>
      </c>
      <c r="G480" s="45">
        <f>IFERROR(__xludf.DUMMYFUNCTION("""COMPUTED_VALUE"""),"MAS Active (Pvt) Ltd - Linea Intimo")</f>
        <v/>
      </c>
      <c r="H480" s="43">
        <f>IFERROR(__xludf.DUMMYFUNCTION("""COMPUTED_VALUE"""),454710728906)</f>
        <v/>
      </c>
      <c r="I480" s="45">
        <f>IFERROR(__xludf.DUMMYFUNCTION("""COMPUTED_VALUE"""),19919281)</f>
        <v/>
      </c>
      <c r="J480" s="45">
        <f>IFERROR(__xludf.DUMMYFUNCTION("""COMPUTED_VALUE"""),"LM3F64S")</f>
        <v/>
      </c>
      <c r="K480" s="45">
        <f>IFERROR(__xludf.DUMMYFUNCTION("""COMPUTED_VALUE"""),"LM3F64S-071162")</f>
        <v/>
      </c>
      <c r="L480" s="45">
        <f>IFERROR(__xludf.DUMMYFUNCTION("""COMPUTED_VALUE"""),9)</f>
        <v/>
      </c>
      <c r="M480" s="45">
        <f>IFERROR(__xludf.DUMMYFUNCTION("""COMPUTED_VALUE"""),248)</f>
        <v/>
      </c>
      <c r="N480" s="45">
        <f>IFERROR(__xludf.DUMMYFUNCTION("""COMPUTED_VALUE"""),62.689)</f>
        <v/>
      </c>
      <c r="O480" s="45">
        <f>IFERROR(__xludf.DUMMYFUNCTION("""COMPUTED_VALUE"""),0.671)</f>
        <v/>
      </c>
      <c r="P480" s="45">
        <f>IFERROR(__xludf.DUMMYFUNCTION("""COMPUTED_VALUE"""),"Colombo, LK")</f>
        <v/>
      </c>
      <c r="Q480" s="45">
        <f>IFERROR(__xludf.DUMMYFUNCTION("""COMPUTED_VALUE"""),"New York, NY, US")</f>
        <v/>
      </c>
      <c r="R480" s="44">
        <f>IFERROR(__xludf.DUMMYFUNCTION("""COMPUTED_VALUE"""),45824)</f>
        <v/>
      </c>
      <c r="S480" s="44">
        <f>IFERROR(__xludf.DUMMYFUNCTION("""COMPUTED_VALUE"""),45883)</f>
        <v/>
      </c>
      <c r="T480" s="45">
        <f>IFERROR(__xludf.DUMMYFUNCTION("""COMPUTED_VALUE"""),"Mississauga, ON, CA")</f>
        <v/>
      </c>
      <c r="U480" s="45" t="n"/>
      <c r="V480" s="45" t="n"/>
      <c r="W480" s="45" t="n"/>
      <c r="X480" s="45" t="n"/>
      <c r="Y480" s="46">
        <f>IFERROR(__xludf.DUMMYFUNCTION("""COMPUTED_VALUE"""),45832)</f>
        <v/>
      </c>
      <c r="Z480" s="46">
        <f>IFERROR(__xludf.DUMMYFUNCTION("""COMPUTED_VALUE"""),45861)</f>
        <v/>
      </c>
      <c r="AA480" s="46">
        <f>IFERROR(__xludf.DUMMYFUNCTION("""COMPUTED_VALUE"""),45874)</f>
        <v/>
      </c>
      <c r="AB480" s="45">
        <f>IFERROR(__xludf.DUMMYFUNCTION("""COMPUTED_VALUE"""),"3500 Argentia Road")</f>
        <v/>
      </c>
      <c r="AC480" s="45" t="n"/>
      <c r="AD480" s="45">
        <f>IFERROR(__xludf.DUMMYFUNCTION("""COMPUTED_VALUE"""),"OCEAN")</f>
        <v/>
      </c>
      <c r="AE480" s="45">
        <f>IFERROR(__xludf.DUMMYFUNCTION("""COMPUTED_VALUE"""),"N")</f>
        <v/>
      </c>
      <c r="AF480" s="45" t="n"/>
      <c r="AG480" s="49">
        <f>IFERROR(__xludf.DUMMYFUNCTION("IFNA(vlookup(H480,IMPORTRANGE(""1vUGwO1n0QQGx9kKbO0_M5gmuhXZ6-LaxQxgrmJnzgP0"",""'TP# look up'!A:C""),3,0),"""")"),"")</f>
        <v/>
      </c>
      <c r="AH480" s="49">
        <f>LEFT(J480,2)</f>
        <v/>
      </c>
    </row>
    <row r="481" ht="12.75" customHeight="1">
      <c r="A481" s="45">
        <f>IFERROR(__xludf.DUMMYFUNCTION("""COMPUTED_VALUE"""),"Colombo")</f>
        <v/>
      </c>
      <c r="B481" s="45" t="n"/>
      <c r="C481" s="45">
        <f>IFERROR(__xludf.DUMMYFUNCTION("""COMPUTED_VALUE"""),3254508)</f>
        <v/>
      </c>
      <c r="D481" s="45" t="n"/>
      <c r="E481" s="45">
        <f>IFERROR(__xludf.DUMMYFUNCTION("""COMPUTED_VALUE"""),"CFS")</f>
        <v/>
      </c>
      <c r="F481" s="45">
        <f>IFERROR(__xludf.DUMMYFUNCTION("""COMPUTED_VALUE"""),"MAS AMITY PTE LTD")</f>
        <v/>
      </c>
      <c r="G481" s="45">
        <f>IFERROR(__xludf.DUMMYFUNCTION("""COMPUTED_VALUE"""),"MAS Active (Pvt) Ltd - Linea Intimo")</f>
        <v/>
      </c>
      <c r="H481" s="43">
        <f>IFERROR(__xludf.DUMMYFUNCTION("""COMPUTED_VALUE"""),454711375758)</f>
        <v/>
      </c>
      <c r="I481" s="45">
        <f>IFERROR(__xludf.DUMMYFUNCTION("""COMPUTED_VALUE"""),19919305)</f>
        <v/>
      </c>
      <c r="J481" s="45">
        <f>IFERROR(__xludf.DUMMYFUNCTION("""COMPUTED_VALUE"""),"LM3F64S")</f>
        <v/>
      </c>
      <c r="K481" s="45">
        <f>IFERROR(__xludf.DUMMYFUNCTION("""COMPUTED_VALUE"""),"LM3F64S-070561")</f>
        <v/>
      </c>
      <c r="L481" s="45">
        <f>IFERROR(__xludf.DUMMYFUNCTION("""COMPUTED_VALUE"""),9)</f>
        <v/>
      </c>
      <c r="M481" s="45">
        <f>IFERROR(__xludf.DUMMYFUNCTION("""COMPUTED_VALUE"""),263)</f>
        <v/>
      </c>
      <c r="N481" s="45">
        <f>IFERROR(__xludf.DUMMYFUNCTION("""COMPUTED_VALUE"""),65.877)</f>
        <v/>
      </c>
      <c r="O481" s="45">
        <f>IFERROR(__xludf.DUMMYFUNCTION("""COMPUTED_VALUE"""),0.671)</f>
        <v/>
      </c>
      <c r="P481" s="45">
        <f>IFERROR(__xludf.DUMMYFUNCTION("""COMPUTED_VALUE"""),"Colombo, LK")</f>
        <v/>
      </c>
      <c r="Q481" s="45">
        <f>IFERROR(__xludf.DUMMYFUNCTION("""COMPUTED_VALUE"""),"New York, NY, US")</f>
        <v/>
      </c>
      <c r="R481" s="44">
        <f>IFERROR(__xludf.DUMMYFUNCTION("""COMPUTED_VALUE"""),45824)</f>
        <v/>
      </c>
      <c r="S481" s="44">
        <f>IFERROR(__xludf.DUMMYFUNCTION("""COMPUTED_VALUE"""),45883)</f>
        <v/>
      </c>
      <c r="T481" s="45">
        <f>IFERROR(__xludf.DUMMYFUNCTION("""COMPUTED_VALUE"""),"Mississauga, ON, CA")</f>
        <v/>
      </c>
      <c r="U481" s="45" t="n"/>
      <c r="V481" s="45" t="n"/>
      <c r="W481" s="45" t="n"/>
      <c r="X481" s="45" t="n"/>
      <c r="Y481" s="46">
        <f>IFERROR(__xludf.DUMMYFUNCTION("""COMPUTED_VALUE"""),45832)</f>
        <v/>
      </c>
      <c r="Z481" s="46">
        <f>IFERROR(__xludf.DUMMYFUNCTION("""COMPUTED_VALUE"""),45861)</f>
        <v/>
      </c>
      <c r="AA481" s="46">
        <f>IFERROR(__xludf.DUMMYFUNCTION("""COMPUTED_VALUE"""),45874)</f>
        <v/>
      </c>
      <c r="AB481" s="45">
        <f>IFERROR(__xludf.DUMMYFUNCTION("""COMPUTED_VALUE"""),"3500 Argentia Road")</f>
        <v/>
      </c>
      <c r="AC481" s="45" t="n"/>
      <c r="AD481" s="45">
        <f>IFERROR(__xludf.DUMMYFUNCTION("""COMPUTED_VALUE"""),"OCEAN")</f>
        <v/>
      </c>
      <c r="AE481" s="45">
        <f>IFERROR(__xludf.DUMMYFUNCTION("""COMPUTED_VALUE"""),"N")</f>
        <v/>
      </c>
      <c r="AF481" s="45" t="n"/>
      <c r="AG481" s="49">
        <f>IFERROR(__xludf.DUMMYFUNCTION("IFNA(vlookup(H481,IMPORTRANGE(""1vUGwO1n0QQGx9kKbO0_M5gmuhXZ6-LaxQxgrmJnzgP0"",""'TP# look up'!A:C""),3,0),"""")"),"")</f>
        <v/>
      </c>
      <c r="AH481" s="49">
        <f>LEFT(J481,2)</f>
        <v/>
      </c>
    </row>
    <row r="482" ht="12.75" customHeight="1">
      <c r="A482" s="45">
        <f>IFERROR(__xludf.DUMMYFUNCTION("""COMPUTED_VALUE"""),"Colombo")</f>
        <v/>
      </c>
      <c r="B482" s="45" t="n"/>
      <c r="C482" s="45">
        <f>IFERROR(__xludf.DUMMYFUNCTION("""COMPUTED_VALUE"""),3254508)</f>
        <v/>
      </c>
      <c r="D482" s="45" t="n"/>
      <c r="E482" s="45">
        <f>IFERROR(__xludf.DUMMYFUNCTION("""COMPUTED_VALUE"""),"CFS")</f>
        <v/>
      </c>
      <c r="F482" s="45">
        <f>IFERROR(__xludf.DUMMYFUNCTION("""COMPUTED_VALUE"""),"MAS AMITY PTE LTD")</f>
        <v/>
      </c>
      <c r="G482" s="45">
        <f>IFERROR(__xludf.DUMMYFUNCTION("""COMPUTED_VALUE"""),"MAS Active (Pvt) Ltd - Linea Intimo")</f>
        <v/>
      </c>
      <c r="H482" s="43">
        <f>IFERROR(__xludf.DUMMYFUNCTION("""COMPUTED_VALUE"""),454714025577)</f>
        <v/>
      </c>
      <c r="I482" s="45">
        <f>IFERROR(__xludf.DUMMYFUNCTION("""COMPUTED_VALUE"""),19920272)</f>
        <v/>
      </c>
      <c r="J482" s="45">
        <f>IFERROR(__xludf.DUMMYFUNCTION("""COMPUTED_VALUE"""),"LW3DFKS")</f>
        <v/>
      </c>
      <c r="K482" s="45">
        <f>IFERROR(__xludf.DUMMYFUNCTION("""COMPUTED_VALUE"""),"LW3DFKS-4780")</f>
        <v/>
      </c>
      <c r="L482" s="45">
        <f>IFERROR(__xludf.DUMMYFUNCTION("""COMPUTED_VALUE"""),12)</f>
        <v/>
      </c>
      <c r="M482" s="45">
        <f>IFERROR(__xludf.DUMMYFUNCTION("""COMPUTED_VALUE"""),589)</f>
        <v/>
      </c>
      <c r="N482" s="45">
        <f>IFERROR(__xludf.DUMMYFUNCTION("""COMPUTED_VALUE"""),106.758)</f>
        <v/>
      </c>
      <c r="O482" s="45">
        <f>IFERROR(__xludf.DUMMYFUNCTION("""COMPUTED_VALUE"""),0.829)</f>
        <v/>
      </c>
      <c r="P482" s="45">
        <f>IFERROR(__xludf.DUMMYFUNCTION("""COMPUTED_VALUE"""),"Colombo, LK")</f>
        <v/>
      </c>
      <c r="Q482" s="45">
        <f>IFERROR(__xludf.DUMMYFUNCTION("""COMPUTED_VALUE"""),"New York, NY, US")</f>
        <v/>
      </c>
      <c r="R482" s="44">
        <f>IFERROR(__xludf.DUMMYFUNCTION("""COMPUTED_VALUE"""),45824)</f>
        <v/>
      </c>
      <c r="S482" s="44">
        <f>IFERROR(__xludf.DUMMYFUNCTION("""COMPUTED_VALUE"""),45883)</f>
        <v/>
      </c>
      <c r="T482" s="45">
        <f>IFERROR(__xludf.DUMMYFUNCTION("""COMPUTED_VALUE"""),"Mississauga, ON, CA")</f>
        <v/>
      </c>
      <c r="U482" s="45" t="n"/>
      <c r="V482" s="45" t="n"/>
      <c r="W482" s="45" t="n"/>
      <c r="X482" s="45" t="n"/>
      <c r="Y482" s="46">
        <f>IFERROR(__xludf.DUMMYFUNCTION("""COMPUTED_VALUE"""),45832)</f>
        <v/>
      </c>
      <c r="Z482" s="46">
        <f>IFERROR(__xludf.DUMMYFUNCTION("""COMPUTED_VALUE"""),45861)</f>
        <v/>
      </c>
      <c r="AA482" s="46">
        <f>IFERROR(__xludf.DUMMYFUNCTION("""COMPUTED_VALUE"""),45874)</f>
        <v/>
      </c>
      <c r="AB482" s="45">
        <f>IFERROR(__xludf.DUMMYFUNCTION("""COMPUTED_VALUE"""),"3500 Argentia Road")</f>
        <v/>
      </c>
      <c r="AC482" s="45" t="n"/>
      <c r="AD482" s="45">
        <f>IFERROR(__xludf.DUMMYFUNCTION("""COMPUTED_VALUE"""),"OCEAN")</f>
        <v/>
      </c>
      <c r="AE482" s="45">
        <f>IFERROR(__xludf.DUMMYFUNCTION("""COMPUTED_VALUE"""),"N")</f>
        <v/>
      </c>
      <c r="AF482" s="45" t="n"/>
      <c r="AG482" s="49">
        <f>IFERROR(__xludf.DUMMYFUNCTION("IFNA(vlookup(H482,IMPORTRANGE(""1vUGwO1n0QQGx9kKbO0_M5gmuhXZ6-LaxQxgrmJnzgP0"",""'TP# look up'!A:C""),3,0),"""")"),"")</f>
        <v/>
      </c>
      <c r="AH482" s="49">
        <f>LEFT(J482,2)</f>
        <v/>
      </c>
    </row>
    <row r="483" ht="12.75" customHeight="1">
      <c r="A483" s="45">
        <f>IFERROR(__xludf.DUMMYFUNCTION("""COMPUTED_VALUE"""),"Colombo")</f>
        <v/>
      </c>
      <c r="B483" s="45" t="n"/>
      <c r="C483" s="45">
        <f>IFERROR(__xludf.DUMMYFUNCTION("""COMPUTED_VALUE"""),3254508)</f>
        <v/>
      </c>
      <c r="D483" s="45" t="n"/>
      <c r="E483" s="45">
        <f>IFERROR(__xludf.DUMMYFUNCTION("""COMPUTED_VALUE"""),"CFS")</f>
        <v/>
      </c>
      <c r="F483" s="45">
        <f>IFERROR(__xludf.DUMMYFUNCTION("""COMPUTED_VALUE"""),"MAS AMITY PTE LTD")</f>
        <v/>
      </c>
      <c r="G483" s="45">
        <f>IFERROR(__xludf.DUMMYFUNCTION("""COMPUTED_VALUE"""),"MAS Active (Pvt) Ltd - Linea Intimo")</f>
        <v/>
      </c>
      <c r="H483" s="43">
        <f>IFERROR(__xludf.DUMMYFUNCTION("""COMPUTED_VALUE"""),454714622428)</f>
        <v/>
      </c>
      <c r="I483" s="45">
        <f>IFERROR(__xludf.DUMMYFUNCTION("""COMPUTED_VALUE"""),19920327)</f>
        <v/>
      </c>
      <c r="J483" s="45">
        <f>IFERROR(__xludf.DUMMYFUNCTION("""COMPUTED_VALUE"""),"LM1364S")</f>
        <v/>
      </c>
      <c r="K483" s="45">
        <f>IFERROR(__xludf.DUMMYFUNCTION("""COMPUTED_VALUE"""),"LM1364S-071162")</f>
        <v/>
      </c>
      <c r="L483" s="45">
        <f>IFERROR(__xludf.DUMMYFUNCTION("""COMPUTED_VALUE"""),2)</f>
        <v/>
      </c>
      <c r="M483" s="45">
        <f>IFERROR(__xludf.DUMMYFUNCTION("""COMPUTED_VALUE"""),73)</f>
        <v/>
      </c>
      <c r="N483" s="45">
        <f>IFERROR(__xludf.DUMMYFUNCTION("""COMPUTED_VALUE"""),11.809)</f>
        <v/>
      </c>
      <c r="O483" s="45">
        <f>IFERROR(__xludf.DUMMYFUNCTION("""COMPUTED_VALUE"""),0.118)</f>
        <v/>
      </c>
      <c r="P483" s="45">
        <f>IFERROR(__xludf.DUMMYFUNCTION("""COMPUTED_VALUE"""),"Colombo, LK")</f>
        <v/>
      </c>
      <c r="Q483" s="45">
        <f>IFERROR(__xludf.DUMMYFUNCTION("""COMPUTED_VALUE"""),"New York, NY, US")</f>
        <v/>
      </c>
      <c r="R483" s="44">
        <f>IFERROR(__xludf.DUMMYFUNCTION("""COMPUTED_VALUE"""),45824)</f>
        <v/>
      </c>
      <c r="S483" s="44">
        <f>IFERROR(__xludf.DUMMYFUNCTION("""COMPUTED_VALUE"""),45883)</f>
        <v/>
      </c>
      <c r="T483" s="45">
        <f>IFERROR(__xludf.DUMMYFUNCTION("""COMPUTED_VALUE"""),"Mississauga, ON, CA")</f>
        <v/>
      </c>
      <c r="U483" s="45" t="n"/>
      <c r="V483" s="45" t="n"/>
      <c r="W483" s="45" t="n"/>
      <c r="X483" s="45" t="n"/>
      <c r="Y483" s="46">
        <f>IFERROR(__xludf.DUMMYFUNCTION("""COMPUTED_VALUE"""),45832)</f>
        <v/>
      </c>
      <c r="Z483" s="46">
        <f>IFERROR(__xludf.DUMMYFUNCTION("""COMPUTED_VALUE"""),45861)</f>
        <v/>
      </c>
      <c r="AA483" s="46">
        <f>IFERROR(__xludf.DUMMYFUNCTION("""COMPUTED_VALUE"""),45874)</f>
        <v/>
      </c>
      <c r="AB483" s="45">
        <f>IFERROR(__xludf.DUMMYFUNCTION("""COMPUTED_VALUE"""),"3500 Argentia Road")</f>
        <v/>
      </c>
      <c r="AC483" s="45" t="n"/>
      <c r="AD483" s="45">
        <f>IFERROR(__xludf.DUMMYFUNCTION("""COMPUTED_VALUE"""),"OCEAN")</f>
        <v/>
      </c>
      <c r="AE483" s="45">
        <f>IFERROR(__xludf.DUMMYFUNCTION("""COMPUTED_VALUE"""),"N")</f>
        <v/>
      </c>
      <c r="AF483" s="45" t="n"/>
      <c r="AG483" s="49">
        <f>IFERROR(__xludf.DUMMYFUNCTION("IFNA(vlookup(H483,IMPORTRANGE(""1vUGwO1n0QQGx9kKbO0_M5gmuhXZ6-LaxQxgrmJnzgP0"",""'TP# look up'!A:C""),3,0),"""")"),"")</f>
        <v/>
      </c>
      <c r="AH483" s="49">
        <f>LEFT(J483,2)</f>
        <v/>
      </c>
    </row>
    <row r="484" ht="12.75" customHeight="1">
      <c r="A484" s="45">
        <f>IFERROR(__xludf.DUMMYFUNCTION("""COMPUTED_VALUE"""),"Colombo")</f>
        <v/>
      </c>
      <c r="B484" s="45" t="n"/>
      <c r="C484" s="45">
        <f>IFERROR(__xludf.DUMMYFUNCTION("""COMPUTED_VALUE"""),3254508)</f>
        <v/>
      </c>
      <c r="D484" s="45" t="n"/>
      <c r="E484" s="45">
        <f>IFERROR(__xludf.DUMMYFUNCTION("""COMPUTED_VALUE"""),"CFS")</f>
        <v/>
      </c>
      <c r="F484" s="45">
        <f>IFERROR(__xludf.DUMMYFUNCTION("""COMPUTED_VALUE"""),"MAS AMITY PTE LTD")</f>
        <v/>
      </c>
      <c r="G484" s="45">
        <f>IFERROR(__xludf.DUMMYFUNCTION("""COMPUTED_VALUE"""),"MAS Active (Pvt) Ltd - Linea Intimo")</f>
        <v/>
      </c>
      <c r="H484" s="43">
        <f>IFERROR(__xludf.DUMMYFUNCTION("""COMPUTED_VALUE"""),454714661923)</f>
        <v/>
      </c>
      <c r="I484" s="45">
        <f>IFERROR(__xludf.DUMMYFUNCTION("""COMPUTED_VALUE"""),19920296)</f>
        <v/>
      </c>
      <c r="J484" s="45">
        <f>IFERROR(__xludf.DUMMYFUNCTION("""COMPUTED_VALUE"""),"LW3FQHS")</f>
        <v/>
      </c>
      <c r="K484" s="45">
        <f>IFERROR(__xludf.DUMMYFUNCTION("""COMPUTED_VALUE"""),"LW3FQHS-012826")</f>
        <v/>
      </c>
      <c r="L484" s="45">
        <f>IFERROR(__xludf.DUMMYFUNCTION("""COMPUTED_VALUE"""),3)</f>
        <v/>
      </c>
      <c r="M484" s="45">
        <f>IFERROR(__xludf.DUMMYFUNCTION("""COMPUTED_VALUE"""),221)</f>
        <v/>
      </c>
      <c r="N484" s="45">
        <f>IFERROR(__xludf.DUMMYFUNCTION("""COMPUTED_VALUE"""),23.134)</f>
        <v/>
      </c>
      <c r="O484" s="45">
        <f>IFERROR(__xludf.DUMMYFUNCTION("""COMPUTED_VALUE"""),0.197)</f>
        <v/>
      </c>
      <c r="P484" s="45">
        <f>IFERROR(__xludf.DUMMYFUNCTION("""COMPUTED_VALUE"""),"Colombo, LK")</f>
        <v/>
      </c>
      <c r="Q484" s="45">
        <f>IFERROR(__xludf.DUMMYFUNCTION("""COMPUTED_VALUE"""),"New York, NY, US")</f>
        <v/>
      </c>
      <c r="R484" s="44">
        <f>IFERROR(__xludf.DUMMYFUNCTION("""COMPUTED_VALUE"""),45824)</f>
        <v/>
      </c>
      <c r="S484" s="44">
        <f>IFERROR(__xludf.DUMMYFUNCTION("""COMPUTED_VALUE"""),45883)</f>
        <v/>
      </c>
      <c r="T484" s="45">
        <f>IFERROR(__xludf.DUMMYFUNCTION("""COMPUTED_VALUE"""),"Mississauga, ON, CA")</f>
        <v/>
      </c>
      <c r="U484" s="45" t="n"/>
      <c r="V484" s="45" t="n"/>
      <c r="W484" s="45" t="n"/>
      <c r="X484" s="45" t="n"/>
      <c r="Y484" s="46">
        <f>IFERROR(__xludf.DUMMYFUNCTION("""COMPUTED_VALUE"""),45832)</f>
        <v/>
      </c>
      <c r="Z484" s="46">
        <f>IFERROR(__xludf.DUMMYFUNCTION("""COMPUTED_VALUE"""),45861)</f>
        <v/>
      </c>
      <c r="AA484" s="46">
        <f>IFERROR(__xludf.DUMMYFUNCTION("""COMPUTED_VALUE"""),45874)</f>
        <v/>
      </c>
      <c r="AB484" s="45">
        <f>IFERROR(__xludf.DUMMYFUNCTION("""COMPUTED_VALUE"""),"3500 Argentia Road")</f>
        <v/>
      </c>
      <c r="AC484" s="45" t="n"/>
      <c r="AD484" s="45">
        <f>IFERROR(__xludf.DUMMYFUNCTION("""COMPUTED_VALUE"""),"OCEAN")</f>
        <v/>
      </c>
      <c r="AE484" s="45">
        <f>IFERROR(__xludf.DUMMYFUNCTION("""COMPUTED_VALUE"""),"N")</f>
        <v/>
      </c>
      <c r="AF484" s="45" t="n"/>
      <c r="AG484" s="49">
        <f>IFERROR(__xludf.DUMMYFUNCTION("IFNA(vlookup(H484,IMPORTRANGE(""1vUGwO1n0QQGx9kKbO0_M5gmuhXZ6-LaxQxgrmJnzgP0"",""'TP# look up'!A:C""),3,0),"""")"),"")</f>
        <v/>
      </c>
      <c r="AH484" s="49">
        <f>LEFT(J484,2)</f>
        <v/>
      </c>
    </row>
    <row r="485" ht="12.75" customHeight="1">
      <c r="A485" s="45">
        <f>IFERROR(__xludf.DUMMYFUNCTION("""COMPUTED_VALUE"""),"Colombo")</f>
        <v/>
      </c>
      <c r="B485" s="45" t="n"/>
      <c r="C485" s="45">
        <f>IFERROR(__xludf.DUMMYFUNCTION("""COMPUTED_VALUE"""),3254508)</f>
        <v/>
      </c>
      <c r="D485" s="45" t="n"/>
      <c r="E485" s="45">
        <f>IFERROR(__xludf.DUMMYFUNCTION("""COMPUTED_VALUE"""),"CFS")</f>
        <v/>
      </c>
      <c r="F485" s="45">
        <f>IFERROR(__xludf.DUMMYFUNCTION("""COMPUTED_VALUE"""),"MAS AMITY PTE LTD")</f>
        <v/>
      </c>
      <c r="G485" s="45">
        <f>IFERROR(__xludf.DUMMYFUNCTION("""COMPUTED_VALUE"""),"MAS Active (Pvt) Ltd - Linea Intimo")</f>
        <v/>
      </c>
      <c r="H485" s="43">
        <f>IFERROR(__xludf.DUMMYFUNCTION("""COMPUTED_VALUE"""),454714789370)</f>
        <v/>
      </c>
      <c r="I485" s="45">
        <f>IFERROR(__xludf.DUMMYFUNCTION("""COMPUTED_VALUE"""),19920309)</f>
        <v/>
      </c>
      <c r="J485" s="45">
        <f>IFERROR(__xludf.DUMMYFUNCTION("""COMPUTED_VALUE"""),"LW3JE9S")</f>
        <v/>
      </c>
      <c r="K485" s="45">
        <f>IFERROR(__xludf.DUMMYFUNCTION("""COMPUTED_VALUE"""),"LW3JE9S-4780")</f>
        <v/>
      </c>
      <c r="L485" s="45">
        <f>IFERROR(__xludf.DUMMYFUNCTION("""COMPUTED_VALUE"""),9)</f>
        <v/>
      </c>
      <c r="M485" s="45">
        <f>IFERROR(__xludf.DUMMYFUNCTION("""COMPUTED_VALUE"""),488)</f>
        <v/>
      </c>
      <c r="N485" s="45">
        <f>IFERROR(__xludf.DUMMYFUNCTION("""COMPUTED_VALUE"""),96.388)</f>
        <v/>
      </c>
      <c r="O485" s="45">
        <f>IFERROR(__xludf.DUMMYFUNCTION("""COMPUTED_VALUE"""),0.632)</f>
        <v/>
      </c>
      <c r="P485" s="45">
        <f>IFERROR(__xludf.DUMMYFUNCTION("""COMPUTED_VALUE"""),"Colombo, LK")</f>
        <v/>
      </c>
      <c r="Q485" s="45">
        <f>IFERROR(__xludf.DUMMYFUNCTION("""COMPUTED_VALUE"""),"New York, NY, US")</f>
        <v/>
      </c>
      <c r="R485" s="44">
        <f>IFERROR(__xludf.DUMMYFUNCTION("""COMPUTED_VALUE"""),45824)</f>
        <v/>
      </c>
      <c r="S485" s="44">
        <f>IFERROR(__xludf.DUMMYFUNCTION("""COMPUTED_VALUE"""),45883)</f>
        <v/>
      </c>
      <c r="T485" s="45">
        <f>IFERROR(__xludf.DUMMYFUNCTION("""COMPUTED_VALUE"""),"Mississauga, ON, CA")</f>
        <v/>
      </c>
      <c r="U485" s="45" t="n"/>
      <c r="V485" s="45" t="n"/>
      <c r="W485" s="45" t="n"/>
      <c r="X485" s="45" t="n"/>
      <c r="Y485" s="46">
        <f>IFERROR(__xludf.DUMMYFUNCTION("""COMPUTED_VALUE"""),45832)</f>
        <v/>
      </c>
      <c r="Z485" s="46">
        <f>IFERROR(__xludf.DUMMYFUNCTION("""COMPUTED_VALUE"""),45861)</f>
        <v/>
      </c>
      <c r="AA485" s="46">
        <f>IFERROR(__xludf.DUMMYFUNCTION("""COMPUTED_VALUE"""),45874)</f>
        <v/>
      </c>
      <c r="AB485" s="45">
        <f>IFERROR(__xludf.DUMMYFUNCTION("""COMPUTED_VALUE"""),"3500 Argentia Road")</f>
        <v/>
      </c>
      <c r="AC485" s="45" t="n"/>
      <c r="AD485" s="45">
        <f>IFERROR(__xludf.DUMMYFUNCTION("""COMPUTED_VALUE"""),"OCEAN")</f>
        <v/>
      </c>
      <c r="AE485" s="45">
        <f>IFERROR(__xludf.DUMMYFUNCTION("""COMPUTED_VALUE"""),"N")</f>
        <v/>
      </c>
      <c r="AF485" s="45" t="n"/>
      <c r="AG485" s="49">
        <f>IFERROR(__xludf.DUMMYFUNCTION("IFNA(vlookup(H485,IMPORTRANGE(""1vUGwO1n0QQGx9kKbO0_M5gmuhXZ6-LaxQxgrmJnzgP0"",""'TP# look up'!A:C""),3,0),"""")"),"")</f>
        <v/>
      </c>
      <c r="AH485" s="49">
        <f>LEFT(J485,2)</f>
        <v/>
      </c>
    </row>
    <row r="486" ht="12.75" customHeight="1">
      <c r="A486" s="45">
        <f>IFERROR(__xludf.DUMMYFUNCTION("""COMPUTED_VALUE"""),"Colombo")</f>
        <v/>
      </c>
      <c r="B486" s="45" t="n"/>
      <c r="C486" s="45">
        <f>IFERROR(__xludf.DUMMYFUNCTION("""COMPUTED_VALUE"""),3254508)</f>
        <v/>
      </c>
      <c r="D486" s="45" t="n"/>
      <c r="E486" s="45">
        <f>IFERROR(__xludf.DUMMYFUNCTION("""COMPUTED_VALUE"""),"CFS")</f>
        <v/>
      </c>
      <c r="F486" s="45">
        <f>IFERROR(__xludf.DUMMYFUNCTION("""COMPUTED_VALUE"""),"MAS AMITY PTE LTD")</f>
        <v/>
      </c>
      <c r="G486" s="45">
        <f>IFERROR(__xludf.DUMMYFUNCTION("""COMPUTED_VALUE"""),"MAS Active (Pvt) Ltd - Linea Intimo")</f>
        <v/>
      </c>
      <c r="H486" s="43">
        <f>IFERROR(__xludf.DUMMYFUNCTION("""COMPUTED_VALUE"""),454714960542)</f>
        <v/>
      </c>
      <c r="I486" s="45">
        <f>IFERROR(__xludf.DUMMYFUNCTION("""COMPUTED_VALUE"""),19920323)</f>
        <v/>
      </c>
      <c r="J486" s="45">
        <f>IFERROR(__xludf.DUMMYFUNCTION("""COMPUTED_VALUE"""),"LM1364S")</f>
        <v/>
      </c>
      <c r="K486" s="45">
        <f>IFERROR(__xludf.DUMMYFUNCTION("""COMPUTED_VALUE"""),"LM1364S-071159")</f>
        <v/>
      </c>
      <c r="L486" s="45">
        <f>IFERROR(__xludf.DUMMYFUNCTION("""COMPUTED_VALUE"""),1)</f>
        <v/>
      </c>
      <c r="M486" s="45">
        <f>IFERROR(__xludf.DUMMYFUNCTION("""COMPUTED_VALUE"""),57)</f>
        <v/>
      </c>
      <c r="N486" s="45">
        <f>IFERROR(__xludf.DUMMYFUNCTION("""COMPUTED_VALUE"""),8.823)</f>
        <v/>
      </c>
      <c r="O486" s="45">
        <f>IFERROR(__xludf.DUMMYFUNCTION("""COMPUTED_VALUE"""),0.079)</f>
        <v/>
      </c>
      <c r="P486" s="45">
        <f>IFERROR(__xludf.DUMMYFUNCTION("""COMPUTED_VALUE"""),"Colombo, LK")</f>
        <v/>
      </c>
      <c r="Q486" s="45">
        <f>IFERROR(__xludf.DUMMYFUNCTION("""COMPUTED_VALUE"""),"New York, NY, US")</f>
        <v/>
      </c>
      <c r="R486" s="44">
        <f>IFERROR(__xludf.DUMMYFUNCTION("""COMPUTED_VALUE"""),45824)</f>
        <v/>
      </c>
      <c r="S486" s="44">
        <f>IFERROR(__xludf.DUMMYFUNCTION("""COMPUTED_VALUE"""),45883)</f>
        <v/>
      </c>
      <c r="T486" s="45">
        <f>IFERROR(__xludf.DUMMYFUNCTION("""COMPUTED_VALUE"""),"Mississauga, ON, CA")</f>
        <v/>
      </c>
      <c r="U486" s="45" t="n"/>
      <c r="V486" s="45" t="n"/>
      <c r="W486" s="45" t="n"/>
      <c r="X486" s="45" t="n"/>
      <c r="Y486" s="46">
        <f>IFERROR(__xludf.DUMMYFUNCTION("""COMPUTED_VALUE"""),45832)</f>
        <v/>
      </c>
      <c r="Z486" s="46">
        <f>IFERROR(__xludf.DUMMYFUNCTION("""COMPUTED_VALUE"""),45861)</f>
        <v/>
      </c>
      <c r="AA486" s="46">
        <f>IFERROR(__xludf.DUMMYFUNCTION("""COMPUTED_VALUE"""),45874)</f>
        <v/>
      </c>
      <c r="AB486" s="45">
        <f>IFERROR(__xludf.DUMMYFUNCTION("""COMPUTED_VALUE"""),"3500 Argentia Road")</f>
        <v/>
      </c>
      <c r="AC486" s="45" t="n"/>
      <c r="AD486" s="45">
        <f>IFERROR(__xludf.DUMMYFUNCTION("""COMPUTED_VALUE"""),"OCEAN")</f>
        <v/>
      </c>
      <c r="AE486" s="45">
        <f>IFERROR(__xludf.DUMMYFUNCTION("""COMPUTED_VALUE"""),"N")</f>
        <v/>
      </c>
      <c r="AF486" s="45" t="n"/>
      <c r="AG486" s="49">
        <f>IFERROR(__xludf.DUMMYFUNCTION("IFNA(vlookup(H486,IMPORTRANGE(""1vUGwO1n0QQGx9kKbO0_M5gmuhXZ6-LaxQxgrmJnzgP0"",""'TP# look up'!A:C""),3,0),"""")"),"")</f>
        <v/>
      </c>
      <c r="AH486" s="49">
        <f>LEFT(J486,2)</f>
        <v/>
      </c>
    </row>
    <row r="487" ht="12.75" customHeight="1">
      <c r="A487" s="45">
        <f>IFERROR(__xludf.DUMMYFUNCTION("""COMPUTED_VALUE"""),"Colombo")</f>
        <v/>
      </c>
      <c r="B487" s="45" t="n"/>
      <c r="C487" s="45">
        <f>IFERROR(__xludf.DUMMYFUNCTION("""COMPUTED_VALUE"""),3254508)</f>
        <v/>
      </c>
      <c r="D487" s="45" t="n"/>
      <c r="E487" s="45">
        <f>IFERROR(__xludf.DUMMYFUNCTION("""COMPUTED_VALUE"""),"CFS")</f>
        <v/>
      </c>
      <c r="F487" s="45">
        <f>IFERROR(__xludf.DUMMYFUNCTION("""COMPUTED_VALUE"""),"MAS AMITY PTE LTD")</f>
        <v/>
      </c>
      <c r="G487" s="45">
        <f>IFERROR(__xludf.DUMMYFUNCTION("""COMPUTED_VALUE"""),"MAS Active (Pvt) Ltd - Linea Intimo")</f>
        <v/>
      </c>
      <c r="H487" s="43">
        <f>IFERROR(__xludf.DUMMYFUNCTION("""COMPUTED_VALUE"""),454714967164)</f>
        <v/>
      </c>
      <c r="I487" s="45">
        <f>IFERROR(__xludf.DUMMYFUNCTION("""COMPUTED_VALUE"""),19920331)</f>
        <v/>
      </c>
      <c r="J487" s="45">
        <f>IFERROR(__xludf.DUMMYFUNCTION("""COMPUTED_VALUE"""),"LM3F64S")</f>
        <v/>
      </c>
      <c r="K487" s="45">
        <f>IFERROR(__xludf.DUMMYFUNCTION("""COMPUTED_VALUE"""),"LM3F64S-071162")</f>
        <v/>
      </c>
      <c r="L487" s="45">
        <f>IFERROR(__xludf.DUMMYFUNCTION("""COMPUTED_VALUE"""),3)</f>
        <v/>
      </c>
      <c r="M487" s="45">
        <f>IFERROR(__xludf.DUMMYFUNCTION("""COMPUTED_VALUE"""),60)</f>
        <v/>
      </c>
      <c r="N487" s="45">
        <f>IFERROR(__xludf.DUMMYFUNCTION("""COMPUTED_VALUE"""),15.613)</f>
        <v/>
      </c>
      <c r="O487" s="45">
        <f>IFERROR(__xludf.DUMMYFUNCTION("""COMPUTED_VALUE"""),0.197)</f>
        <v/>
      </c>
      <c r="P487" s="45">
        <f>IFERROR(__xludf.DUMMYFUNCTION("""COMPUTED_VALUE"""),"Colombo, LK")</f>
        <v/>
      </c>
      <c r="Q487" s="45">
        <f>IFERROR(__xludf.DUMMYFUNCTION("""COMPUTED_VALUE"""),"New York, NY, US")</f>
        <v/>
      </c>
      <c r="R487" s="44">
        <f>IFERROR(__xludf.DUMMYFUNCTION("""COMPUTED_VALUE"""),45824)</f>
        <v/>
      </c>
      <c r="S487" s="44">
        <f>IFERROR(__xludf.DUMMYFUNCTION("""COMPUTED_VALUE"""),45883)</f>
        <v/>
      </c>
      <c r="T487" s="45">
        <f>IFERROR(__xludf.DUMMYFUNCTION("""COMPUTED_VALUE"""),"Mississauga, ON, CA")</f>
        <v/>
      </c>
      <c r="U487" s="45" t="n"/>
      <c r="V487" s="45" t="n"/>
      <c r="W487" s="45" t="n"/>
      <c r="X487" s="45" t="n"/>
      <c r="Y487" s="46">
        <f>IFERROR(__xludf.DUMMYFUNCTION("""COMPUTED_VALUE"""),45832)</f>
        <v/>
      </c>
      <c r="Z487" s="46">
        <f>IFERROR(__xludf.DUMMYFUNCTION("""COMPUTED_VALUE"""),45861)</f>
        <v/>
      </c>
      <c r="AA487" s="46">
        <f>IFERROR(__xludf.DUMMYFUNCTION("""COMPUTED_VALUE"""),45874)</f>
        <v/>
      </c>
      <c r="AB487" s="45">
        <f>IFERROR(__xludf.DUMMYFUNCTION("""COMPUTED_VALUE"""),"3500 Argentia Road")</f>
        <v/>
      </c>
      <c r="AC487" s="45" t="n"/>
      <c r="AD487" s="45">
        <f>IFERROR(__xludf.DUMMYFUNCTION("""COMPUTED_VALUE"""),"OCEAN")</f>
        <v/>
      </c>
      <c r="AE487" s="45">
        <f>IFERROR(__xludf.DUMMYFUNCTION("""COMPUTED_VALUE"""),"N")</f>
        <v/>
      </c>
      <c r="AF487" s="45" t="n"/>
      <c r="AG487" s="49">
        <f>IFERROR(__xludf.DUMMYFUNCTION("IFNA(vlookup(H487,IMPORTRANGE(""1vUGwO1n0QQGx9kKbO0_M5gmuhXZ6-LaxQxgrmJnzgP0"",""'TP# look up'!A:C""),3,0),"""")"),"")</f>
        <v/>
      </c>
      <c r="AH487" s="49">
        <f>LEFT(J487,2)</f>
        <v/>
      </c>
    </row>
    <row r="488" ht="12.75" customHeight="1">
      <c r="A488" s="45">
        <f>IFERROR(__xludf.DUMMYFUNCTION("""COMPUTED_VALUE"""),"Colombo")</f>
        <v/>
      </c>
      <c r="B488" s="45" t="n"/>
      <c r="C488" s="45">
        <f>IFERROR(__xludf.DUMMYFUNCTION("""COMPUTED_VALUE"""),3254508)</f>
        <v/>
      </c>
      <c r="D488" s="45" t="n"/>
      <c r="E488" s="45">
        <f>IFERROR(__xludf.DUMMYFUNCTION("""COMPUTED_VALUE"""),"CFS")</f>
        <v/>
      </c>
      <c r="F488" s="45">
        <f>IFERROR(__xludf.DUMMYFUNCTION("""COMPUTED_VALUE"""),"MAS AMITY PTE LTD")</f>
        <v/>
      </c>
      <c r="G488" s="45">
        <f>IFERROR(__xludf.DUMMYFUNCTION("""COMPUTED_VALUE"""),"MAS Active (Pvt) Ltd - Linea Intimo")</f>
        <v/>
      </c>
      <c r="H488" s="43">
        <f>IFERROR(__xludf.DUMMYFUNCTION("""COMPUTED_VALUE"""),454715072465)</f>
        <v/>
      </c>
      <c r="I488" s="45">
        <f>IFERROR(__xludf.DUMMYFUNCTION("""COMPUTED_VALUE"""),19920345)</f>
        <v/>
      </c>
      <c r="J488" s="45">
        <f>IFERROR(__xludf.DUMMYFUNCTION("""COMPUTED_VALUE"""),"LM3FHKS")</f>
        <v/>
      </c>
      <c r="K488" s="45">
        <f>IFERROR(__xludf.DUMMYFUNCTION("""COMPUTED_VALUE"""),"LM3FHKS-069299")</f>
        <v/>
      </c>
      <c r="L488" s="45">
        <f>IFERROR(__xludf.DUMMYFUNCTION("""COMPUTED_VALUE"""),3)</f>
        <v/>
      </c>
      <c r="M488" s="45">
        <f>IFERROR(__xludf.DUMMYFUNCTION("""COMPUTED_VALUE"""),90)</f>
        <v/>
      </c>
      <c r="N488" s="45">
        <f>IFERROR(__xludf.DUMMYFUNCTION("""COMPUTED_VALUE"""),20.204)</f>
        <v/>
      </c>
      <c r="O488" s="45">
        <f>IFERROR(__xludf.DUMMYFUNCTION("""COMPUTED_VALUE"""),0.158)</f>
        <v/>
      </c>
      <c r="P488" s="45">
        <f>IFERROR(__xludf.DUMMYFUNCTION("""COMPUTED_VALUE"""),"Colombo, LK")</f>
        <v/>
      </c>
      <c r="Q488" s="45">
        <f>IFERROR(__xludf.DUMMYFUNCTION("""COMPUTED_VALUE"""),"New York, NY, US")</f>
        <v/>
      </c>
      <c r="R488" s="44">
        <f>IFERROR(__xludf.DUMMYFUNCTION("""COMPUTED_VALUE"""),45824)</f>
        <v/>
      </c>
      <c r="S488" s="44">
        <f>IFERROR(__xludf.DUMMYFUNCTION("""COMPUTED_VALUE"""),45883)</f>
        <v/>
      </c>
      <c r="T488" s="45">
        <f>IFERROR(__xludf.DUMMYFUNCTION("""COMPUTED_VALUE"""),"Mississauga, ON, CA")</f>
        <v/>
      </c>
      <c r="U488" s="45" t="n"/>
      <c r="V488" s="45" t="n"/>
      <c r="W488" s="45" t="n"/>
      <c r="X488" s="45" t="n"/>
      <c r="Y488" s="46">
        <f>IFERROR(__xludf.DUMMYFUNCTION("""COMPUTED_VALUE"""),45832)</f>
        <v/>
      </c>
      <c r="Z488" s="46">
        <f>IFERROR(__xludf.DUMMYFUNCTION("""COMPUTED_VALUE"""),45861)</f>
        <v/>
      </c>
      <c r="AA488" s="46">
        <f>IFERROR(__xludf.DUMMYFUNCTION("""COMPUTED_VALUE"""),45874)</f>
        <v/>
      </c>
      <c r="AB488" s="45">
        <f>IFERROR(__xludf.DUMMYFUNCTION("""COMPUTED_VALUE"""),"3500 Argentia Road")</f>
        <v/>
      </c>
      <c r="AC488" s="45" t="n"/>
      <c r="AD488" s="45">
        <f>IFERROR(__xludf.DUMMYFUNCTION("""COMPUTED_VALUE"""),"OCEAN")</f>
        <v/>
      </c>
      <c r="AE488" s="45">
        <f>IFERROR(__xludf.DUMMYFUNCTION("""COMPUTED_VALUE"""),"N")</f>
        <v/>
      </c>
      <c r="AF488" s="45" t="n"/>
      <c r="AG488" s="49">
        <f>IFERROR(__xludf.DUMMYFUNCTION("IFNA(vlookup(H488,IMPORTRANGE(""1vUGwO1n0QQGx9kKbO0_M5gmuhXZ6-LaxQxgrmJnzgP0"",""'TP# look up'!A:C""),3,0),"""")"),"")</f>
        <v/>
      </c>
      <c r="AH488" s="49">
        <f>LEFT(J488,2)</f>
        <v/>
      </c>
    </row>
    <row r="489" ht="12.75" customHeight="1">
      <c r="A489" s="45">
        <f>IFERROR(__xludf.DUMMYFUNCTION("""COMPUTED_VALUE"""),"Colombo")</f>
        <v/>
      </c>
      <c r="B489" s="45" t="n"/>
      <c r="C489" s="45">
        <f>IFERROR(__xludf.DUMMYFUNCTION("""COMPUTED_VALUE"""),3254508)</f>
        <v/>
      </c>
      <c r="D489" s="45" t="n"/>
      <c r="E489" s="45">
        <f>IFERROR(__xludf.DUMMYFUNCTION("""COMPUTED_VALUE"""),"CFS")</f>
        <v/>
      </c>
      <c r="F489" s="45">
        <f>IFERROR(__xludf.DUMMYFUNCTION("""COMPUTED_VALUE"""),"MAS AMITY PTE LTD")</f>
        <v/>
      </c>
      <c r="G489" s="45">
        <f>IFERROR(__xludf.DUMMYFUNCTION("""COMPUTED_VALUE"""),"MAS Active (Pvt) Ltd - Linea Intimo")</f>
        <v/>
      </c>
      <c r="H489" s="43">
        <f>IFERROR(__xludf.DUMMYFUNCTION("""COMPUTED_VALUE"""),454715264989)</f>
        <v/>
      </c>
      <c r="I489" s="45">
        <f>IFERROR(__xludf.DUMMYFUNCTION("""COMPUTED_VALUE"""),19920351)</f>
        <v/>
      </c>
      <c r="J489" s="45">
        <f>IFERROR(__xludf.DUMMYFUNCTION("""COMPUTED_VALUE"""),"LM3FHKS")</f>
        <v/>
      </c>
      <c r="K489" s="45">
        <f>IFERROR(__xludf.DUMMYFUNCTION("""COMPUTED_VALUE"""),"LM3FHKS-071159")</f>
        <v/>
      </c>
      <c r="L489" s="45">
        <f>IFERROR(__xludf.DUMMYFUNCTION("""COMPUTED_VALUE"""),1)</f>
        <v/>
      </c>
      <c r="M489" s="45">
        <f>IFERROR(__xludf.DUMMYFUNCTION("""COMPUTED_VALUE"""),50)</f>
        <v/>
      </c>
      <c r="N489" s="45">
        <f>IFERROR(__xludf.DUMMYFUNCTION("""COMPUTED_VALUE"""),10.845)</f>
        <v/>
      </c>
      <c r="O489" s="45">
        <f>IFERROR(__xludf.DUMMYFUNCTION("""COMPUTED_VALUE"""),0.079)</f>
        <v/>
      </c>
      <c r="P489" s="45">
        <f>IFERROR(__xludf.DUMMYFUNCTION("""COMPUTED_VALUE"""),"Colombo, LK")</f>
        <v/>
      </c>
      <c r="Q489" s="45">
        <f>IFERROR(__xludf.DUMMYFUNCTION("""COMPUTED_VALUE"""),"New York, NY, US")</f>
        <v/>
      </c>
      <c r="R489" s="44">
        <f>IFERROR(__xludf.DUMMYFUNCTION("""COMPUTED_VALUE"""),45824)</f>
        <v/>
      </c>
      <c r="S489" s="44">
        <f>IFERROR(__xludf.DUMMYFUNCTION("""COMPUTED_VALUE"""),45883)</f>
        <v/>
      </c>
      <c r="T489" s="45">
        <f>IFERROR(__xludf.DUMMYFUNCTION("""COMPUTED_VALUE"""),"Mississauga, ON, CA")</f>
        <v/>
      </c>
      <c r="U489" s="45" t="n"/>
      <c r="V489" s="45" t="n"/>
      <c r="W489" s="45" t="n"/>
      <c r="X489" s="45" t="n"/>
      <c r="Y489" s="46">
        <f>IFERROR(__xludf.DUMMYFUNCTION("""COMPUTED_VALUE"""),45832)</f>
        <v/>
      </c>
      <c r="Z489" s="46">
        <f>IFERROR(__xludf.DUMMYFUNCTION("""COMPUTED_VALUE"""),45861)</f>
        <v/>
      </c>
      <c r="AA489" s="46">
        <f>IFERROR(__xludf.DUMMYFUNCTION("""COMPUTED_VALUE"""),45874)</f>
        <v/>
      </c>
      <c r="AB489" s="45">
        <f>IFERROR(__xludf.DUMMYFUNCTION("""COMPUTED_VALUE"""),"3500 Argentia Road")</f>
        <v/>
      </c>
      <c r="AC489" s="45" t="n"/>
      <c r="AD489" s="45">
        <f>IFERROR(__xludf.DUMMYFUNCTION("""COMPUTED_VALUE"""),"OCEAN")</f>
        <v/>
      </c>
      <c r="AE489" s="45">
        <f>IFERROR(__xludf.DUMMYFUNCTION("""COMPUTED_VALUE"""),"N")</f>
        <v/>
      </c>
      <c r="AF489" s="45" t="n"/>
      <c r="AG489" s="49">
        <f>IFERROR(__xludf.DUMMYFUNCTION("IFNA(vlookup(H489,IMPORTRANGE(""1vUGwO1n0QQGx9kKbO0_M5gmuhXZ6-LaxQxgrmJnzgP0"",""'TP# look up'!A:C""),3,0),"""")"),"")</f>
        <v/>
      </c>
      <c r="AH489" s="49">
        <f>LEFT(J489,2)</f>
        <v/>
      </c>
    </row>
    <row r="490" ht="12.75" customHeight="1">
      <c r="A490" s="45">
        <f>IFERROR(__xludf.DUMMYFUNCTION("""COMPUTED_VALUE"""),"Colombo")</f>
        <v/>
      </c>
      <c r="B490" s="45" t="n"/>
      <c r="C490" s="45">
        <f>IFERROR(__xludf.DUMMYFUNCTION("""COMPUTED_VALUE"""),3254508)</f>
        <v/>
      </c>
      <c r="D490" s="45" t="n"/>
      <c r="E490" s="45">
        <f>IFERROR(__xludf.DUMMYFUNCTION("""COMPUTED_VALUE"""),"CFS")</f>
        <v/>
      </c>
      <c r="F490" s="45">
        <f>IFERROR(__xludf.DUMMYFUNCTION("""COMPUTED_VALUE"""),"MAS AMITY PTE LTD")</f>
        <v/>
      </c>
      <c r="G490" s="45">
        <f>IFERROR(__xludf.DUMMYFUNCTION("""COMPUTED_VALUE"""),"MAS Active (Pvt) Ltd - Linea Intimo")</f>
        <v/>
      </c>
      <c r="H490" s="43">
        <f>IFERROR(__xludf.DUMMYFUNCTION("""COMPUTED_VALUE"""),454715350749)</f>
        <v/>
      </c>
      <c r="I490" s="45">
        <f>IFERROR(__xludf.DUMMYFUNCTION("""COMPUTED_VALUE"""),19920359)</f>
        <v/>
      </c>
      <c r="J490" s="45">
        <f>IFERROR(__xludf.DUMMYFUNCTION("""COMPUTED_VALUE"""),"LM3FIKS")</f>
        <v/>
      </c>
      <c r="K490" s="45">
        <f>IFERROR(__xludf.DUMMYFUNCTION("""COMPUTED_VALUE"""),"LM3FIKS-070561")</f>
        <v/>
      </c>
      <c r="L490" s="45">
        <f>IFERROR(__xludf.DUMMYFUNCTION("""COMPUTED_VALUE"""),1)</f>
        <v/>
      </c>
      <c r="M490" s="45">
        <f>IFERROR(__xludf.DUMMYFUNCTION("""COMPUTED_VALUE"""),52)</f>
        <v/>
      </c>
      <c r="N490" s="45">
        <f>IFERROR(__xludf.DUMMYFUNCTION("""COMPUTED_VALUE"""),9.859)</f>
        <v/>
      </c>
      <c r="O490" s="45">
        <f>IFERROR(__xludf.DUMMYFUNCTION("""COMPUTED_VALUE"""),0.079)</f>
        <v/>
      </c>
      <c r="P490" s="45">
        <f>IFERROR(__xludf.DUMMYFUNCTION("""COMPUTED_VALUE"""),"Colombo, LK")</f>
        <v/>
      </c>
      <c r="Q490" s="45">
        <f>IFERROR(__xludf.DUMMYFUNCTION("""COMPUTED_VALUE"""),"New York, NY, US")</f>
        <v/>
      </c>
      <c r="R490" s="44">
        <f>IFERROR(__xludf.DUMMYFUNCTION("""COMPUTED_VALUE"""),45824)</f>
        <v/>
      </c>
      <c r="S490" s="44">
        <f>IFERROR(__xludf.DUMMYFUNCTION("""COMPUTED_VALUE"""),45883)</f>
        <v/>
      </c>
      <c r="T490" s="45">
        <f>IFERROR(__xludf.DUMMYFUNCTION("""COMPUTED_VALUE"""),"Mississauga, ON, CA")</f>
        <v/>
      </c>
      <c r="U490" s="45" t="n"/>
      <c r="V490" s="45" t="n"/>
      <c r="W490" s="45" t="n"/>
      <c r="X490" s="45" t="n"/>
      <c r="Y490" s="46">
        <f>IFERROR(__xludf.DUMMYFUNCTION("""COMPUTED_VALUE"""),45832)</f>
        <v/>
      </c>
      <c r="Z490" s="46">
        <f>IFERROR(__xludf.DUMMYFUNCTION("""COMPUTED_VALUE"""),45861)</f>
        <v/>
      </c>
      <c r="AA490" s="46">
        <f>IFERROR(__xludf.DUMMYFUNCTION("""COMPUTED_VALUE"""),45874)</f>
        <v/>
      </c>
      <c r="AB490" s="45">
        <f>IFERROR(__xludf.DUMMYFUNCTION("""COMPUTED_VALUE"""),"3500 Argentia Road")</f>
        <v/>
      </c>
      <c r="AC490" s="45" t="n"/>
      <c r="AD490" s="45">
        <f>IFERROR(__xludf.DUMMYFUNCTION("""COMPUTED_VALUE"""),"OCEAN")</f>
        <v/>
      </c>
      <c r="AE490" s="45">
        <f>IFERROR(__xludf.DUMMYFUNCTION("""COMPUTED_VALUE"""),"N")</f>
        <v/>
      </c>
      <c r="AF490" s="45" t="n"/>
      <c r="AG490" s="49">
        <f>IFERROR(__xludf.DUMMYFUNCTION("IFNA(vlookup(H490,IMPORTRANGE(""1vUGwO1n0QQGx9kKbO0_M5gmuhXZ6-LaxQxgrmJnzgP0"",""'TP# look up'!A:C""),3,0),"""")"),"")</f>
        <v/>
      </c>
      <c r="AH490" s="49">
        <f>LEFT(J490,2)</f>
        <v/>
      </c>
    </row>
    <row r="491" ht="12.75" customHeight="1">
      <c r="A491" s="45">
        <f>IFERROR(__xludf.DUMMYFUNCTION("""COMPUTED_VALUE"""),"Colombo")</f>
        <v/>
      </c>
      <c r="B491" s="45" t="n"/>
      <c r="C491" s="45">
        <f>IFERROR(__xludf.DUMMYFUNCTION("""COMPUTED_VALUE"""),3254508)</f>
        <v/>
      </c>
      <c r="D491" s="45" t="n"/>
      <c r="E491" s="45">
        <f>IFERROR(__xludf.DUMMYFUNCTION("""COMPUTED_VALUE"""),"CFS")</f>
        <v/>
      </c>
      <c r="F491" s="45">
        <f>IFERROR(__xludf.DUMMYFUNCTION("""COMPUTED_VALUE"""),"MAS AMITY PTE LTD")</f>
        <v/>
      </c>
      <c r="G491" s="45">
        <f>IFERROR(__xludf.DUMMYFUNCTION("""COMPUTED_VALUE"""),"MAS Active (Pvt) Ltd - Linea Intimo")</f>
        <v/>
      </c>
      <c r="H491" s="43">
        <f>IFERROR(__xludf.DUMMYFUNCTION("""COMPUTED_VALUE"""),454715529553)</f>
        <v/>
      </c>
      <c r="I491" s="45">
        <f>IFERROR(__xludf.DUMMYFUNCTION("""COMPUTED_VALUE"""),19920368)</f>
        <v/>
      </c>
      <c r="J491" s="45">
        <f>IFERROR(__xludf.DUMMYFUNCTION("""COMPUTED_VALUE"""),"LW3DFKS")</f>
        <v/>
      </c>
      <c r="K491" s="45">
        <f>IFERROR(__xludf.DUMMYFUNCTION("""COMPUTED_VALUE"""),"LW3DFKS-4780")</f>
        <v/>
      </c>
      <c r="L491" s="45">
        <f>IFERROR(__xludf.DUMMYFUNCTION("""COMPUTED_VALUE"""),21)</f>
        <v/>
      </c>
      <c r="M491" s="45">
        <f>IFERROR(__xludf.DUMMYFUNCTION("""COMPUTED_VALUE"""),1226)</f>
        <v/>
      </c>
      <c r="N491" s="45">
        <f>IFERROR(__xludf.DUMMYFUNCTION("""COMPUTED_VALUE"""),215.35)</f>
        <v/>
      </c>
      <c r="O491" s="45">
        <f>IFERROR(__xludf.DUMMYFUNCTION("""COMPUTED_VALUE"""),1.58)</f>
        <v/>
      </c>
      <c r="P491" s="45">
        <f>IFERROR(__xludf.DUMMYFUNCTION("""COMPUTED_VALUE"""),"Colombo, LK")</f>
        <v/>
      </c>
      <c r="Q491" s="45">
        <f>IFERROR(__xludf.DUMMYFUNCTION("""COMPUTED_VALUE"""),"New York, NY, US")</f>
        <v/>
      </c>
      <c r="R491" s="44">
        <f>IFERROR(__xludf.DUMMYFUNCTION("""COMPUTED_VALUE"""),45824)</f>
        <v/>
      </c>
      <c r="S491" s="44">
        <f>IFERROR(__xludf.DUMMYFUNCTION("""COMPUTED_VALUE"""),45883)</f>
        <v/>
      </c>
      <c r="T491" s="45">
        <f>IFERROR(__xludf.DUMMYFUNCTION("""COMPUTED_VALUE"""),"Mississauga, ON, CA")</f>
        <v/>
      </c>
      <c r="U491" s="45" t="n"/>
      <c r="V491" s="45" t="n"/>
      <c r="W491" s="45" t="n"/>
      <c r="X491" s="45" t="n"/>
      <c r="Y491" s="46">
        <f>IFERROR(__xludf.DUMMYFUNCTION("""COMPUTED_VALUE"""),45832)</f>
        <v/>
      </c>
      <c r="Z491" s="46">
        <f>IFERROR(__xludf.DUMMYFUNCTION("""COMPUTED_VALUE"""),45861)</f>
        <v/>
      </c>
      <c r="AA491" s="46">
        <f>IFERROR(__xludf.DUMMYFUNCTION("""COMPUTED_VALUE"""),45874)</f>
        <v/>
      </c>
      <c r="AB491" s="45">
        <f>IFERROR(__xludf.DUMMYFUNCTION("""COMPUTED_VALUE"""),"3500 Argentia Road")</f>
        <v/>
      </c>
      <c r="AC491" s="45" t="n"/>
      <c r="AD491" s="45">
        <f>IFERROR(__xludf.DUMMYFUNCTION("""COMPUTED_VALUE"""),"OCEAN")</f>
        <v/>
      </c>
      <c r="AE491" s="45">
        <f>IFERROR(__xludf.DUMMYFUNCTION("""COMPUTED_VALUE"""),"N")</f>
        <v/>
      </c>
      <c r="AF491" s="45" t="n"/>
      <c r="AG491" s="49">
        <f>IFERROR(__xludf.DUMMYFUNCTION("IFNA(vlookup(H491,IMPORTRANGE(""1vUGwO1n0QQGx9kKbO0_M5gmuhXZ6-LaxQxgrmJnzgP0"",""'TP# look up'!A:C""),3,0),"""")"),"")</f>
        <v/>
      </c>
      <c r="AH491" s="49">
        <f>LEFT(J491,2)</f>
        <v/>
      </c>
    </row>
    <row r="492" ht="12.75" customHeight="1">
      <c r="A492" s="45">
        <f>IFERROR(__xludf.DUMMYFUNCTION("""COMPUTED_VALUE"""),"Colombo")</f>
        <v/>
      </c>
      <c r="B492" s="45" t="n"/>
      <c r="C492" s="45">
        <f>IFERROR(__xludf.DUMMYFUNCTION("""COMPUTED_VALUE"""),3254508)</f>
        <v/>
      </c>
      <c r="D492" s="45" t="n"/>
      <c r="E492" s="45">
        <f>IFERROR(__xludf.DUMMYFUNCTION("""COMPUTED_VALUE"""),"CFS")</f>
        <v/>
      </c>
      <c r="F492" s="45">
        <f>IFERROR(__xludf.DUMMYFUNCTION("""COMPUTED_VALUE"""),"MAS AMITY PTE LTD")</f>
        <v/>
      </c>
      <c r="G492" s="45">
        <f>IFERROR(__xludf.DUMMYFUNCTION("""COMPUTED_VALUE"""),"MAS Active (Pvt) Ltd - Linea Intimo")</f>
        <v/>
      </c>
      <c r="H492" s="43">
        <f>IFERROR(__xludf.DUMMYFUNCTION("""COMPUTED_VALUE"""),454715880007)</f>
        <v/>
      </c>
      <c r="I492" s="45">
        <f>IFERROR(__xludf.DUMMYFUNCTION("""COMPUTED_VALUE"""),19920486)</f>
        <v/>
      </c>
      <c r="J492" s="45">
        <f>IFERROR(__xludf.DUMMYFUNCTION("""COMPUTED_VALUE"""),"LW3JE9S")</f>
        <v/>
      </c>
      <c r="K492" s="45">
        <f>IFERROR(__xludf.DUMMYFUNCTION("""COMPUTED_VALUE"""),"LW3JE9S-012826")</f>
        <v/>
      </c>
      <c r="L492" s="45">
        <f>IFERROR(__xludf.DUMMYFUNCTION("""COMPUTED_VALUE"""),8)</f>
        <v/>
      </c>
      <c r="M492" s="45">
        <f>IFERROR(__xludf.DUMMYFUNCTION("""COMPUTED_VALUE"""),445)</f>
        <v/>
      </c>
      <c r="N492" s="45">
        <f>IFERROR(__xludf.DUMMYFUNCTION("""COMPUTED_VALUE"""),86.557)</f>
        <v/>
      </c>
      <c r="O492" s="45">
        <f>IFERROR(__xludf.DUMMYFUNCTION("""COMPUTED_VALUE"""),0.553)</f>
        <v/>
      </c>
      <c r="P492" s="45">
        <f>IFERROR(__xludf.DUMMYFUNCTION("""COMPUTED_VALUE"""),"Colombo, LK")</f>
        <v/>
      </c>
      <c r="Q492" s="45">
        <f>IFERROR(__xludf.DUMMYFUNCTION("""COMPUTED_VALUE"""),"New York, NY, US")</f>
        <v/>
      </c>
      <c r="R492" s="44">
        <f>IFERROR(__xludf.DUMMYFUNCTION("""COMPUTED_VALUE"""),45824)</f>
        <v/>
      </c>
      <c r="S492" s="44">
        <f>IFERROR(__xludf.DUMMYFUNCTION("""COMPUTED_VALUE"""),45883)</f>
        <v/>
      </c>
      <c r="T492" s="45">
        <f>IFERROR(__xludf.DUMMYFUNCTION("""COMPUTED_VALUE"""),"Mississauga, ON, CA")</f>
        <v/>
      </c>
      <c r="U492" s="45" t="n"/>
      <c r="V492" s="45" t="n"/>
      <c r="W492" s="45" t="n"/>
      <c r="X492" s="45" t="n"/>
      <c r="Y492" s="46">
        <f>IFERROR(__xludf.DUMMYFUNCTION("""COMPUTED_VALUE"""),45832)</f>
        <v/>
      </c>
      <c r="Z492" s="46">
        <f>IFERROR(__xludf.DUMMYFUNCTION("""COMPUTED_VALUE"""),45861)</f>
        <v/>
      </c>
      <c r="AA492" s="46">
        <f>IFERROR(__xludf.DUMMYFUNCTION("""COMPUTED_VALUE"""),45874)</f>
        <v/>
      </c>
      <c r="AB492" s="45">
        <f>IFERROR(__xludf.DUMMYFUNCTION("""COMPUTED_VALUE"""),"3500 Argentia Road")</f>
        <v/>
      </c>
      <c r="AC492" s="45" t="n"/>
      <c r="AD492" s="45">
        <f>IFERROR(__xludf.DUMMYFUNCTION("""COMPUTED_VALUE"""),"OCEAN")</f>
        <v/>
      </c>
      <c r="AE492" s="45">
        <f>IFERROR(__xludf.DUMMYFUNCTION("""COMPUTED_VALUE"""),"N")</f>
        <v/>
      </c>
      <c r="AF492" s="45" t="n"/>
      <c r="AG492" s="49">
        <f>IFERROR(__xludf.DUMMYFUNCTION("IFNA(vlookup(H492,IMPORTRANGE(""1vUGwO1n0QQGx9kKbO0_M5gmuhXZ6-LaxQxgrmJnzgP0"",""'TP# look up'!A:C""),3,0),"""")"),"")</f>
        <v/>
      </c>
      <c r="AH492" s="49">
        <f>LEFT(J492,2)</f>
        <v/>
      </c>
    </row>
    <row r="493" ht="12.75" customHeight="1">
      <c r="A493" s="45">
        <f>IFERROR(__xludf.DUMMYFUNCTION("""COMPUTED_VALUE"""),"Colombo")</f>
        <v/>
      </c>
      <c r="B493" s="45" t="n"/>
      <c r="C493" s="45">
        <f>IFERROR(__xludf.DUMMYFUNCTION("""COMPUTED_VALUE"""),3254508)</f>
        <v/>
      </c>
      <c r="D493" s="45" t="n"/>
      <c r="E493" s="45">
        <f>IFERROR(__xludf.DUMMYFUNCTION("""COMPUTED_VALUE"""),"CFS")</f>
        <v/>
      </c>
      <c r="F493" s="45">
        <f>IFERROR(__xludf.DUMMYFUNCTION("""COMPUTED_VALUE"""),"MAS AMITY PTE LTD")</f>
        <v/>
      </c>
      <c r="G493" s="45">
        <f>IFERROR(__xludf.DUMMYFUNCTION("""COMPUTED_VALUE"""),"MAS Active (Pvt) Ltd - Linea Intimo")</f>
        <v/>
      </c>
      <c r="H493" s="43">
        <f>IFERROR(__xludf.DUMMYFUNCTION("""COMPUTED_VALUE"""),454715944362)</f>
        <v/>
      </c>
      <c r="I493" s="45">
        <f>IFERROR(__xludf.DUMMYFUNCTION("""COMPUTED_VALUE"""),19920468)</f>
        <v/>
      </c>
      <c r="J493" s="45">
        <f>IFERROR(__xludf.DUMMYFUNCTION("""COMPUTED_VALUE"""),"LW3JE9S")</f>
        <v/>
      </c>
      <c r="K493" s="45">
        <f>IFERROR(__xludf.DUMMYFUNCTION("""COMPUTED_VALUE"""),"LW3JE9S-0572")</f>
        <v/>
      </c>
      <c r="L493" s="45">
        <f>IFERROR(__xludf.DUMMYFUNCTION("""COMPUTED_VALUE"""),8)</f>
        <v/>
      </c>
      <c r="M493" s="45">
        <f>IFERROR(__xludf.DUMMYFUNCTION("""COMPUTED_VALUE"""),447)</f>
        <v/>
      </c>
      <c r="N493" s="45">
        <f>IFERROR(__xludf.DUMMYFUNCTION("""COMPUTED_VALUE"""),86.902)</f>
        <v/>
      </c>
      <c r="O493" s="45">
        <f>IFERROR(__xludf.DUMMYFUNCTION("""COMPUTED_VALUE"""),0.553)</f>
        <v/>
      </c>
      <c r="P493" s="45">
        <f>IFERROR(__xludf.DUMMYFUNCTION("""COMPUTED_VALUE"""),"Colombo, LK")</f>
        <v/>
      </c>
      <c r="Q493" s="45">
        <f>IFERROR(__xludf.DUMMYFUNCTION("""COMPUTED_VALUE"""),"New York, NY, US")</f>
        <v/>
      </c>
      <c r="R493" s="44">
        <f>IFERROR(__xludf.DUMMYFUNCTION("""COMPUTED_VALUE"""),45824)</f>
        <v/>
      </c>
      <c r="S493" s="44">
        <f>IFERROR(__xludf.DUMMYFUNCTION("""COMPUTED_VALUE"""),45883)</f>
        <v/>
      </c>
      <c r="T493" s="45">
        <f>IFERROR(__xludf.DUMMYFUNCTION("""COMPUTED_VALUE"""),"Mississauga, ON, CA")</f>
        <v/>
      </c>
      <c r="U493" s="45" t="n"/>
      <c r="V493" s="45" t="n"/>
      <c r="W493" s="45" t="n"/>
      <c r="X493" s="45" t="n"/>
      <c r="Y493" s="46">
        <f>IFERROR(__xludf.DUMMYFUNCTION("""COMPUTED_VALUE"""),45832)</f>
        <v/>
      </c>
      <c r="Z493" s="46">
        <f>IFERROR(__xludf.DUMMYFUNCTION("""COMPUTED_VALUE"""),45861)</f>
        <v/>
      </c>
      <c r="AA493" s="46">
        <f>IFERROR(__xludf.DUMMYFUNCTION("""COMPUTED_VALUE"""),45874)</f>
        <v/>
      </c>
      <c r="AB493" s="45">
        <f>IFERROR(__xludf.DUMMYFUNCTION("""COMPUTED_VALUE"""),"3500 Argentia Road")</f>
        <v/>
      </c>
      <c r="AC493" s="45" t="n"/>
      <c r="AD493" s="45">
        <f>IFERROR(__xludf.DUMMYFUNCTION("""COMPUTED_VALUE"""),"OCEAN")</f>
        <v/>
      </c>
      <c r="AE493" s="45">
        <f>IFERROR(__xludf.DUMMYFUNCTION("""COMPUTED_VALUE"""),"N")</f>
        <v/>
      </c>
      <c r="AF493" s="45" t="n"/>
      <c r="AG493" s="49">
        <f>IFERROR(__xludf.DUMMYFUNCTION("IFNA(vlookup(H493,IMPORTRANGE(""1vUGwO1n0QQGx9kKbO0_M5gmuhXZ6-LaxQxgrmJnzgP0"",""'TP# look up'!A:C""),3,0),"""")"),"")</f>
        <v/>
      </c>
      <c r="AH493" s="49">
        <f>LEFT(J493,2)</f>
        <v/>
      </c>
    </row>
    <row r="494" ht="12.75" customHeight="1">
      <c r="A494" s="45">
        <f>IFERROR(__xludf.DUMMYFUNCTION("""COMPUTED_VALUE"""),"Colombo")</f>
        <v/>
      </c>
      <c r="B494" s="45" t="n"/>
      <c r="C494" s="45">
        <f>IFERROR(__xludf.DUMMYFUNCTION("""COMPUTED_VALUE"""),3254508)</f>
        <v/>
      </c>
      <c r="D494" s="45" t="n"/>
      <c r="E494" s="45">
        <f>IFERROR(__xludf.DUMMYFUNCTION("""COMPUTED_VALUE"""),"CFS")</f>
        <v/>
      </c>
      <c r="F494" s="45">
        <f>IFERROR(__xludf.DUMMYFUNCTION("""COMPUTED_VALUE"""),"MAS AMITY PTE LTD")</f>
        <v/>
      </c>
      <c r="G494" s="45">
        <f>IFERROR(__xludf.DUMMYFUNCTION("""COMPUTED_VALUE"""),"MAS Active (Pvt) Ltd - Linea Intimo")</f>
        <v/>
      </c>
      <c r="H494" s="43">
        <f>IFERROR(__xludf.DUMMYFUNCTION("""COMPUTED_VALUE"""),454716220598)</f>
        <v/>
      </c>
      <c r="I494" s="45">
        <f>IFERROR(__xludf.DUMMYFUNCTION("""COMPUTED_VALUE"""),19920517)</f>
        <v/>
      </c>
      <c r="J494" s="45">
        <f>IFERROR(__xludf.DUMMYFUNCTION("""COMPUTED_VALUE"""),"LM1364S")</f>
        <v/>
      </c>
      <c r="K494" s="45">
        <f>IFERROR(__xludf.DUMMYFUNCTION("""COMPUTED_VALUE"""),"LM1364S-071162")</f>
        <v/>
      </c>
      <c r="L494" s="45">
        <f>IFERROR(__xludf.DUMMYFUNCTION("""COMPUTED_VALUE"""),4)</f>
        <v/>
      </c>
      <c r="M494" s="45">
        <f>IFERROR(__xludf.DUMMYFUNCTION("""COMPUTED_VALUE"""),194)</f>
        <v/>
      </c>
      <c r="N494" s="45">
        <f>IFERROR(__xludf.DUMMYFUNCTION("""COMPUTED_VALUE"""),30.452)</f>
        <v/>
      </c>
      <c r="O494" s="45">
        <f>IFERROR(__xludf.DUMMYFUNCTION("""COMPUTED_VALUE"""),0.276)</f>
        <v/>
      </c>
      <c r="P494" s="45">
        <f>IFERROR(__xludf.DUMMYFUNCTION("""COMPUTED_VALUE"""),"Colombo, LK")</f>
        <v/>
      </c>
      <c r="Q494" s="45">
        <f>IFERROR(__xludf.DUMMYFUNCTION("""COMPUTED_VALUE"""),"New York, NY, US")</f>
        <v/>
      </c>
      <c r="R494" s="44">
        <f>IFERROR(__xludf.DUMMYFUNCTION("""COMPUTED_VALUE"""),45824)</f>
        <v/>
      </c>
      <c r="S494" s="44">
        <f>IFERROR(__xludf.DUMMYFUNCTION("""COMPUTED_VALUE"""),45883)</f>
        <v/>
      </c>
      <c r="T494" s="45">
        <f>IFERROR(__xludf.DUMMYFUNCTION("""COMPUTED_VALUE"""),"Mississauga, ON, CA")</f>
        <v/>
      </c>
      <c r="U494" s="45" t="n"/>
      <c r="V494" s="45" t="n"/>
      <c r="W494" s="45" t="n"/>
      <c r="X494" s="45" t="n"/>
      <c r="Y494" s="46">
        <f>IFERROR(__xludf.DUMMYFUNCTION("""COMPUTED_VALUE"""),45832)</f>
        <v/>
      </c>
      <c r="Z494" s="46">
        <f>IFERROR(__xludf.DUMMYFUNCTION("""COMPUTED_VALUE"""),45861)</f>
        <v/>
      </c>
      <c r="AA494" s="46">
        <f>IFERROR(__xludf.DUMMYFUNCTION("""COMPUTED_VALUE"""),45874)</f>
        <v/>
      </c>
      <c r="AB494" s="45">
        <f>IFERROR(__xludf.DUMMYFUNCTION("""COMPUTED_VALUE"""),"3500 Argentia Road")</f>
        <v/>
      </c>
      <c r="AC494" s="45" t="n"/>
      <c r="AD494" s="45">
        <f>IFERROR(__xludf.DUMMYFUNCTION("""COMPUTED_VALUE"""),"OCEAN")</f>
        <v/>
      </c>
      <c r="AE494" s="45">
        <f>IFERROR(__xludf.DUMMYFUNCTION("""COMPUTED_VALUE"""),"N")</f>
        <v/>
      </c>
      <c r="AF494" s="45" t="n"/>
      <c r="AG494" s="49">
        <f>IFERROR(__xludf.DUMMYFUNCTION("IFNA(vlookup(H494,IMPORTRANGE(""1vUGwO1n0QQGx9kKbO0_M5gmuhXZ6-LaxQxgrmJnzgP0"",""'TP# look up'!A:C""),3,0),"""")"),"")</f>
        <v/>
      </c>
      <c r="AH494" s="49">
        <f>LEFT(J494,2)</f>
        <v/>
      </c>
    </row>
    <row r="495" ht="12.75" customHeight="1">
      <c r="A495" s="45">
        <f>IFERROR(__xludf.DUMMYFUNCTION("""COMPUTED_VALUE"""),"Colombo")</f>
        <v/>
      </c>
      <c r="B495" s="45" t="n"/>
      <c r="C495" s="45">
        <f>IFERROR(__xludf.DUMMYFUNCTION("""COMPUTED_VALUE"""),3254508)</f>
        <v/>
      </c>
      <c r="D495" s="45" t="n"/>
      <c r="E495" s="45">
        <f>IFERROR(__xludf.DUMMYFUNCTION("""COMPUTED_VALUE"""),"CFS")</f>
        <v/>
      </c>
      <c r="F495" s="45">
        <f>IFERROR(__xludf.DUMMYFUNCTION("""COMPUTED_VALUE"""),"MAS AMITY PTE LTD")</f>
        <v/>
      </c>
      <c r="G495" s="45">
        <f>IFERROR(__xludf.DUMMYFUNCTION("""COMPUTED_VALUE"""),"MAS Active (Pvt) Ltd - Linea Intimo")</f>
        <v/>
      </c>
      <c r="H495" s="43">
        <f>IFERROR(__xludf.DUMMYFUNCTION("""COMPUTED_VALUE"""),454716420390)</f>
        <v/>
      </c>
      <c r="I495" s="45">
        <f>IFERROR(__xludf.DUMMYFUNCTION("""COMPUTED_VALUE"""),19920529)</f>
        <v/>
      </c>
      <c r="J495" s="45">
        <f>IFERROR(__xludf.DUMMYFUNCTION("""COMPUTED_VALUE"""),"LM3F64S")</f>
        <v/>
      </c>
      <c r="K495" s="45">
        <f>IFERROR(__xludf.DUMMYFUNCTION("""COMPUTED_VALUE"""),"LM3F64S-071159")</f>
        <v/>
      </c>
      <c r="L495" s="45">
        <f>IFERROR(__xludf.DUMMYFUNCTION("""COMPUTED_VALUE"""),7)</f>
        <v/>
      </c>
      <c r="M495" s="45">
        <f>IFERROR(__xludf.DUMMYFUNCTION("""COMPUTED_VALUE"""),200)</f>
        <v/>
      </c>
      <c r="N495" s="45">
        <f>IFERROR(__xludf.DUMMYFUNCTION("""COMPUTED_VALUE"""),49.911)</f>
        <v/>
      </c>
      <c r="O495" s="45">
        <f>IFERROR(__xludf.DUMMYFUNCTION("""COMPUTED_VALUE"""),0.474)</f>
        <v/>
      </c>
      <c r="P495" s="45">
        <f>IFERROR(__xludf.DUMMYFUNCTION("""COMPUTED_VALUE"""),"Colombo, LK")</f>
        <v/>
      </c>
      <c r="Q495" s="45">
        <f>IFERROR(__xludf.DUMMYFUNCTION("""COMPUTED_VALUE"""),"New York, NY, US")</f>
        <v/>
      </c>
      <c r="R495" s="44">
        <f>IFERROR(__xludf.DUMMYFUNCTION("""COMPUTED_VALUE"""),45824)</f>
        <v/>
      </c>
      <c r="S495" s="44">
        <f>IFERROR(__xludf.DUMMYFUNCTION("""COMPUTED_VALUE"""),45883)</f>
        <v/>
      </c>
      <c r="T495" s="45">
        <f>IFERROR(__xludf.DUMMYFUNCTION("""COMPUTED_VALUE"""),"Mississauga, ON, CA")</f>
        <v/>
      </c>
      <c r="U495" s="45" t="n"/>
      <c r="V495" s="45" t="n"/>
      <c r="W495" s="45" t="n"/>
      <c r="X495" s="45" t="n"/>
      <c r="Y495" s="46">
        <f>IFERROR(__xludf.DUMMYFUNCTION("""COMPUTED_VALUE"""),45832)</f>
        <v/>
      </c>
      <c r="Z495" s="46">
        <f>IFERROR(__xludf.DUMMYFUNCTION("""COMPUTED_VALUE"""),45861)</f>
        <v/>
      </c>
      <c r="AA495" s="46">
        <f>IFERROR(__xludf.DUMMYFUNCTION("""COMPUTED_VALUE"""),45874)</f>
        <v/>
      </c>
      <c r="AB495" s="45">
        <f>IFERROR(__xludf.DUMMYFUNCTION("""COMPUTED_VALUE"""),"3500 Argentia Road")</f>
        <v/>
      </c>
      <c r="AC495" s="45" t="n"/>
      <c r="AD495" s="45">
        <f>IFERROR(__xludf.DUMMYFUNCTION("""COMPUTED_VALUE"""),"OCEAN")</f>
        <v/>
      </c>
      <c r="AE495" s="45">
        <f>IFERROR(__xludf.DUMMYFUNCTION("""COMPUTED_VALUE"""),"N")</f>
        <v/>
      </c>
      <c r="AF495" s="45" t="n"/>
      <c r="AG495" s="49">
        <f>IFERROR(__xludf.DUMMYFUNCTION("IFNA(vlookup(H495,IMPORTRANGE(""1vUGwO1n0QQGx9kKbO0_M5gmuhXZ6-LaxQxgrmJnzgP0"",""'TP# look up'!A:C""),3,0),"""")"),"")</f>
        <v/>
      </c>
      <c r="AH495" s="49">
        <f>LEFT(J495,2)</f>
        <v/>
      </c>
    </row>
    <row r="496" ht="12.75" customHeight="1">
      <c r="A496" s="45">
        <f>IFERROR(__xludf.DUMMYFUNCTION("""COMPUTED_VALUE"""),"Colombo")</f>
        <v/>
      </c>
      <c r="B496" s="45" t="n"/>
      <c r="C496" s="45">
        <f>IFERROR(__xludf.DUMMYFUNCTION("""COMPUTED_VALUE"""),3254508)</f>
        <v/>
      </c>
      <c r="D496" s="45" t="n"/>
      <c r="E496" s="45">
        <f>IFERROR(__xludf.DUMMYFUNCTION("""COMPUTED_VALUE"""),"CFS")</f>
        <v/>
      </c>
      <c r="F496" s="45">
        <f>IFERROR(__xludf.DUMMYFUNCTION("""COMPUTED_VALUE"""),"MAS AMITY PTE LTD")</f>
        <v/>
      </c>
      <c r="G496" s="45">
        <f>IFERROR(__xludf.DUMMYFUNCTION("""COMPUTED_VALUE"""),"MAS Active (Pvt) Ltd - Linea Intimo")</f>
        <v/>
      </c>
      <c r="H496" s="43">
        <f>IFERROR(__xludf.DUMMYFUNCTION("""COMPUTED_VALUE"""),454716539002)</f>
        <v/>
      </c>
      <c r="I496" s="45">
        <f>IFERROR(__xludf.DUMMYFUNCTION("""COMPUTED_VALUE"""),19920541)</f>
        <v/>
      </c>
      <c r="J496" s="45">
        <f>IFERROR(__xludf.DUMMYFUNCTION("""COMPUTED_VALUE"""),"LM3F64S")</f>
        <v/>
      </c>
      <c r="K496" s="45">
        <f>IFERROR(__xludf.DUMMYFUNCTION("""COMPUTED_VALUE"""),"LM3F64S-070110")</f>
        <v/>
      </c>
      <c r="L496" s="45">
        <f>IFERROR(__xludf.DUMMYFUNCTION("""COMPUTED_VALUE"""),6)</f>
        <v/>
      </c>
      <c r="M496" s="45">
        <f>IFERROR(__xludf.DUMMYFUNCTION("""COMPUTED_VALUE"""),176)</f>
        <v/>
      </c>
      <c r="N496" s="45">
        <f>IFERROR(__xludf.DUMMYFUNCTION("""COMPUTED_VALUE"""),43.959)</f>
        <v/>
      </c>
      <c r="O496" s="45">
        <f>IFERROR(__xludf.DUMMYFUNCTION("""COMPUTED_VALUE"""),0.434)</f>
        <v/>
      </c>
      <c r="P496" s="45">
        <f>IFERROR(__xludf.DUMMYFUNCTION("""COMPUTED_VALUE"""),"Colombo, LK")</f>
        <v/>
      </c>
      <c r="Q496" s="45">
        <f>IFERROR(__xludf.DUMMYFUNCTION("""COMPUTED_VALUE"""),"New York, NY, US")</f>
        <v/>
      </c>
      <c r="R496" s="44">
        <f>IFERROR(__xludf.DUMMYFUNCTION("""COMPUTED_VALUE"""),45824)</f>
        <v/>
      </c>
      <c r="S496" s="44">
        <f>IFERROR(__xludf.DUMMYFUNCTION("""COMPUTED_VALUE"""),45883)</f>
        <v/>
      </c>
      <c r="T496" s="45">
        <f>IFERROR(__xludf.DUMMYFUNCTION("""COMPUTED_VALUE"""),"Mississauga, ON, CA")</f>
        <v/>
      </c>
      <c r="U496" s="45" t="n"/>
      <c r="V496" s="45" t="n"/>
      <c r="W496" s="45" t="n"/>
      <c r="X496" s="45" t="n"/>
      <c r="Y496" s="46">
        <f>IFERROR(__xludf.DUMMYFUNCTION("""COMPUTED_VALUE"""),45832)</f>
        <v/>
      </c>
      <c r="Z496" s="46">
        <f>IFERROR(__xludf.DUMMYFUNCTION("""COMPUTED_VALUE"""),45861)</f>
        <v/>
      </c>
      <c r="AA496" s="46">
        <f>IFERROR(__xludf.DUMMYFUNCTION("""COMPUTED_VALUE"""),45874)</f>
        <v/>
      </c>
      <c r="AB496" s="45">
        <f>IFERROR(__xludf.DUMMYFUNCTION("""COMPUTED_VALUE"""),"3500 Argentia Road")</f>
        <v/>
      </c>
      <c r="AC496" s="45" t="n"/>
      <c r="AD496" s="45">
        <f>IFERROR(__xludf.DUMMYFUNCTION("""COMPUTED_VALUE"""),"OCEAN")</f>
        <v/>
      </c>
      <c r="AE496" s="45">
        <f>IFERROR(__xludf.DUMMYFUNCTION("""COMPUTED_VALUE"""),"N")</f>
        <v/>
      </c>
      <c r="AF496" s="45" t="n"/>
      <c r="AG496" s="49">
        <f>IFERROR(__xludf.DUMMYFUNCTION("IFNA(vlookup(H496,IMPORTRANGE(""1vUGwO1n0QQGx9kKbO0_M5gmuhXZ6-LaxQxgrmJnzgP0"",""'TP# look up'!A:C""),3,0),"""")"),"")</f>
        <v/>
      </c>
      <c r="AH496" s="49">
        <f>LEFT(J496,2)</f>
        <v/>
      </c>
    </row>
    <row r="497" ht="12.75" customHeight="1">
      <c r="A497" s="45">
        <f>IFERROR(__xludf.DUMMYFUNCTION("""COMPUTED_VALUE"""),"Colombo")</f>
        <v/>
      </c>
      <c r="B497" s="45" t="n"/>
      <c r="C497" s="45">
        <f>IFERROR(__xludf.DUMMYFUNCTION("""COMPUTED_VALUE"""),3254508)</f>
        <v/>
      </c>
      <c r="D497" s="45" t="n"/>
      <c r="E497" s="45">
        <f>IFERROR(__xludf.DUMMYFUNCTION("""COMPUTED_VALUE"""),"CFS")</f>
        <v/>
      </c>
      <c r="F497" s="45">
        <f>IFERROR(__xludf.DUMMYFUNCTION("""COMPUTED_VALUE"""),"MAS AMITY PTE LTD")</f>
        <v/>
      </c>
      <c r="G497" s="45">
        <f>IFERROR(__xludf.DUMMYFUNCTION("""COMPUTED_VALUE"""),"MAS Active (Pvt) Ltd - Linea Intimo")</f>
        <v/>
      </c>
      <c r="H497" s="43">
        <f>IFERROR(__xludf.DUMMYFUNCTION("""COMPUTED_VALUE"""),454716985952)</f>
        <v/>
      </c>
      <c r="I497" s="45">
        <f>IFERROR(__xludf.DUMMYFUNCTION("""COMPUTED_VALUE"""),19920587)</f>
        <v/>
      </c>
      <c r="J497" s="45">
        <f>IFERROR(__xludf.DUMMYFUNCTION("""COMPUTED_VALUE"""),"LM3FIKS")</f>
        <v/>
      </c>
      <c r="K497" s="45">
        <f>IFERROR(__xludf.DUMMYFUNCTION("""COMPUTED_VALUE"""),"LM3FIKS-070561")</f>
        <v/>
      </c>
      <c r="L497" s="45">
        <f>IFERROR(__xludf.DUMMYFUNCTION("""COMPUTED_VALUE"""),3)</f>
        <v/>
      </c>
      <c r="M497" s="45">
        <f>IFERROR(__xludf.DUMMYFUNCTION("""COMPUTED_VALUE"""),157)</f>
        <v/>
      </c>
      <c r="N497" s="45">
        <f>IFERROR(__xludf.DUMMYFUNCTION("""COMPUTED_VALUE"""),29.829)</f>
        <v/>
      </c>
      <c r="O497" s="45">
        <f>IFERROR(__xludf.DUMMYFUNCTION("""COMPUTED_VALUE"""),0.197)</f>
        <v/>
      </c>
      <c r="P497" s="45">
        <f>IFERROR(__xludf.DUMMYFUNCTION("""COMPUTED_VALUE"""),"Colombo, LK")</f>
        <v/>
      </c>
      <c r="Q497" s="45">
        <f>IFERROR(__xludf.DUMMYFUNCTION("""COMPUTED_VALUE"""),"New York, NY, US")</f>
        <v/>
      </c>
      <c r="R497" s="44">
        <f>IFERROR(__xludf.DUMMYFUNCTION("""COMPUTED_VALUE"""),45824)</f>
        <v/>
      </c>
      <c r="S497" s="44">
        <f>IFERROR(__xludf.DUMMYFUNCTION("""COMPUTED_VALUE"""),45883)</f>
        <v/>
      </c>
      <c r="T497" s="45">
        <f>IFERROR(__xludf.DUMMYFUNCTION("""COMPUTED_VALUE"""),"Mississauga, ON, CA")</f>
        <v/>
      </c>
      <c r="U497" s="45" t="n"/>
      <c r="V497" s="45" t="n"/>
      <c r="W497" s="45" t="n"/>
      <c r="X497" s="45" t="n"/>
      <c r="Y497" s="46">
        <f>IFERROR(__xludf.DUMMYFUNCTION("""COMPUTED_VALUE"""),45832)</f>
        <v/>
      </c>
      <c r="Z497" s="46">
        <f>IFERROR(__xludf.DUMMYFUNCTION("""COMPUTED_VALUE"""),45861)</f>
        <v/>
      </c>
      <c r="AA497" s="46">
        <f>IFERROR(__xludf.DUMMYFUNCTION("""COMPUTED_VALUE"""),45874)</f>
        <v/>
      </c>
      <c r="AB497" s="45">
        <f>IFERROR(__xludf.DUMMYFUNCTION("""COMPUTED_VALUE"""),"3500 Argentia Road")</f>
        <v/>
      </c>
      <c r="AC497" s="45" t="n"/>
      <c r="AD497" s="45">
        <f>IFERROR(__xludf.DUMMYFUNCTION("""COMPUTED_VALUE"""),"OCEAN")</f>
        <v/>
      </c>
      <c r="AE497" s="45">
        <f>IFERROR(__xludf.DUMMYFUNCTION("""COMPUTED_VALUE"""),"N")</f>
        <v/>
      </c>
      <c r="AF497" s="45" t="n"/>
      <c r="AG497" s="49">
        <f>IFERROR(__xludf.DUMMYFUNCTION("IFNA(vlookup(H497,IMPORTRANGE(""1vUGwO1n0QQGx9kKbO0_M5gmuhXZ6-LaxQxgrmJnzgP0"",""'TP# look up'!A:C""),3,0),"""")"),"")</f>
        <v/>
      </c>
      <c r="AH497" s="49">
        <f>LEFT(J497,2)</f>
        <v/>
      </c>
    </row>
    <row r="498" ht="12.75" customHeight="1">
      <c r="A498" s="45">
        <f>IFERROR(__xludf.DUMMYFUNCTION("""COMPUTED_VALUE"""),"Colombo")</f>
        <v/>
      </c>
      <c r="B498" s="45" t="n"/>
      <c r="C498" s="45">
        <f>IFERROR(__xludf.DUMMYFUNCTION("""COMPUTED_VALUE"""),3254508)</f>
        <v/>
      </c>
      <c r="D498" s="45" t="n"/>
      <c r="E498" s="45">
        <f>IFERROR(__xludf.DUMMYFUNCTION("""COMPUTED_VALUE"""),"CFS")</f>
        <v/>
      </c>
      <c r="F498" s="45">
        <f>IFERROR(__xludf.DUMMYFUNCTION("""COMPUTED_VALUE"""),"MAS AMITY PTE LTD")</f>
        <v/>
      </c>
      <c r="G498" s="45">
        <f>IFERROR(__xludf.DUMMYFUNCTION("""COMPUTED_VALUE"""),"MAS Active (Pvt) Ltd - Linea Intimo")</f>
        <v/>
      </c>
      <c r="H498" s="43">
        <f>IFERROR(__xludf.DUMMYFUNCTION("""COMPUTED_VALUE"""),454719838375)</f>
        <v/>
      </c>
      <c r="I498" s="45">
        <f>IFERROR(__xludf.DUMMYFUNCTION("""COMPUTED_VALUE"""),19924393)</f>
        <v/>
      </c>
      <c r="J498" s="45">
        <f>IFERROR(__xludf.DUMMYFUNCTION("""COMPUTED_VALUE"""),"LM3FHKS")</f>
        <v/>
      </c>
      <c r="K498" s="45">
        <f>IFERROR(__xludf.DUMMYFUNCTION("""COMPUTED_VALUE"""),"LM3FHKS-4780")</f>
        <v/>
      </c>
      <c r="L498" s="45">
        <f>IFERROR(__xludf.DUMMYFUNCTION("""COMPUTED_VALUE"""),10)</f>
        <v/>
      </c>
      <c r="M498" s="45">
        <f>IFERROR(__xludf.DUMMYFUNCTION("""COMPUTED_VALUE"""),584)</f>
        <v/>
      </c>
      <c r="N498" s="45">
        <f>IFERROR(__xludf.DUMMYFUNCTION("""COMPUTED_VALUE"""),127.663)</f>
        <v/>
      </c>
      <c r="O498" s="45">
        <f>IFERROR(__xludf.DUMMYFUNCTION("""COMPUTED_VALUE"""),0.79)</f>
        <v/>
      </c>
      <c r="P498" s="45">
        <f>IFERROR(__xludf.DUMMYFUNCTION("""COMPUTED_VALUE"""),"Colombo, LK")</f>
        <v/>
      </c>
      <c r="Q498" s="45">
        <f>IFERROR(__xludf.DUMMYFUNCTION("""COMPUTED_VALUE"""),"New York, NY, US")</f>
        <v/>
      </c>
      <c r="R498" s="44">
        <f>IFERROR(__xludf.DUMMYFUNCTION("""COMPUTED_VALUE"""),45824)</f>
        <v/>
      </c>
      <c r="S498" s="44">
        <f>IFERROR(__xludf.DUMMYFUNCTION("""COMPUTED_VALUE"""),45883)</f>
        <v/>
      </c>
      <c r="T498" s="45">
        <f>IFERROR(__xludf.DUMMYFUNCTION("""COMPUTED_VALUE"""),"Mississauga, ON, CA")</f>
        <v/>
      </c>
      <c r="U498" s="45" t="n"/>
      <c r="V498" s="45" t="n"/>
      <c r="W498" s="45" t="n"/>
      <c r="X498" s="45" t="n"/>
      <c r="Y498" s="46">
        <f>IFERROR(__xludf.DUMMYFUNCTION("""COMPUTED_VALUE"""),45832)</f>
        <v/>
      </c>
      <c r="Z498" s="46">
        <f>IFERROR(__xludf.DUMMYFUNCTION("""COMPUTED_VALUE"""),45861)</f>
        <v/>
      </c>
      <c r="AA498" s="46">
        <f>IFERROR(__xludf.DUMMYFUNCTION("""COMPUTED_VALUE"""),45874)</f>
        <v/>
      </c>
      <c r="AB498" s="45">
        <f>IFERROR(__xludf.DUMMYFUNCTION("""COMPUTED_VALUE"""),"3500 Argentia Road")</f>
        <v/>
      </c>
      <c r="AC498" s="45" t="n"/>
      <c r="AD498" s="45">
        <f>IFERROR(__xludf.DUMMYFUNCTION("""COMPUTED_VALUE"""),"OCEAN")</f>
        <v/>
      </c>
      <c r="AE498" s="45">
        <f>IFERROR(__xludf.DUMMYFUNCTION("""COMPUTED_VALUE"""),"N")</f>
        <v/>
      </c>
      <c r="AF498" s="45" t="n"/>
      <c r="AG498" s="49">
        <f>IFERROR(__xludf.DUMMYFUNCTION("IFNA(vlookup(H498,IMPORTRANGE(""1vUGwO1n0QQGx9kKbO0_M5gmuhXZ6-LaxQxgrmJnzgP0"",""'TP# look up'!A:C""),3,0),"""")"),"")</f>
        <v/>
      </c>
      <c r="AH498" s="49">
        <f>LEFT(J498,2)</f>
        <v/>
      </c>
    </row>
    <row r="499" ht="12.75" customHeight="1">
      <c r="A499" s="45">
        <f>IFERROR(__xludf.DUMMYFUNCTION("""COMPUTED_VALUE"""),"Colombo")</f>
        <v/>
      </c>
      <c r="B499" s="45" t="n"/>
      <c r="C499" s="45">
        <f>IFERROR(__xludf.DUMMYFUNCTION("""COMPUTED_VALUE"""),3254508)</f>
        <v/>
      </c>
      <c r="D499" s="45" t="n"/>
      <c r="E499" s="45">
        <f>IFERROR(__xludf.DUMMYFUNCTION("""COMPUTED_VALUE"""),"CFS")</f>
        <v/>
      </c>
      <c r="F499" s="45">
        <f>IFERROR(__xludf.DUMMYFUNCTION("""COMPUTED_VALUE"""),"MAS AMITY PTE LTD")</f>
        <v/>
      </c>
      <c r="G499" s="45">
        <f>IFERROR(__xludf.DUMMYFUNCTION("""COMPUTED_VALUE"""),"MAS Active (Pvt) Ltd - Linea Intimo")</f>
        <v/>
      </c>
      <c r="H499" s="43">
        <f>IFERROR(__xludf.DUMMYFUNCTION("""COMPUTED_VALUE"""),454719838790)</f>
        <v/>
      </c>
      <c r="I499" s="45">
        <f>IFERROR(__xludf.DUMMYFUNCTION("""COMPUTED_VALUE"""),19924426)</f>
        <v/>
      </c>
      <c r="J499" s="45">
        <f>IFERROR(__xludf.DUMMYFUNCTION("""COMPUTED_VALUE"""),"LM3FHKS")</f>
        <v/>
      </c>
      <c r="K499" s="45">
        <f>IFERROR(__xludf.DUMMYFUNCTION("""COMPUTED_VALUE"""),"LM3FHKS-071159")</f>
        <v/>
      </c>
      <c r="L499" s="45">
        <f>IFERROR(__xludf.DUMMYFUNCTION("""COMPUTED_VALUE"""),4)</f>
        <v/>
      </c>
      <c r="M499" s="45">
        <f>IFERROR(__xludf.DUMMYFUNCTION("""COMPUTED_VALUE"""),207)</f>
        <v/>
      </c>
      <c r="N499" s="45">
        <f>IFERROR(__xludf.DUMMYFUNCTION("""COMPUTED_VALUE"""),45.778)</f>
        <v/>
      </c>
      <c r="O499" s="45">
        <f>IFERROR(__xludf.DUMMYFUNCTION("""COMPUTED_VALUE"""),0.316)</f>
        <v/>
      </c>
      <c r="P499" s="45">
        <f>IFERROR(__xludf.DUMMYFUNCTION("""COMPUTED_VALUE"""),"Colombo, LK")</f>
        <v/>
      </c>
      <c r="Q499" s="45">
        <f>IFERROR(__xludf.DUMMYFUNCTION("""COMPUTED_VALUE"""),"New York, NY, US")</f>
        <v/>
      </c>
      <c r="R499" s="44">
        <f>IFERROR(__xludf.DUMMYFUNCTION("""COMPUTED_VALUE"""),45824)</f>
        <v/>
      </c>
      <c r="S499" s="44">
        <f>IFERROR(__xludf.DUMMYFUNCTION("""COMPUTED_VALUE"""),45883)</f>
        <v/>
      </c>
      <c r="T499" s="45">
        <f>IFERROR(__xludf.DUMMYFUNCTION("""COMPUTED_VALUE"""),"Mississauga, ON, CA")</f>
        <v/>
      </c>
      <c r="U499" s="45" t="n"/>
      <c r="V499" s="45" t="n"/>
      <c r="W499" s="45" t="n"/>
      <c r="X499" s="45" t="n"/>
      <c r="Y499" s="46">
        <f>IFERROR(__xludf.DUMMYFUNCTION("""COMPUTED_VALUE"""),45832)</f>
        <v/>
      </c>
      <c r="Z499" s="46">
        <f>IFERROR(__xludf.DUMMYFUNCTION("""COMPUTED_VALUE"""),45861)</f>
        <v/>
      </c>
      <c r="AA499" s="46">
        <f>IFERROR(__xludf.DUMMYFUNCTION("""COMPUTED_VALUE"""),45874)</f>
        <v/>
      </c>
      <c r="AB499" s="45">
        <f>IFERROR(__xludf.DUMMYFUNCTION("""COMPUTED_VALUE"""),"3500 Argentia Road")</f>
        <v/>
      </c>
      <c r="AC499" s="45" t="n"/>
      <c r="AD499" s="45">
        <f>IFERROR(__xludf.DUMMYFUNCTION("""COMPUTED_VALUE"""),"OCEAN")</f>
        <v/>
      </c>
      <c r="AE499" s="45">
        <f>IFERROR(__xludf.DUMMYFUNCTION("""COMPUTED_VALUE"""),"N")</f>
        <v/>
      </c>
      <c r="AF499" s="45" t="n"/>
      <c r="AG499" s="49">
        <f>IFERROR(__xludf.DUMMYFUNCTION("IFNA(vlookup(H499,IMPORTRANGE(""1vUGwO1n0QQGx9kKbO0_M5gmuhXZ6-LaxQxgrmJnzgP0"",""'TP# look up'!A:C""),3,0),"""")"),"")</f>
        <v/>
      </c>
      <c r="AH499" s="49">
        <f>LEFT(J499,2)</f>
        <v/>
      </c>
    </row>
    <row r="500" ht="12.75" customHeight="1">
      <c r="A500" s="45">
        <f>IFERROR(__xludf.DUMMYFUNCTION("""COMPUTED_VALUE"""),"Colombo")</f>
        <v/>
      </c>
      <c r="B500" s="45" t="n"/>
      <c r="C500" s="45">
        <f>IFERROR(__xludf.DUMMYFUNCTION("""COMPUTED_VALUE"""),3254508)</f>
        <v/>
      </c>
      <c r="D500" s="45" t="n"/>
      <c r="E500" s="45">
        <f>IFERROR(__xludf.DUMMYFUNCTION("""COMPUTED_VALUE"""),"CFS")</f>
        <v/>
      </c>
      <c r="F500" s="45">
        <f>IFERROR(__xludf.DUMMYFUNCTION("""COMPUTED_VALUE"""),"MAS AMITY PTE LTD")</f>
        <v/>
      </c>
      <c r="G500" s="45">
        <f>IFERROR(__xludf.DUMMYFUNCTION("""COMPUTED_VALUE"""),"MAS Active (Pvt) Ltd - Linea Intimo")</f>
        <v/>
      </c>
      <c r="H500" s="43">
        <f>IFERROR(__xludf.DUMMYFUNCTION("""COMPUTED_VALUE"""),454720839532)</f>
        <v/>
      </c>
      <c r="I500" s="45">
        <f>IFERROR(__xludf.DUMMYFUNCTION("""COMPUTED_VALUE"""),19924453)</f>
        <v/>
      </c>
      <c r="J500" s="45">
        <f>IFERROR(__xludf.DUMMYFUNCTION("""COMPUTED_VALUE"""),"LM3FHKS")</f>
        <v/>
      </c>
      <c r="K500" s="45">
        <f>IFERROR(__xludf.DUMMYFUNCTION("""COMPUTED_VALUE"""),"LM3FHKS-070561")</f>
        <v/>
      </c>
      <c r="L500" s="45">
        <f>IFERROR(__xludf.DUMMYFUNCTION("""COMPUTED_VALUE"""),6)</f>
        <v/>
      </c>
      <c r="M500" s="45">
        <f>IFERROR(__xludf.DUMMYFUNCTION("""COMPUTED_VALUE"""),334)</f>
        <v/>
      </c>
      <c r="N500" s="45">
        <f>IFERROR(__xludf.DUMMYFUNCTION("""COMPUTED_VALUE"""),73.108)</f>
        <v/>
      </c>
      <c r="O500" s="45">
        <f>IFERROR(__xludf.DUMMYFUNCTION("""COMPUTED_VALUE"""),0.434)</f>
        <v/>
      </c>
      <c r="P500" s="45">
        <f>IFERROR(__xludf.DUMMYFUNCTION("""COMPUTED_VALUE"""),"Colombo, LK")</f>
        <v/>
      </c>
      <c r="Q500" s="45">
        <f>IFERROR(__xludf.DUMMYFUNCTION("""COMPUTED_VALUE"""),"New York, NY, US")</f>
        <v/>
      </c>
      <c r="R500" s="44">
        <f>IFERROR(__xludf.DUMMYFUNCTION("""COMPUTED_VALUE"""),45824)</f>
        <v/>
      </c>
      <c r="S500" s="44">
        <f>IFERROR(__xludf.DUMMYFUNCTION("""COMPUTED_VALUE"""),45883)</f>
        <v/>
      </c>
      <c r="T500" s="45">
        <f>IFERROR(__xludf.DUMMYFUNCTION("""COMPUTED_VALUE"""),"Mississauga, ON, CA")</f>
        <v/>
      </c>
      <c r="U500" s="45" t="n"/>
      <c r="V500" s="45" t="n"/>
      <c r="W500" s="45" t="n"/>
      <c r="X500" s="45" t="n"/>
      <c r="Y500" s="46">
        <f>IFERROR(__xludf.DUMMYFUNCTION("""COMPUTED_VALUE"""),45832)</f>
        <v/>
      </c>
      <c r="Z500" s="46">
        <f>IFERROR(__xludf.DUMMYFUNCTION("""COMPUTED_VALUE"""),45861)</f>
        <v/>
      </c>
      <c r="AA500" s="46">
        <f>IFERROR(__xludf.DUMMYFUNCTION("""COMPUTED_VALUE"""),45874)</f>
        <v/>
      </c>
      <c r="AB500" s="45">
        <f>IFERROR(__xludf.DUMMYFUNCTION("""COMPUTED_VALUE"""),"3500 Argentia Road")</f>
        <v/>
      </c>
      <c r="AC500" s="45" t="n"/>
      <c r="AD500" s="45">
        <f>IFERROR(__xludf.DUMMYFUNCTION("""COMPUTED_VALUE"""),"OCEAN")</f>
        <v/>
      </c>
      <c r="AE500" s="45">
        <f>IFERROR(__xludf.DUMMYFUNCTION("""COMPUTED_VALUE"""),"N")</f>
        <v/>
      </c>
      <c r="AF500" s="45" t="n"/>
      <c r="AG500" s="49">
        <f>IFERROR(__xludf.DUMMYFUNCTION("IFNA(vlookup(H500,IMPORTRANGE(""1vUGwO1n0QQGx9kKbO0_M5gmuhXZ6-LaxQxgrmJnzgP0"",""'TP# look up'!A:C""),3,0),"""")"),"")</f>
        <v/>
      </c>
      <c r="AH500" s="49">
        <f>LEFT(J500,2)</f>
        <v/>
      </c>
    </row>
    <row r="501" ht="12.75" customHeight="1">
      <c r="A501" s="45">
        <f>IFERROR(__xludf.DUMMYFUNCTION("""COMPUTED_VALUE"""),"Colombo")</f>
        <v/>
      </c>
      <c r="B501" s="45" t="n"/>
      <c r="C501" s="45">
        <f>IFERROR(__xludf.DUMMYFUNCTION("""COMPUTED_VALUE"""),3254508)</f>
        <v/>
      </c>
      <c r="D501" s="45" t="n"/>
      <c r="E501" s="45">
        <f>IFERROR(__xludf.DUMMYFUNCTION("""COMPUTED_VALUE"""),"CFS")</f>
        <v/>
      </c>
      <c r="F501" s="45">
        <f>IFERROR(__xludf.DUMMYFUNCTION("""COMPUTED_VALUE"""),"MAS AMITY PTE LTD")</f>
        <v/>
      </c>
      <c r="G501" s="45">
        <f>IFERROR(__xludf.DUMMYFUNCTION("""COMPUTED_VALUE"""),"MAS Active (Pvt) Ltd - Linea Intimo")</f>
        <v/>
      </c>
      <c r="H501" s="43">
        <f>IFERROR(__xludf.DUMMYFUNCTION("""COMPUTED_VALUE"""),454720922371)</f>
        <v/>
      </c>
      <c r="I501" s="45">
        <f>IFERROR(__xludf.DUMMYFUNCTION("""COMPUTED_VALUE"""),19924501)</f>
        <v/>
      </c>
      <c r="J501" s="45">
        <f>IFERROR(__xludf.DUMMYFUNCTION("""COMPUTED_VALUE"""),"LM3FPES")</f>
        <v/>
      </c>
      <c r="K501" s="45">
        <f>IFERROR(__xludf.DUMMYFUNCTION("""COMPUTED_VALUE"""),"LM3FPES-042836")</f>
        <v/>
      </c>
      <c r="L501" s="45">
        <f>IFERROR(__xludf.DUMMYFUNCTION("""COMPUTED_VALUE"""),7)</f>
        <v/>
      </c>
      <c r="M501" s="45">
        <f>IFERROR(__xludf.DUMMYFUNCTION("""COMPUTED_VALUE"""),547)</f>
        <v/>
      </c>
      <c r="N501" s="45">
        <f>IFERROR(__xludf.DUMMYFUNCTION("""COMPUTED_VALUE"""),92.179)</f>
        <v/>
      </c>
      <c r="O501" s="45">
        <f>IFERROR(__xludf.DUMMYFUNCTION("""COMPUTED_VALUE"""),0.553)</f>
        <v/>
      </c>
      <c r="P501" s="45">
        <f>IFERROR(__xludf.DUMMYFUNCTION("""COMPUTED_VALUE"""),"Colombo, LK")</f>
        <v/>
      </c>
      <c r="Q501" s="45">
        <f>IFERROR(__xludf.DUMMYFUNCTION("""COMPUTED_VALUE"""),"New York, NY, US")</f>
        <v/>
      </c>
      <c r="R501" s="44">
        <f>IFERROR(__xludf.DUMMYFUNCTION("""COMPUTED_VALUE"""),45824)</f>
        <v/>
      </c>
      <c r="S501" s="44">
        <f>IFERROR(__xludf.DUMMYFUNCTION("""COMPUTED_VALUE"""),45883)</f>
        <v/>
      </c>
      <c r="T501" s="45">
        <f>IFERROR(__xludf.DUMMYFUNCTION("""COMPUTED_VALUE"""),"Mississauga, ON, CA")</f>
        <v/>
      </c>
      <c r="U501" s="45" t="n"/>
      <c r="V501" s="45" t="n"/>
      <c r="W501" s="45" t="n"/>
      <c r="X501" s="45" t="n"/>
      <c r="Y501" s="46">
        <f>IFERROR(__xludf.DUMMYFUNCTION("""COMPUTED_VALUE"""),45832)</f>
        <v/>
      </c>
      <c r="Z501" s="46">
        <f>IFERROR(__xludf.DUMMYFUNCTION("""COMPUTED_VALUE"""),45861)</f>
        <v/>
      </c>
      <c r="AA501" s="46">
        <f>IFERROR(__xludf.DUMMYFUNCTION("""COMPUTED_VALUE"""),45874)</f>
        <v/>
      </c>
      <c r="AB501" s="45">
        <f>IFERROR(__xludf.DUMMYFUNCTION("""COMPUTED_VALUE"""),"3500 Argentia Road")</f>
        <v/>
      </c>
      <c r="AC501" s="45" t="n"/>
      <c r="AD501" s="45">
        <f>IFERROR(__xludf.DUMMYFUNCTION("""COMPUTED_VALUE"""),"OCEAN")</f>
        <v/>
      </c>
      <c r="AE501" s="45">
        <f>IFERROR(__xludf.DUMMYFUNCTION("""COMPUTED_VALUE"""),"N")</f>
        <v/>
      </c>
      <c r="AF501" s="45" t="n"/>
      <c r="AG501" s="49">
        <f>IFERROR(__xludf.DUMMYFUNCTION("IFNA(vlookup(H501,IMPORTRANGE(""1vUGwO1n0QQGx9kKbO0_M5gmuhXZ6-LaxQxgrmJnzgP0"",""'TP# look up'!A:C""),3,0),"""")"),"")</f>
        <v/>
      </c>
      <c r="AH501" s="49">
        <f>LEFT(J501,2)</f>
        <v/>
      </c>
    </row>
    <row r="502" ht="12.75" customHeight="1">
      <c r="A502" s="45">
        <f>IFERROR(__xludf.DUMMYFUNCTION("""COMPUTED_VALUE"""),"Colombo")</f>
        <v/>
      </c>
      <c r="B502" s="45" t="n"/>
      <c r="C502" s="45">
        <f>IFERROR(__xludf.DUMMYFUNCTION("""COMPUTED_VALUE"""),3254508)</f>
        <v/>
      </c>
      <c r="D502" s="45" t="n"/>
      <c r="E502" s="45">
        <f>IFERROR(__xludf.DUMMYFUNCTION("""COMPUTED_VALUE"""),"CFS")</f>
        <v/>
      </c>
      <c r="F502" s="45">
        <f>IFERROR(__xludf.DUMMYFUNCTION("""COMPUTED_VALUE"""),"MAS AMITY PTE LTD")</f>
        <v/>
      </c>
      <c r="G502" s="45">
        <f>IFERROR(__xludf.DUMMYFUNCTION("""COMPUTED_VALUE"""),"MAS Active (Pvt) Ltd - Linea Intimo")</f>
        <v/>
      </c>
      <c r="H502" s="43">
        <f>IFERROR(__xludf.DUMMYFUNCTION("""COMPUTED_VALUE"""),454721233456)</f>
        <v/>
      </c>
      <c r="I502" s="45">
        <f>IFERROR(__xludf.DUMMYFUNCTION("""COMPUTED_VALUE"""),19924482)</f>
        <v/>
      </c>
      <c r="J502" s="45">
        <f>IFERROR(__xludf.DUMMYFUNCTION("""COMPUTED_VALUE"""),"LM3FIKS")</f>
        <v/>
      </c>
      <c r="K502" s="45">
        <f>IFERROR(__xludf.DUMMYFUNCTION("""COMPUTED_VALUE"""),"LM3FIKS-4780")</f>
        <v/>
      </c>
      <c r="L502" s="45">
        <f>IFERROR(__xludf.DUMMYFUNCTION("""COMPUTED_VALUE"""),5)</f>
        <v/>
      </c>
      <c r="M502" s="45">
        <f>IFERROR(__xludf.DUMMYFUNCTION("""COMPUTED_VALUE"""),286)</f>
        <v/>
      </c>
      <c r="N502" s="45">
        <f>IFERROR(__xludf.DUMMYFUNCTION("""COMPUTED_VALUE"""),54.092)</f>
        <v/>
      </c>
      <c r="O502" s="45">
        <f>IFERROR(__xludf.DUMMYFUNCTION("""COMPUTED_VALUE"""),0.355)</f>
        <v/>
      </c>
      <c r="P502" s="45">
        <f>IFERROR(__xludf.DUMMYFUNCTION("""COMPUTED_VALUE"""),"Colombo, LK")</f>
        <v/>
      </c>
      <c r="Q502" s="45">
        <f>IFERROR(__xludf.DUMMYFUNCTION("""COMPUTED_VALUE"""),"New York, NY, US")</f>
        <v/>
      </c>
      <c r="R502" s="44">
        <f>IFERROR(__xludf.DUMMYFUNCTION("""COMPUTED_VALUE"""),45824)</f>
        <v/>
      </c>
      <c r="S502" s="44">
        <f>IFERROR(__xludf.DUMMYFUNCTION("""COMPUTED_VALUE"""),45883)</f>
        <v/>
      </c>
      <c r="T502" s="45">
        <f>IFERROR(__xludf.DUMMYFUNCTION("""COMPUTED_VALUE"""),"Mississauga, ON, CA")</f>
        <v/>
      </c>
      <c r="U502" s="45" t="n"/>
      <c r="V502" s="45" t="n"/>
      <c r="W502" s="45" t="n"/>
      <c r="X502" s="45" t="n"/>
      <c r="Y502" s="46">
        <f>IFERROR(__xludf.DUMMYFUNCTION("""COMPUTED_VALUE"""),45832)</f>
        <v/>
      </c>
      <c r="Z502" s="46">
        <f>IFERROR(__xludf.DUMMYFUNCTION("""COMPUTED_VALUE"""),45861)</f>
        <v/>
      </c>
      <c r="AA502" s="46">
        <f>IFERROR(__xludf.DUMMYFUNCTION("""COMPUTED_VALUE"""),45874)</f>
        <v/>
      </c>
      <c r="AB502" s="45">
        <f>IFERROR(__xludf.DUMMYFUNCTION("""COMPUTED_VALUE"""),"3500 Argentia Road")</f>
        <v/>
      </c>
      <c r="AC502" s="45" t="n"/>
      <c r="AD502" s="45">
        <f>IFERROR(__xludf.DUMMYFUNCTION("""COMPUTED_VALUE"""),"OCEAN")</f>
        <v/>
      </c>
      <c r="AE502" s="45">
        <f>IFERROR(__xludf.DUMMYFUNCTION("""COMPUTED_VALUE"""),"N")</f>
        <v/>
      </c>
      <c r="AF502" s="45" t="n"/>
      <c r="AG502" s="49">
        <f>IFERROR(__xludf.DUMMYFUNCTION("IFNA(vlookup(H502,IMPORTRANGE(""1vUGwO1n0QQGx9kKbO0_M5gmuhXZ6-LaxQxgrmJnzgP0"",""'TP# look up'!A:C""),3,0),"""")"),"")</f>
        <v/>
      </c>
      <c r="AH502" s="49">
        <f>LEFT(J502,2)</f>
        <v/>
      </c>
    </row>
    <row r="503" ht="12.75" customHeight="1">
      <c r="A503" s="45">
        <f>IFERROR(__xludf.DUMMYFUNCTION("""COMPUTED_VALUE"""),"Colombo")</f>
        <v/>
      </c>
      <c r="B503" s="45" t="n"/>
      <c r="C503" s="45">
        <f>IFERROR(__xludf.DUMMYFUNCTION("""COMPUTED_VALUE"""),3254508)</f>
        <v/>
      </c>
      <c r="D503" s="45" t="n"/>
      <c r="E503" s="45">
        <f>IFERROR(__xludf.DUMMYFUNCTION("""COMPUTED_VALUE"""),"CFS")</f>
        <v/>
      </c>
      <c r="F503" s="45">
        <f>IFERROR(__xludf.DUMMYFUNCTION("""COMPUTED_VALUE"""),"MAS AMITY PTE LTD")</f>
        <v/>
      </c>
      <c r="G503" s="45">
        <f>IFERROR(__xludf.DUMMYFUNCTION("""COMPUTED_VALUE"""),"MAS Active (Pvt) Ltd - Linea Intimo")</f>
        <v/>
      </c>
      <c r="H503" s="43">
        <f>IFERROR(__xludf.DUMMYFUNCTION("""COMPUTED_VALUE"""),454722313774)</f>
        <v/>
      </c>
      <c r="I503" s="45">
        <f>IFERROR(__xludf.DUMMYFUNCTION("""COMPUTED_VALUE"""),91018402)</f>
        <v/>
      </c>
      <c r="J503" s="45">
        <f>IFERROR(__xludf.DUMMYFUNCTION("""COMPUTED_VALUE"""),"LW1CHRS")</f>
        <v/>
      </c>
      <c r="K503" s="45">
        <f>IFERROR(__xludf.DUMMYFUNCTION("""COMPUTED_VALUE"""),"LW1CHRS-4780")</f>
        <v/>
      </c>
      <c r="L503" s="45">
        <f>IFERROR(__xludf.DUMMYFUNCTION("""COMPUTED_VALUE"""),4)</f>
        <v/>
      </c>
      <c r="M503" s="45">
        <f>IFERROR(__xludf.DUMMYFUNCTION("""COMPUTED_VALUE"""),168)</f>
        <v/>
      </c>
      <c r="N503" s="45">
        <f>IFERROR(__xludf.DUMMYFUNCTION("""COMPUTED_VALUE"""),20.25)</f>
        <v/>
      </c>
      <c r="O503" s="45">
        <f>IFERROR(__xludf.DUMMYFUNCTION("""COMPUTED_VALUE"""),0.198)</f>
        <v/>
      </c>
      <c r="P503" s="45">
        <f>IFERROR(__xludf.DUMMYFUNCTION("""COMPUTED_VALUE"""),"Colombo, LK")</f>
        <v/>
      </c>
      <c r="Q503" s="45">
        <f>IFERROR(__xludf.DUMMYFUNCTION("""COMPUTED_VALUE"""),"New York, NY, US")</f>
        <v/>
      </c>
      <c r="R503" s="44">
        <f>IFERROR(__xludf.DUMMYFUNCTION("""COMPUTED_VALUE"""),45824)</f>
        <v/>
      </c>
      <c r="S503" s="44">
        <f>IFERROR(__xludf.DUMMYFUNCTION("""COMPUTED_VALUE"""),45888)</f>
        <v/>
      </c>
      <c r="T503" s="45">
        <f>IFERROR(__xludf.DUMMYFUNCTION("""COMPUTED_VALUE"""),"Mississauga, ON, CA")</f>
        <v/>
      </c>
      <c r="U503" s="45" t="n"/>
      <c r="V503" s="45" t="n"/>
      <c r="W503" s="45" t="n"/>
      <c r="X503" s="45" t="n"/>
      <c r="Y503" s="46">
        <f>IFERROR(__xludf.DUMMYFUNCTION("""COMPUTED_VALUE"""),45832)</f>
        <v/>
      </c>
      <c r="Z503" s="46">
        <f>IFERROR(__xludf.DUMMYFUNCTION("""COMPUTED_VALUE"""),45861)</f>
        <v/>
      </c>
      <c r="AA503" s="46">
        <f>IFERROR(__xludf.DUMMYFUNCTION("""COMPUTED_VALUE"""),45874)</f>
        <v/>
      </c>
      <c r="AB503" s="45">
        <f>IFERROR(__xludf.DUMMYFUNCTION("""COMPUTED_VALUE"""),"3500 Argentia Road")</f>
        <v/>
      </c>
      <c r="AC503" s="45" t="n"/>
      <c r="AD503" s="45">
        <f>IFERROR(__xludf.DUMMYFUNCTION("""COMPUTED_VALUE"""),"OCEAN")</f>
        <v/>
      </c>
      <c r="AE503" s="45">
        <f>IFERROR(__xludf.DUMMYFUNCTION("""COMPUTED_VALUE"""),"N")</f>
        <v/>
      </c>
      <c r="AF503" s="45" t="n"/>
      <c r="AG503" s="49">
        <f>IFERROR(__xludf.DUMMYFUNCTION("IFNA(vlookup(H503,IMPORTRANGE(""1vUGwO1n0QQGx9kKbO0_M5gmuhXZ6-LaxQxgrmJnzgP0"",""'TP# look up'!A:C""),3,0),"""")"),"")</f>
        <v/>
      </c>
      <c r="AH503" s="49">
        <f>LEFT(J503,2)</f>
        <v/>
      </c>
    </row>
    <row r="504" ht="12.75" customHeight="1">
      <c r="A504" s="45">
        <f>IFERROR(__xludf.DUMMYFUNCTION("""COMPUTED_VALUE"""),"Colombo")</f>
        <v/>
      </c>
      <c r="B504" s="45" t="n"/>
      <c r="C504" s="45">
        <f>IFERROR(__xludf.DUMMYFUNCTION("""COMPUTED_VALUE"""),3254508)</f>
        <v/>
      </c>
      <c r="D504" s="45" t="n"/>
      <c r="E504" s="45">
        <f>IFERROR(__xludf.DUMMYFUNCTION("""COMPUTED_VALUE"""),"CFS")</f>
        <v/>
      </c>
      <c r="F504" s="45">
        <f>IFERROR(__xludf.DUMMYFUNCTION("""COMPUTED_VALUE"""),"MAS AMITY PTE LTD")</f>
        <v/>
      </c>
      <c r="G504" s="45">
        <f>IFERROR(__xludf.DUMMYFUNCTION("""COMPUTED_VALUE"""),"MAS Active (Pvt) Ltd - Linea Intimo")</f>
        <v/>
      </c>
      <c r="H504" s="43">
        <f>IFERROR(__xludf.DUMMYFUNCTION("""COMPUTED_VALUE"""),454722738479)</f>
        <v/>
      </c>
      <c r="I504" s="45">
        <f>IFERROR(__xludf.DUMMYFUNCTION("""COMPUTED_VALUE"""),91018329)</f>
        <v/>
      </c>
      <c r="J504" s="45">
        <f>IFERROR(__xludf.DUMMYFUNCTION("""COMPUTED_VALUE"""),"LW1CHRS")</f>
        <v/>
      </c>
      <c r="K504" s="45">
        <f>IFERROR(__xludf.DUMMYFUNCTION("""COMPUTED_VALUE"""),"LW1CHRS-4780")</f>
        <v/>
      </c>
      <c r="L504" s="45">
        <f>IFERROR(__xludf.DUMMYFUNCTION("""COMPUTED_VALUE"""),9)</f>
        <v/>
      </c>
      <c r="M504" s="45">
        <f>IFERROR(__xludf.DUMMYFUNCTION("""COMPUTED_VALUE"""),749)</f>
        <v/>
      </c>
      <c r="N504" s="45">
        <f>IFERROR(__xludf.DUMMYFUNCTION("""COMPUTED_VALUE"""),73.74)</f>
        <v/>
      </c>
      <c r="O504" s="45">
        <f>IFERROR(__xludf.DUMMYFUNCTION("""COMPUTED_VALUE"""),0.634)</f>
        <v/>
      </c>
      <c r="P504" s="45">
        <f>IFERROR(__xludf.DUMMYFUNCTION("""COMPUTED_VALUE"""),"Colombo, LK")</f>
        <v/>
      </c>
      <c r="Q504" s="45">
        <f>IFERROR(__xludf.DUMMYFUNCTION("""COMPUTED_VALUE"""),"New York, NY, US")</f>
        <v/>
      </c>
      <c r="R504" s="44">
        <f>IFERROR(__xludf.DUMMYFUNCTION("""COMPUTED_VALUE"""),45824)</f>
        <v/>
      </c>
      <c r="S504" s="44">
        <f>IFERROR(__xludf.DUMMYFUNCTION("""COMPUTED_VALUE"""),45888)</f>
        <v/>
      </c>
      <c r="T504" s="45">
        <f>IFERROR(__xludf.DUMMYFUNCTION("""COMPUTED_VALUE"""),"Mississauga, ON, CA")</f>
        <v/>
      </c>
      <c r="U504" s="45" t="n"/>
      <c r="V504" s="45" t="n"/>
      <c r="W504" s="45" t="n"/>
      <c r="X504" s="45" t="n"/>
      <c r="Y504" s="46">
        <f>IFERROR(__xludf.DUMMYFUNCTION("""COMPUTED_VALUE"""),45832)</f>
        <v/>
      </c>
      <c r="Z504" s="46">
        <f>IFERROR(__xludf.DUMMYFUNCTION("""COMPUTED_VALUE"""),45861)</f>
        <v/>
      </c>
      <c r="AA504" s="46">
        <f>IFERROR(__xludf.DUMMYFUNCTION("""COMPUTED_VALUE"""),45874)</f>
        <v/>
      </c>
      <c r="AB504" s="45">
        <f>IFERROR(__xludf.DUMMYFUNCTION("""COMPUTED_VALUE"""),"3500 Argentia Road")</f>
        <v/>
      </c>
      <c r="AC504" s="45" t="n"/>
      <c r="AD504" s="45">
        <f>IFERROR(__xludf.DUMMYFUNCTION("""COMPUTED_VALUE"""),"OCEAN")</f>
        <v/>
      </c>
      <c r="AE504" s="45">
        <f>IFERROR(__xludf.DUMMYFUNCTION("""COMPUTED_VALUE"""),"N")</f>
        <v/>
      </c>
      <c r="AF504" s="45" t="n"/>
      <c r="AG504" s="49">
        <f>IFERROR(__xludf.DUMMYFUNCTION("IFNA(vlookup(H504,IMPORTRANGE(""1vUGwO1n0QQGx9kKbO0_M5gmuhXZ6-LaxQxgrmJnzgP0"",""'TP# look up'!A:C""),3,0),"""")"),"")</f>
        <v/>
      </c>
      <c r="AH504" s="49">
        <f>LEFT(J504,2)</f>
        <v/>
      </c>
    </row>
    <row r="505" ht="12.75" customHeight="1">
      <c r="A505" s="45">
        <f>IFERROR(__xludf.DUMMYFUNCTION("""COMPUTED_VALUE"""),"Colombo")</f>
        <v/>
      </c>
      <c r="B505" s="45" t="n"/>
      <c r="C505" s="45">
        <f>IFERROR(__xludf.DUMMYFUNCTION("""COMPUTED_VALUE"""),3254508)</f>
        <v/>
      </c>
      <c r="D505" s="45" t="n"/>
      <c r="E505" s="45">
        <f>IFERROR(__xludf.DUMMYFUNCTION("""COMPUTED_VALUE"""),"CFS")</f>
        <v/>
      </c>
      <c r="F505" s="45">
        <f>IFERROR(__xludf.DUMMYFUNCTION("""COMPUTED_VALUE"""),"MAS AMITY PTE LTD")</f>
        <v/>
      </c>
      <c r="G505" s="45">
        <f>IFERROR(__xludf.DUMMYFUNCTION("""COMPUTED_VALUE"""),"MAS Active (Pvt) Ltd - Linea Intimo")</f>
        <v/>
      </c>
      <c r="H505" s="43">
        <f>IFERROR(__xludf.DUMMYFUNCTION("""COMPUTED_VALUE"""),454722776959)</f>
        <v/>
      </c>
      <c r="I505" s="45">
        <f>IFERROR(__xludf.DUMMYFUNCTION("""COMPUTED_VALUE"""),91018462)</f>
        <v/>
      </c>
      <c r="J505" s="45">
        <f>IFERROR(__xludf.DUMMYFUNCTION("""COMPUTED_VALUE"""),"LW1CHSS")</f>
        <v/>
      </c>
      <c r="K505" s="45">
        <f>IFERROR(__xludf.DUMMYFUNCTION("""COMPUTED_VALUE"""),"LW1CHSS-012826")</f>
        <v/>
      </c>
      <c r="L505" s="45">
        <f>IFERROR(__xludf.DUMMYFUNCTION("""COMPUTED_VALUE"""),6)</f>
        <v/>
      </c>
      <c r="M505" s="45">
        <f>IFERROR(__xludf.DUMMYFUNCTION("""COMPUTED_VALUE"""),436)</f>
        <v/>
      </c>
      <c r="N505" s="45">
        <f>IFERROR(__xludf.DUMMYFUNCTION("""COMPUTED_VALUE"""),43.49)</f>
        <v/>
      </c>
      <c r="O505" s="45">
        <f>IFERROR(__xludf.DUMMYFUNCTION("""COMPUTED_VALUE"""),0.436)</f>
        <v/>
      </c>
      <c r="P505" s="45">
        <f>IFERROR(__xludf.DUMMYFUNCTION("""COMPUTED_VALUE"""),"Colombo, LK")</f>
        <v/>
      </c>
      <c r="Q505" s="45">
        <f>IFERROR(__xludf.DUMMYFUNCTION("""COMPUTED_VALUE"""),"New York, NY, US")</f>
        <v/>
      </c>
      <c r="R505" s="44">
        <f>IFERROR(__xludf.DUMMYFUNCTION("""COMPUTED_VALUE"""),45824)</f>
        <v/>
      </c>
      <c r="S505" s="44">
        <f>IFERROR(__xludf.DUMMYFUNCTION("""COMPUTED_VALUE"""),45888)</f>
        <v/>
      </c>
      <c r="T505" s="45">
        <f>IFERROR(__xludf.DUMMYFUNCTION("""COMPUTED_VALUE"""),"Mississauga, ON, CA")</f>
        <v/>
      </c>
      <c r="U505" s="45" t="n"/>
      <c r="V505" s="45" t="n"/>
      <c r="W505" s="45" t="n"/>
      <c r="X505" s="45" t="n"/>
      <c r="Y505" s="46">
        <f>IFERROR(__xludf.DUMMYFUNCTION("""COMPUTED_VALUE"""),45832)</f>
        <v/>
      </c>
      <c r="Z505" s="46">
        <f>IFERROR(__xludf.DUMMYFUNCTION("""COMPUTED_VALUE"""),45861)</f>
        <v/>
      </c>
      <c r="AA505" s="46">
        <f>IFERROR(__xludf.DUMMYFUNCTION("""COMPUTED_VALUE"""),45874)</f>
        <v/>
      </c>
      <c r="AB505" s="45">
        <f>IFERROR(__xludf.DUMMYFUNCTION("""COMPUTED_VALUE"""),"3500 Argentia Road")</f>
        <v/>
      </c>
      <c r="AC505" s="45" t="n"/>
      <c r="AD505" s="45">
        <f>IFERROR(__xludf.DUMMYFUNCTION("""COMPUTED_VALUE"""),"OCEAN")</f>
        <v/>
      </c>
      <c r="AE505" s="45">
        <f>IFERROR(__xludf.DUMMYFUNCTION("""COMPUTED_VALUE"""),"N")</f>
        <v/>
      </c>
      <c r="AF505" s="45" t="n"/>
      <c r="AG505" s="49">
        <f>IFERROR(__xludf.DUMMYFUNCTION("IFNA(vlookup(H505,IMPORTRANGE(""1vUGwO1n0QQGx9kKbO0_M5gmuhXZ6-LaxQxgrmJnzgP0"",""'TP# look up'!A:C""),3,0),"""")"),"")</f>
        <v/>
      </c>
      <c r="AH505" s="49">
        <f>LEFT(J505,2)</f>
        <v/>
      </c>
    </row>
    <row r="506" ht="12.75" customHeight="1">
      <c r="A506" s="45">
        <f>IFERROR(__xludf.DUMMYFUNCTION("""COMPUTED_VALUE"""),"Colombo")</f>
        <v/>
      </c>
      <c r="B506" s="45" t="n"/>
      <c r="C506" s="45">
        <f>IFERROR(__xludf.DUMMYFUNCTION("""COMPUTED_VALUE"""),3254508)</f>
        <v/>
      </c>
      <c r="D506" s="45" t="n"/>
      <c r="E506" s="45">
        <f>IFERROR(__xludf.DUMMYFUNCTION("""COMPUTED_VALUE"""),"CFS")</f>
        <v/>
      </c>
      <c r="F506" s="45">
        <f>IFERROR(__xludf.DUMMYFUNCTION("""COMPUTED_VALUE"""),"MAS AMITY PTE LTD")</f>
        <v/>
      </c>
      <c r="G506" s="45">
        <f>IFERROR(__xludf.DUMMYFUNCTION("""COMPUTED_VALUE"""),"MAS Active (Pvt) Ltd - Linea Intimo")</f>
        <v/>
      </c>
      <c r="H506" s="43">
        <f>IFERROR(__xludf.DUMMYFUNCTION("""COMPUTED_VALUE"""),454723020703)</f>
        <v/>
      </c>
      <c r="I506" s="45">
        <f>IFERROR(__xludf.DUMMYFUNCTION("""COMPUTED_VALUE"""),91018408)</f>
        <v/>
      </c>
      <c r="J506" s="45">
        <f>IFERROR(__xludf.DUMMYFUNCTION("""COMPUTED_VALUE"""),"LW1CHSS")</f>
        <v/>
      </c>
      <c r="K506" s="45">
        <f>IFERROR(__xludf.DUMMYFUNCTION("""COMPUTED_VALUE"""),"LW1CHSS-012826")</f>
        <v/>
      </c>
      <c r="L506" s="45">
        <f>IFERROR(__xludf.DUMMYFUNCTION("""COMPUTED_VALUE"""),3)</f>
        <v/>
      </c>
      <c r="M506" s="45">
        <f>IFERROR(__xludf.DUMMYFUNCTION("""COMPUTED_VALUE"""),130)</f>
        <v/>
      </c>
      <c r="N506" s="45">
        <f>IFERROR(__xludf.DUMMYFUNCTION("""COMPUTED_VALUE"""),13.97)</f>
        <v/>
      </c>
      <c r="O506" s="45">
        <f>IFERROR(__xludf.DUMMYFUNCTION("""COMPUTED_VALUE"""),0.159)</f>
        <v/>
      </c>
      <c r="P506" s="45">
        <f>IFERROR(__xludf.DUMMYFUNCTION("""COMPUTED_VALUE"""),"Colombo, LK")</f>
        <v/>
      </c>
      <c r="Q506" s="45">
        <f>IFERROR(__xludf.DUMMYFUNCTION("""COMPUTED_VALUE"""),"New York, NY, US")</f>
        <v/>
      </c>
      <c r="R506" s="44">
        <f>IFERROR(__xludf.DUMMYFUNCTION("""COMPUTED_VALUE"""),45824)</f>
        <v/>
      </c>
      <c r="S506" s="44">
        <f>IFERROR(__xludf.DUMMYFUNCTION("""COMPUTED_VALUE"""),45888)</f>
        <v/>
      </c>
      <c r="T506" s="45">
        <f>IFERROR(__xludf.DUMMYFUNCTION("""COMPUTED_VALUE"""),"Mississauga, ON, CA")</f>
        <v/>
      </c>
      <c r="U506" s="45" t="n"/>
      <c r="V506" s="45" t="n"/>
      <c r="W506" s="45" t="n"/>
      <c r="X506" s="45" t="n"/>
      <c r="Y506" s="46">
        <f>IFERROR(__xludf.DUMMYFUNCTION("""COMPUTED_VALUE"""),45832)</f>
        <v/>
      </c>
      <c r="Z506" s="46">
        <f>IFERROR(__xludf.DUMMYFUNCTION("""COMPUTED_VALUE"""),45861)</f>
        <v/>
      </c>
      <c r="AA506" s="46">
        <f>IFERROR(__xludf.DUMMYFUNCTION("""COMPUTED_VALUE"""),45874)</f>
        <v/>
      </c>
      <c r="AB506" s="45">
        <f>IFERROR(__xludf.DUMMYFUNCTION("""COMPUTED_VALUE"""),"3500 Argentia Road")</f>
        <v/>
      </c>
      <c r="AC506" s="45" t="n"/>
      <c r="AD506" s="45">
        <f>IFERROR(__xludf.DUMMYFUNCTION("""COMPUTED_VALUE"""),"OCEAN")</f>
        <v/>
      </c>
      <c r="AE506" s="45">
        <f>IFERROR(__xludf.DUMMYFUNCTION("""COMPUTED_VALUE"""),"N")</f>
        <v/>
      </c>
      <c r="AF506" s="45" t="n"/>
      <c r="AG506" s="49">
        <f>IFERROR(__xludf.DUMMYFUNCTION("IFNA(vlookup(H506,IMPORTRANGE(""1vUGwO1n0QQGx9kKbO0_M5gmuhXZ6-LaxQxgrmJnzgP0"",""'TP# look up'!A:C""),3,0),"""")"),"")</f>
        <v/>
      </c>
      <c r="AH506" s="49">
        <f>LEFT(J506,2)</f>
        <v/>
      </c>
    </row>
    <row r="507" ht="12.75" customHeight="1">
      <c r="A507" s="45">
        <f>IFERROR(__xludf.DUMMYFUNCTION("""COMPUTED_VALUE"""),"Colombo")</f>
        <v/>
      </c>
      <c r="B507" s="45" t="n"/>
      <c r="C507" s="45">
        <f>IFERROR(__xludf.DUMMYFUNCTION("""COMPUTED_VALUE"""),3254508)</f>
        <v/>
      </c>
      <c r="D507" s="45" t="n"/>
      <c r="E507" s="45">
        <f>IFERROR(__xludf.DUMMYFUNCTION("""COMPUTED_VALUE"""),"CFS")</f>
        <v/>
      </c>
      <c r="F507" s="45">
        <f>IFERROR(__xludf.DUMMYFUNCTION("""COMPUTED_VALUE"""),"MAS AMITY PTE LTD")</f>
        <v/>
      </c>
      <c r="G507" s="45">
        <f>IFERROR(__xludf.DUMMYFUNCTION("""COMPUTED_VALUE"""),"MAS Active (Pvt) Ltd - Linea Intimo")</f>
        <v/>
      </c>
      <c r="H507" s="43">
        <f>IFERROR(__xludf.DUMMYFUNCTION("""COMPUTED_VALUE"""),454723057272)</f>
        <v/>
      </c>
      <c r="I507" s="45">
        <f>IFERROR(__xludf.DUMMYFUNCTION("""COMPUTED_VALUE"""),91018606)</f>
        <v/>
      </c>
      <c r="J507" s="45">
        <f>IFERROR(__xludf.DUMMYFUNCTION("""COMPUTED_VALUE"""),"LW1CHSS")</f>
        <v/>
      </c>
      <c r="K507" s="45">
        <f>IFERROR(__xludf.DUMMYFUNCTION("""COMPUTED_VALUE"""),"LW1CHSS-0572")</f>
        <v/>
      </c>
      <c r="L507" s="45">
        <f>IFERROR(__xludf.DUMMYFUNCTION("""COMPUTED_VALUE"""),6)</f>
        <v/>
      </c>
      <c r="M507" s="45">
        <f>IFERROR(__xludf.DUMMYFUNCTION("""COMPUTED_VALUE"""),482)</f>
        <v/>
      </c>
      <c r="N507" s="45">
        <f>IFERROR(__xludf.DUMMYFUNCTION("""COMPUTED_VALUE"""),47.97)</f>
        <v/>
      </c>
      <c r="O507" s="45">
        <f>IFERROR(__xludf.DUMMYFUNCTION("""COMPUTED_VALUE"""),0.397)</f>
        <v/>
      </c>
      <c r="P507" s="45">
        <f>IFERROR(__xludf.DUMMYFUNCTION("""COMPUTED_VALUE"""),"Colombo, LK")</f>
        <v/>
      </c>
      <c r="Q507" s="45">
        <f>IFERROR(__xludf.DUMMYFUNCTION("""COMPUTED_VALUE"""),"New York, NY, US")</f>
        <v/>
      </c>
      <c r="R507" s="44">
        <f>IFERROR(__xludf.DUMMYFUNCTION("""COMPUTED_VALUE"""),45824)</f>
        <v/>
      </c>
      <c r="S507" s="44">
        <f>IFERROR(__xludf.DUMMYFUNCTION("""COMPUTED_VALUE"""),45888)</f>
        <v/>
      </c>
      <c r="T507" s="45">
        <f>IFERROR(__xludf.DUMMYFUNCTION("""COMPUTED_VALUE"""),"Mississauga, ON, CA")</f>
        <v/>
      </c>
      <c r="U507" s="45" t="n"/>
      <c r="V507" s="45" t="n"/>
      <c r="W507" s="45" t="n"/>
      <c r="X507" s="45" t="n"/>
      <c r="Y507" s="46">
        <f>IFERROR(__xludf.DUMMYFUNCTION("""COMPUTED_VALUE"""),45832)</f>
        <v/>
      </c>
      <c r="Z507" s="46">
        <f>IFERROR(__xludf.DUMMYFUNCTION("""COMPUTED_VALUE"""),45861)</f>
        <v/>
      </c>
      <c r="AA507" s="46">
        <f>IFERROR(__xludf.DUMMYFUNCTION("""COMPUTED_VALUE"""),45874)</f>
        <v/>
      </c>
      <c r="AB507" s="45">
        <f>IFERROR(__xludf.DUMMYFUNCTION("""COMPUTED_VALUE"""),"3500 Argentia Road")</f>
        <v/>
      </c>
      <c r="AC507" s="45" t="n"/>
      <c r="AD507" s="45">
        <f>IFERROR(__xludf.DUMMYFUNCTION("""COMPUTED_VALUE"""),"OCEAN")</f>
        <v/>
      </c>
      <c r="AE507" s="45">
        <f>IFERROR(__xludf.DUMMYFUNCTION("""COMPUTED_VALUE"""),"N")</f>
        <v/>
      </c>
      <c r="AF507" s="45" t="n"/>
      <c r="AG507" s="49">
        <f>IFERROR(__xludf.DUMMYFUNCTION("IFNA(vlookup(H507,IMPORTRANGE(""1vUGwO1n0QQGx9kKbO0_M5gmuhXZ6-LaxQxgrmJnzgP0"",""'TP# look up'!A:C""),3,0),"""")"),"")</f>
        <v/>
      </c>
      <c r="AH507" s="49">
        <f>LEFT(J507,2)</f>
        <v/>
      </c>
    </row>
    <row r="508" ht="12.75" customHeight="1">
      <c r="A508" s="45">
        <f>IFERROR(__xludf.DUMMYFUNCTION("""COMPUTED_VALUE"""),"Colombo")</f>
        <v/>
      </c>
      <c r="B508" s="45" t="n"/>
      <c r="C508" s="45">
        <f>IFERROR(__xludf.DUMMYFUNCTION("""COMPUTED_VALUE"""),3254508)</f>
        <v/>
      </c>
      <c r="D508" s="45" t="n"/>
      <c r="E508" s="45">
        <f>IFERROR(__xludf.DUMMYFUNCTION("""COMPUTED_VALUE"""),"CFS")</f>
        <v/>
      </c>
      <c r="F508" s="45">
        <f>IFERROR(__xludf.DUMMYFUNCTION("""COMPUTED_VALUE"""),"MAS AMITY PTE LTD")</f>
        <v/>
      </c>
      <c r="G508" s="45">
        <f>IFERROR(__xludf.DUMMYFUNCTION("""COMPUTED_VALUE"""),"MAS Active (Pvt) Ltd - Linea Intimo")</f>
        <v/>
      </c>
      <c r="H508" s="43">
        <f>IFERROR(__xludf.DUMMYFUNCTION("""COMPUTED_VALUE"""),454723175180)</f>
        <v/>
      </c>
      <c r="I508" s="45">
        <f>IFERROR(__xludf.DUMMYFUNCTION("""COMPUTED_VALUE"""),91018501)</f>
        <v/>
      </c>
      <c r="J508" s="45">
        <f>IFERROR(__xludf.DUMMYFUNCTION("""COMPUTED_VALUE"""),"LW1CHSS")</f>
        <v/>
      </c>
      <c r="K508" s="45">
        <f>IFERROR(__xludf.DUMMYFUNCTION("""COMPUTED_VALUE"""),"LW1CHSS-0572")</f>
        <v/>
      </c>
      <c r="L508" s="45">
        <f>IFERROR(__xludf.DUMMYFUNCTION("""COMPUTED_VALUE"""),2)</f>
        <v/>
      </c>
      <c r="M508" s="45">
        <f>IFERROR(__xludf.DUMMYFUNCTION("""COMPUTED_VALUE"""),98)</f>
        <v/>
      </c>
      <c r="N508" s="45">
        <f>IFERROR(__xludf.DUMMYFUNCTION("""COMPUTED_VALUE"""),11.13)</f>
        <v/>
      </c>
      <c r="O508" s="45">
        <f>IFERROR(__xludf.DUMMYFUNCTION("""COMPUTED_VALUE"""),0.119)</f>
        <v/>
      </c>
      <c r="P508" s="45">
        <f>IFERROR(__xludf.DUMMYFUNCTION("""COMPUTED_VALUE"""),"Colombo, LK")</f>
        <v/>
      </c>
      <c r="Q508" s="45">
        <f>IFERROR(__xludf.DUMMYFUNCTION("""COMPUTED_VALUE"""),"New York, NY, US")</f>
        <v/>
      </c>
      <c r="R508" s="44">
        <f>IFERROR(__xludf.DUMMYFUNCTION("""COMPUTED_VALUE"""),45824)</f>
        <v/>
      </c>
      <c r="S508" s="44">
        <f>IFERROR(__xludf.DUMMYFUNCTION("""COMPUTED_VALUE"""),45888)</f>
        <v/>
      </c>
      <c r="T508" s="45">
        <f>IFERROR(__xludf.DUMMYFUNCTION("""COMPUTED_VALUE"""),"Mississauga, ON, CA")</f>
        <v/>
      </c>
      <c r="U508" s="45" t="n"/>
      <c r="V508" s="45" t="n"/>
      <c r="W508" s="45" t="n"/>
      <c r="X508" s="45" t="n"/>
      <c r="Y508" s="46">
        <f>IFERROR(__xludf.DUMMYFUNCTION("""COMPUTED_VALUE"""),45832)</f>
        <v/>
      </c>
      <c r="Z508" s="46">
        <f>IFERROR(__xludf.DUMMYFUNCTION("""COMPUTED_VALUE"""),45861)</f>
        <v/>
      </c>
      <c r="AA508" s="46">
        <f>IFERROR(__xludf.DUMMYFUNCTION("""COMPUTED_VALUE"""),45874)</f>
        <v/>
      </c>
      <c r="AB508" s="45">
        <f>IFERROR(__xludf.DUMMYFUNCTION("""COMPUTED_VALUE"""),"3500 Argentia Road")</f>
        <v/>
      </c>
      <c r="AC508" s="45" t="n"/>
      <c r="AD508" s="45">
        <f>IFERROR(__xludf.DUMMYFUNCTION("""COMPUTED_VALUE"""),"OCEAN")</f>
        <v/>
      </c>
      <c r="AE508" s="45">
        <f>IFERROR(__xludf.DUMMYFUNCTION("""COMPUTED_VALUE"""),"N")</f>
        <v/>
      </c>
      <c r="AF508" s="45" t="n"/>
      <c r="AG508" s="49">
        <f>IFERROR(__xludf.DUMMYFUNCTION("IFNA(vlookup(H508,IMPORTRANGE(""1vUGwO1n0QQGx9kKbO0_M5gmuhXZ6-LaxQxgrmJnzgP0"",""'TP# look up'!A:C""),3,0),"""")"),"")</f>
        <v/>
      </c>
      <c r="AH508" s="49">
        <f>LEFT(J508,2)</f>
        <v/>
      </c>
    </row>
    <row r="509" ht="12.75" customHeight="1">
      <c r="A509" s="45">
        <f>IFERROR(__xludf.DUMMYFUNCTION("""COMPUTED_VALUE"""),"Colombo")</f>
        <v/>
      </c>
      <c r="B509" s="45" t="n"/>
      <c r="C509" s="45">
        <f>IFERROR(__xludf.DUMMYFUNCTION("""COMPUTED_VALUE"""),3254508)</f>
        <v/>
      </c>
      <c r="D509" s="45" t="n"/>
      <c r="E509" s="45">
        <f>IFERROR(__xludf.DUMMYFUNCTION("""COMPUTED_VALUE"""),"CFS")</f>
        <v/>
      </c>
      <c r="F509" s="45">
        <f>IFERROR(__xludf.DUMMYFUNCTION("""COMPUTED_VALUE"""),"MAS AMITY PTE LTD")</f>
        <v/>
      </c>
      <c r="G509" s="45">
        <f>IFERROR(__xludf.DUMMYFUNCTION("""COMPUTED_VALUE"""),"MAS Active (Pvt) Ltd - Linea Intimo")</f>
        <v/>
      </c>
      <c r="H509" s="43">
        <f>IFERROR(__xludf.DUMMYFUNCTION("""COMPUTED_VALUE"""),454723268762)</f>
        <v/>
      </c>
      <c r="I509" s="45">
        <f>IFERROR(__xludf.DUMMYFUNCTION("""COMPUTED_VALUE"""),91018828)</f>
        <v/>
      </c>
      <c r="J509" s="45">
        <f>IFERROR(__xludf.DUMMYFUNCTION("""COMPUTED_VALUE"""),"LW1ERWS")</f>
        <v/>
      </c>
      <c r="K509" s="45">
        <f>IFERROR(__xludf.DUMMYFUNCTION("""COMPUTED_VALUE"""),"LW1ERWS-4780")</f>
        <v/>
      </c>
      <c r="L509" s="45">
        <f>IFERROR(__xludf.DUMMYFUNCTION("""COMPUTED_VALUE"""),15)</f>
        <v/>
      </c>
      <c r="M509" s="45">
        <f>IFERROR(__xludf.DUMMYFUNCTION("""COMPUTED_VALUE"""),943)</f>
        <v/>
      </c>
      <c r="N509" s="45">
        <f>IFERROR(__xludf.DUMMYFUNCTION("""COMPUTED_VALUE"""),128.211)</f>
        <v/>
      </c>
      <c r="O509" s="45">
        <f>IFERROR(__xludf.DUMMYFUNCTION("""COMPUTED_VALUE"""),1.185)</f>
        <v/>
      </c>
      <c r="P509" s="45">
        <f>IFERROR(__xludf.DUMMYFUNCTION("""COMPUTED_VALUE"""),"Colombo, LK")</f>
        <v/>
      </c>
      <c r="Q509" s="45">
        <f>IFERROR(__xludf.DUMMYFUNCTION("""COMPUTED_VALUE"""),"New York, NY, US")</f>
        <v/>
      </c>
      <c r="R509" s="44">
        <f>IFERROR(__xludf.DUMMYFUNCTION("""COMPUTED_VALUE"""),45824)</f>
        <v/>
      </c>
      <c r="S509" s="44">
        <f>IFERROR(__xludf.DUMMYFUNCTION("""COMPUTED_VALUE"""),45888)</f>
        <v/>
      </c>
      <c r="T509" s="45">
        <f>IFERROR(__xludf.DUMMYFUNCTION("""COMPUTED_VALUE"""),"Mississauga, ON, CA")</f>
        <v/>
      </c>
      <c r="U509" s="45" t="n"/>
      <c r="V509" s="45" t="n"/>
      <c r="W509" s="45" t="n"/>
      <c r="X509" s="45" t="n"/>
      <c r="Y509" s="46">
        <f>IFERROR(__xludf.DUMMYFUNCTION("""COMPUTED_VALUE"""),45832)</f>
        <v/>
      </c>
      <c r="Z509" s="46">
        <f>IFERROR(__xludf.DUMMYFUNCTION("""COMPUTED_VALUE"""),45861)</f>
        <v/>
      </c>
      <c r="AA509" s="46">
        <f>IFERROR(__xludf.DUMMYFUNCTION("""COMPUTED_VALUE"""),45874)</f>
        <v/>
      </c>
      <c r="AB509" s="45">
        <f>IFERROR(__xludf.DUMMYFUNCTION("""COMPUTED_VALUE"""),"3500 Argentia Road")</f>
        <v/>
      </c>
      <c r="AC509" s="45" t="n"/>
      <c r="AD509" s="45">
        <f>IFERROR(__xludf.DUMMYFUNCTION("""COMPUTED_VALUE"""),"OCEAN")</f>
        <v/>
      </c>
      <c r="AE509" s="45">
        <f>IFERROR(__xludf.DUMMYFUNCTION("""COMPUTED_VALUE"""),"N")</f>
        <v/>
      </c>
      <c r="AF509" s="45" t="n"/>
      <c r="AG509" s="49">
        <f>IFERROR(__xludf.DUMMYFUNCTION("IFNA(vlookup(H509,IMPORTRANGE(""1vUGwO1n0QQGx9kKbO0_M5gmuhXZ6-LaxQxgrmJnzgP0"",""'TP# look up'!A:C""),3,0),"""")"),"")</f>
        <v/>
      </c>
      <c r="AH509" s="49">
        <f>LEFT(J509,2)</f>
        <v/>
      </c>
    </row>
    <row r="510" ht="12.75" customHeight="1">
      <c r="A510" s="45">
        <f>IFERROR(__xludf.DUMMYFUNCTION("""COMPUTED_VALUE"""),"Colombo")</f>
        <v/>
      </c>
      <c r="B510" s="45" t="n"/>
      <c r="C510" s="45">
        <f>IFERROR(__xludf.DUMMYFUNCTION("""COMPUTED_VALUE"""),3254508)</f>
        <v/>
      </c>
      <c r="D510" s="45" t="n"/>
      <c r="E510" s="45">
        <f>IFERROR(__xludf.DUMMYFUNCTION("""COMPUTED_VALUE"""),"CFS")</f>
        <v/>
      </c>
      <c r="F510" s="45">
        <f>IFERROR(__xludf.DUMMYFUNCTION("""COMPUTED_VALUE"""),"MAS AMITY PTE LTD")</f>
        <v/>
      </c>
      <c r="G510" s="45">
        <f>IFERROR(__xludf.DUMMYFUNCTION("""COMPUTED_VALUE"""),"MAS Active (Pvt) Ltd - Linea Intimo")</f>
        <v/>
      </c>
      <c r="H510" s="43">
        <f>IFERROR(__xludf.DUMMYFUNCTION("""COMPUTED_VALUE"""),454723365495)</f>
        <v/>
      </c>
      <c r="I510" s="45">
        <f>IFERROR(__xludf.DUMMYFUNCTION("""COMPUTED_VALUE"""),91018901)</f>
        <v/>
      </c>
      <c r="J510" s="45">
        <f>IFERROR(__xludf.DUMMYFUNCTION("""COMPUTED_VALUE"""),"LW1DMJS")</f>
        <v/>
      </c>
      <c r="K510" s="45">
        <f>IFERROR(__xludf.DUMMYFUNCTION("""COMPUTED_VALUE"""),"LW1DMJS-012826")</f>
        <v/>
      </c>
      <c r="L510" s="45">
        <f>IFERROR(__xludf.DUMMYFUNCTION("""COMPUTED_VALUE"""),6)</f>
        <v/>
      </c>
      <c r="M510" s="45">
        <f>IFERROR(__xludf.DUMMYFUNCTION("""COMPUTED_VALUE"""),506)</f>
        <v/>
      </c>
      <c r="N510" s="45">
        <f>IFERROR(__xludf.DUMMYFUNCTION("""COMPUTED_VALUE"""),40.33)</f>
        <v/>
      </c>
      <c r="O510" s="45">
        <f>IFERROR(__xludf.DUMMYFUNCTION("""COMPUTED_VALUE"""),0.436)</f>
        <v/>
      </c>
      <c r="P510" s="45">
        <f>IFERROR(__xludf.DUMMYFUNCTION("""COMPUTED_VALUE"""),"Colombo, LK")</f>
        <v/>
      </c>
      <c r="Q510" s="45">
        <f>IFERROR(__xludf.DUMMYFUNCTION("""COMPUTED_VALUE"""),"New York, NY, US")</f>
        <v/>
      </c>
      <c r="R510" s="44">
        <f>IFERROR(__xludf.DUMMYFUNCTION("""COMPUTED_VALUE"""),45824)</f>
        <v/>
      </c>
      <c r="S510" s="44">
        <f>IFERROR(__xludf.DUMMYFUNCTION("""COMPUTED_VALUE"""),45888)</f>
        <v/>
      </c>
      <c r="T510" s="45">
        <f>IFERROR(__xludf.DUMMYFUNCTION("""COMPUTED_VALUE"""),"Mississauga, ON, CA")</f>
        <v/>
      </c>
      <c r="U510" s="45" t="n"/>
      <c r="V510" s="45" t="n"/>
      <c r="W510" s="45" t="n"/>
      <c r="X510" s="45" t="n"/>
      <c r="Y510" s="46">
        <f>IFERROR(__xludf.DUMMYFUNCTION("""COMPUTED_VALUE"""),45832)</f>
        <v/>
      </c>
      <c r="Z510" s="46">
        <f>IFERROR(__xludf.DUMMYFUNCTION("""COMPUTED_VALUE"""),45861)</f>
        <v/>
      </c>
      <c r="AA510" s="46">
        <f>IFERROR(__xludf.DUMMYFUNCTION("""COMPUTED_VALUE"""),45874)</f>
        <v/>
      </c>
      <c r="AB510" s="45">
        <f>IFERROR(__xludf.DUMMYFUNCTION("""COMPUTED_VALUE"""),"3500 Argentia Road")</f>
        <v/>
      </c>
      <c r="AC510" s="45" t="n"/>
      <c r="AD510" s="45">
        <f>IFERROR(__xludf.DUMMYFUNCTION("""COMPUTED_VALUE"""),"OCEAN")</f>
        <v/>
      </c>
      <c r="AE510" s="45">
        <f>IFERROR(__xludf.DUMMYFUNCTION("""COMPUTED_VALUE"""),"N")</f>
        <v/>
      </c>
      <c r="AF510" s="45" t="n"/>
      <c r="AG510" s="49">
        <f>IFERROR(__xludf.DUMMYFUNCTION("IFNA(vlookup(H510,IMPORTRANGE(""1vUGwO1n0QQGx9kKbO0_M5gmuhXZ6-LaxQxgrmJnzgP0"",""'TP# look up'!A:C""),3,0),"""")"),"")</f>
        <v/>
      </c>
      <c r="AH510" s="49">
        <f>LEFT(J510,2)</f>
        <v/>
      </c>
    </row>
    <row r="511" ht="12.75" customHeight="1">
      <c r="A511" s="45">
        <f>IFERROR(__xludf.DUMMYFUNCTION("""COMPUTED_VALUE"""),"Colombo")</f>
        <v/>
      </c>
      <c r="B511" s="45" t="n"/>
      <c r="C511" s="45">
        <f>IFERROR(__xludf.DUMMYFUNCTION("""COMPUTED_VALUE"""),3254508)</f>
        <v/>
      </c>
      <c r="D511" s="45" t="n"/>
      <c r="E511" s="45">
        <f>IFERROR(__xludf.DUMMYFUNCTION("""COMPUTED_VALUE"""),"CFS")</f>
        <v/>
      </c>
      <c r="F511" s="45">
        <f>IFERROR(__xludf.DUMMYFUNCTION("""COMPUTED_VALUE"""),"MAS AMITY PTE LTD")</f>
        <v/>
      </c>
      <c r="G511" s="45">
        <f>IFERROR(__xludf.DUMMYFUNCTION("""COMPUTED_VALUE"""),"MAS Active (Pvt) Ltd - Linea Intimo")</f>
        <v/>
      </c>
      <c r="H511" s="43">
        <f>IFERROR(__xludf.DUMMYFUNCTION("""COMPUTED_VALUE"""),454723450691)</f>
        <v/>
      </c>
      <c r="I511" s="45">
        <f>IFERROR(__xludf.DUMMYFUNCTION("""COMPUTED_VALUE"""),91018841)</f>
        <v/>
      </c>
      <c r="J511" s="45">
        <f>IFERROR(__xludf.DUMMYFUNCTION("""COMPUTED_VALUE"""),"LW1ERWS")</f>
        <v/>
      </c>
      <c r="K511" s="45">
        <f>IFERROR(__xludf.DUMMYFUNCTION("""COMPUTED_VALUE"""),"LW1ERWS-4780")</f>
        <v/>
      </c>
      <c r="L511" s="45">
        <f>IFERROR(__xludf.DUMMYFUNCTION("""COMPUTED_VALUE"""),4)</f>
        <v/>
      </c>
      <c r="M511" s="45">
        <f>IFERROR(__xludf.DUMMYFUNCTION("""COMPUTED_VALUE"""),108)</f>
        <v/>
      </c>
      <c r="N511" s="45">
        <f>IFERROR(__xludf.DUMMYFUNCTION("""COMPUTED_VALUE"""),16.305)</f>
        <v/>
      </c>
      <c r="O511" s="45">
        <f>IFERROR(__xludf.DUMMYFUNCTION("""COMPUTED_VALUE"""),0.197)</f>
        <v/>
      </c>
      <c r="P511" s="45">
        <f>IFERROR(__xludf.DUMMYFUNCTION("""COMPUTED_VALUE"""),"Colombo, LK")</f>
        <v/>
      </c>
      <c r="Q511" s="45">
        <f>IFERROR(__xludf.DUMMYFUNCTION("""COMPUTED_VALUE"""),"New York, NY, US")</f>
        <v/>
      </c>
      <c r="R511" s="44">
        <f>IFERROR(__xludf.DUMMYFUNCTION("""COMPUTED_VALUE"""),45824)</f>
        <v/>
      </c>
      <c r="S511" s="44">
        <f>IFERROR(__xludf.DUMMYFUNCTION("""COMPUTED_VALUE"""),45888)</f>
        <v/>
      </c>
      <c r="T511" s="45">
        <f>IFERROR(__xludf.DUMMYFUNCTION("""COMPUTED_VALUE"""),"Milton, ON, CA")</f>
        <v/>
      </c>
      <c r="U511" s="45" t="n"/>
      <c r="V511" s="45" t="n"/>
      <c r="W511" s="45" t="n"/>
      <c r="X511" s="45" t="n"/>
      <c r="Y511" s="46">
        <f>IFERROR(__xludf.DUMMYFUNCTION("""COMPUTED_VALUE"""),45832)</f>
        <v/>
      </c>
      <c r="Z511" s="46">
        <f>IFERROR(__xludf.DUMMYFUNCTION("""COMPUTED_VALUE"""),45861)</f>
        <v/>
      </c>
      <c r="AA511" s="46">
        <f>IFERROR(__xludf.DUMMYFUNCTION("""COMPUTED_VALUE"""),45874)</f>
        <v/>
      </c>
      <c r="AB511" s="45">
        <f>IFERROR(__xludf.DUMMYFUNCTION("""COMPUTED_VALUE"""),"7211 Fifth Line")</f>
        <v/>
      </c>
      <c r="AC511" s="45" t="n"/>
      <c r="AD511" s="45">
        <f>IFERROR(__xludf.DUMMYFUNCTION("""COMPUTED_VALUE"""),"OCEAN")</f>
        <v/>
      </c>
      <c r="AE511" s="45">
        <f>IFERROR(__xludf.DUMMYFUNCTION("""COMPUTED_VALUE"""),"N")</f>
        <v/>
      </c>
      <c r="AF511" s="45" t="n"/>
      <c r="AG511" s="49">
        <f>IFERROR(__xludf.DUMMYFUNCTION("IFNA(vlookup(H511,IMPORTRANGE(""1vUGwO1n0QQGx9kKbO0_M5gmuhXZ6-LaxQxgrmJnzgP0"",""'TP# look up'!A:C""),3,0),"""")"),"")</f>
        <v/>
      </c>
      <c r="AH511" s="49">
        <f>LEFT(J511,2)</f>
        <v/>
      </c>
    </row>
    <row r="512" ht="12.75" customHeight="1">
      <c r="A512" s="45">
        <f>IFERROR(__xludf.DUMMYFUNCTION("""COMPUTED_VALUE"""),"Colombo")</f>
        <v/>
      </c>
      <c r="B512" s="45" t="n"/>
      <c r="C512" s="45">
        <f>IFERROR(__xludf.DUMMYFUNCTION("""COMPUTED_VALUE"""),3254508)</f>
        <v/>
      </c>
      <c r="D512" s="45" t="n"/>
      <c r="E512" s="45">
        <f>IFERROR(__xludf.DUMMYFUNCTION("""COMPUTED_VALUE"""),"CFS")</f>
        <v/>
      </c>
      <c r="F512" s="45">
        <f>IFERROR(__xludf.DUMMYFUNCTION("""COMPUTED_VALUE"""),"MAS AMITY PTE LTD")</f>
        <v/>
      </c>
      <c r="G512" s="45">
        <f>IFERROR(__xludf.DUMMYFUNCTION("""COMPUTED_VALUE"""),"MAS Active (Pvt) Ltd - Linea Intimo")</f>
        <v/>
      </c>
      <c r="H512" s="43">
        <f>IFERROR(__xludf.DUMMYFUNCTION("""COMPUTED_VALUE"""),454723855655)</f>
        <v/>
      </c>
      <c r="I512" s="45">
        <f>IFERROR(__xludf.DUMMYFUNCTION("""COMPUTED_VALUE"""),91018918)</f>
        <v/>
      </c>
      <c r="J512" s="45">
        <f>IFERROR(__xludf.DUMMYFUNCTION("""COMPUTED_VALUE"""),"LW1EKKS")</f>
        <v/>
      </c>
      <c r="K512" s="45">
        <f>IFERROR(__xludf.DUMMYFUNCTION("""COMPUTED_VALUE"""),"LW1EKKS-071212")</f>
        <v/>
      </c>
      <c r="L512" s="45">
        <f>IFERROR(__xludf.DUMMYFUNCTION("""COMPUTED_VALUE"""),5)</f>
        <v/>
      </c>
      <c r="M512" s="45">
        <f>IFERROR(__xludf.DUMMYFUNCTION("""COMPUTED_VALUE"""),158)</f>
        <v/>
      </c>
      <c r="N512" s="45">
        <f>IFERROR(__xludf.DUMMYFUNCTION("""COMPUTED_VALUE"""),20.365)</f>
        <v/>
      </c>
      <c r="O512" s="45">
        <f>IFERROR(__xludf.DUMMYFUNCTION("""COMPUTED_VALUE"""),0.237)</f>
        <v/>
      </c>
      <c r="P512" s="45">
        <f>IFERROR(__xludf.DUMMYFUNCTION("""COMPUTED_VALUE"""),"Colombo, LK")</f>
        <v/>
      </c>
      <c r="Q512" s="45">
        <f>IFERROR(__xludf.DUMMYFUNCTION("""COMPUTED_VALUE"""),"New York, NY, US")</f>
        <v/>
      </c>
      <c r="R512" s="44">
        <f>IFERROR(__xludf.DUMMYFUNCTION("""COMPUTED_VALUE"""),45824)</f>
        <v/>
      </c>
      <c r="S512" s="44">
        <f>IFERROR(__xludf.DUMMYFUNCTION("""COMPUTED_VALUE"""),45888)</f>
        <v/>
      </c>
      <c r="T512" s="45">
        <f>IFERROR(__xludf.DUMMYFUNCTION("""COMPUTED_VALUE"""),"Mississauga, ON, CA")</f>
        <v/>
      </c>
      <c r="U512" s="45" t="n"/>
      <c r="V512" s="45" t="n"/>
      <c r="W512" s="45" t="n"/>
      <c r="X512" s="45" t="n"/>
      <c r="Y512" s="46">
        <f>IFERROR(__xludf.DUMMYFUNCTION("""COMPUTED_VALUE"""),45832)</f>
        <v/>
      </c>
      <c r="Z512" s="46">
        <f>IFERROR(__xludf.DUMMYFUNCTION("""COMPUTED_VALUE"""),45861)</f>
        <v/>
      </c>
      <c r="AA512" s="46">
        <f>IFERROR(__xludf.DUMMYFUNCTION("""COMPUTED_VALUE"""),45874)</f>
        <v/>
      </c>
      <c r="AB512" s="45">
        <f>IFERROR(__xludf.DUMMYFUNCTION("""COMPUTED_VALUE"""),"3500 Argentia Road")</f>
        <v/>
      </c>
      <c r="AC512" s="45" t="n"/>
      <c r="AD512" s="45">
        <f>IFERROR(__xludf.DUMMYFUNCTION("""COMPUTED_VALUE"""),"OCEAN")</f>
        <v/>
      </c>
      <c r="AE512" s="45">
        <f>IFERROR(__xludf.DUMMYFUNCTION("""COMPUTED_VALUE"""),"N")</f>
        <v/>
      </c>
      <c r="AF512" s="45" t="n"/>
      <c r="AG512" s="49">
        <f>IFERROR(__xludf.DUMMYFUNCTION("IFNA(vlookup(H512,IMPORTRANGE(""1vUGwO1n0QQGx9kKbO0_M5gmuhXZ6-LaxQxgrmJnzgP0"",""'TP# look up'!A:C""),3,0),"""")"),"")</f>
        <v/>
      </c>
      <c r="AH512" s="49">
        <f>LEFT(J512,2)</f>
        <v/>
      </c>
    </row>
    <row r="513" ht="12.75" customHeight="1">
      <c r="A513" s="45">
        <f>IFERROR(__xludf.DUMMYFUNCTION("""COMPUTED_VALUE"""),"Colombo")</f>
        <v/>
      </c>
      <c r="B513" s="45" t="n"/>
      <c r="C513" s="45">
        <f>IFERROR(__xludf.DUMMYFUNCTION("""COMPUTED_VALUE"""),3254508)</f>
        <v/>
      </c>
      <c r="D513" s="45" t="n"/>
      <c r="E513" s="45">
        <f>IFERROR(__xludf.DUMMYFUNCTION("""COMPUTED_VALUE"""),"CFS")</f>
        <v/>
      </c>
      <c r="F513" s="45">
        <f>IFERROR(__xludf.DUMMYFUNCTION("""COMPUTED_VALUE"""),"MAS AMITY PTE LTD")</f>
        <v/>
      </c>
      <c r="G513" s="45">
        <f>IFERROR(__xludf.DUMMYFUNCTION("""COMPUTED_VALUE"""),"MAS Active (Pvt) Ltd - Linea Intimo")</f>
        <v/>
      </c>
      <c r="H513" s="43">
        <f>IFERROR(__xludf.DUMMYFUNCTION("""COMPUTED_VALUE"""),454724077022)</f>
        <v/>
      </c>
      <c r="I513" s="45">
        <f>IFERROR(__xludf.DUMMYFUNCTION("""COMPUTED_VALUE"""),91018960)</f>
        <v/>
      </c>
      <c r="J513" s="45">
        <f>IFERROR(__xludf.DUMMYFUNCTION("""COMPUTED_VALUE"""),"LW1EKKS")</f>
        <v/>
      </c>
      <c r="K513" s="45">
        <f>IFERROR(__xludf.DUMMYFUNCTION("""COMPUTED_VALUE"""),"LW1EKKS-071212")</f>
        <v/>
      </c>
      <c r="L513" s="45">
        <f>IFERROR(__xludf.DUMMYFUNCTION("""COMPUTED_VALUE"""),6)</f>
        <v/>
      </c>
      <c r="M513" s="45">
        <f>IFERROR(__xludf.DUMMYFUNCTION("""COMPUTED_VALUE"""),404)</f>
        <v/>
      </c>
      <c r="N513" s="45">
        <f>IFERROR(__xludf.DUMMYFUNCTION("""COMPUTED_VALUE"""),44.572)</f>
        <v/>
      </c>
      <c r="O513" s="45">
        <f>IFERROR(__xludf.DUMMYFUNCTION("""COMPUTED_VALUE"""),0.395)</f>
        <v/>
      </c>
      <c r="P513" s="45">
        <f>IFERROR(__xludf.DUMMYFUNCTION("""COMPUTED_VALUE"""),"Colombo, LK")</f>
        <v/>
      </c>
      <c r="Q513" s="45">
        <f>IFERROR(__xludf.DUMMYFUNCTION("""COMPUTED_VALUE"""),"New York, NY, US")</f>
        <v/>
      </c>
      <c r="R513" s="44">
        <f>IFERROR(__xludf.DUMMYFUNCTION("""COMPUTED_VALUE"""),45824)</f>
        <v/>
      </c>
      <c r="S513" s="44">
        <f>IFERROR(__xludf.DUMMYFUNCTION("""COMPUTED_VALUE"""),45888)</f>
        <v/>
      </c>
      <c r="T513" s="45">
        <f>IFERROR(__xludf.DUMMYFUNCTION("""COMPUTED_VALUE"""),"Mississauga, ON, CA")</f>
        <v/>
      </c>
      <c r="U513" s="45" t="n"/>
      <c r="V513" s="45" t="n"/>
      <c r="W513" s="45" t="n"/>
      <c r="X513" s="45" t="n"/>
      <c r="Y513" s="46">
        <f>IFERROR(__xludf.DUMMYFUNCTION("""COMPUTED_VALUE"""),45832)</f>
        <v/>
      </c>
      <c r="Z513" s="46">
        <f>IFERROR(__xludf.DUMMYFUNCTION("""COMPUTED_VALUE"""),45861)</f>
        <v/>
      </c>
      <c r="AA513" s="46">
        <f>IFERROR(__xludf.DUMMYFUNCTION("""COMPUTED_VALUE"""),45874)</f>
        <v/>
      </c>
      <c r="AB513" s="45">
        <f>IFERROR(__xludf.DUMMYFUNCTION("""COMPUTED_VALUE"""),"3500 Argentia Road")</f>
        <v/>
      </c>
      <c r="AC513" s="45" t="n"/>
      <c r="AD513" s="45">
        <f>IFERROR(__xludf.DUMMYFUNCTION("""COMPUTED_VALUE"""),"OCEAN")</f>
        <v/>
      </c>
      <c r="AE513" s="45">
        <f>IFERROR(__xludf.DUMMYFUNCTION("""COMPUTED_VALUE"""),"N")</f>
        <v/>
      </c>
      <c r="AF513" s="45" t="n"/>
      <c r="AG513" s="49">
        <f>IFERROR(__xludf.DUMMYFUNCTION("IFNA(vlookup(H513,IMPORTRANGE(""1vUGwO1n0QQGx9kKbO0_M5gmuhXZ6-LaxQxgrmJnzgP0"",""'TP# look up'!A:C""),3,0),"""")"),"")</f>
        <v/>
      </c>
      <c r="AH513" s="49">
        <f>LEFT(J513,2)</f>
        <v/>
      </c>
    </row>
    <row r="514" ht="12.75" customHeight="1">
      <c r="A514" s="45">
        <f>IFERROR(__xludf.DUMMYFUNCTION("""COMPUTED_VALUE"""),"Colombo")</f>
        <v/>
      </c>
      <c r="B514" s="45" t="n"/>
      <c r="C514" s="45">
        <f>IFERROR(__xludf.DUMMYFUNCTION("""COMPUTED_VALUE"""),3254508)</f>
        <v/>
      </c>
      <c r="D514" s="45" t="n"/>
      <c r="E514" s="45">
        <f>IFERROR(__xludf.DUMMYFUNCTION("""COMPUTED_VALUE"""),"CFS")</f>
        <v/>
      </c>
      <c r="F514" s="45">
        <f>IFERROR(__xludf.DUMMYFUNCTION("""COMPUTED_VALUE"""),"MAS AMITY PTE LTD")</f>
        <v/>
      </c>
      <c r="G514" s="45">
        <f>IFERROR(__xludf.DUMMYFUNCTION("""COMPUTED_VALUE"""),"MAS Active (Pvt) Ltd - Linea Intimo")</f>
        <v/>
      </c>
      <c r="H514" s="43">
        <f>IFERROR(__xludf.DUMMYFUNCTION("""COMPUTED_VALUE"""),454724077099)</f>
        <v/>
      </c>
      <c r="I514" s="45">
        <f>IFERROR(__xludf.DUMMYFUNCTION("""COMPUTED_VALUE"""),91018961)</f>
        <v/>
      </c>
      <c r="J514" s="45">
        <f>IFERROR(__xludf.DUMMYFUNCTION("""COMPUTED_VALUE"""),"LW1DMJS")</f>
        <v/>
      </c>
      <c r="K514" s="45">
        <f>IFERROR(__xludf.DUMMYFUNCTION("""COMPUTED_VALUE"""),"LW1DMJS-0572")</f>
        <v/>
      </c>
      <c r="L514" s="45">
        <f>IFERROR(__xludf.DUMMYFUNCTION("""COMPUTED_VALUE"""),29)</f>
        <v/>
      </c>
      <c r="M514" s="45">
        <f>IFERROR(__xludf.DUMMYFUNCTION("""COMPUTED_VALUE"""),3036)</f>
        <v/>
      </c>
      <c r="N514" s="45">
        <f>IFERROR(__xludf.DUMMYFUNCTION("""COMPUTED_VALUE"""),243.611)</f>
        <v/>
      </c>
      <c r="O514" s="45">
        <f>IFERROR(__xludf.DUMMYFUNCTION("""COMPUTED_VALUE"""),2.251)</f>
        <v/>
      </c>
      <c r="P514" s="45">
        <f>IFERROR(__xludf.DUMMYFUNCTION("""COMPUTED_VALUE"""),"Colombo, LK")</f>
        <v/>
      </c>
      <c r="Q514" s="45">
        <f>IFERROR(__xludf.DUMMYFUNCTION("""COMPUTED_VALUE"""),"New York, NY, US")</f>
        <v/>
      </c>
      <c r="R514" s="44">
        <f>IFERROR(__xludf.DUMMYFUNCTION("""COMPUTED_VALUE"""),45824)</f>
        <v/>
      </c>
      <c r="S514" s="44">
        <f>IFERROR(__xludf.DUMMYFUNCTION("""COMPUTED_VALUE"""),45888)</f>
        <v/>
      </c>
      <c r="T514" s="45">
        <f>IFERROR(__xludf.DUMMYFUNCTION("""COMPUTED_VALUE"""),"Mississauga, ON, CA")</f>
        <v/>
      </c>
      <c r="U514" s="45" t="n"/>
      <c r="V514" s="45" t="n"/>
      <c r="W514" s="45" t="n"/>
      <c r="X514" s="45" t="n"/>
      <c r="Y514" s="46">
        <f>IFERROR(__xludf.DUMMYFUNCTION("""COMPUTED_VALUE"""),45832)</f>
        <v/>
      </c>
      <c r="Z514" s="46">
        <f>IFERROR(__xludf.DUMMYFUNCTION("""COMPUTED_VALUE"""),45861)</f>
        <v/>
      </c>
      <c r="AA514" s="46">
        <f>IFERROR(__xludf.DUMMYFUNCTION("""COMPUTED_VALUE"""),45874)</f>
        <v/>
      </c>
      <c r="AB514" s="45">
        <f>IFERROR(__xludf.DUMMYFUNCTION("""COMPUTED_VALUE"""),"3500 Argentia Road")</f>
        <v/>
      </c>
      <c r="AC514" s="45" t="n"/>
      <c r="AD514" s="45">
        <f>IFERROR(__xludf.DUMMYFUNCTION("""COMPUTED_VALUE"""),"OCEAN")</f>
        <v/>
      </c>
      <c r="AE514" s="45">
        <f>IFERROR(__xludf.DUMMYFUNCTION("""COMPUTED_VALUE"""),"N")</f>
        <v/>
      </c>
      <c r="AF514" s="45" t="n"/>
      <c r="AG514" s="49">
        <f>IFERROR(__xludf.DUMMYFUNCTION("IFNA(vlookup(H514,IMPORTRANGE(""1vUGwO1n0QQGx9kKbO0_M5gmuhXZ6-LaxQxgrmJnzgP0"",""'TP# look up'!A:C""),3,0),"""")"),"")</f>
        <v/>
      </c>
      <c r="AH514" s="49">
        <f>LEFT(J514,2)</f>
        <v/>
      </c>
    </row>
    <row r="515" ht="12.75" customHeight="1">
      <c r="A515" s="45">
        <f>IFERROR(__xludf.DUMMYFUNCTION("""COMPUTED_VALUE"""),"Colombo")</f>
        <v/>
      </c>
      <c r="B515" s="45" t="n"/>
      <c r="C515" s="45">
        <f>IFERROR(__xludf.DUMMYFUNCTION("""COMPUTED_VALUE"""),3254508)</f>
        <v/>
      </c>
      <c r="D515" s="45" t="n"/>
      <c r="E515" s="45">
        <f>IFERROR(__xludf.DUMMYFUNCTION("""COMPUTED_VALUE"""),"CFS")</f>
        <v/>
      </c>
      <c r="F515" s="45">
        <f>IFERROR(__xludf.DUMMYFUNCTION("""COMPUTED_VALUE"""),"MAS AMITY PTE LTD")</f>
        <v/>
      </c>
      <c r="G515" s="45">
        <f>IFERROR(__xludf.DUMMYFUNCTION("""COMPUTED_VALUE"""),"MAS Active (Pvt) Ltd - Linea Intimo")</f>
        <v/>
      </c>
      <c r="H515" s="43">
        <f>IFERROR(__xludf.DUMMYFUNCTION("""COMPUTED_VALUE"""),454724615265)</f>
        <v/>
      </c>
      <c r="I515" s="45">
        <f>IFERROR(__xludf.DUMMYFUNCTION("""COMPUTED_VALUE"""),91019037)</f>
        <v/>
      </c>
      <c r="J515" s="45">
        <f>IFERROR(__xludf.DUMMYFUNCTION("""COMPUTED_VALUE"""),"LW1ERWS")</f>
        <v/>
      </c>
      <c r="K515" s="45">
        <f>IFERROR(__xludf.DUMMYFUNCTION("""COMPUTED_VALUE"""),"LW1ERWS-012826")</f>
        <v/>
      </c>
      <c r="L515" s="45">
        <f>IFERROR(__xludf.DUMMYFUNCTION("""COMPUTED_VALUE"""),5)</f>
        <v/>
      </c>
      <c r="M515" s="45">
        <f>IFERROR(__xludf.DUMMYFUNCTION("""COMPUTED_VALUE"""),165)</f>
        <v/>
      </c>
      <c r="N515" s="45">
        <f>IFERROR(__xludf.DUMMYFUNCTION("""COMPUTED_VALUE"""),24.443)</f>
        <v/>
      </c>
      <c r="O515" s="45">
        <f>IFERROR(__xludf.DUMMYFUNCTION("""COMPUTED_VALUE"""),0.316)</f>
        <v/>
      </c>
      <c r="P515" s="45">
        <f>IFERROR(__xludf.DUMMYFUNCTION("""COMPUTED_VALUE"""),"Colombo, LK")</f>
        <v/>
      </c>
      <c r="Q515" s="45">
        <f>IFERROR(__xludf.DUMMYFUNCTION("""COMPUTED_VALUE"""),"New York, NY, US")</f>
        <v/>
      </c>
      <c r="R515" s="44">
        <f>IFERROR(__xludf.DUMMYFUNCTION("""COMPUTED_VALUE"""),45824)</f>
        <v/>
      </c>
      <c r="S515" s="44">
        <f>IFERROR(__xludf.DUMMYFUNCTION("""COMPUTED_VALUE"""),45888)</f>
        <v/>
      </c>
      <c r="T515" s="45">
        <f>IFERROR(__xludf.DUMMYFUNCTION("""COMPUTED_VALUE"""),"Mississauga, ON, CA")</f>
        <v/>
      </c>
      <c r="U515" s="45" t="n"/>
      <c r="V515" s="45" t="n"/>
      <c r="W515" s="45" t="n"/>
      <c r="X515" s="45" t="n"/>
      <c r="Y515" s="46">
        <f>IFERROR(__xludf.DUMMYFUNCTION("""COMPUTED_VALUE"""),45832)</f>
        <v/>
      </c>
      <c r="Z515" s="46">
        <f>IFERROR(__xludf.DUMMYFUNCTION("""COMPUTED_VALUE"""),45861)</f>
        <v/>
      </c>
      <c r="AA515" s="46">
        <f>IFERROR(__xludf.DUMMYFUNCTION("""COMPUTED_VALUE"""),45874)</f>
        <v/>
      </c>
      <c r="AB515" s="45">
        <f>IFERROR(__xludf.DUMMYFUNCTION("""COMPUTED_VALUE"""),"3500 Argentia Road")</f>
        <v/>
      </c>
      <c r="AC515" s="45" t="n"/>
      <c r="AD515" s="45">
        <f>IFERROR(__xludf.DUMMYFUNCTION("""COMPUTED_VALUE"""),"OCEAN")</f>
        <v/>
      </c>
      <c r="AE515" s="45">
        <f>IFERROR(__xludf.DUMMYFUNCTION("""COMPUTED_VALUE"""),"N")</f>
        <v/>
      </c>
      <c r="AF515" s="45" t="n"/>
      <c r="AG515" s="49">
        <f>IFERROR(__xludf.DUMMYFUNCTION("IFNA(vlookup(H515,IMPORTRANGE(""1vUGwO1n0QQGx9kKbO0_M5gmuhXZ6-LaxQxgrmJnzgP0"",""'TP# look up'!A:C""),3,0),"""")"),"")</f>
        <v/>
      </c>
      <c r="AH515" s="49">
        <f>LEFT(J515,2)</f>
        <v/>
      </c>
    </row>
    <row r="516" ht="12.75" customHeight="1">
      <c r="A516" s="45">
        <f>IFERROR(__xludf.DUMMYFUNCTION("""COMPUTED_VALUE"""),"Colombo")</f>
        <v/>
      </c>
      <c r="B516" s="45" t="n"/>
      <c r="C516" s="45">
        <f>IFERROR(__xludf.DUMMYFUNCTION("""COMPUTED_VALUE"""),3254508)</f>
        <v/>
      </c>
      <c r="D516" s="45" t="n"/>
      <c r="E516" s="45">
        <f>IFERROR(__xludf.DUMMYFUNCTION("""COMPUTED_VALUE"""),"CFS")</f>
        <v/>
      </c>
      <c r="F516" s="45">
        <f>IFERROR(__xludf.DUMMYFUNCTION("""COMPUTED_VALUE"""),"MAS AMITY PTE LTD")</f>
        <v/>
      </c>
      <c r="G516" s="45">
        <f>IFERROR(__xludf.DUMMYFUNCTION("""COMPUTED_VALUE"""),"MAS Active (Pvt) Ltd - Linea Intimo")</f>
        <v/>
      </c>
      <c r="H516" s="43">
        <f>IFERROR(__xludf.DUMMYFUNCTION("""COMPUTED_VALUE"""),454724642367)</f>
        <v/>
      </c>
      <c r="I516" s="45">
        <f>IFERROR(__xludf.DUMMYFUNCTION("""COMPUTED_VALUE"""),91018987)</f>
        <v/>
      </c>
      <c r="J516" s="45">
        <f>IFERROR(__xludf.DUMMYFUNCTION("""COMPUTED_VALUE"""),"LW1ERWS")</f>
        <v/>
      </c>
      <c r="K516" s="45">
        <f>IFERROR(__xludf.DUMMYFUNCTION("""COMPUTED_VALUE"""),"LW1ERWS-4780")</f>
        <v/>
      </c>
      <c r="L516" s="45">
        <f>IFERROR(__xludf.DUMMYFUNCTION("""COMPUTED_VALUE"""),5)</f>
        <v/>
      </c>
      <c r="M516" s="45">
        <f>IFERROR(__xludf.DUMMYFUNCTION("""COMPUTED_VALUE"""),255)</f>
        <v/>
      </c>
      <c r="N516" s="45">
        <f>IFERROR(__xludf.DUMMYFUNCTION("""COMPUTED_VALUE"""),35.723)</f>
        <v/>
      </c>
      <c r="O516" s="45">
        <f>IFERROR(__xludf.DUMMYFUNCTION("""COMPUTED_VALUE"""),0.395)</f>
        <v/>
      </c>
      <c r="P516" s="45">
        <f>IFERROR(__xludf.DUMMYFUNCTION("""COMPUTED_VALUE"""),"Colombo, LK")</f>
        <v/>
      </c>
      <c r="Q516" s="45">
        <f>IFERROR(__xludf.DUMMYFUNCTION("""COMPUTED_VALUE"""),"New York, NY, US")</f>
        <v/>
      </c>
      <c r="R516" s="44">
        <f>IFERROR(__xludf.DUMMYFUNCTION("""COMPUTED_VALUE"""),45824)</f>
        <v/>
      </c>
      <c r="S516" s="44">
        <f>IFERROR(__xludf.DUMMYFUNCTION("""COMPUTED_VALUE"""),45888)</f>
        <v/>
      </c>
      <c r="T516" s="45">
        <f>IFERROR(__xludf.DUMMYFUNCTION("""COMPUTED_VALUE"""),"Mississauga, ON, CA")</f>
        <v/>
      </c>
      <c r="U516" s="45" t="n"/>
      <c r="V516" s="45" t="n"/>
      <c r="W516" s="45" t="n"/>
      <c r="X516" s="45" t="n"/>
      <c r="Y516" s="46">
        <f>IFERROR(__xludf.DUMMYFUNCTION("""COMPUTED_VALUE"""),45832)</f>
        <v/>
      </c>
      <c r="Z516" s="46">
        <f>IFERROR(__xludf.DUMMYFUNCTION("""COMPUTED_VALUE"""),45861)</f>
        <v/>
      </c>
      <c r="AA516" s="46">
        <f>IFERROR(__xludf.DUMMYFUNCTION("""COMPUTED_VALUE"""),45874)</f>
        <v/>
      </c>
      <c r="AB516" s="45">
        <f>IFERROR(__xludf.DUMMYFUNCTION("""COMPUTED_VALUE"""),"3500 Argentia Road")</f>
        <v/>
      </c>
      <c r="AC516" s="45" t="n"/>
      <c r="AD516" s="45">
        <f>IFERROR(__xludf.DUMMYFUNCTION("""COMPUTED_VALUE"""),"OCEAN")</f>
        <v/>
      </c>
      <c r="AE516" s="45">
        <f>IFERROR(__xludf.DUMMYFUNCTION("""COMPUTED_VALUE"""),"N")</f>
        <v/>
      </c>
      <c r="AF516" s="45" t="n"/>
      <c r="AG516" s="49">
        <f>IFERROR(__xludf.DUMMYFUNCTION("IFNA(vlookup(H516,IMPORTRANGE(""1vUGwO1n0QQGx9kKbO0_M5gmuhXZ6-LaxQxgrmJnzgP0"",""'TP# look up'!A:C""),3,0),"""")"),"")</f>
        <v/>
      </c>
      <c r="AH516" s="49">
        <f>LEFT(J516,2)</f>
        <v/>
      </c>
    </row>
    <row r="517" ht="12.75" customHeight="1">
      <c r="A517" s="45">
        <f>IFERROR(__xludf.DUMMYFUNCTION("""COMPUTED_VALUE"""),"Colombo")</f>
        <v/>
      </c>
      <c r="B517" s="45" t="n"/>
      <c r="C517" s="45">
        <f>IFERROR(__xludf.DUMMYFUNCTION("""COMPUTED_VALUE"""),3254508)</f>
        <v/>
      </c>
      <c r="D517" s="45" t="n"/>
      <c r="E517" s="45">
        <f>IFERROR(__xludf.DUMMYFUNCTION("""COMPUTED_VALUE"""),"CFS")</f>
        <v/>
      </c>
      <c r="F517" s="45">
        <f>IFERROR(__xludf.DUMMYFUNCTION("""COMPUTED_VALUE"""),"MAS AMITY PTE LTD")</f>
        <v/>
      </c>
      <c r="G517" s="45">
        <f>IFERROR(__xludf.DUMMYFUNCTION("""COMPUTED_VALUE"""),"MAS Active (Pvt) Ltd - Linea Intimo")</f>
        <v/>
      </c>
      <c r="H517" s="43">
        <f>IFERROR(__xludf.DUMMYFUNCTION("""COMPUTED_VALUE"""),454724680701)</f>
        <v/>
      </c>
      <c r="I517" s="45">
        <f>IFERROR(__xludf.DUMMYFUNCTION("""COMPUTED_VALUE"""),91018990)</f>
        <v/>
      </c>
      <c r="J517" s="45">
        <f>IFERROR(__xludf.DUMMYFUNCTION("""COMPUTED_VALUE"""),"LW1DMJS")</f>
        <v/>
      </c>
      <c r="K517" s="45">
        <f>IFERROR(__xludf.DUMMYFUNCTION("""COMPUTED_VALUE"""),"LW1DMJS-012826")</f>
        <v/>
      </c>
      <c r="L517" s="45">
        <f>IFERROR(__xludf.DUMMYFUNCTION("""COMPUTED_VALUE"""),21)</f>
        <v/>
      </c>
      <c r="M517" s="45">
        <f>IFERROR(__xludf.DUMMYFUNCTION("""COMPUTED_VALUE"""),2101)</f>
        <v/>
      </c>
      <c r="N517" s="45">
        <f>IFERROR(__xludf.DUMMYFUNCTION("""COMPUTED_VALUE"""),161.66)</f>
        <v/>
      </c>
      <c r="O517" s="45">
        <f>IFERROR(__xludf.DUMMYFUNCTION("""COMPUTED_VALUE"""),1.586)</f>
        <v/>
      </c>
      <c r="P517" s="45">
        <f>IFERROR(__xludf.DUMMYFUNCTION("""COMPUTED_VALUE"""),"Colombo, LK")</f>
        <v/>
      </c>
      <c r="Q517" s="45">
        <f>IFERROR(__xludf.DUMMYFUNCTION("""COMPUTED_VALUE"""),"New York, NY, US")</f>
        <v/>
      </c>
      <c r="R517" s="44">
        <f>IFERROR(__xludf.DUMMYFUNCTION("""COMPUTED_VALUE"""),45824)</f>
        <v/>
      </c>
      <c r="S517" s="44">
        <f>IFERROR(__xludf.DUMMYFUNCTION("""COMPUTED_VALUE"""),45888)</f>
        <v/>
      </c>
      <c r="T517" s="45">
        <f>IFERROR(__xludf.DUMMYFUNCTION("""COMPUTED_VALUE"""),"Milton, ON, CA")</f>
        <v/>
      </c>
      <c r="U517" s="45" t="n"/>
      <c r="V517" s="45" t="n"/>
      <c r="W517" s="45" t="n"/>
      <c r="X517" s="45" t="n"/>
      <c r="Y517" s="46">
        <f>IFERROR(__xludf.DUMMYFUNCTION("""COMPUTED_VALUE"""),45832)</f>
        <v/>
      </c>
      <c r="Z517" s="46">
        <f>IFERROR(__xludf.DUMMYFUNCTION("""COMPUTED_VALUE"""),45861)</f>
        <v/>
      </c>
      <c r="AA517" s="46">
        <f>IFERROR(__xludf.DUMMYFUNCTION("""COMPUTED_VALUE"""),45874)</f>
        <v/>
      </c>
      <c r="AB517" s="45">
        <f>IFERROR(__xludf.DUMMYFUNCTION("""COMPUTED_VALUE"""),"7211 Fifth Line")</f>
        <v/>
      </c>
      <c r="AC517" s="45" t="n"/>
      <c r="AD517" s="45">
        <f>IFERROR(__xludf.DUMMYFUNCTION("""COMPUTED_VALUE"""),"OCEAN")</f>
        <v/>
      </c>
      <c r="AE517" s="45">
        <f>IFERROR(__xludf.DUMMYFUNCTION("""COMPUTED_VALUE"""),"N")</f>
        <v/>
      </c>
      <c r="AF517" s="45" t="n"/>
      <c r="AG517" s="49">
        <f>IFERROR(__xludf.DUMMYFUNCTION("IFNA(vlookup(H517,IMPORTRANGE(""1vUGwO1n0QQGx9kKbO0_M5gmuhXZ6-LaxQxgrmJnzgP0"",""'TP# look up'!A:C""),3,0),"""")"),"")</f>
        <v/>
      </c>
      <c r="AH517" s="49">
        <f>LEFT(J517,2)</f>
        <v/>
      </c>
    </row>
    <row r="518" ht="12.75" customHeight="1">
      <c r="A518" s="45">
        <f>IFERROR(__xludf.DUMMYFUNCTION("""COMPUTED_VALUE"""),"Colombo")</f>
        <v/>
      </c>
      <c r="B518" s="45" t="n"/>
      <c r="C518" s="45">
        <f>IFERROR(__xludf.DUMMYFUNCTION("""COMPUTED_VALUE"""),3254508)</f>
        <v/>
      </c>
      <c r="D518" s="45" t="n"/>
      <c r="E518" s="45">
        <f>IFERROR(__xludf.DUMMYFUNCTION("""COMPUTED_VALUE"""),"CFS")</f>
        <v/>
      </c>
      <c r="F518" s="45">
        <f>IFERROR(__xludf.DUMMYFUNCTION("""COMPUTED_VALUE"""),"MAS AMITY PTE LTD")</f>
        <v/>
      </c>
      <c r="G518" s="45">
        <f>IFERROR(__xludf.DUMMYFUNCTION("""COMPUTED_VALUE"""),"MAS Active (Pvt) Ltd - Linea Intimo")</f>
        <v/>
      </c>
      <c r="H518" s="43">
        <f>IFERROR(__xludf.DUMMYFUNCTION("""COMPUTED_VALUE"""),454724758343)</f>
        <v/>
      </c>
      <c r="I518" s="45">
        <f>IFERROR(__xludf.DUMMYFUNCTION("""COMPUTED_VALUE"""),91019091)</f>
        <v/>
      </c>
      <c r="J518" s="45">
        <f>IFERROR(__xludf.DUMMYFUNCTION("""COMPUTED_VALUE"""),"LW1FAPS")</f>
        <v/>
      </c>
      <c r="K518" s="45">
        <f>IFERROR(__xludf.DUMMYFUNCTION("""COMPUTED_VALUE"""),"LW1FAPS-012826")</f>
        <v/>
      </c>
      <c r="L518" s="45">
        <f>IFERROR(__xludf.DUMMYFUNCTION("""COMPUTED_VALUE"""),5)</f>
        <v/>
      </c>
      <c r="M518" s="45">
        <f>IFERROR(__xludf.DUMMYFUNCTION("""COMPUTED_VALUE"""),322)</f>
        <v/>
      </c>
      <c r="N518" s="45">
        <f>IFERROR(__xludf.DUMMYFUNCTION("""COMPUTED_VALUE"""),20.167)</f>
        <v/>
      </c>
      <c r="O518" s="45">
        <f>IFERROR(__xludf.DUMMYFUNCTION("""COMPUTED_VALUE"""),0.276)</f>
        <v/>
      </c>
      <c r="P518" s="45">
        <f>IFERROR(__xludf.DUMMYFUNCTION("""COMPUTED_VALUE"""),"Colombo, LK")</f>
        <v/>
      </c>
      <c r="Q518" s="45">
        <f>IFERROR(__xludf.DUMMYFUNCTION("""COMPUTED_VALUE"""),"New York, NY, US")</f>
        <v/>
      </c>
      <c r="R518" s="44">
        <f>IFERROR(__xludf.DUMMYFUNCTION("""COMPUTED_VALUE"""),45824)</f>
        <v/>
      </c>
      <c r="S518" s="44">
        <f>IFERROR(__xludf.DUMMYFUNCTION("""COMPUTED_VALUE"""),45888)</f>
        <v/>
      </c>
      <c r="T518" s="45">
        <f>IFERROR(__xludf.DUMMYFUNCTION("""COMPUTED_VALUE"""),"Mississauga, ON, CA")</f>
        <v/>
      </c>
      <c r="U518" s="45" t="n"/>
      <c r="V518" s="45" t="n"/>
      <c r="W518" s="45" t="n"/>
      <c r="X518" s="45" t="n"/>
      <c r="Y518" s="46">
        <f>IFERROR(__xludf.DUMMYFUNCTION("""COMPUTED_VALUE"""),45832)</f>
        <v/>
      </c>
      <c r="Z518" s="46">
        <f>IFERROR(__xludf.DUMMYFUNCTION("""COMPUTED_VALUE"""),45861)</f>
        <v/>
      </c>
      <c r="AA518" s="46">
        <f>IFERROR(__xludf.DUMMYFUNCTION("""COMPUTED_VALUE"""),45874)</f>
        <v/>
      </c>
      <c r="AB518" s="45">
        <f>IFERROR(__xludf.DUMMYFUNCTION("""COMPUTED_VALUE"""),"3500 Argentia Road")</f>
        <v/>
      </c>
      <c r="AC518" s="45" t="n"/>
      <c r="AD518" s="45">
        <f>IFERROR(__xludf.DUMMYFUNCTION("""COMPUTED_VALUE"""),"OCEAN")</f>
        <v/>
      </c>
      <c r="AE518" s="45">
        <f>IFERROR(__xludf.DUMMYFUNCTION("""COMPUTED_VALUE"""),"N")</f>
        <v/>
      </c>
      <c r="AF518" s="45" t="n"/>
      <c r="AG518" s="49">
        <f>IFERROR(__xludf.DUMMYFUNCTION("IFNA(vlookup(H518,IMPORTRANGE(""1vUGwO1n0QQGx9kKbO0_M5gmuhXZ6-LaxQxgrmJnzgP0"",""'TP# look up'!A:C""),3,0),"""")"),"")</f>
        <v/>
      </c>
      <c r="AH518" s="49">
        <f>LEFT(J518,2)</f>
        <v/>
      </c>
    </row>
    <row r="519" ht="12.75" customHeight="1">
      <c r="A519" s="45">
        <f>IFERROR(__xludf.DUMMYFUNCTION("""COMPUTED_VALUE"""),"Colombo")</f>
        <v/>
      </c>
      <c r="B519" s="45" t="n"/>
      <c r="C519" s="45">
        <f>IFERROR(__xludf.DUMMYFUNCTION("""COMPUTED_VALUE"""),3254508)</f>
        <v/>
      </c>
      <c r="D519" s="45" t="n"/>
      <c r="E519" s="45">
        <f>IFERROR(__xludf.DUMMYFUNCTION("""COMPUTED_VALUE"""),"CFS")</f>
        <v/>
      </c>
      <c r="F519" s="45">
        <f>IFERROR(__xludf.DUMMYFUNCTION("""COMPUTED_VALUE"""),"MAS AMITY PTE LTD")</f>
        <v/>
      </c>
      <c r="G519" s="45">
        <f>IFERROR(__xludf.DUMMYFUNCTION("""COMPUTED_VALUE"""),"MAS Active (Pvt) Ltd - Linea Intimo")</f>
        <v/>
      </c>
      <c r="H519" s="43">
        <f>IFERROR(__xludf.DUMMYFUNCTION("""COMPUTED_VALUE"""),454724803920)</f>
        <v/>
      </c>
      <c r="I519" s="45">
        <f>IFERROR(__xludf.DUMMYFUNCTION("""COMPUTED_VALUE"""),91019028)</f>
        <v/>
      </c>
      <c r="J519" s="45">
        <f>IFERROR(__xludf.DUMMYFUNCTION("""COMPUTED_VALUE"""),"LW1DMJS")</f>
        <v/>
      </c>
      <c r="K519" s="45">
        <f>IFERROR(__xludf.DUMMYFUNCTION("""COMPUTED_VALUE"""),"LW1DMJS-0572")</f>
        <v/>
      </c>
      <c r="L519" s="45">
        <f>IFERROR(__xludf.DUMMYFUNCTION("""COMPUTED_VALUE"""),9)</f>
        <v/>
      </c>
      <c r="M519" s="45">
        <f>IFERROR(__xludf.DUMMYFUNCTION("""COMPUTED_VALUE"""),792)</f>
        <v/>
      </c>
      <c r="N519" s="45">
        <f>IFERROR(__xludf.DUMMYFUNCTION("""COMPUTED_VALUE"""),64.886)</f>
        <v/>
      </c>
      <c r="O519" s="45">
        <f>IFERROR(__xludf.DUMMYFUNCTION("""COMPUTED_VALUE"""),0.671)</f>
        <v/>
      </c>
      <c r="P519" s="45">
        <f>IFERROR(__xludf.DUMMYFUNCTION("""COMPUTED_VALUE"""),"Colombo, LK")</f>
        <v/>
      </c>
      <c r="Q519" s="45">
        <f>IFERROR(__xludf.DUMMYFUNCTION("""COMPUTED_VALUE"""),"New York, NY, US")</f>
        <v/>
      </c>
      <c r="R519" s="44">
        <f>IFERROR(__xludf.DUMMYFUNCTION("""COMPUTED_VALUE"""),45824)</f>
        <v/>
      </c>
      <c r="S519" s="44">
        <f>IFERROR(__xludf.DUMMYFUNCTION("""COMPUTED_VALUE"""),45888)</f>
        <v/>
      </c>
      <c r="T519" s="45">
        <f>IFERROR(__xludf.DUMMYFUNCTION("""COMPUTED_VALUE"""),"Mississauga, ON, CA")</f>
        <v/>
      </c>
      <c r="U519" s="45" t="n"/>
      <c r="V519" s="45" t="n"/>
      <c r="W519" s="45" t="n"/>
      <c r="X519" s="45" t="n"/>
      <c r="Y519" s="46">
        <f>IFERROR(__xludf.DUMMYFUNCTION("""COMPUTED_VALUE"""),45832)</f>
        <v/>
      </c>
      <c r="Z519" s="46">
        <f>IFERROR(__xludf.DUMMYFUNCTION("""COMPUTED_VALUE"""),45861)</f>
        <v/>
      </c>
      <c r="AA519" s="46">
        <f>IFERROR(__xludf.DUMMYFUNCTION("""COMPUTED_VALUE"""),45874)</f>
        <v/>
      </c>
      <c r="AB519" s="45">
        <f>IFERROR(__xludf.DUMMYFUNCTION("""COMPUTED_VALUE"""),"3500 Argentia Road")</f>
        <v/>
      </c>
      <c r="AC519" s="45" t="n"/>
      <c r="AD519" s="45">
        <f>IFERROR(__xludf.DUMMYFUNCTION("""COMPUTED_VALUE"""),"OCEAN")</f>
        <v/>
      </c>
      <c r="AE519" s="45">
        <f>IFERROR(__xludf.DUMMYFUNCTION("""COMPUTED_VALUE"""),"N")</f>
        <v/>
      </c>
      <c r="AF519" s="45" t="n"/>
      <c r="AG519" s="49">
        <f>IFERROR(__xludf.DUMMYFUNCTION("IFNA(vlookup(H519,IMPORTRANGE(""1vUGwO1n0QQGx9kKbO0_M5gmuhXZ6-LaxQxgrmJnzgP0"",""'TP# look up'!A:C""),3,0),"""")"),"")</f>
        <v/>
      </c>
      <c r="AH519" s="49">
        <f>LEFT(J519,2)</f>
        <v/>
      </c>
    </row>
    <row r="520" ht="12.75" customHeight="1">
      <c r="A520" s="45">
        <f>IFERROR(__xludf.DUMMYFUNCTION("""COMPUTED_VALUE"""),"Colombo")</f>
        <v/>
      </c>
      <c r="B520" s="45" t="n"/>
      <c r="C520" s="45">
        <f>IFERROR(__xludf.DUMMYFUNCTION("""COMPUTED_VALUE"""),3254508)</f>
        <v/>
      </c>
      <c r="D520" s="45" t="n"/>
      <c r="E520" s="45">
        <f>IFERROR(__xludf.DUMMYFUNCTION("""COMPUTED_VALUE"""),"CFS")</f>
        <v/>
      </c>
      <c r="F520" s="45">
        <f>IFERROR(__xludf.DUMMYFUNCTION("""COMPUTED_VALUE"""),"MAS AMITY PTE LTD")</f>
        <v/>
      </c>
      <c r="G520" s="45">
        <f>IFERROR(__xludf.DUMMYFUNCTION("""COMPUTED_VALUE"""),"MAS Active (Pvt) Ltd - Linea Intimo")</f>
        <v/>
      </c>
      <c r="H520" s="43">
        <f>IFERROR(__xludf.DUMMYFUNCTION("""COMPUTED_VALUE"""),454725048313)</f>
        <v/>
      </c>
      <c r="I520" s="45">
        <f>IFERROR(__xludf.DUMMYFUNCTION("""COMPUTED_VALUE"""),91019031)</f>
        <v/>
      </c>
      <c r="J520" s="45">
        <f>IFERROR(__xludf.DUMMYFUNCTION("""COMPUTED_VALUE"""),"LW1DMJS")</f>
        <v/>
      </c>
      <c r="K520" s="45">
        <f>IFERROR(__xludf.DUMMYFUNCTION("""COMPUTED_VALUE"""),"LW1DMJS-0572")</f>
        <v/>
      </c>
      <c r="L520" s="45">
        <f>IFERROR(__xludf.DUMMYFUNCTION("""COMPUTED_VALUE"""),7)</f>
        <v/>
      </c>
      <c r="M520" s="45">
        <f>IFERROR(__xludf.DUMMYFUNCTION("""COMPUTED_VALUE"""),549)</f>
        <v/>
      </c>
      <c r="N520" s="45">
        <f>IFERROR(__xludf.DUMMYFUNCTION("""COMPUTED_VALUE"""),49.487)</f>
        <v/>
      </c>
      <c r="O520" s="45">
        <f>IFERROR(__xludf.DUMMYFUNCTION("""COMPUTED_VALUE"""),0.513)</f>
        <v/>
      </c>
      <c r="P520" s="45">
        <f>IFERROR(__xludf.DUMMYFUNCTION("""COMPUTED_VALUE"""),"Colombo, LK")</f>
        <v/>
      </c>
      <c r="Q520" s="45">
        <f>IFERROR(__xludf.DUMMYFUNCTION("""COMPUTED_VALUE"""),"New York, NY, US")</f>
        <v/>
      </c>
      <c r="R520" s="44">
        <f>IFERROR(__xludf.DUMMYFUNCTION("""COMPUTED_VALUE"""),45824)</f>
        <v/>
      </c>
      <c r="S520" s="44">
        <f>IFERROR(__xludf.DUMMYFUNCTION("""COMPUTED_VALUE"""),45888)</f>
        <v/>
      </c>
      <c r="T520" s="45">
        <f>IFERROR(__xludf.DUMMYFUNCTION("""COMPUTED_VALUE"""),"Milton, ON, CA")</f>
        <v/>
      </c>
      <c r="U520" s="45" t="n"/>
      <c r="V520" s="45" t="n"/>
      <c r="W520" s="45" t="n"/>
      <c r="X520" s="45" t="n"/>
      <c r="Y520" s="46">
        <f>IFERROR(__xludf.DUMMYFUNCTION("""COMPUTED_VALUE"""),45832)</f>
        <v/>
      </c>
      <c r="Z520" s="46">
        <f>IFERROR(__xludf.DUMMYFUNCTION("""COMPUTED_VALUE"""),45861)</f>
        <v/>
      </c>
      <c r="AA520" s="46">
        <f>IFERROR(__xludf.DUMMYFUNCTION("""COMPUTED_VALUE"""),45874)</f>
        <v/>
      </c>
      <c r="AB520" s="45">
        <f>IFERROR(__xludf.DUMMYFUNCTION("""COMPUTED_VALUE"""),"7211 Fifth Line")</f>
        <v/>
      </c>
      <c r="AC520" s="45" t="n"/>
      <c r="AD520" s="45">
        <f>IFERROR(__xludf.DUMMYFUNCTION("""COMPUTED_VALUE"""),"OCEAN")</f>
        <v/>
      </c>
      <c r="AE520" s="45">
        <f>IFERROR(__xludf.DUMMYFUNCTION("""COMPUTED_VALUE"""),"N")</f>
        <v/>
      </c>
      <c r="AF520" s="45" t="n"/>
      <c r="AG520" s="49">
        <f>IFERROR(__xludf.DUMMYFUNCTION("IFNA(vlookup(H520,IMPORTRANGE(""1vUGwO1n0QQGx9kKbO0_M5gmuhXZ6-LaxQxgrmJnzgP0"",""'TP# look up'!A:C""),3,0),"""")"),"")</f>
        <v/>
      </c>
      <c r="AH520" s="49">
        <f>LEFT(J520,2)</f>
        <v/>
      </c>
    </row>
    <row r="521" ht="12.75" customHeight="1">
      <c r="A521" s="45">
        <f>IFERROR(__xludf.DUMMYFUNCTION("""COMPUTED_VALUE"""),"Colombo")</f>
        <v/>
      </c>
      <c r="B521" s="45" t="n"/>
      <c r="C521" s="45">
        <f>IFERROR(__xludf.DUMMYFUNCTION("""COMPUTED_VALUE"""),3254508)</f>
        <v/>
      </c>
      <c r="D521" s="45" t="n"/>
      <c r="E521" s="45">
        <f>IFERROR(__xludf.DUMMYFUNCTION("""COMPUTED_VALUE"""),"CFS")</f>
        <v/>
      </c>
      <c r="F521" s="45">
        <f>IFERROR(__xludf.DUMMYFUNCTION("""COMPUTED_VALUE"""),"MAS AMITY PTE LTD")</f>
        <v/>
      </c>
      <c r="G521" s="45">
        <f>IFERROR(__xludf.DUMMYFUNCTION("""COMPUTED_VALUE"""),"MAS Active (Pvt) Ltd - Linea Intimo")</f>
        <v/>
      </c>
      <c r="H521" s="43">
        <f>IFERROR(__xludf.DUMMYFUNCTION("""COMPUTED_VALUE"""),454725048506)</f>
        <v/>
      </c>
      <c r="I521" s="45">
        <f>IFERROR(__xludf.DUMMYFUNCTION("""COMPUTED_VALUE"""),91019041)</f>
        <v/>
      </c>
      <c r="J521" s="45">
        <f>IFERROR(__xludf.DUMMYFUNCTION("""COMPUTED_VALUE"""),"LW1DMJS")</f>
        <v/>
      </c>
      <c r="K521" s="45">
        <f>IFERROR(__xludf.DUMMYFUNCTION("""COMPUTED_VALUE"""),"LW1DMJS-012826")</f>
        <v/>
      </c>
      <c r="L521" s="45">
        <f>IFERROR(__xludf.DUMMYFUNCTION("""COMPUTED_VALUE"""),18)</f>
        <v/>
      </c>
      <c r="M521" s="45">
        <f>IFERROR(__xludf.DUMMYFUNCTION("""COMPUTED_VALUE"""),1938)</f>
        <v/>
      </c>
      <c r="N521" s="45">
        <f>IFERROR(__xludf.DUMMYFUNCTION("""COMPUTED_VALUE"""),149.72)</f>
        <v/>
      </c>
      <c r="O521" s="45">
        <f>IFERROR(__xludf.DUMMYFUNCTION("""COMPUTED_VALUE"""),1.428)</f>
        <v/>
      </c>
      <c r="P521" s="45">
        <f>IFERROR(__xludf.DUMMYFUNCTION("""COMPUTED_VALUE"""),"Colombo, LK")</f>
        <v/>
      </c>
      <c r="Q521" s="45">
        <f>IFERROR(__xludf.DUMMYFUNCTION("""COMPUTED_VALUE"""),"New York, NY, US")</f>
        <v/>
      </c>
      <c r="R521" s="44">
        <f>IFERROR(__xludf.DUMMYFUNCTION("""COMPUTED_VALUE"""),45824)</f>
        <v/>
      </c>
      <c r="S521" s="44">
        <f>IFERROR(__xludf.DUMMYFUNCTION("""COMPUTED_VALUE"""),45888)</f>
        <v/>
      </c>
      <c r="T521" s="45">
        <f>IFERROR(__xludf.DUMMYFUNCTION("""COMPUTED_VALUE"""),"Mississauga, ON, CA")</f>
        <v/>
      </c>
      <c r="U521" s="45" t="n"/>
      <c r="V521" s="45" t="n"/>
      <c r="W521" s="45" t="n"/>
      <c r="X521" s="45" t="n"/>
      <c r="Y521" s="46">
        <f>IFERROR(__xludf.DUMMYFUNCTION("""COMPUTED_VALUE"""),45832)</f>
        <v/>
      </c>
      <c r="Z521" s="46">
        <f>IFERROR(__xludf.DUMMYFUNCTION("""COMPUTED_VALUE"""),45861)</f>
        <v/>
      </c>
      <c r="AA521" s="46">
        <f>IFERROR(__xludf.DUMMYFUNCTION("""COMPUTED_VALUE"""),45874)</f>
        <v/>
      </c>
      <c r="AB521" s="45">
        <f>IFERROR(__xludf.DUMMYFUNCTION("""COMPUTED_VALUE"""),"3500 Argentia Road")</f>
        <v/>
      </c>
      <c r="AC521" s="45" t="n"/>
      <c r="AD521" s="45">
        <f>IFERROR(__xludf.DUMMYFUNCTION("""COMPUTED_VALUE"""),"OCEAN")</f>
        <v/>
      </c>
      <c r="AE521" s="45">
        <f>IFERROR(__xludf.DUMMYFUNCTION("""COMPUTED_VALUE"""),"N")</f>
        <v/>
      </c>
      <c r="AF521" s="45" t="n"/>
      <c r="AG521" s="49">
        <f>IFERROR(__xludf.DUMMYFUNCTION("IFNA(vlookup(H521,IMPORTRANGE(""1vUGwO1n0QQGx9kKbO0_M5gmuhXZ6-LaxQxgrmJnzgP0"",""'TP# look up'!A:C""),3,0),"""")"),"")</f>
        <v/>
      </c>
      <c r="AH521" s="49">
        <f>LEFT(J521,2)</f>
        <v/>
      </c>
    </row>
    <row r="522" ht="12.75" customHeight="1">
      <c r="A522" s="45">
        <f>IFERROR(__xludf.DUMMYFUNCTION("""COMPUTED_VALUE"""),"Colombo")</f>
        <v/>
      </c>
      <c r="B522" s="45" t="n"/>
      <c r="C522" s="45">
        <f>IFERROR(__xludf.DUMMYFUNCTION("""COMPUTED_VALUE"""),3254508)</f>
        <v/>
      </c>
      <c r="D522" s="45" t="n"/>
      <c r="E522" s="45">
        <f>IFERROR(__xludf.DUMMYFUNCTION("""COMPUTED_VALUE"""),"CFS")</f>
        <v/>
      </c>
      <c r="F522" s="45">
        <f>IFERROR(__xludf.DUMMYFUNCTION("""COMPUTED_VALUE"""),"MAS AMITY PTE LTD")</f>
        <v/>
      </c>
      <c r="G522" s="45">
        <f>IFERROR(__xludf.DUMMYFUNCTION("""COMPUTED_VALUE"""),"MAS Active (Pvt) Ltd - Linea Intimo")</f>
        <v/>
      </c>
      <c r="H522" s="43">
        <f>IFERROR(__xludf.DUMMYFUNCTION("""COMPUTED_VALUE"""),454725071476)</f>
        <v/>
      </c>
      <c r="I522" s="45">
        <f>IFERROR(__xludf.DUMMYFUNCTION("""COMPUTED_VALUE"""),91019056)</f>
        <v/>
      </c>
      <c r="J522" s="45">
        <f>IFERROR(__xludf.DUMMYFUNCTION("""COMPUTED_VALUE"""),"LW1ERWS")</f>
        <v/>
      </c>
      <c r="K522" s="45">
        <f>IFERROR(__xludf.DUMMYFUNCTION("""COMPUTED_VALUE"""),"LW1ERWS-012826")</f>
        <v/>
      </c>
      <c r="L522" s="45">
        <f>IFERROR(__xludf.DUMMYFUNCTION("""COMPUTED_VALUE"""),14)</f>
        <v/>
      </c>
      <c r="M522" s="45">
        <f>IFERROR(__xludf.DUMMYFUNCTION("""COMPUTED_VALUE"""),827)</f>
        <v/>
      </c>
      <c r="N522" s="45">
        <f>IFERROR(__xludf.DUMMYFUNCTION("""COMPUTED_VALUE"""),113.415)</f>
        <v/>
      </c>
      <c r="O522" s="45">
        <f>IFERROR(__xludf.DUMMYFUNCTION("""COMPUTED_VALUE"""),1.106)</f>
        <v/>
      </c>
      <c r="P522" s="45">
        <f>IFERROR(__xludf.DUMMYFUNCTION("""COMPUTED_VALUE"""),"Colombo, LK")</f>
        <v/>
      </c>
      <c r="Q522" s="45">
        <f>IFERROR(__xludf.DUMMYFUNCTION("""COMPUTED_VALUE"""),"New York, NY, US")</f>
        <v/>
      </c>
      <c r="R522" s="44">
        <f>IFERROR(__xludf.DUMMYFUNCTION("""COMPUTED_VALUE"""),45824)</f>
        <v/>
      </c>
      <c r="S522" s="44">
        <f>IFERROR(__xludf.DUMMYFUNCTION("""COMPUTED_VALUE"""),45888)</f>
        <v/>
      </c>
      <c r="T522" s="45">
        <f>IFERROR(__xludf.DUMMYFUNCTION("""COMPUTED_VALUE"""),"Mississauga, ON, CA")</f>
        <v/>
      </c>
      <c r="U522" s="45" t="n"/>
      <c r="V522" s="45" t="n"/>
      <c r="W522" s="45" t="n"/>
      <c r="X522" s="45" t="n"/>
      <c r="Y522" s="46">
        <f>IFERROR(__xludf.DUMMYFUNCTION("""COMPUTED_VALUE"""),45832)</f>
        <v/>
      </c>
      <c r="Z522" s="46">
        <f>IFERROR(__xludf.DUMMYFUNCTION("""COMPUTED_VALUE"""),45861)</f>
        <v/>
      </c>
      <c r="AA522" s="46">
        <f>IFERROR(__xludf.DUMMYFUNCTION("""COMPUTED_VALUE"""),45874)</f>
        <v/>
      </c>
      <c r="AB522" s="45">
        <f>IFERROR(__xludf.DUMMYFUNCTION("""COMPUTED_VALUE"""),"3500 Argentia Road")</f>
        <v/>
      </c>
      <c r="AC522" s="45" t="n"/>
      <c r="AD522" s="45">
        <f>IFERROR(__xludf.DUMMYFUNCTION("""COMPUTED_VALUE"""),"OCEAN")</f>
        <v/>
      </c>
      <c r="AE522" s="45">
        <f>IFERROR(__xludf.DUMMYFUNCTION("""COMPUTED_VALUE"""),"N")</f>
        <v/>
      </c>
      <c r="AF522" s="45" t="n"/>
      <c r="AG522" s="49">
        <f>IFERROR(__xludf.DUMMYFUNCTION("IFNA(vlookup(H522,IMPORTRANGE(""1vUGwO1n0QQGx9kKbO0_M5gmuhXZ6-LaxQxgrmJnzgP0"",""'TP# look up'!A:C""),3,0),"""")"),"")</f>
        <v/>
      </c>
      <c r="AH522" s="49">
        <f>LEFT(J522,2)</f>
        <v/>
      </c>
    </row>
    <row r="523" ht="12.75" customHeight="1">
      <c r="A523" s="45">
        <f>IFERROR(__xludf.DUMMYFUNCTION("""COMPUTED_VALUE"""),"Colombo")</f>
        <v/>
      </c>
      <c r="B523" s="45" t="n"/>
      <c r="C523" s="45">
        <f>IFERROR(__xludf.DUMMYFUNCTION("""COMPUTED_VALUE"""),3254508)</f>
        <v/>
      </c>
      <c r="D523" s="45" t="n"/>
      <c r="E523" s="45">
        <f>IFERROR(__xludf.DUMMYFUNCTION("""COMPUTED_VALUE"""),"CFS")</f>
        <v/>
      </c>
      <c r="F523" s="45">
        <f>IFERROR(__xludf.DUMMYFUNCTION("""COMPUTED_VALUE"""),"MAS AMITY PTE LTD")</f>
        <v/>
      </c>
      <c r="G523" s="45">
        <f>IFERROR(__xludf.DUMMYFUNCTION("""COMPUTED_VALUE"""),"MAS Active (Pvt) Ltd - Linea Intimo")</f>
        <v/>
      </c>
      <c r="H523" s="43">
        <f>IFERROR(__xludf.DUMMYFUNCTION("""COMPUTED_VALUE"""),454725479476)</f>
        <v/>
      </c>
      <c r="I523" s="45">
        <f>IFERROR(__xludf.DUMMYFUNCTION("""COMPUTED_VALUE"""),91019208)</f>
        <v/>
      </c>
      <c r="J523" s="45">
        <f>IFERROR(__xludf.DUMMYFUNCTION("""COMPUTED_VALUE"""),"LW1FAPS")</f>
        <v/>
      </c>
      <c r="K523" s="45">
        <f>IFERROR(__xludf.DUMMYFUNCTION("""COMPUTED_VALUE"""),"LW1FAPS-0572")</f>
        <v/>
      </c>
      <c r="L523" s="45">
        <f>IFERROR(__xludf.DUMMYFUNCTION("""COMPUTED_VALUE"""),2)</f>
        <v/>
      </c>
      <c r="M523" s="45">
        <f>IFERROR(__xludf.DUMMYFUNCTION("""COMPUTED_VALUE"""),60)</f>
        <v/>
      </c>
      <c r="N523" s="45">
        <f>IFERROR(__xludf.DUMMYFUNCTION("""COMPUTED_VALUE"""),4.514)</f>
        <v/>
      </c>
      <c r="O523" s="45">
        <f>IFERROR(__xludf.DUMMYFUNCTION("""COMPUTED_VALUE"""),0.079)</f>
        <v/>
      </c>
      <c r="P523" s="45">
        <f>IFERROR(__xludf.DUMMYFUNCTION("""COMPUTED_VALUE"""),"Colombo, LK")</f>
        <v/>
      </c>
      <c r="Q523" s="45">
        <f>IFERROR(__xludf.DUMMYFUNCTION("""COMPUTED_VALUE"""),"New York, NY, US")</f>
        <v/>
      </c>
      <c r="R523" s="44">
        <f>IFERROR(__xludf.DUMMYFUNCTION("""COMPUTED_VALUE"""),45824)</f>
        <v/>
      </c>
      <c r="S523" s="44">
        <f>IFERROR(__xludf.DUMMYFUNCTION("""COMPUTED_VALUE"""),45888)</f>
        <v/>
      </c>
      <c r="T523" s="45">
        <f>IFERROR(__xludf.DUMMYFUNCTION("""COMPUTED_VALUE"""),"Mississauga, ON, CA")</f>
        <v/>
      </c>
      <c r="U523" s="45" t="n"/>
      <c r="V523" s="45" t="n"/>
      <c r="W523" s="45" t="n"/>
      <c r="X523" s="45" t="n"/>
      <c r="Y523" s="46">
        <f>IFERROR(__xludf.DUMMYFUNCTION("""COMPUTED_VALUE"""),45832)</f>
        <v/>
      </c>
      <c r="Z523" s="46">
        <f>IFERROR(__xludf.DUMMYFUNCTION("""COMPUTED_VALUE"""),45861)</f>
        <v/>
      </c>
      <c r="AA523" s="46">
        <f>IFERROR(__xludf.DUMMYFUNCTION("""COMPUTED_VALUE"""),45874)</f>
        <v/>
      </c>
      <c r="AB523" s="45">
        <f>IFERROR(__xludf.DUMMYFUNCTION("""COMPUTED_VALUE"""),"3500 Argentia Road")</f>
        <v/>
      </c>
      <c r="AC523" s="45" t="n"/>
      <c r="AD523" s="45">
        <f>IFERROR(__xludf.DUMMYFUNCTION("""COMPUTED_VALUE"""),"OCEAN")</f>
        <v/>
      </c>
      <c r="AE523" s="45">
        <f>IFERROR(__xludf.DUMMYFUNCTION("""COMPUTED_VALUE"""),"N")</f>
        <v/>
      </c>
      <c r="AF523" s="45" t="n"/>
      <c r="AG523" s="49">
        <f>IFERROR(__xludf.DUMMYFUNCTION("IFNA(vlookup(H523,IMPORTRANGE(""1vUGwO1n0QQGx9kKbO0_M5gmuhXZ6-LaxQxgrmJnzgP0"",""'TP# look up'!A:C""),3,0),"""")"),"")</f>
        <v/>
      </c>
      <c r="AH523" s="49">
        <f>LEFT(J523,2)</f>
        <v/>
      </c>
    </row>
    <row r="524" ht="12.75" customHeight="1">
      <c r="A524" s="45">
        <f>IFERROR(__xludf.DUMMYFUNCTION("""COMPUTED_VALUE"""),"Colombo")</f>
        <v/>
      </c>
      <c r="B524" s="45" t="n"/>
      <c r="C524" s="45">
        <f>IFERROR(__xludf.DUMMYFUNCTION("""COMPUTED_VALUE"""),3254508)</f>
        <v/>
      </c>
      <c r="D524" s="45" t="n"/>
      <c r="E524" s="45">
        <f>IFERROR(__xludf.DUMMYFUNCTION("""COMPUTED_VALUE"""),"CFS")</f>
        <v/>
      </c>
      <c r="F524" s="45">
        <f>IFERROR(__xludf.DUMMYFUNCTION("""COMPUTED_VALUE"""),"MAS AMITY PTE LTD")</f>
        <v/>
      </c>
      <c r="G524" s="45">
        <f>IFERROR(__xludf.DUMMYFUNCTION("""COMPUTED_VALUE"""),"MAS Active (Pvt) Ltd - Linea Intimo")</f>
        <v/>
      </c>
      <c r="H524" s="43">
        <f>IFERROR(__xludf.DUMMYFUNCTION("""COMPUTED_VALUE"""),454725529445)</f>
        <v/>
      </c>
      <c r="I524" s="45">
        <f>IFERROR(__xludf.DUMMYFUNCTION("""COMPUTED_VALUE"""),91019190)</f>
        <v/>
      </c>
      <c r="J524" s="45">
        <f>IFERROR(__xludf.DUMMYFUNCTION("""COMPUTED_VALUE"""),"LW1FAPS")</f>
        <v/>
      </c>
      <c r="K524" s="45">
        <f>IFERROR(__xludf.DUMMYFUNCTION("""COMPUTED_VALUE"""),"LW1FAPS-012826")</f>
        <v/>
      </c>
      <c r="L524" s="45">
        <f>IFERROR(__xludf.DUMMYFUNCTION("""COMPUTED_VALUE"""),2)</f>
        <v/>
      </c>
      <c r="M524" s="45">
        <f>IFERROR(__xludf.DUMMYFUNCTION("""COMPUTED_VALUE"""),74)</f>
        <v/>
      </c>
      <c r="N524" s="45">
        <f>IFERROR(__xludf.DUMMYFUNCTION("""COMPUTED_VALUE"""),5.495)</f>
        <v/>
      </c>
      <c r="O524" s="45">
        <f>IFERROR(__xludf.DUMMYFUNCTION("""COMPUTED_VALUE"""),0.118)</f>
        <v/>
      </c>
      <c r="P524" s="45">
        <f>IFERROR(__xludf.DUMMYFUNCTION("""COMPUTED_VALUE"""),"Colombo, LK")</f>
        <v/>
      </c>
      <c r="Q524" s="45">
        <f>IFERROR(__xludf.DUMMYFUNCTION("""COMPUTED_VALUE"""),"New York, NY, US")</f>
        <v/>
      </c>
      <c r="R524" s="44">
        <f>IFERROR(__xludf.DUMMYFUNCTION("""COMPUTED_VALUE"""),45824)</f>
        <v/>
      </c>
      <c r="S524" s="44">
        <f>IFERROR(__xludf.DUMMYFUNCTION("""COMPUTED_VALUE"""),45888)</f>
        <v/>
      </c>
      <c r="T524" s="45">
        <f>IFERROR(__xludf.DUMMYFUNCTION("""COMPUTED_VALUE"""),"Mississauga, ON, CA")</f>
        <v/>
      </c>
      <c r="U524" s="45" t="n"/>
      <c r="V524" s="45" t="n"/>
      <c r="W524" s="45" t="n"/>
      <c r="X524" s="45" t="n"/>
      <c r="Y524" s="46">
        <f>IFERROR(__xludf.DUMMYFUNCTION("""COMPUTED_VALUE"""),45832)</f>
        <v/>
      </c>
      <c r="Z524" s="46">
        <f>IFERROR(__xludf.DUMMYFUNCTION("""COMPUTED_VALUE"""),45861)</f>
        <v/>
      </c>
      <c r="AA524" s="46">
        <f>IFERROR(__xludf.DUMMYFUNCTION("""COMPUTED_VALUE"""),45874)</f>
        <v/>
      </c>
      <c r="AB524" s="45">
        <f>IFERROR(__xludf.DUMMYFUNCTION("""COMPUTED_VALUE"""),"3500 Argentia Road")</f>
        <v/>
      </c>
      <c r="AC524" s="45" t="n"/>
      <c r="AD524" s="45">
        <f>IFERROR(__xludf.DUMMYFUNCTION("""COMPUTED_VALUE"""),"OCEAN")</f>
        <v/>
      </c>
      <c r="AE524" s="45">
        <f>IFERROR(__xludf.DUMMYFUNCTION("""COMPUTED_VALUE"""),"N")</f>
        <v/>
      </c>
      <c r="AF524" s="45" t="n"/>
      <c r="AG524" s="49">
        <f>IFERROR(__xludf.DUMMYFUNCTION("IFNA(vlookup(H524,IMPORTRANGE(""1vUGwO1n0QQGx9kKbO0_M5gmuhXZ6-LaxQxgrmJnzgP0"",""'TP# look up'!A:C""),3,0),"""")"),"")</f>
        <v/>
      </c>
      <c r="AH524" s="49">
        <f>LEFT(J524,2)</f>
        <v/>
      </c>
    </row>
    <row r="525" ht="12.75" customHeight="1">
      <c r="A525" s="45">
        <f>IFERROR(__xludf.DUMMYFUNCTION("""COMPUTED_VALUE"""),"Colombo")</f>
        <v/>
      </c>
      <c r="B525" s="45" t="n"/>
      <c r="C525" s="45">
        <f>IFERROR(__xludf.DUMMYFUNCTION("""COMPUTED_VALUE"""),3254508)</f>
        <v/>
      </c>
      <c r="D525" s="45" t="n"/>
      <c r="E525" s="45">
        <f>IFERROR(__xludf.DUMMYFUNCTION("""COMPUTED_VALUE"""),"CFS")</f>
        <v/>
      </c>
      <c r="F525" s="45">
        <f>IFERROR(__xludf.DUMMYFUNCTION("""COMPUTED_VALUE"""),"MAS AMITY PTE LTD")</f>
        <v/>
      </c>
      <c r="G525" s="45">
        <f>IFERROR(__xludf.DUMMYFUNCTION("""COMPUTED_VALUE"""),"MAS Active (Pvt) Ltd - Linea Intimo")</f>
        <v/>
      </c>
      <c r="H525" s="43">
        <f>IFERROR(__xludf.DUMMYFUNCTION("""COMPUTED_VALUE"""),454725656610)</f>
        <v/>
      </c>
      <c r="I525" s="45">
        <f>IFERROR(__xludf.DUMMYFUNCTION("""COMPUTED_VALUE"""),91019224)</f>
        <v/>
      </c>
      <c r="J525" s="45">
        <f>IFERROR(__xludf.DUMMYFUNCTION("""COMPUTED_VALUE"""),"LW1FAPS")</f>
        <v/>
      </c>
      <c r="K525" s="45">
        <f>IFERROR(__xludf.DUMMYFUNCTION("""COMPUTED_VALUE"""),"LW1FAPS-4780")</f>
        <v/>
      </c>
      <c r="L525" s="45">
        <f>IFERROR(__xludf.DUMMYFUNCTION("""COMPUTED_VALUE"""),2)</f>
        <v/>
      </c>
      <c r="M525" s="45">
        <f>IFERROR(__xludf.DUMMYFUNCTION("""COMPUTED_VALUE"""),126)</f>
        <v/>
      </c>
      <c r="N525" s="45">
        <f>IFERROR(__xludf.DUMMYFUNCTION("""COMPUTED_VALUE"""),7.981)</f>
        <v/>
      </c>
      <c r="O525" s="45">
        <f>IFERROR(__xludf.DUMMYFUNCTION("""COMPUTED_VALUE"""),0.118)</f>
        <v/>
      </c>
      <c r="P525" s="45">
        <f>IFERROR(__xludf.DUMMYFUNCTION("""COMPUTED_VALUE"""),"Colombo, LK")</f>
        <v/>
      </c>
      <c r="Q525" s="45">
        <f>IFERROR(__xludf.DUMMYFUNCTION("""COMPUTED_VALUE"""),"New York, NY, US")</f>
        <v/>
      </c>
      <c r="R525" s="44">
        <f>IFERROR(__xludf.DUMMYFUNCTION("""COMPUTED_VALUE"""),45824)</f>
        <v/>
      </c>
      <c r="S525" s="44">
        <f>IFERROR(__xludf.DUMMYFUNCTION("""COMPUTED_VALUE"""),45888)</f>
        <v/>
      </c>
      <c r="T525" s="45">
        <f>IFERROR(__xludf.DUMMYFUNCTION("""COMPUTED_VALUE"""),"Mississauga, ON, CA")</f>
        <v/>
      </c>
      <c r="U525" s="45" t="n"/>
      <c r="V525" s="45" t="n"/>
      <c r="W525" s="45" t="n"/>
      <c r="X525" s="45" t="n"/>
      <c r="Y525" s="46">
        <f>IFERROR(__xludf.DUMMYFUNCTION("""COMPUTED_VALUE"""),45832)</f>
        <v/>
      </c>
      <c r="Z525" s="46">
        <f>IFERROR(__xludf.DUMMYFUNCTION("""COMPUTED_VALUE"""),45861)</f>
        <v/>
      </c>
      <c r="AA525" s="46">
        <f>IFERROR(__xludf.DUMMYFUNCTION("""COMPUTED_VALUE"""),45874)</f>
        <v/>
      </c>
      <c r="AB525" s="45">
        <f>IFERROR(__xludf.DUMMYFUNCTION("""COMPUTED_VALUE"""),"3500 Argentia Road")</f>
        <v/>
      </c>
      <c r="AC525" s="45" t="n"/>
      <c r="AD525" s="45">
        <f>IFERROR(__xludf.DUMMYFUNCTION("""COMPUTED_VALUE"""),"OCEAN")</f>
        <v/>
      </c>
      <c r="AE525" s="45">
        <f>IFERROR(__xludf.DUMMYFUNCTION("""COMPUTED_VALUE"""),"N")</f>
        <v/>
      </c>
      <c r="AF525" s="45" t="n"/>
      <c r="AG525" s="49">
        <f>IFERROR(__xludf.DUMMYFUNCTION("IFNA(vlookup(H525,IMPORTRANGE(""1vUGwO1n0QQGx9kKbO0_M5gmuhXZ6-LaxQxgrmJnzgP0"",""'TP# look up'!A:C""),3,0),"""")"),"")</f>
        <v/>
      </c>
      <c r="AH525" s="49">
        <f>LEFT(J525,2)</f>
        <v/>
      </c>
    </row>
    <row r="526" ht="12.75" customHeight="1">
      <c r="A526" s="45">
        <f>IFERROR(__xludf.DUMMYFUNCTION("""COMPUTED_VALUE"""),"Colombo")</f>
        <v/>
      </c>
      <c r="B526" s="45" t="n"/>
      <c r="C526" s="45">
        <f>IFERROR(__xludf.DUMMYFUNCTION("""COMPUTED_VALUE"""),3254508)</f>
        <v/>
      </c>
      <c r="D526" s="45" t="n"/>
      <c r="E526" s="45">
        <f>IFERROR(__xludf.DUMMYFUNCTION("""COMPUTED_VALUE"""),"CFS")</f>
        <v/>
      </c>
      <c r="F526" s="45">
        <f>IFERROR(__xludf.DUMMYFUNCTION("""COMPUTED_VALUE"""),"MAS AMITY PTE LTD")</f>
        <v/>
      </c>
      <c r="G526" s="45">
        <f>IFERROR(__xludf.DUMMYFUNCTION("""COMPUTED_VALUE"""),"MAS Active (Pvt) Ltd - Linea Intimo")</f>
        <v/>
      </c>
      <c r="H526" s="43">
        <f>IFERROR(__xludf.DUMMYFUNCTION("""COMPUTED_VALUE"""),454725757512)</f>
        <v/>
      </c>
      <c r="I526" s="45">
        <f>IFERROR(__xludf.DUMMYFUNCTION("""COMPUTED_VALUE"""),91019235)</f>
        <v/>
      </c>
      <c r="J526" s="45">
        <f>IFERROR(__xludf.DUMMYFUNCTION("""COMPUTED_VALUE"""),"LW1FH4S")</f>
        <v/>
      </c>
      <c r="K526" s="45">
        <f>IFERROR(__xludf.DUMMYFUNCTION("""COMPUTED_VALUE"""),"LW1FH4S-071211")</f>
        <v/>
      </c>
      <c r="L526" s="45">
        <f>IFERROR(__xludf.DUMMYFUNCTION("""COMPUTED_VALUE"""),5)</f>
        <v/>
      </c>
      <c r="M526" s="45">
        <f>IFERROR(__xludf.DUMMYFUNCTION("""COMPUTED_VALUE"""),356)</f>
        <v/>
      </c>
      <c r="N526" s="45">
        <f>IFERROR(__xludf.DUMMYFUNCTION("""COMPUTED_VALUE"""),48.902)</f>
        <v/>
      </c>
      <c r="O526" s="45">
        <f>IFERROR(__xludf.DUMMYFUNCTION("""COMPUTED_VALUE"""),0.316)</f>
        <v/>
      </c>
      <c r="P526" s="45">
        <f>IFERROR(__xludf.DUMMYFUNCTION("""COMPUTED_VALUE"""),"Colombo, LK")</f>
        <v/>
      </c>
      <c r="Q526" s="45">
        <f>IFERROR(__xludf.DUMMYFUNCTION("""COMPUTED_VALUE"""),"New York, NY, US")</f>
        <v/>
      </c>
      <c r="R526" s="44">
        <f>IFERROR(__xludf.DUMMYFUNCTION("""COMPUTED_VALUE"""),45824)</f>
        <v/>
      </c>
      <c r="S526" s="44">
        <f>IFERROR(__xludf.DUMMYFUNCTION("""COMPUTED_VALUE"""),45888)</f>
        <v/>
      </c>
      <c r="T526" s="45">
        <f>IFERROR(__xludf.DUMMYFUNCTION("""COMPUTED_VALUE"""),"Mississauga, ON, CA")</f>
        <v/>
      </c>
      <c r="U526" s="45" t="n"/>
      <c r="V526" s="45" t="n"/>
      <c r="W526" s="45" t="n"/>
      <c r="X526" s="45" t="n"/>
      <c r="Y526" s="46">
        <f>IFERROR(__xludf.DUMMYFUNCTION("""COMPUTED_VALUE"""),45832)</f>
        <v/>
      </c>
      <c r="Z526" s="46">
        <f>IFERROR(__xludf.DUMMYFUNCTION("""COMPUTED_VALUE"""),45861)</f>
        <v/>
      </c>
      <c r="AA526" s="46">
        <f>IFERROR(__xludf.DUMMYFUNCTION("""COMPUTED_VALUE"""),45874)</f>
        <v/>
      </c>
      <c r="AB526" s="45">
        <f>IFERROR(__xludf.DUMMYFUNCTION("""COMPUTED_VALUE"""),"3500 Argentia Road")</f>
        <v/>
      </c>
      <c r="AC526" s="45" t="n"/>
      <c r="AD526" s="45">
        <f>IFERROR(__xludf.DUMMYFUNCTION("""COMPUTED_VALUE"""),"OCEAN")</f>
        <v/>
      </c>
      <c r="AE526" s="45">
        <f>IFERROR(__xludf.DUMMYFUNCTION("""COMPUTED_VALUE"""),"N")</f>
        <v/>
      </c>
      <c r="AF526" s="45" t="n"/>
      <c r="AG526" s="49">
        <f>IFERROR(__xludf.DUMMYFUNCTION("IFNA(vlookup(H526,IMPORTRANGE(""1vUGwO1n0QQGx9kKbO0_M5gmuhXZ6-LaxQxgrmJnzgP0"",""'TP# look up'!A:C""),3,0),"""")"),"")</f>
        <v/>
      </c>
      <c r="AH526" s="49">
        <f>LEFT(J526,2)</f>
        <v/>
      </c>
    </row>
    <row r="527" ht="12.75" customHeight="1">
      <c r="A527" s="45">
        <f>IFERROR(__xludf.DUMMYFUNCTION("""COMPUTED_VALUE"""),"Colombo")</f>
        <v/>
      </c>
      <c r="B527" s="45" t="n"/>
      <c r="C527" s="45">
        <f>IFERROR(__xludf.DUMMYFUNCTION("""COMPUTED_VALUE"""),3254508)</f>
        <v/>
      </c>
      <c r="D527" s="45" t="n"/>
      <c r="E527" s="45">
        <f>IFERROR(__xludf.DUMMYFUNCTION("""COMPUTED_VALUE"""),"CFS")</f>
        <v/>
      </c>
      <c r="F527" s="45">
        <f>IFERROR(__xludf.DUMMYFUNCTION("""COMPUTED_VALUE"""),"MAS AMITY PTE LTD")</f>
        <v/>
      </c>
      <c r="G527" s="45">
        <f>IFERROR(__xludf.DUMMYFUNCTION("""COMPUTED_VALUE"""),"MAS Active (Pvt) Ltd - Linea Intimo")</f>
        <v/>
      </c>
      <c r="H527" s="43">
        <f>IFERROR(__xludf.DUMMYFUNCTION("""COMPUTED_VALUE"""),454725863744)</f>
        <v/>
      </c>
      <c r="I527" s="45">
        <f>IFERROR(__xludf.DUMMYFUNCTION("""COMPUTED_VALUE"""),91019242)</f>
        <v/>
      </c>
      <c r="J527" s="45">
        <f>IFERROR(__xludf.DUMMYFUNCTION("""COMPUTED_VALUE"""),"LW1FH4S")</f>
        <v/>
      </c>
      <c r="K527" s="45">
        <f>IFERROR(__xludf.DUMMYFUNCTION("""COMPUTED_VALUE"""),"LW1FH4S-071211")</f>
        <v/>
      </c>
      <c r="L527" s="45">
        <f>IFERROR(__xludf.DUMMYFUNCTION("""COMPUTED_VALUE"""),2)</f>
        <v/>
      </c>
      <c r="M527" s="45">
        <f>IFERROR(__xludf.DUMMYFUNCTION("""COMPUTED_VALUE"""),93)</f>
        <v/>
      </c>
      <c r="N527" s="45">
        <f>IFERROR(__xludf.DUMMYFUNCTION("""COMPUTED_VALUE"""),13.1)</f>
        <v/>
      </c>
      <c r="O527" s="45">
        <f>IFERROR(__xludf.DUMMYFUNCTION("""COMPUTED_VALUE"""),0.079)</f>
        <v/>
      </c>
      <c r="P527" s="45">
        <f>IFERROR(__xludf.DUMMYFUNCTION("""COMPUTED_VALUE"""),"Colombo, LK")</f>
        <v/>
      </c>
      <c r="Q527" s="45">
        <f>IFERROR(__xludf.DUMMYFUNCTION("""COMPUTED_VALUE"""),"New York, NY, US")</f>
        <v/>
      </c>
      <c r="R527" s="44">
        <f>IFERROR(__xludf.DUMMYFUNCTION("""COMPUTED_VALUE"""),45824)</f>
        <v/>
      </c>
      <c r="S527" s="44">
        <f>IFERROR(__xludf.DUMMYFUNCTION("""COMPUTED_VALUE"""),45888)</f>
        <v/>
      </c>
      <c r="T527" s="45">
        <f>IFERROR(__xludf.DUMMYFUNCTION("""COMPUTED_VALUE"""),"Mississauga, ON, CA")</f>
        <v/>
      </c>
      <c r="U527" s="45" t="n"/>
      <c r="V527" s="45" t="n"/>
      <c r="W527" s="45" t="n"/>
      <c r="X527" s="45" t="n"/>
      <c r="Y527" s="46">
        <f>IFERROR(__xludf.DUMMYFUNCTION("""COMPUTED_VALUE"""),45832)</f>
        <v/>
      </c>
      <c r="Z527" s="46">
        <f>IFERROR(__xludf.DUMMYFUNCTION("""COMPUTED_VALUE"""),45861)</f>
        <v/>
      </c>
      <c r="AA527" s="46">
        <f>IFERROR(__xludf.DUMMYFUNCTION("""COMPUTED_VALUE"""),45874)</f>
        <v/>
      </c>
      <c r="AB527" s="45">
        <f>IFERROR(__xludf.DUMMYFUNCTION("""COMPUTED_VALUE"""),"3500 Argentia Road")</f>
        <v/>
      </c>
      <c r="AC527" s="45" t="n"/>
      <c r="AD527" s="45">
        <f>IFERROR(__xludf.DUMMYFUNCTION("""COMPUTED_VALUE"""),"OCEAN")</f>
        <v/>
      </c>
      <c r="AE527" s="45">
        <f>IFERROR(__xludf.DUMMYFUNCTION("""COMPUTED_VALUE"""),"N")</f>
        <v/>
      </c>
      <c r="AF527" s="45" t="n"/>
      <c r="AG527" s="49">
        <f>IFERROR(__xludf.DUMMYFUNCTION("IFNA(vlookup(H527,IMPORTRANGE(""1vUGwO1n0QQGx9kKbO0_M5gmuhXZ6-LaxQxgrmJnzgP0"",""'TP# look up'!A:C""),3,0),"""")"),"")</f>
        <v/>
      </c>
      <c r="AH527" s="49">
        <f>LEFT(J527,2)</f>
        <v/>
      </c>
    </row>
    <row r="528" ht="12.75" customHeight="1">
      <c r="A528" s="45">
        <f>IFERROR(__xludf.DUMMYFUNCTION("""COMPUTED_VALUE"""),"Colombo")</f>
        <v/>
      </c>
      <c r="B528" s="45" t="n"/>
      <c r="C528" s="45">
        <f>IFERROR(__xludf.DUMMYFUNCTION("""COMPUTED_VALUE"""),3254508)</f>
        <v/>
      </c>
      <c r="D528" s="45" t="n"/>
      <c r="E528" s="45">
        <f>IFERROR(__xludf.DUMMYFUNCTION("""COMPUTED_VALUE"""),"CFS")</f>
        <v/>
      </c>
      <c r="F528" s="45">
        <f>IFERROR(__xludf.DUMMYFUNCTION("""COMPUTED_VALUE"""),"MAS AMITY PTE LTD")</f>
        <v/>
      </c>
      <c r="G528" s="45">
        <f>IFERROR(__xludf.DUMMYFUNCTION("""COMPUTED_VALUE"""),"MAS Active (Pvt) Ltd - Linea Intimo")</f>
        <v/>
      </c>
      <c r="H528" s="43">
        <f>IFERROR(__xludf.DUMMYFUNCTION("""COMPUTED_VALUE"""),454725864133)</f>
        <v/>
      </c>
      <c r="I528" s="45">
        <f>IFERROR(__xludf.DUMMYFUNCTION("""COMPUTED_VALUE"""),91019333)</f>
        <v/>
      </c>
      <c r="J528" s="45">
        <f>IFERROR(__xludf.DUMMYFUNCTION("""COMPUTED_VALUE"""),"LW1FAPS")</f>
        <v/>
      </c>
      <c r="K528" s="45">
        <f>IFERROR(__xludf.DUMMYFUNCTION("""COMPUTED_VALUE"""),"LW1FAPS-0572")</f>
        <v/>
      </c>
      <c r="L528" s="45">
        <f>IFERROR(__xludf.DUMMYFUNCTION("""COMPUTED_VALUE"""),4)</f>
        <v/>
      </c>
      <c r="M528" s="45">
        <f>IFERROR(__xludf.DUMMYFUNCTION("""COMPUTED_VALUE"""),263)</f>
        <v/>
      </c>
      <c r="N528" s="45">
        <f>IFERROR(__xludf.DUMMYFUNCTION("""COMPUTED_VALUE"""),16.83)</f>
        <v/>
      </c>
      <c r="O528" s="45">
        <f>IFERROR(__xludf.DUMMYFUNCTION("""COMPUTED_VALUE"""),0.276)</f>
        <v/>
      </c>
      <c r="P528" s="45">
        <f>IFERROR(__xludf.DUMMYFUNCTION("""COMPUTED_VALUE"""),"Colombo, LK")</f>
        <v/>
      </c>
      <c r="Q528" s="45">
        <f>IFERROR(__xludf.DUMMYFUNCTION("""COMPUTED_VALUE"""),"New York, NY, US")</f>
        <v/>
      </c>
      <c r="R528" s="44">
        <f>IFERROR(__xludf.DUMMYFUNCTION("""COMPUTED_VALUE"""),45824)</f>
        <v/>
      </c>
      <c r="S528" s="44">
        <f>IFERROR(__xludf.DUMMYFUNCTION("""COMPUTED_VALUE"""),45888)</f>
        <v/>
      </c>
      <c r="T528" s="45">
        <f>IFERROR(__xludf.DUMMYFUNCTION("""COMPUTED_VALUE"""),"Mississauga, ON, CA")</f>
        <v/>
      </c>
      <c r="U528" s="45" t="n"/>
      <c r="V528" s="45" t="n"/>
      <c r="W528" s="45" t="n"/>
      <c r="X528" s="45" t="n"/>
      <c r="Y528" s="46">
        <f>IFERROR(__xludf.DUMMYFUNCTION("""COMPUTED_VALUE"""),45832)</f>
        <v/>
      </c>
      <c r="Z528" s="46">
        <f>IFERROR(__xludf.DUMMYFUNCTION("""COMPUTED_VALUE"""),45861)</f>
        <v/>
      </c>
      <c r="AA528" s="46">
        <f>IFERROR(__xludf.DUMMYFUNCTION("""COMPUTED_VALUE"""),45874)</f>
        <v/>
      </c>
      <c r="AB528" s="45">
        <f>IFERROR(__xludf.DUMMYFUNCTION("""COMPUTED_VALUE"""),"3500 Argentia Road")</f>
        <v/>
      </c>
      <c r="AC528" s="45" t="n"/>
      <c r="AD528" s="45">
        <f>IFERROR(__xludf.DUMMYFUNCTION("""COMPUTED_VALUE"""),"OCEAN")</f>
        <v/>
      </c>
      <c r="AE528" s="45">
        <f>IFERROR(__xludf.DUMMYFUNCTION("""COMPUTED_VALUE"""),"N")</f>
        <v/>
      </c>
      <c r="AF528" s="45" t="n"/>
      <c r="AG528" s="49">
        <f>IFERROR(__xludf.DUMMYFUNCTION("IFNA(vlookup(H528,IMPORTRANGE(""1vUGwO1n0QQGx9kKbO0_M5gmuhXZ6-LaxQxgrmJnzgP0"",""'TP# look up'!A:C""),3,0),"""")"),"")</f>
        <v/>
      </c>
      <c r="AH528" s="49">
        <f>LEFT(J528,2)</f>
        <v/>
      </c>
    </row>
    <row r="529" ht="12.75" customHeight="1">
      <c r="A529" s="45">
        <f>IFERROR(__xludf.DUMMYFUNCTION("""COMPUTED_VALUE"""),"Colombo")</f>
        <v/>
      </c>
      <c r="B529" s="45" t="n"/>
      <c r="C529" s="45">
        <f>IFERROR(__xludf.DUMMYFUNCTION("""COMPUTED_VALUE"""),3254508)</f>
        <v/>
      </c>
      <c r="D529" s="45" t="n"/>
      <c r="E529" s="45">
        <f>IFERROR(__xludf.DUMMYFUNCTION("""COMPUTED_VALUE"""),"CFS")</f>
        <v/>
      </c>
      <c r="F529" s="45">
        <f>IFERROR(__xludf.DUMMYFUNCTION("""COMPUTED_VALUE"""),"MAS AMITY PTE LTD")</f>
        <v/>
      </c>
      <c r="G529" s="45">
        <f>IFERROR(__xludf.DUMMYFUNCTION("""COMPUTED_VALUE"""),"MAS Active (Pvt) Ltd - Linea Intimo")</f>
        <v/>
      </c>
      <c r="H529" s="43">
        <f>IFERROR(__xludf.DUMMYFUNCTION("""COMPUTED_VALUE"""),454725919857)</f>
        <v/>
      </c>
      <c r="I529" s="45">
        <f>IFERROR(__xludf.DUMMYFUNCTION("""COMPUTED_VALUE"""),91019338)</f>
        <v/>
      </c>
      <c r="J529" s="45">
        <f>IFERROR(__xludf.DUMMYFUNCTION("""COMPUTED_VALUE"""),"LW1FAPS")</f>
        <v/>
      </c>
      <c r="K529" s="45">
        <f>IFERROR(__xludf.DUMMYFUNCTION("""COMPUTED_VALUE"""),"LW1FAPS-4780")</f>
        <v/>
      </c>
      <c r="L529" s="45">
        <f>IFERROR(__xludf.DUMMYFUNCTION("""COMPUTED_VALUE"""),5)</f>
        <v/>
      </c>
      <c r="M529" s="45">
        <f>IFERROR(__xludf.DUMMYFUNCTION("""COMPUTED_VALUE"""),406)</f>
        <v/>
      </c>
      <c r="N529" s="45">
        <f>IFERROR(__xludf.DUMMYFUNCTION("""COMPUTED_VALUE"""),24.841)</f>
        <v/>
      </c>
      <c r="O529" s="45">
        <f>IFERROR(__xludf.DUMMYFUNCTION("""COMPUTED_VALUE"""),0.355)</f>
        <v/>
      </c>
      <c r="P529" s="45">
        <f>IFERROR(__xludf.DUMMYFUNCTION("""COMPUTED_VALUE"""),"Colombo, LK")</f>
        <v/>
      </c>
      <c r="Q529" s="45">
        <f>IFERROR(__xludf.DUMMYFUNCTION("""COMPUTED_VALUE"""),"New York, NY, US")</f>
        <v/>
      </c>
      <c r="R529" s="44">
        <f>IFERROR(__xludf.DUMMYFUNCTION("""COMPUTED_VALUE"""),45824)</f>
        <v/>
      </c>
      <c r="S529" s="44">
        <f>IFERROR(__xludf.DUMMYFUNCTION("""COMPUTED_VALUE"""),45888)</f>
        <v/>
      </c>
      <c r="T529" s="45">
        <f>IFERROR(__xludf.DUMMYFUNCTION("""COMPUTED_VALUE"""),"Mississauga, ON, CA")</f>
        <v/>
      </c>
      <c r="U529" s="45" t="n"/>
      <c r="V529" s="45" t="n"/>
      <c r="W529" s="45" t="n"/>
      <c r="X529" s="45" t="n"/>
      <c r="Y529" s="46">
        <f>IFERROR(__xludf.DUMMYFUNCTION("""COMPUTED_VALUE"""),45832)</f>
        <v/>
      </c>
      <c r="Z529" s="46">
        <f>IFERROR(__xludf.DUMMYFUNCTION("""COMPUTED_VALUE"""),45861)</f>
        <v/>
      </c>
      <c r="AA529" s="46">
        <f>IFERROR(__xludf.DUMMYFUNCTION("""COMPUTED_VALUE"""),45874)</f>
        <v/>
      </c>
      <c r="AB529" s="45">
        <f>IFERROR(__xludf.DUMMYFUNCTION("""COMPUTED_VALUE"""),"3500 Argentia Road")</f>
        <v/>
      </c>
      <c r="AC529" s="45" t="n"/>
      <c r="AD529" s="45">
        <f>IFERROR(__xludf.DUMMYFUNCTION("""COMPUTED_VALUE"""),"OCEAN")</f>
        <v/>
      </c>
      <c r="AE529" s="45">
        <f>IFERROR(__xludf.DUMMYFUNCTION("""COMPUTED_VALUE"""),"N")</f>
        <v/>
      </c>
      <c r="AF529" s="45" t="n"/>
      <c r="AG529" s="49">
        <f>IFERROR(__xludf.DUMMYFUNCTION("IFNA(vlookup(H529,IMPORTRANGE(""1vUGwO1n0QQGx9kKbO0_M5gmuhXZ6-LaxQxgrmJnzgP0"",""'TP# look up'!A:C""),3,0),"""")"),"")</f>
        <v/>
      </c>
      <c r="AH529" s="49">
        <f>LEFT(J529,2)</f>
        <v/>
      </c>
    </row>
    <row r="530" ht="12.75" customHeight="1">
      <c r="A530" s="45">
        <f>IFERROR(__xludf.DUMMYFUNCTION("""COMPUTED_VALUE"""),"Colombo")</f>
        <v/>
      </c>
      <c r="B530" s="45" t="n"/>
      <c r="C530" s="45">
        <f>IFERROR(__xludf.DUMMYFUNCTION("""COMPUTED_VALUE"""),3254508)</f>
        <v/>
      </c>
      <c r="D530" s="45" t="n"/>
      <c r="E530" s="45">
        <f>IFERROR(__xludf.DUMMYFUNCTION("""COMPUTED_VALUE"""),"CFS")</f>
        <v/>
      </c>
      <c r="F530" s="45">
        <f>IFERROR(__xludf.DUMMYFUNCTION("""COMPUTED_VALUE"""),"MAS AMITY PTE LTD")</f>
        <v/>
      </c>
      <c r="G530" s="45">
        <f>IFERROR(__xludf.DUMMYFUNCTION("""COMPUTED_VALUE"""),"MAS Active (Pvt) Ltd – Sleekline")</f>
        <v/>
      </c>
      <c r="H530" s="43">
        <f>IFERROR(__xludf.DUMMYFUNCTION("""COMPUTED_VALUE"""),454770292169)</f>
        <v/>
      </c>
      <c r="I530" s="45">
        <f>IFERROR(__xludf.DUMMYFUNCTION("""COMPUTED_VALUE"""),19936234)</f>
        <v/>
      </c>
      <c r="J530" s="45">
        <f>IFERROR(__xludf.DUMMYFUNCTION("""COMPUTED_VALUE"""),"LM9B91S")</f>
        <v/>
      </c>
      <c r="K530" s="45">
        <f>IFERROR(__xludf.DUMMYFUNCTION("""COMPUTED_VALUE"""),"LM9B91S-072075")</f>
        <v/>
      </c>
      <c r="L530" s="45">
        <f>IFERROR(__xludf.DUMMYFUNCTION("""COMPUTED_VALUE"""),3)</f>
        <v/>
      </c>
      <c r="M530" s="45">
        <f>IFERROR(__xludf.DUMMYFUNCTION("""COMPUTED_VALUE"""),90)</f>
        <v/>
      </c>
      <c r="N530" s="45">
        <f>IFERROR(__xludf.DUMMYFUNCTION("""COMPUTED_VALUE"""),25.31)</f>
        <v/>
      </c>
      <c r="O530" s="45">
        <f>IFERROR(__xludf.DUMMYFUNCTION("""COMPUTED_VALUE"""),0.238)</f>
        <v/>
      </c>
      <c r="P530" s="45">
        <f>IFERROR(__xludf.DUMMYFUNCTION("""COMPUTED_VALUE"""),"Colombo, LK")</f>
        <v/>
      </c>
      <c r="Q530" s="45">
        <f>IFERROR(__xludf.DUMMYFUNCTION("""COMPUTED_VALUE"""),"New York, NY, US")</f>
        <v/>
      </c>
      <c r="R530" s="44">
        <f>IFERROR(__xludf.DUMMYFUNCTION("""COMPUTED_VALUE"""),45824)</f>
        <v/>
      </c>
      <c r="S530" s="44">
        <f>IFERROR(__xludf.DUMMYFUNCTION("""COMPUTED_VALUE"""),45883)</f>
        <v/>
      </c>
      <c r="T530" s="45">
        <f>IFERROR(__xludf.DUMMYFUNCTION("""COMPUTED_VALUE"""),"Mississauga, ON, CA")</f>
        <v/>
      </c>
      <c r="U530" s="45" t="n"/>
      <c r="V530" s="45" t="n"/>
      <c r="W530" s="45" t="n"/>
      <c r="X530" s="45" t="n"/>
      <c r="Y530" s="46">
        <f>IFERROR(__xludf.DUMMYFUNCTION("""COMPUTED_VALUE"""),45832)</f>
        <v/>
      </c>
      <c r="Z530" s="46">
        <f>IFERROR(__xludf.DUMMYFUNCTION("""COMPUTED_VALUE"""),45861)</f>
        <v/>
      </c>
      <c r="AA530" s="46">
        <f>IFERROR(__xludf.DUMMYFUNCTION("""COMPUTED_VALUE"""),45874)</f>
        <v/>
      </c>
      <c r="AB530" s="45">
        <f>IFERROR(__xludf.DUMMYFUNCTION("""COMPUTED_VALUE"""),"3500 Argentia Road")</f>
        <v/>
      </c>
      <c r="AC530" s="45" t="n"/>
      <c r="AD530" s="45">
        <f>IFERROR(__xludf.DUMMYFUNCTION("""COMPUTED_VALUE"""),"OCEAN")</f>
        <v/>
      </c>
      <c r="AE530" s="45">
        <f>IFERROR(__xludf.DUMMYFUNCTION("""COMPUTED_VALUE"""),"N")</f>
        <v/>
      </c>
      <c r="AF530" s="45" t="n"/>
      <c r="AG530" s="49">
        <f>IFERROR(__xludf.DUMMYFUNCTION("IFNA(vlookup(H530,IMPORTRANGE(""1vUGwO1n0QQGx9kKbO0_M5gmuhXZ6-LaxQxgrmJnzgP0"",""'TP# look up'!A:C""),3,0),"""")"),"")</f>
        <v/>
      </c>
      <c r="AH530" s="49">
        <f>LEFT(J530,2)</f>
        <v/>
      </c>
    </row>
    <row r="531" ht="12.75" customHeight="1">
      <c r="A531" s="45">
        <f>IFERROR(__xludf.DUMMYFUNCTION("""COMPUTED_VALUE"""),"Colombo")</f>
        <v/>
      </c>
      <c r="B531" s="45" t="n"/>
      <c r="C531" s="45">
        <f>IFERROR(__xludf.DUMMYFUNCTION("""COMPUTED_VALUE"""),3254508)</f>
        <v/>
      </c>
      <c r="D531" s="45" t="n"/>
      <c r="E531" s="45">
        <f>IFERROR(__xludf.DUMMYFUNCTION("""COMPUTED_VALUE"""),"CFS")</f>
        <v/>
      </c>
      <c r="F531" s="45">
        <f>IFERROR(__xludf.DUMMYFUNCTION("""COMPUTED_VALUE"""),"MAS AMITY PTE LTD")</f>
        <v/>
      </c>
      <c r="G531" s="45">
        <f>IFERROR(__xludf.DUMMYFUNCTION("""COMPUTED_VALUE"""),"MAS Active (Pvt) Ltd – Sleekline")</f>
        <v/>
      </c>
      <c r="H531" s="43">
        <f>IFERROR(__xludf.DUMMYFUNCTION("""COMPUTED_VALUE"""),454776741148)</f>
        <v/>
      </c>
      <c r="I531" s="45">
        <f>IFERROR(__xludf.DUMMYFUNCTION("""COMPUTED_VALUE"""),19936208)</f>
        <v/>
      </c>
      <c r="J531" s="45">
        <f>IFERROR(__xludf.DUMMYFUNCTION("""COMPUTED_VALUE"""),"LM9B91S")</f>
        <v/>
      </c>
      <c r="K531" s="45">
        <f>IFERROR(__xludf.DUMMYFUNCTION("""COMPUTED_VALUE"""),"LM9B91S-072079")</f>
        <v/>
      </c>
      <c r="L531" s="45">
        <f>IFERROR(__xludf.DUMMYFUNCTION("""COMPUTED_VALUE"""),3)</f>
        <v/>
      </c>
      <c r="M531" s="45">
        <f>IFERROR(__xludf.DUMMYFUNCTION("""COMPUTED_VALUE"""),104)</f>
        <v/>
      </c>
      <c r="N531" s="45">
        <f>IFERROR(__xludf.DUMMYFUNCTION("""COMPUTED_VALUE"""),28.77)</f>
        <v/>
      </c>
      <c r="O531" s="45">
        <f>IFERROR(__xludf.DUMMYFUNCTION("""COMPUTED_VALUE"""),0.238)</f>
        <v/>
      </c>
      <c r="P531" s="45">
        <f>IFERROR(__xludf.DUMMYFUNCTION("""COMPUTED_VALUE"""),"Colombo, LK")</f>
        <v/>
      </c>
      <c r="Q531" s="45">
        <f>IFERROR(__xludf.DUMMYFUNCTION("""COMPUTED_VALUE"""),"New York, NY, US")</f>
        <v/>
      </c>
      <c r="R531" s="44">
        <f>IFERROR(__xludf.DUMMYFUNCTION("""COMPUTED_VALUE"""),45824)</f>
        <v/>
      </c>
      <c r="S531" s="44">
        <f>IFERROR(__xludf.DUMMYFUNCTION("""COMPUTED_VALUE"""),45883)</f>
        <v/>
      </c>
      <c r="T531" s="45">
        <f>IFERROR(__xludf.DUMMYFUNCTION("""COMPUTED_VALUE"""),"Mississauga, ON, CA")</f>
        <v/>
      </c>
      <c r="U531" s="45" t="n"/>
      <c r="V531" s="45" t="n"/>
      <c r="W531" s="45" t="n"/>
      <c r="X531" s="45" t="n"/>
      <c r="Y531" s="46">
        <f>IFERROR(__xludf.DUMMYFUNCTION("""COMPUTED_VALUE"""),45832)</f>
        <v/>
      </c>
      <c r="Z531" s="46">
        <f>IFERROR(__xludf.DUMMYFUNCTION("""COMPUTED_VALUE"""),45861)</f>
        <v/>
      </c>
      <c r="AA531" s="46">
        <f>IFERROR(__xludf.DUMMYFUNCTION("""COMPUTED_VALUE"""),45874)</f>
        <v/>
      </c>
      <c r="AB531" s="45">
        <f>IFERROR(__xludf.DUMMYFUNCTION("""COMPUTED_VALUE"""),"3500 Argentia Road")</f>
        <v/>
      </c>
      <c r="AC531" s="45" t="n"/>
      <c r="AD531" s="45">
        <f>IFERROR(__xludf.DUMMYFUNCTION("""COMPUTED_VALUE"""),"OCEAN")</f>
        <v/>
      </c>
      <c r="AE531" s="45">
        <f>IFERROR(__xludf.DUMMYFUNCTION("""COMPUTED_VALUE"""),"N")</f>
        <v/>
      </c>
      <c r="AF531" s="45" t="n"/>
      <c r="AG531" s="49">
        <f>IFERROR(__xludf.DUMMYFUNCTION("IFNA(vlookup(H531,IMPORTRANGE(""1vUGwO1n0QQGx9kKbO0_M5gmuhXZ6-LaxQxgrmJnzgP0"",""'TP# look up'!A:C""),3,0),"""")"),"")</f>
        <v/>
      </c>
      <c r="AH531" s="49">
        <f>LEFT(J531,2)</f>
        <v/>
      </c>
    </row>
    <row r="532" ht="12.75" customHeight="1">
      <c r="A532" s="45">
        <f>IFERROR(__xludf.DUMMYFUNCTION("""COMPUTED_VALUE"""),"Colombo")</f>
        <v/>
      </c>
      <c r="B532" s="45" t="n"/>
      <c r="C532" s="45">
        <f>IFERROR(__xludf.DUMMYFUNCTION("""COMPUTED_VALUE"""),3254508)</f>
        <v/>
      </c>
      <c r="D532" s="45" t="n"/>
      <c r="E532" s="45">
        <f>IFERROR(__xludf.DUMMYFUNCTION("""COMPUTED_VALUE"""),"CFS")</f>
        <v/>
      </c>
      <c r="F532" s="45">
        <f>IFERROR(__xludf.DUMMYFUNCTION("""COMPUTED_VALUE"""),"MAS AMITY PTE LTD")</f>
        <v/>
      </c>
      <c r="G532" s="45">
        <f>IFERROR(__xludf.DUMMYFUNCTION("""COMPUTED_VALUE"""),"MAS Active (Pvt) Ltd – Sleekline")</f>
        <v/>
      </c>
      <c r="H532" s="43">
        <f>IFERROR(__xludf.DUMMYFUNCTION("""COMPUTED_VALUE"""),454776741208)</f>
        <v/>
      </c>
      <c r="I532" s="45">
        <f>IFERROR(__xludf.DUMMYFUNCTION("""COMPUTED_VALUE"""),19940790)</f>
        <v/>
      </c>
      <c r="J532" s="45">
        <f>IFERROR(__xludf.DUMMYFUNCTION("""COMPUTED_VALUE"""),"LM9B17S")</f>
        <v/>
      </c>
      <c r="K532" s="45">
        <f>IFERROR(__xludf.DUMMYFUNCTION("""COMPUTED_VALUE"""),"LM9B17S-035487")</f>
        <v/>
      </c>
      <c r="L532" s="45">
        <f>IFERROR(__xludf.DUMMYFUNCTION("""COMPUTED_VALUE"""),1)</f>
        <v/>
      </c>
      <c r="M532" s="45">
        <f>IFERROR(__xludf.DUMMYFUNCTION("""COMPUTED_VALUE"""),118)</f>
        <v/>
      </c>
      <c r="N532" s="45">
        <f>IFERROR(__xludf.DUMMYFUNCTION("""COMPUTED_VALUE"""),10.67)</f>
        <v/>
      </c>
      <c r="O532" s="45">
        <f>IFERROR(__xludf.DUMMYFUNCTION("""COMPUTED_VALUE"""),0.079)</f>
        <v/>
      </c>
      <c r="P532" s="45">
        <f>IFERROR(__xludf.DUMMYFUNCTION("""COMPUTED_VALUE"""),"Colombo, LK")</f>
        <v/>
      </c>
      <c r="Q532" s="45">
        <f>IFERROR(__xludf.DUMMYFUNCTION("""COMPUTED_VALUE"""),"New York, NY, US")</f>
        <v/>
      </c>
      <c r="R532" s="44">
        <f>IFERROR(__xludf.DUMMYFUNCTION("""COMPUTED_VALUE"""),45824)</f>
        <v/>
      </c>
      <c r="S532" s="44">
        <f>IFERROR(__xludf.DUMMYFUNCTION("""COMPUTED_VALUE"""),45883)</f>
        <v/>
      </c>
      <c r="T532" s="45">
        <f>IFERROR(__xludf.DUMMYFUNCTION("""COMPUTED_VALUE"""),"Mississauga, ON, CA")</f>
        <v/>
      </c>
      <c r="U532" s="45" t="n"/>
      <c r="V532" s="45" t="n"/>
      <c r="W532" s="45" t="n"/>
      <c r="X532" s="45" t="n"/>
      <c r="Y532" s="46">
        <f>IFERROR(__xludf.DUMMYFUNCTION("""COMPUTED_VALUE"""),45832)</f>
        <v/>
      </c>
      <c r="Z532" s="46">
        <f>IFERROR(__xludf.DUMMYFUNCTION("""COMPUTED_VALUE"""),45861)</f>
        <v/>
      </c>
      <c r="AA532" s="46">
        <f>IFERROR(__xludf.DUMMYFUNCTION("""COMPUTED_VALUE"""),45874)</f>
        <v/>
      </c>
      <c r="AB532" s="45">
        <f>IFERROR(__xludf.DUMMYFUNCTION("""COMPUTED_VALUE"""),"3500 Argentia Road")</f>
        <v/>
      </c>
      <c r="AC532" s="45" t="n"/>
      <c r="AD532" s="45">
        <f>IFERROR(__xludf.DUMMYFUNCTION("""COMPUTED_VALUE"""),"OCEAN")</f>
        <v/>
      </c>
      <c r="AE532" s="45">
        <f>IFERROR(__xludf.DUMMYFUNCTION("""COMPUTED_VALUE"""),"N")</f>
        <v/>
      </c>
      <c r="AF532" s="45" t="n"/>
      <c r="AG532" s="49">
        <f>IFERROR(__xludf.DUMMYFUNCTION("IFNA(vlookup(H532,IMPORTRANGE(""1vUGwO1n0QQGx9kKbO0_M5gmuhXZ6-LaxQxgrmJnzgP0"",""'TP# look up'!A:C""),3,0),"""")"),"")</f>
        <v/>
      </c>
      <c r="AH532" s="49">
        <f>LEFT(J532,2)</f>
        <v/>
      </c>
    </row>
    <row r="533" ht="12.75" customHeight="1">
      <c r="A533" s="45">
        <f>IFERROR(__xludf.DUMMYFUNCTION("""COMPUTED_VALUE"""),"Colombo")</f>
        <v/>
      </c>
      <c r="B533" s="45" t="n"/>
      <c r="C533" s="45">
        <f>IFERROR(__xludf.DUMMYFUNCTION("""COMPUTED_VALUE"""),3254508)</f>
        <v/>
      </c>
      <c r="D533" s="45" t="n"/>
      <c r="E533" s="45">
        <f>IFERROR(__xludf.DUMMYFUNCTION("""COMPUTED_VALUE"""),"CFS")</f>
        <v/>
      </c>
      <c r="F533" s="45">
        <f>IFERROR(__xludf.DUMMYFUNCTION("""COMPUTED_VALUE"""),"MAS AMITY PTE LTD")</f>
        <v/>
      </c>
      <c r="G533" s="45">
        <f>IFERROR(__xludf.DUMMYFUNCTION("""COMPUTED_VALUE"""),"MAS Active (Pvt) Ltd – Sleekline")</f>
        <v/>
      </c>
      <c r="H533" s="43">
        <f>IFERROR(__xludf.DUMMYFUNCTION("""COMPUTED_VALUE"""),454776867307)</f>
        <v/>
      </c>
      <c r="I533" s="45">
        <f>IFERROR(__xludf.DUMMYFUNCTION("""COMPUTED_VALUE"""),19927212)</f>
        <v/>
      </c>
      <c r="J533" s="45">
        <f>IFERROR(__xludf.DUMMYFUNCTION("""COMPUTED_VALUE"""),"LM9B17S")</f>
        <v/>
      </c>
      <c r="K533" s="45">
        <f>IFERROR(__xludf.DUMMYFUNCTION("""COMPUTED_VALUE"""),"LM9B17S-0001")</f>
        <v/>
      </c>
      <c r="L533" s="45">
        <f>IFERROR(__xludf.DUMMYFUNCTION("""COMPUTED_VALUE"""),1)</f>
        <v/>
      </c>
      <c r="M533" s="45">
        <f>IFERROR(__xludf.DUMMYFUNCTION("""COMPUTED_VALUE"""),110)</f>
        <v/>
      </c>
      <c r="N533" s="45">
        <f>IFERROR(__xludf.DUMMYFUNCTION("""COMPUTED_VALUE"""),10.03)</f>
        <v/>
      </c>
      <c r="O533" s="45">
        <f>IFERROR(__xludf.DUMMYFUNCTION("""COMPUTED_VALUE"""),0.079)</f>
        <v/>
      </c>
      <c r="P533" s="45">
        <f>IFERROR(__xludf.DUMMYFUNCTION("""COMPUTED_VALUE"""),"Colombo, LK")</f>
        <v/>
      </c>
      <c r="Q533" s="45">
        <f>IFERROR(__xludf.DUMMYFUNCTION("""COMPUTED_VALUE"""),"New York, NY, US")</f>
        <v/>
      </c>
      <c r="R533" s="44">
        <f>IFERROR(__xludf.DUMMYFUNCTION("""COMPUTED_VALUE"""),45824)</f>
        <v/>
      </c>
      <c r="S533" s="44">
        <f>IFERROR(__xludf.DUMMYFUNCTION("""COMPUTED_VALUE"""),45883)</f>
        <v/>
      </c>
      <c r="T533" s="45">
        <f>IFERROR(__xludf.DUMMYFUNCTION("""COMPUTED_VALUE"""),"Mississauga, ON, CA")</f>
        <v/>
      </c>
      <c r="U533" s="45" t="n"/>
      <c r="V533" s="45" t="n"/>
      <c r="W533" s="45" t="n"/>
      <c r="X533" s="45" t="n"/>
      <c r="Y533" s="46">
        <f>IFERROR(__xludf.DUMMYFUNCTION("""COMPUTED_VALUE"""),45832)</f>
        <v/>
      </c>
      <c r="Z533" s="46">
        <f>IFERROR(__xludf.DUMMYFUNCTION("""COMPUTED_VALUE"""),45861)</f>
        <v/>
      </c>
      <c r="AA533" s="46">
        <f>IFERROR(__xludf.DUMMYFUNCTION("""COMPUTED_VALUE"""),45874)</f>
        <v/>
      </c>
      <c r="AB533" s="45">
        <f>IFERROR(__xludf.DUMMYFUNCTION("""COMPUTED_VALUE"""),"3500 Argentia Road")</f>
        <v/>
      </c>
      <c r="AC533" s="45" t="n"/>
      <c r="AD533" s="45">
        <f>IFERROR(__xludf.DUMMYFUNCTION("""COMPUTED_VALUE"""),"OCEAN")</f>
        <v/>
      </c>
      <c r="AE533" s="45">
        <f>IFERROR(__xludf.DUMMYFUNCTION("""COMPUTED_VALUE"""),"N")</f>
        <v/>
      </c>
      <c r="AF533" s="45" t="n"/>
      <c r="AG533" s="49">
        <f>IFERROR(__xludf.DUMMYFUNCTION("IFNA(vlookup(H533,IMPORTRANGE(""1vUGwO1n0QQGx9kKbO0_M5gmuhXZ6-LaxQxgrmJnzgP0"",""'TP# look up'!A:C""),3,0),"""")"),"")</f>
        <v/>
      </c>
      <c r="AH533" s="49">
        <f>LEFT(J533,2)</f>
        <v/>
      </c>
    </row>
    <row r="534" ht="12.75" customHeight="1">
      <c r="A534" s="45">
        <f>IFERROR(__xludf.DUMMYFUNCTION("""COMPUTED_VALUE"""),"Colombo")</f>
        <v/>
      </c>
      <c r="B534" s="45" t="n"/>
      <c r="C534" s="45">
        <f>IFERROR(__xludf.DUMMYFUNCTION("""COMPUTED_VALUE"""),3254508)</f>
        <v/>
      </c>
      <c r="D534" s="45" t="n"/>
      <c r="E534" s="45">
        <f>IFERROR(__xludf.DUMMYFUNCTION("""COMPUTED_VALUE"""),"CFS")</f>
        <v/>
      </c>
      <c r="F534" s="45">
        <f>IFERROR(__xludf.DUMMYFUNCTION("""COMPUTED_VALUE"""),"MAS AMITY PTE LTD")</f>
        <v/>
      </c>
      <c r="G534" s="45">
        <f>IFERROR(__xludf.DUMMYFUNCTION("""COMPUTED_VALUE"""),"MAS Active (Pvt) Ltd – Sleekline")</f>
        <v/>
      </c>
      <c r="H534" s="43">
        <f>IFERROR(__xludf.DUMMYFUNCTION("""COMPUTED_VALUE"""),454777443457)</f>
        <v/>
      </c>
      <c r="I534" s="45">
        <f>IFERROR(__xludf.DUMMYFUNCTION("""COMPUTED_VALUE"""),19927350)</f>
        <v/>
      </c>
      <c r="J534" s="45">
        <f>IFERROR(__xludf.DUMMYFUNCTION("""COMPUTED_VALUE"""),"LM9B20S")</f>
        <v/>
      </c>
      <c r="K534" s="45">
        <f>IFERROR(__xludf.DUMMYFUNCTION("""COMPUTED_VALUE"""),"LM9B20S-072075")</f>
        <v/>
      </c>
      <c r="L534" s="45">
        <f>IFERROR(__xludf.DUMMYFUNCTION("""COMPUTED_VALUE"""),4)</f>
        <v/>
      </c>
      <c r="M534" s="45">
        <f>IFERROR(__xludf.DUMMYFUNCTION("""COMPUTED_VALUE"""),143)</f>
        <v/>
      </c>
      <c r="N534" s="45">
        <f>IFERROR(__xludf.DUMMYFUNCTION("""COMPUTED_VALUE"""),44.89)</f>
        <v/>
      </c>
      <c r="O534" s="45">
        <f>IFERROR(__xludf.DUMMYFUNCTION("""COMPUTED_VALUE"""),0.278)</f>
        <v/>
      </c>
      <c r="P534" s="45">
        <f>IFERROR(__xludf.DUMMYFUNCTION("""COMPUTED_VALUE"""),"Colombo, LK")</f>
        <v/>
      </c>
      <c r="Q534" s="45">
        <f>IFERROR(__xludf.DUMMYFUNCTION("""COMPUTED_VALUE"""),"New York, NY, US")</f>
        <v/>
      </c>
      <c r="R534" s="44">
        <f>IFERROR(__xludf.DUMMYFUNCTION("""COMPUTED_VALUE"""),45824)</f>
        <v/>
      </c>
      <c r="S534" s="44">
        <f>IFERROR(__xludf.DUMMYFUNCTION("""COMPUTED_VALUE"""),45883)</f>
        <v/>
      </c>
      <c r="T534" s="45">
        <f>IFERROR(__xludf.DUMMYFUNCTION("""COMPUTED_VALUE"""),"Mississauga, ON, CA")</f>
        <v/>
      </c>
      <c r="U534" s="45" t="n"/>
      <c r="V534" s="45" t="n"/>
      <c r="W534" s="45" t="n"/>
      <c r="X534" s="45" t="n"/>
      <c r="Y534" s="46">
        <f>IFERROR(__xludf.DUMMYFUNCTION("""COMPUTED_VALUE"""),45832)</f>
        <v/>
      </c>
      <c r="Z534" s="46">
        <f>IFERROR(__xludf.DUMMYFUNCTION("""COMPUTED_VALUE"""),45861)</f>
        <v/>
      </c>
      <c r="AA534" s="46">
        <f>IFERROR(__xludf.DUMMYFUNCTION("""COMPUTED_VALUE"""),45874)</f>
        <v/>
      </c>
      <c r="AB534" s="45">
        <f>IFERROR(__xludf.DUMMYFUNCTION("""COMPUTED_VALUE"""),"3500 Argentia Road")</f>
        <v/>
      </c>
      <c r="AC534" s="45" t="n"/>
      <c r="AD534" s="45">
        <f>IFERROR(__xludf.DUMMYFUNCTION("""COMPUTED_VALUE"""),"OCEAN")</f>
        <v/>
      </c>
      <c r="AE534" s="45">
        <f>IFERROR(__xludf.DUMMYFUNCTION("""COMPUTED_VALUE"""),"N")</f>
        <v/>
      </c>
      <c r="AF534" s="45" t="n"/>
      <c r="AG534" s="49">
        <f>IFERROR(__xludf.DUMMYFUNCTION("IFNA(vlookup(H534,IMPORTRANGE(""1vUGwO1n0QQGx9kKbO0_M5gmuhXZ6-LaxQxgrmJnzgP0"",""'TP# look up'!A:C""),3,0),"""")"),"")</f>
        <v/>
      </c>
      <c r="AH534" s="49">
        <f>LEFT(J534,2)</f>
        <v/>
      </c>
    </row>
    <row r="535" ht="12.75" customHeight="1">
      <c r="A535" s="45">
        <f>IFERROR(__xludf.DUMMYFUNCTION("""COMPUTED_VALUE"""),"Colombo")</f>
        <v/>
      </c>
      <c r="B535" s="45" t="n"/>
      <c r="C535" s="45">
        <f>IFERROR(__xludf.DUMMYFUNCTION("""COMPUTED_VALUE"""),3254508)</f>
        <v/>
      </c>
      <c r="D535" s="45" t="n"/>
      <c r="E535" s="45">
        <f>IFERROR(__xludf.DUMMYFUNCTION("""COMPUTED_VALUE"""),"CFS")</f>
        <v/>
      </c>
      <c r="F535" s="45">
        <f>IFERROR(__xludf.DUMMYFUNCTION("""COMPUTED_VALUE"""),"MAS AMITY PTE LTD")</f>
        <v/>
      </c>
      <c r="G535" s="45">
        <f>IFERROR(__xludf.DUMMYFUNCTION("""COMPUTED_VALUE"""),"MAS Active (Pvt) Ltd – Sleekline")</f>
        <v/>
      </c>
      <c r="H535" s="43">
        <f>IFERROR(__xludf.DUMMYFUNCTION("""COMPUTED_VALUE"""),454777445244)</f>
        <v/>
      </c>
      <c r="I535" s="45">
        <f>IFERROR(__xludf.DUMMYFUNCTION("""COMPUTED_VALUE"""),19927252)</f>
        <v/>
      </c>
      <c r="J535" s="45">
        <f>IFERROR(__xludf.DUMMYFUNCTION("""COMPUTED_VALUE"""),"LM9B17S")</f>
        <v/>
      </c>
      <c r="K535" s="45">
        <f>IFERROR(__xludf.DUMMYFUNCTION("""COMPUTED_VALUE"""),"LM9B17S-031382")</f>
        <v/>
      </c>
      <c r="L535" s="45">
        <f>IFERROR(__xludf.DUMMYFUNCTION("""COMPUTED_VALUE"""),1)</f>
        <v/>
      </c>
      <c r="M535" s="45">
        <f>IFERROR(__xludf.DUMMYFUNCTION("""COMPUTED_VALUE"""),135)</f>
        <v/>
      </c>
      <c r="N535" s="45">
        <f>IFERROR(__xludf.DUMMYFUNCTION("""COMPUTED_VALUE"""),12.05)</f>
        <v/>
      </c>
      <c r="O535" s="45">
        <f>IFERROR(__xludf.DUMMYFUNCTION("""COMPUTED_VALUE"""),0.079)</f>
        <v/>
      </c>
      <c r="P535" s="45">
        <f>IFERROR(__xludf.DUMMYFUNCTION("""COMPUTED_VALUE"""),"Colombo, LK")</f>
        <v/>
      </c>
      <c r="Q535" s="45">
        <f>IFERROR(__xludf.DUMMYFUNCTION("""COMPUTED_VALUE"""),"New York, NY, US")</f>
        <v/>
      </c>
      <c r="R535" s="44">
        <f>IFERROR(__xludf.DUMMYFUNCTION("""COMPUTED_VALUE"""),45824)</f>
        <v/>
      </c>
      <c r="S535" s="44">
        <f>IFERROR(__xludf.DUMMYFUNCTION("""COMPUTED_VALUE"""),45883)</f>
        <v/>
      </c>
      <c r="T535" s="45">
        <f>IFERROR(__xludf.DUMMYFUNCTION("""COMPUTED_VALUE"""),"Mississauga, ON, CA")</f>
        <v/>
      </c>
      <c r="U535" s="45" t="n"/>
      <c r="V535" s="45" t="n"/>
      <c r="W535" s="45" t="n"/>
      <c r="X535" s="45" t="n"/>
      <c r="Y535" s="46">
        <f>IFERROR(__xludf.DUMMYFUNCTION("""COMPUTED_VALUE"""),45832)</f>
        <v/>
      </c>
      <c r="Z535" s="46">
        <f>IFERROR(__xludf.DUMMYFUNCTION("""COMPUTED_VALUE"""),45861)</f>
        <v/>
      </c>
      <c r="AA535" s="46">
        <f>IFERROR(__xludf.DUMMYFUNCTION("""COMPUTED_VALUE"""),45874)</f>
        <v/>
      </c>
      <c r="AB535" s="45">
        <f>IFERROR(__xludf.DUMMYFUNCTION("""COMPUTED_VALUE"""),"3500 Argentia Road")</f>
        <v/>
      </c>
      <c r="AC535" s="45" t="n"/>
      <c r="AD535" s="45">
        <f>IFERROR(__xludf.DUMMYFUNCTION("""COMPUTED_VALUE"""),"OCEAN")</f>
        <v/>
      </c>
      <c r="AE535" s="45">
        <f>IFERROR(__xludf.DUMMYFUNCTION("""COMPUTED_VALUE"""),"N")</f>
        <v/>
      </c>
      <c r="AF535" s="45" t="n"/>
      <c r="AG535" s="49">
        <f>IFERROR(__xludf.DUMMYFUNCTION("IFNA(vlookup(H535,IMPORTRANGE(""1vUGwO1n0QQGx9kKbO0_M5gmuhXZ6-LaxQxgrmJnzgP0"",""'TP# look up'!A:C""),3,0),"""")"),"")</f>
        <v/>
      </c>
      <c r="AH535" s="49">
        <f>LEFT(J535,2)</f>
        <v/>
      </c>
    </row>
    <row r="536" ht="12.75" customHeight="1">
      <c r="A536" s="45">
        <f>IFERROR(__xludf.DUMMYFUNCTION("""COMPUTED_VALUE"""),"Colombo")</f>
        <v/>
      </c>
      <c r="B536" s="45" t="n"/>
      <c r="C536" s="45">
        <f>IFERROR(__xludf.DUMMYFUNCTION("""COMPUTED_VALUE"""),3254508)</f>
        <v/>
      </c>
      <c r="D536" s="45" t="n"/>
      <c r="E536" s="45">
        <f>IFERROR(__xludf.DUMMYFUNCTION("""COMPUTED_VALUE"""),"CFS")</f>
        <v/>
      </c>
      <c r="F536" s="45">
        <f>IFERROR(__xludf.DUMMYFUNCTION("""COMPUTED_VALUE"""),"MAS AMITY PTE LTD")</f>
        <v/>
      </c>
      <c r="G536" s="45">
        <f>IFERROR(__xludf.DUMMYFUNCTION("""COMPUTED_VALUE"""),"MAS Active (Pvt) Ltd – Sleekline")</f>
        <v/>
      </c>
      <c r="H536" s="43">
        <f>IFERROR(__xludf.DUMMYFUNCTION("""COMPUTED_VALUE"""),454777445314)</f>
        <v/>
      </c>
      <c r="I536" s="45">
        <f>IFERROR(__xludf.DUMMYFUNCTION("""COMPUTED_VALUE"""),19936171)</f>
        <v/>
      </c>
      <c r="J536" s="45">
        <f>IFERROR(__xludf.DUMMYFUNCTION("""COMPUTED_VALUE"""),"LM9B20S")</f>
        <v/>
      </c>
      <c r="K536" s="45">
        <f>IFERROR(__xludf.DUMMYFUNCTION("""COMPUTED_VALUE"""),"LM9B20S-4310")</f>
        <v/>
      </c>
      <c r="L536" s="45">
        <f>IFERROR(__xludf.DUMMYFUNCTION("""COMPUTED_VALUE"""),3)</f>
        <v/>
      </c>
      <c r="M536" s="45">
        <f>IFERROR(__xludf.DUMMYFUNCTION("""COMPUTED_VALUE"""),104)</f>
        <v/>
      </c>
      <c r="N536" s="45">
        <f>IFERROR(__xludf.DUMMYFUNCTION("""COMPUTED_VALUE"""),33.02)</f>
        <v/>
      </c>
      <c r="O536" s="45">
        <f>IFERROR(__xludf.DUMMYFUNCTION("""COMPUTED_VALUE"""),0.238)</f>
        <v/>
      </c>
      <c r="P536" s="45">
        <f>IFERROR(__xludf.DUMMYFUNCTION("""COMPUTED_VALUE"""),"Colombo, LK")</f>
        <v/>
      </c>
      <c r="Q536" s="45">
        <f>IFERROR(__xludf.DUMMYFUNCTION("""COMPUTED_VALUE"""),"New York, NY, US")</f>
        <v/>
      </c>
      <c r="R536" s="44">
        <f>IFERROR(__xludf.DUMMYFUNCTION("""COMPUTED_VALUE"""),45824)</f>
        <v/>
      </c>
      <c r="S536" s="44">
        <f>IFERROR(__xludf.DUMMYFUNCTION("""COMPUTED_VALUE"""),45883)</f>
        <v/>
      </c>
      <c r="T536" s="45">
        <f>IFERROR(__xludf.DUMMYFUNCTION("""COMPUTED_VALUE"""),"Mississauga, ON, CA")</f>
        <v/>
      </c>
      <c r="U536" s="45" t="n"/>
      <c r="V536" s="45" t="n"/>
      <c r="W536" s="45" t="n"/>
      <c r="X536" s="45" t="n"/>
      <c r="Y536" s="46">
        <f>IFERROR(__xludf.DUMMYFUNCTION("""COMPUTED_VALUE"""),45832)</f>
        <v/>
      </c>
      <c r="Z536" s="46">
        <f>IFERROR(__xludf.DUMMYFUNCTION("""COMPUTED_VALUE"""),45861)</f>
        <v/>
      </c>
      <c r="AA536" s="46">
        <f>IFERROR(__xludf.DUMMYFUNCTION("""COMPUTED_VALUE"""),45874)</f>
        <v/>
      </c>
      <c r="AB536" s="45">
        <f>IFERROR(__xludf.DUMMYFUNCTION("""COMPUTED_VALUE"""),"3500 Argentia Road")</f>
        <v/>
      </c>
      <c r="AC536" s="45" t="n"/>
      <c r="AD536" s="45">
        <f>IFERROR(__xludf.DUMMYFUNCTION("""COMPUTED_VALUE"""),"OCEAN")</f>
        <v/>
      </c>
      <c r="AE536" s="45">
        <f>IFERROR(__xludf.DUMMYFUNCTION("""COMPUTED_VALUE"""),"N")</f>
        <v/>
      </c>
      <c r="AF536" s="45" t="n"/>
      <c r="AG536" s="49">
        <f>IFERROR(__xludf.DUMMYFUNCTION("IFNA(vlookup(H536,IMPORTRANGE(""1vUGwO1n0QQGx9kKbO0_M5gmuhXZ6-LaxQxgrmJnzgP0"",""'TP# look up'!A:C""),3,0),"""")"),"")</f>
        <v/>
      </c>
      <c r="AH536" s="49">
        <f>LEFT(J536,2)</f>
        <v/>
      </c>
    </row>
    <row r="537" ht="12.75" customHeight="1">
      <c r="A537" s="45">
        <f>IFERROR(__xludf.DUMMYFUNCTION("""COMPUTED_VALUE"""),"Colombo")</f>
        <v/>
      </c>
      <c r="B537" s="45" t="n"/>
      <c r="C537" s="45">
        <f>IFERROR(__xludf.DUMMYFUNCTION("""COMPUTED_VALUE"""),3254508)</f>
        <v/>
      </c>
      <c r="D537" s="45" t="n"/>
      <c r="E537" s="45">
        <f>IFERROR(__xludf.DUMMYFUNCTION("""COMPUTED_VALUE"""),"CFS")</f>
        <v/>
      </c>
      <c r="F537" s="45">
        <f>IFERROR(__xludf.DUMMYFUNCTION("""COMPUTED_VALUE"""),"MAS AMITY PTE LTD")</f>
        <v/>
      </c>
      <c r="G537" s="45">
        <f>IFERROR(__xludf.DUMMYFUNCTION("""COMPUTED_VALUE"""),"MAS Fabrics (Pvt) Ltd Intimo")</f>
        <v/>
      </c>
      <c r="H537" s="43">
        <f>IFERROR(__xludf.DUMMYFUNCTION("""COMPUTED_VALUE"""),454698380029)</f>
        <v/>
      </c>
      <c r="I537" s="45">
        <f>IFERROR(__xludf.DUMMYFUNCTION("""COMPUTED_VALUE"""),19900051)</f>
        <v/>
      </c>
      <c r="J537" s="45">
        <f>IFERROR(__xludf.DUMMYFUNCTION("""COMPUTED_VALUE"""),"LW3DFNS")</f>
        <v/>
      </c>
      <c r="K537" s="45">
        <f>IFERROR(__xludf.DUMMYFUNCTION("""COMPUTED_VALUE"""),"LW3DFNS-012826")</f>
        <v/>
      </c>
      <c r="L537" s="45">
        <f>IFERROR(__xludf.DUMMYFUNCTION("""COMPUTED_VALUE"""),20)</f>
        <v/>
      </c>
      <c r="M537" s="45">
        <f>IFERROR(__xludf.DUMMYFUNCTION("""COMPUTED_VALUE"""),1721)</f>
        <v/>
      </c>
      <c r="N537" s="45">
        <f>IFERROR(__xludf.DUMMYFUNCTION("""COMPUTED_VALUE"""),217.738)</f>
        <v/>
      </c>
      <c r="O537" s="45">
        <f>IFERROR(__xludf.DUMMYFUNCTION("""COMPUTED_VALUE"""),1.422)</f>
        <v/>
      </c>
      <c r="P537" s="45">
        <f>IFERROR(__xludf.DUMMYFUNCTION("""COMPUTED_VALUE"""),"Colombo, LK")</f>
        <v/>
      </c>
      <c r="Q537" s="45">
        <f>IFERROR(__xludf.DUMMYFUNCTION("""COMPUTED_VALUE"""),"New York, NY, US")</f>
        <v/>
      </c>
      <c r="R537" s="44">
        <f>IFERROR(__xludf.DUMMYFUNCTION("""COMPUTED_VALUE"""),45824)</f>
        <v/>
      </c>
      <c r="S537" s="44">
        <f>IFERROR(__xludf.DUMMYFUNCTION("""COMPUTED_VALUE"""),45883)</f>
        <v/>
      </c>
      <c r="T537" s="45">
        <f>IFERROR(__xludf.DUMMYFUNCTION("""COMPUTED_VALUE"""),"Milton, ON, CA")</f>
        <v/>
      </c>
      <c r="U537" s="45" t="n"/>
      <c r="V537" s="45" t="n"/>
      <c r="W537" s="45" t="n"/>
      <c r="X537" s="45" t="n"/>
      <c r="Y537" s="46">
        <f>IFERROR(__xludf.DUMMYFUNCTION("""COMPUTED_VALUE"""),45832)</f>
        <v/>
      </c>
      <c r="Z537" s="46">
        <f>IFERROR(__xludf.DUMMYFUNCTION("""COMPUTED_VALUE"""),45861)</f>
        <v/>
      </c>
      <c r="AA537" s="46">
        <f>IFERROR(__xludf.DUMMYFUNCTION("""COMPUTED_VALUE"""),45874)</f>
        <v/>
      </c>
      <c r="AB537" s="45">
        <f>IFERROR(__xludf.DUMMYFUNCTION("""COMPUTED_VALUE"""),"7211 Fifth Line")</f>
        <v/>
      </c>
      <c r="AC537" s="45" t="n"/>
      <c r="AD537" s="45">
        <f>IFERROR(__xludf.DUMMYFUNCTION("""COMPUTED_VALUE"""),"OCEAN")</f>
        <v/>
      </c>
      <c r="AE537" s="45">
        <f>IFERROR(__xludf.DUMMYFUNCTION("""COMPUTED_VALUE"""),"N")</f>
        <v/>
      </c>
      <c r="AF537" s="45" t="n"/>
      <c r="AG537" s="49">
        <f>IFERROR(__xludf.DUMMYFUNCTION("IFNA(vlookup(H537,IMPORTRANGE(""1vUGwO1n0QQGx9kKbO0_M5gmuhXZ6-LaxQxgrmJnzgP0"",""'TP# look up'!A:C""),3,0),"""")"),"")</f>
        <v/>
      </c>
      <c r="AH537" s="49">
        <f>LEFT(J537,2)</f>
        <v/>
      </c>
    </row>
    <row r="538" ht="12.75" customHeight="1">
      <c r="A538" s="45">
        <f>IFERROR(__xludf.DUMMYFUNCTION("""COMPUTED_VALUE"""),"Colombo")</f>
        <v/>
      </c>
      <c r="B538" s="45" t="n"/>
      <c r="C538" s="45">
        <f>IFERROR(__xludf.DUMMYFUNCTION("""COMPUTED_VALUE"""),3254508)</f>
        <v/>
      </c>
      <c r="D538" s="45" t="n"/>
      <c r="E538" s="45">
        <f>IFERROR(__xludf.DUMMYFUNCTION("""COMPUTED_VALUE"""),"CFS")</f>
        <v/>
      </c>
      <c r="F538" s="45">
        <f>IFERROR(__xludf.DUMMYFUNCTION("""COMPUTED_VALUE"""),"MAS AMITY PTE LTD")</f>
        <v/>
      </c>
      <c r="G538" s="45">
        <f>IFERROR(__xludf.DUMMYFUNCTION("""COMPUTED_VALUE"""),"MAS Fabrics (Pvt) Ltd Intimo")</f>
        <v/>
      </c>
      <c r="H538" s="43">
        <f>IFERROR(__xludf.DUMMYFUNCTION("""COMPUTED_VALUE"""),454698381085)</f>
        <v/>
      </c>
      <c r="I538" s="45">
        <f>IFERROR(__xludf.DUMMYFUNCTION("""COMPUTED_VALUE"""),19900121)</f>
        <v/>
      </c>
      <c r="J538" s="45">
        <f>IFERROR(__xludf.DUMMYFUNCTION("""COMPUTED_VALUE"""),"LW3GZHS")</f>
        <v/>
      </c>
      <c r="K538" s="45">
        <f>IFERROR(__xludf.DUMMYFUNCTION("""COMPUTED_VALUE"""),"LW3GZHS-0572")</f>
        <v/>
      </c>
      <c r="L538" s="45">
        <f>IFERROR(__xludf.DUMMYFUNCTION("""COMPUTED_VALUE"""),6)</f>
        <v/>
      </c>
      <c r="M538" s="45">
        <f>IFERROR(__xludf.DUMMYFUNCTION("""COMPUTED_VALUE"""),487)</f>
        <v/>
      </c>
      <c r="N538" s="45">
        <f>IFERROR(__xludf.DUMMYFUNCTION("""COMPUTED_VALUE"""),40.567)</f>
        <v/>
      </c>
      <c r="O538" s="45">
        <f>IFERROR(__xludf.DUMMYFUNCTION("""COMPUTED_VALUE"""),0.434)</f>
        <v/>
      </c>
      <c r="P538" s="45">
        <f>IFERROR(__xludf.DUMMYFUNCTION("""COMPUTED_VALUE"""),"Colombo, LK")</f>
        <v/>
      </c>
      <c r="Q538" s="45">
        <f>IFERROR(__xludf.DUMMYFUNCTION("""COMPUTED_VALUE"""),"New York, NY, US")</f>
        <v/>
      </c>
      <c r="R538" s="44">
        <f>IFERROR(__xludf.DUMMYFUNCTION("""COMPUTED_VALUE"""),45824)</f>
        <v/>
      </c>
      <c r="S538" s="44">
        <f>IFERROR(__xludf.DUMMYFUNCTION("""COMPUTED_VALUE"""),45883)</f>
        <v/>
      </c>
      <c r="T538" s="45">
        <f>IFERROR(__xludf.DUMMYFUNCTION("""COMPUTED_VALUE"""),"Milton, ON, CA")</f>
        <v/>
      </c>
      <c r="U538" s="45" t="n"/>
      <c r="V538" s="45" t="n"/>
      <c r="W538" s="45" t="n"/>
      <c r="X538" s="45" t="n"/>
      <c r="Y538" s="46">
        <f>IFERROR(__xludf.DUMMYFUNCTION("""COMPUTED_VALUE"""),45832)</f>
        <v/>
      </c>
      <c r="Z538" s="46">
        <f>IFERROR(__xludf.DUMMYFUNCTION("""COMPUTED_VALUE"""),45861)</f>
        <v/>
      </c>
      <c r="AA538" s="46">
        <f>IFERROR(__xludf.DUMMYFUNCTION("""COMPUTED_VALUE"""),45874)</f>
        <v/>
      </c>
      <c r="AB538" s="45">
        <f>IFERROR(__xludf.DUMMYFUNCTION("""COMPUTED_VALUE"""),"7211 Fifth Line")</f>
        <v/>
      </c>
      <c r="AC538" s="45" t="n"/>
      <c r="AD538" s="45">
        <f>IFERROR(__xludf.DUMMYFUNCTION("""COMPUTED_VALUE"""),"OCEAN")</f>
        <v/>
      </c>
      <c r="AE538" s="45">
        <f>IFERROR(__xludf.DUMMYFUNCTION("""COMPUTED_VALUE"""),"N")</f>
        <v/>
      </c>
      <c r="AF538" s="45" t="n"/>
      <c r="AG538" s="49">
        <f>IFERROR(__xludf.DUMMYFUNCTION("IFNA(vlookup(H538,IMPORTRANGE(""1vUGwO1n0QQGx9kKbO0_M5gmuhXZ6-LaxQxgrmJnzgP0"",""'TP# look up'!A:C""),3,0),"""")"),"")</f>
        <v/>
      </c>
      <c r="AH538" s="49">
        <f>LEFT(J538,2)</f>
        <v/>
      </c>
    </row>
    <row r="539" ht="12.75" customHeight="1">
      <c r="A539" s="45">
        <f>IFERROR(__xludf.DUMMYFUNCTION("""COMPUTED_VALUE"""),"Colombo")</f>
        <v/>
      </c>
      <c r="B539" s="45" t="n"/>
      <c r="C539" s="45">
        <f>IFERROR(__xludf.DUMMYFUNCTION("""COMPUTED_VALUE"""),3254508)</f>
        <v/>
      </c>
      <c r="D539" s="45" t="n"/>
      <c r="E539" s="45">
        <f>IFERROR(__xludf.DUMMYFUNCTION("""COMPUTED_VALUE"""),"CFS")</f>
        <v/>
      </c>
      <c r="F539" s="45">
        <f>IFERROR(__xludf.DUMMYFUNCTION("""COMPUTED_VALUE"""),"MAS AMITY PTE LTD")</f>
        <v/>
      </c>
      <c r="G539" s="45">
        <f>IFERROR(__xludf.DUMMYFUNCTION("""COMPUTED_VALUE"""),"MAS Fabrics (Pvt) Ltd Intimo")</f>
        <v/>
      </c>
      <c r="H539" s="43">
        <f>IFERROR(__xludf.DUMMYFUNCTION("""COMPUTED_VALUE"""),454699447395)</f>
        <v/>
      </c>
      <c r="I539" s="45">
        <f>IFERROR(__xludf.DUMMYFUNCTION("""COMPUTED_VALUE"""),19900084)</f>
        <v/>
      </c>
      <c r="J539" s="45">
        <f>IFERROR(__xludf.DUMMYFUNCTION("""COMPUTED_VALUE"""),"LW3DOBS")</f>
        <v/>
      </c>
      <c r="K539" s="45">
        <f>IFERROR(__xludf.DUMMYFUNCTION("""COMPUTED_VALUE"""),"LW3DOBS-071154")</f>
        <v/>
      </c>
      <c r="L539" s="45">
        <f>IFERROR(__xludf.DUMMYFUNCTION("""COMPUTED_VALUE"""),6)</f>
        <v/>
      </c>
      <c r="M539" s="45">
        <f>IFERROR(__xludf.DUMMYFUNCTION("""COMPUTED_VALUE"""),285)</f>
        <v/>
      </c>
      <c r="N539" s="45">
        <f>IFERROR(__xludf.DUMMYFUNCTION("""COMPUTED_VALUE"""),46.7)</f>
        <v/>
      </c>
      <c r="O539" s="45">
        <f>IFERROR(__xludf.DUMMYFUNCTION("""COMPUTED_VALUE"""),0.436)</f>
        <v/>
      </c>
      <c r="P539" s="45">
        <f>IFERROR(__xludf.DUMMYFUNCTION("""COMPUTED_VALUE"""),"Colombo, LK")</f>
        <v/>
      </c>
      <c r="Q539" s="45">
        <f>IFERROR(__xludf.DUMMYFUNCTION("""COMPUTED_VALUE"""),"New York, NY, US")</f>
        <v/>
      </c>
      <c r="R539" s="44">
        <f>IFERROR(__xludf.DUMMYFUNCTION("""COMPUTED_VALUE"""),45824)</f>
        <v/>
      </c>
      <c r="S539" s="44">
        <f>IFERROR(__xludf.DUMMYFUNCTION("""COMPUTED_VALUE"""),45883)</f>
        <v/>
      </c>
      <c r="T539" s="45">
        <f>IFERROR(__xludf.DUMMYFUNCTION("""COMPUTED_VALUE"""),"Milton, ON, CA")</f>
        <v/>
      </c>
      <c r="U539" s="45" t="n"/>
      <c r="V539" s="45" t="n"/>
      <c r="W539" s="45" t="n"/>
      <c r="X539" s="45" t="n"/>
      <c r="Y539" s="46">
        <f>IFERROR(__xludf.DUMMYFUNCTION("""COMPUTED_VALUE"""),45832)</f>
        <v/>
      </c>
      <c r="Z539" s="46">
        <f>IFERROR(__xludf.DUMMYFUNCTION("""COMPUTED_VALUE"""),45861)</f>
        <v/>
      </c>
      <c r="AA539" s="46">
        <f>IFERROR(__xludf.DUMMYFUNCTION("""COMPUTED_VALUE"""),45874)</f>
        <v/>
      </c>
      <c r="AB539" s="45">
        <f>IFERROR(__xludf.DUMMYFUNCTION("""COMPUTED_VALUE"""),"7211 Fifth Line")</f>
        <v/>
      </c>
      <c r="AC539" s="45" t="n"/>
      <c r="AD539" s="45">
        <f>IFERROR(__xludf.DUMMYFUNCTION("""COMPUTED_VALUE"""),"OCEAN")</f>
        <v/>
      </c>
      <c r="AE539" s="45">
        <f>IFERROR(__xludf.DUMMYFUNCTION("""COMPUTED_VALUE"""),"N")</f>
        <v/>
      </c>
      <c r="AF539" s="45" t="n"/>
      <c r="AG539" s="49">
        <f>IFERROR(__xludf.DUMMYFUNCTION("IFNA(vlookup(H539,IMPORTRANGE(""1vUGwO1n0QQGx9kKbO0_M5gmuhXZ6-LaxQxgrmJnzgP0"",""'TP# look up'!A:C""),3,0),"""")"),"")</f>
        <v/>
      </c>
      <c r="AH539" s="49">
        <f>LEFT(J539,2)</f>
        <v/>
      </c>
    </row>
    <row r="540" ht="12.75" customHeight="1">
      <c r="A540" s="45">
        <f>IFERROR(__xludf.DUMMYFUNCTION("""COMPUTED_VALUE"""),"Colombo")</f>
        <v/>
      </c>
      <c r="B540" s="45" t="n"/>
      <c r="C540" s="45">
        <f>IFERROR(__xludf.DUMMYFUNCTION("""COMPUTED_VALUE"""),3254508)</f>
        <v/>
      </c>
      <c r="D540" s="45" t="n"/>
      <c r="E540" s="45">
        <f>IFERROR(__xludf.DUMMYFUNCTION("""COMPUTED_VALUE"""),"CFS")</f>
        <v/>
      </c>
      <c r="F540" s="45">
        <f>IFERROR(__xludf.DUMMYFUNCTION("""COMPUTED_VALUE"""),"MAS AMITY PTE LTD")</f>
        <v/>
      </c>
      <c r="G540" s="45">
        <f>IFERROR(__xludf.DUMMYFUNCTION("""COMPUTED_VALUE"""),"MAS Fabrics (Pvt) Ltd Intimo")</f>
        <v/>
      </c>
      <c r="H540" s="43">
        <f>IFERROR(__xludf.DUMMYFUNCTION("""COMPUTED_VALUE"""),454699447554)</f>
        <v/>
      </c>
      <c r="I540" s="45">
        <f>IFERROR(__xludf.DUMMYFUNCTION("""COMPUTED_VALUE"""),19900087)</f>
        <v/>
      </c>
      <c r="J540" s="45">
        <f>IFERROR(__xludf.DUMMYFUNCTION("""COMPUTED_VALUE"""),"LW3DOBS")</f>
        <v/>
      </c>
      <c r="K540" s="45">
        <f>IFERROR(__xludf.DUMMYFUNCTION("""COMPUTED_VALUE"""),"LW3DOBS-039159")</f>
        <v/>
      </c>
      <c r="L540" s="45">
        <f>IFERROR(__xludf.DUMMYFUNCTION("""COMPUTED_VALUE"""),4)</f>
        <v/>
      </c>
      <c r="M540" s="45">
        <f>IFERROR(__xludf.DUMMYFUNCTION("""COMPUTED_VALUE"""),157)</f>
        <v/>
      </c>
      <c r="N540" s="45">
        <f>IFERROR(__xludf.DUMMYFUNCTION("""COMPUTED_VALUE"""),26.01)</f>
        <v/>
      </c>
      <c r="O540" s="45">
        <f>IFERROR(__xludf.DUMMYFUNCTION("""COMPUTED_VALUE"""),0.198)</f>
        <v/>
      </c>
      <c r="P540" s="45">
        <f>IFERROR(__xludf.DUMMYFUNCTION("""COMPUTED_VALUE"""),"Colombo, LK")</f>
        <v/>
      </c>
      <c r="Q540" s="45">
        <f>IFERROR(__xludf.DUMMYFUNCTION("""COMPUTED_VALUE"""),"New York, NY, US")</f>
        <v/>
      </c>
      <c r="R540" s="44">
        <f>IFERROR(__xludf.DUMMYFUNCTION("""COMPUTED_VALUE"""),45824)</f>
        <v/>
      </c>
      <c r="S540" s="44">
        <f>IFERROR(__xludf.DUMMYFUNCTION("""COMPUTED_VALUE"""),45883)</f>
        <v/>
      </c>
      <c r="T540" s="45">
        <f>IFERROR(__xludf.DUMMYFUNCTION("""COMPUTED_VALUE"""),"Milton, ON, CA")</f>
        <v/>
      </c>
      <c r="U540" s="45" t="n"/>
      <c r="V540" s="45" t="n"/>
      <c r="W540" s="45" t="n"/>
      <c r="X540" s="45" t="n"/>
      <c r="Y540" s="46">
        <f>IFERROR(__xludf.DUMMYFUNCTION("""COMPUTED_VALUE"""),45832)</f>
        <v/>
      </c>
      <c r="Z540" s="46">
        <f>IFERROR(__xludf.DUMMYFUNCTION("""COMPUTED_VALUE"""),45861)</f>
        <v/>
      </c>
      <c r="AA540" s="46">
        <f>IFERROR(__xludf.DUMMYFUNCTION("""COMPUTED_VALUE"""),45874)</f>
        <v/>
      </c>
      <c r="AB540" s="45">
        <f>IFERROR(__xludf.DUMMYFUNCTION("""COMPUTED_VALUE"""),"7211 Fifth Line")</f>
        <v/>
      </c>
      <c r="AC540" s="45" t="n"/>
      <c r="AD540" s="45">
        <f>IFERROR(__xludf.DUMMYFUNCTION("""COMPUTED_VALUE"""),"OCEAN")</f>
        <v/>
      </c>
      <c r="AE540" s="45">
        <f>IFERROR(__xludf.DUMMYFUNCTION("""COMPUTED_VALUE"""),"N")</f>
        <v/>
      </c>
      <c r="AF540" s="45" t="n"/>
      <c r="AG540" s="49">
        <f>IFERROR(__xludf.DUMMYFUNCTION("IFNA(vlookup(H540,IMPORTRANGE(""1vUGwO1n0QQGx9kKbO0_M5gmuhXZ6-LaxQxgrmJnzgP0"",""'TP# look up'!A:C""),3,0),"""")"),"")</f>
        <v/>
      </c>
      <c r="AH540" s="49">
        <f>LEFT(J540,2)</f>
        <v/>
      </c>
    </row>
    <row r="541" ht="12.75" customHeight="1">
      <c r="A541" s="45">
        <f>IFERROR(__xludf.DUMMYFUNCTION("""COMPUTED_VALUE"""),"Colombo")</f>
        <v/>
      </c>
      <c r="B541" s="45" t="n"/>
      <c r="C541" s="45">
        <f>IFERROR(__xludf.DUMMYFUNCTION("""COMPUTED_VALUE"""),3254508)</f>
        <v/>
      </c>
      <c r="D541" s="45" t="n"/>
      <c r="E541" s="45">
        <f>IFERROR(__xludf.DUMMYFUNCTION("""COMPUTED_VALUE"""),"CFS")</f>
        <v/>
      </c>
      <c r="F541" s="45">
        <f>IFERROR(__xludf.DUMMYFUNCTION("""COMPUTED_VALUE"""),"MAS AMITY PTE LTD")</f>
        <v/>
      </c>
      <c r="G541" s="45">
        <f>IFERROR(__xludf.DUMMYFUNCTION("""COMPUTED_VALUE"""),"MAS Fabrics (Pvt) Ltd Intimo")</f>
        <v/>
      </c>
      <c r="H541" s="43">
        <f>IFERROR(__xludf.DUMMYFUNCTION("""COMPUTED_VALUE"""),454699452340)</f>
        <v/>
      </c>
      <c r="I541" s="45">
        <f>IFERROR(__xludf.DUMMYFUNCTION("""COMPUTED_VALUE"""),19900110)</f>
        <v/>
      </c>
      <c r="J541" s="45">
        <f>IFERROR(__xludf.DUMMYFUNCTION("""COMPUTED_VALUE"""),"LW3FQFS")</f>
        <v/>
      </c>
      <c r="K541" s="45">
        <f>IFERROR(__xludf.DUMMYFUNCTION("""COMPUTED_VALUE"""),"LW3FQFS-0572")</f>
        <v/>
      </c>
      <c r="L541" s="45">
        <f>IFERROR(__xludf.DUMMYFUNCTION("""COMPUTED_VALUE"""),32)</f>
        <v/>
      </c>
      <c r="M541" s="45">
        <f>IFERROR(__xludf.DUMMYFUNCTION("""COMPUTED_VALUE"""),2484)</f>
        <v/>
      </c>
      <c r="N541" s="45">
        <f>IFERROR(__xludf.DUMMYFUNCTION("""COMPUTED_VALUE"""),318.934)</f>
        <v/>
      </c>
      <c r="O541" s="45">
        <f>IFERROR(__xludf.DUMMYFUNCTION("""COMPUTED_VALUE"""),2.527)</f>
        <v/>
      </c>
      <c r="P541" s="45">
        <f>IFERROR(__xludf.DUMMYFUNCTION("""COMPUTED_VALUE"""),"Colombo, LK")</f>
        <v/>
      </c>
      <c r="Q541" s="45">
        <f>IFERROR(__xludf.DUMMYFUNCTION("""COMPUTED_VALUE"""),"New York, NY, US")</f>
        <v/>
      </c>
      <c r="R541" s="44">
        <f>IFERROR(__xludf.DUMMYFUNCTION("""COMPUTED_VALUE"""),45824)</f>
        <v/>
      </c>
      <c r="S541" s="44">
        <f>IFERROR(__xludf.DUMMYFUNCTION("""COMPUTED_VALUE"""),45883)</f>
        <v/>
      </c>
      <c r="T541" s="45">
        <f>IFERROR(__xludf.DUMMYFUNCTION("""COMPUTED_VALUE"""),"Milton, ON, CA")</f>
        <v/>
      </c>
      <c r="U541" s="45" t="n"/>
      <c r="V541" s="45" t="n"/>
      <c r="W541" s="45" t="n"/>
      <c r="X541" s="45" t="n"/>
      <c r="Y541" s="46">
        <f>IFERROR(__xludf.DUMMYFUNCTION("""COMPUTED_VALUE"""),45832)</f>
        <v/>
      </c>
      <c r="Z541" s="46">
        <f>IFERROR(__xludf.DUMMYFUNCTION("""COMPUTED_VALUE"""),45861)</f>
        <v/>
      </c>
      <c r="AA541" s="46">
        <f>IFERROR(__xludf.DUMMYFUNCTION("""COMPUTED_VALUE"""),45874)</f>
        <v/>
      </c>
      <c r="AB541" s="45">
        <f>IFERROR(__xludf.DUMMYFUNCTION("""COMPUTED_VALUE"""),"7211 Fifth Line")</f>
        <v/>
      </c>
      <c r="AC541" s="45" t="n"/>
      <c r="AD541" s="45">
        <f>IFERROR(__xludf.DUMMYFUNCTION("""COMPUTED_VALUE"""),"OCEAN")</f>
        <v/>
      </c>
      <c r="AE541" s="45">
        <f>IFERROR(__xludf.DUMMYFUNCTION("""COMPUTED_VALUE"""),"N")</f>
        <v/>
      </c>
      <c r="AF541" s="45" t="n"/>
      <c r="AG541" s="49">
        <f>IFERROR(__xludf.DUMMYFUNCTION("IFNA(vlookup(H541,IMPORTRANGE(""1vUGwO1n0QQGx9kKbO0_M5gmuhXZ6-LaxQxgrmJnzgP0"",""'TP# look up'!A:C""),3,0),"""")"),"")</f>
        <v/>
      </c>
      <c r="AH541" s="49">
        <f>LEFT(J541,2)</f>
        <v/>
      </c>
    </row>
    <row r="542" ht="12.75" customHeight="1">
      <c r="A542" s="45">
        <f>IFERROR(__xludf.DUMMYFUNCTION("""COMPUTED_VALUE"""),"Colombo")</f>
        <v/>
      </c>
      <c r="B542" s="45" t="n"/>
      <c r="C542" s="45">
        <f>IFERROR(__xludf.DUMMYFUNCTION("""COMPUTED_VALUE"""),3254508)</f>
        <v/>
      </c>
      <c r="D542" s="45" t="n"/>
      <c r="E542" s="45">
        <f>IFERROR(__xludf.DUMMYFUNCTION("""COMPUTED_VALUE"""),"CFS")</f>
        <v/>
      </c>
      <c r="F542" s="45">
        <f>IFERROR(__xludf.DUMMYFUNCTION("""COMPUTED_VALUE"""),"MAS AMITY PTE LTD")</f>
        <v/>
      </c>
      <c r="G542" s="45">
        <f>IFERROR(__xludf.DUMMYFUNCTION("""COMPUTED_VALUE"""),"MAS Fabrics (Pvt) Ltd Intimo")</f>
        <v/>
      </c>
      <c r="H542" s="43">
        <f>IFERROR(__xludf.DUMMYFUNCTION("""COMPUTED_VALUE"""),454700184543)</f>
        <v/>
      </c>
      <c r="I542" s="45">
        <f>IFERROR(__xludf.DUMMYFUNCTION("""COMPUTED_VALUE"""),19910666)</f>
        <v/>
      </c>
      <c r="J542" s="45">
        <f>IFERROR(__xludf.DUMMYFUNCTION("""COMPUTED_VALUE"""),"LW3JSMS")</f>
        <v/>
      </c>
      <c r="K542" s="45">
        <f>IFERROR(__xludf.DUMMYFUNCTION("""COMPUTED_VALUE"""),"LW3JSMS-071211")</f>
        <v/>
      </c>
      <c r="L542" s="45">
        <f>IFERROR(__xludf.DUMMYFUNCTION("""COMPUTED_VALUE"""),4)</f>
        <v/>
      </c>
      <c r="M542" s="45">
        <f>IFERROR(__xludf.DUMMYFUNCTION("""COMPUTED_VALUE"""),214)</f>
        <v/>
      </c>
      <c r="N542" s="45">
        <f>IFERROR(__xludf.DUMMYFUNCTION("""COMPUTED_VALUE"""),28.502)</f>
        <v/>
      </c>
      <c r="O542" s="45">
        <f>IFERROR(__xludf.DUMMYFUNCTION("""COMPUTED_VALUE"""),0.276)</f>
        <v/>
      </c>
      <c r="P542" s="45">
        <f>IFERROR(__xludf.DUMMYFUNCTION("""COMPUTED_VALUE"""),"Colombo, LK")</f>
        <v/>
      </c>
      <c r="Q542" s="45">
        <f>IFERROR(__xludf.DUMMYFUNCTION("""COMPUTED_VALUE"""),"New York, NY, US")</f>
        <v/>
      </c>
      <c r="R542" s="44">
        <f>IFERROR(__xludf.DUMMYFUNCTION("""COMPUTED_VALUE"""),45824)</f>
        <v/>
      </c>
      <c r="S542" s="44">
        <f>IFERROR(__xludf.DUMMYFUNCTION("""COMPUTED_VALUE"""),45883)</f>
        <v/>
      </c>
      <c r="T542" s="45">
        <f>IFERROR(__xludf.DUMMYFUNCTION("""COMPUTED_VALUE"""),"Mississauga, ON, CA")</f>
        <v/>
      </c>
      <c r="U542" s="45" t="n"/>
      <c r="V542" s="45" t="n"/>
      <c r="W542" s="45" t="n"/>
      <c r="X542" s="45" t="n"/>
      <c r="Y542" s="46">
        <f>IFERROR(__xludf.DUMMYFUNCTION("""COMPUTED_VALUE"""),45832)</f>
        <v/>
      </c>
      <c r="Z542" s="46">
        <f>IFERROR(__xludf.DUMMYFUNCTION("""COMPUTED_VALUE"""),45861)</f>
        <v/>
      </c>
      <c r="AA542" s="46">
        <f>IFERROR(__xludf.DUMMYFUNCTION("""COMPUTED_VALUE"""),45874)</f>
        <v/>
      </c>
      <c r="AB542" s="45">
        <f>IFERROR(__xludf.DUMMYFUNCTION("""COMPUTED_VALUE"""),"3500 Argentia Road")</f>
        <v/>
      </c>
      <c r="AC542" s="45" t="n"/>
      <c r="AD542" s="45">
        <f>IFERROR(__xludf.DUMMYFUNCTION("""COMPUTED_VALUE"""),"OCEAN")</f>
        <v/>
      </c>
      <c r="AE542" s="45">
        <f>IFERROR(__xludf.DUMMYFUNCTION("""COMPUTED_VALUE"""),"N")</f>
        <v/>
      </c>
      <c r="AF542" s="45" t="n"/>
      <c r="AG542" s="49">
        <f>IFERROR(__xludf.DUMMYFUNCTION("IFNA(vlookup(H542,IMPORTRANGE(""1vUGwO1n0QQGx9kKbO0_M5gmuhXZ6-LaxQxgrmJnzgP0"",""'TP# look up'!A:C""),3,0),"""")"),"")</f>
        <v/>
      </c>
      <c r="AH542" s="49">
        <f>LEFT(J542,2)</f>
        <v/>
      </c>
    </row>
    <row r="543" ht="12.75" customHeight="1">
      <c r="A543" s="45">
        <f>IFERROR(__xludf.DUMMYFUNCTION("""COMPUTED_VALUE"""),"Colombo")</f>
        <v/>
      </c>
      <c r="B543" s="45" t="n"/>
      <c r="C543" s="45">
        <f>IFERROR(__xludf.DUMMYFUNCTION("""COMPUTED_VALUE"""),3254508)</f>
        <v/>
      </c>
      <c r="D543" s="45" t="n"/>
      <c r="E543" s="45">
        <f>IFERROR(__xludf.DUMMYFUNCTION("""COMPUTED_VALUE"""),"CFS")</f>
        <v/>
      </c>
      <c r="F543" s="45">
        <f>IFERROR(__xludf.DUMMYFUNCTION("""COMPUTED_VALUE"""),"MAS AMITY PTE LTD")</f>
        <v/>
      </c>
      <c r="G543" s="45">
        <f>IFERROR(__xludf.DUMMYFUNCTION("""COMPUTED_VALUE"""),"MAS Fabrics (Pvt) Ltd Intimo")</f>
        <v/>
      </c>
      <c r="H543" s="43">
        <f>IFERROR(__xludf.DUMMYFUNCTION("""COMPUTED_VALUE"""),454701118584)</f>
        <v/>
      </c>
      <c r="I543" s="45">
        <f>IFERROR(__xludf.DUMMYFUNCTION("""COMPUTED_VALUE"""),19910576)</f>
        <v/>
      </c>
      <c r="J543" s="45">
        <f>IFERROR(__xludf.DUMMYFUNCTION("""COMPUTED_VALUE"""),"LW3JE8S")</f>
        <v/>
      </c>
      <c r="K543" s="45">
        <f>IFERROR(__xludf.DUMMYFUNCTION("""COMPUTED_VALUE"""),"LW3JE8S-0572")</f>
        <v/>
      </c>
      <c r="L543" s="45">
        <f>IFERROR(__xludf.DUMMYFUNCTION("""COMPUTED_VALUE"""),7)</f>
        <v/>
      </c>
      <c r="M543" s="45">
        <f>IFERROR(__xludf.DUMMYFUNCTION("""COMPUTED_VALUE"""),349)</f>
        <v/>
      </c>
      <c r="N543" s="45">
        <f>IFERROR(__xludf.DUMMYFUNCTION("""COMPUTED_VALUE"""),69.652)</f>
        <v/>
      </c>
      <c r="O543" s="45">
        <f>IFERROR(__xludf.DUMMYFUNCTION("""COMPUTED_VALUE"""),0.513)</f>
        <v/>
      </c>
      <c r="P543" s="45">
        <f>IFERROR(__xludf.DUMMYFUNCTION("""COMPUTED_VALUE"""),"Colombo, LK")</f>
        <v/>
      </c>
      <c r="Q543" s="45">
        <f>IFERROR(__xludf.DUMMYFUNCTION("""COMPUTED_VALUE"""),"New York, NY, US")</f>
        <v/>
      </c>
      <c r="R543" s="44">
        <f>IFERROR(__xludf.DUMMYFUNCTION("""COMPUTED_VALUE"""),45824)</f>
        <v/>
      </c>
      <c r="S543" s="44">
        <f>IFERROR(__xludf.DUMMYFUNCTION("""COMPUTED_VALUE"""),45883)</f>
        <v/>
      </c>
      <c r="T543" s="45">
        <f>IFERROR(__xludf.DUMMYFUNCTION("""COMPUTED_VALUE"""),"Mississauga, ON, CA")</f>
        <v/>
      </c>
      <c r="U543" s="45" t="n"/>
      <c r="V543" s="45" t="n"/>
      <c r="W543" s="45" t="n"/>
      <c r="X543" s="45" t="n"/>
      <c r="Y543" s="46">
        <f>IFERROR(__xludf.DUMMYFUNCTION("""COMPUTED_VALUE"""),45832)</f>
        <v/>
      </c>
      <c r="Z543" s="46">
        <f>IFERROR(__xludf.DUMMYFUNCTION("""COMPUTED_VALUE"""),45861)</f>
        <v/>
      </c>
      <c r="AA543" s="46">
        <f>IFERROR(__xludf.DUMMYFUNCTION("""COMPUTED_VALUE"""),45874)</f>
        <v/>
      </c>
      <c r="AB543" s="45">
        <f>IFERROR(__xludf.DUMMYFUNCTION("""COMPUTED_VALUE"""),"3500 Argentia Road")</f>
        <v/>
      </c>
      <c r="AC543" s="45" t="n"/>
      <c r="AD543" s="45">
        <f>IFERROR(__xludf.DUMMYFUNCTION("""COMPUTED_VALUE"""),"OCEAN")</f>
        <v/>
      </c>
      <c r="AE543" s="45">
        <f>IFERROR(__xludf.DUMMYFUNCTION("""COMPUTED_VALUE"""),"N")</f>
        <v/>
      </c>
      <c r="AF543" s="45" t="n"/>
      <c r="AG543" s="49">
        <f>IFERROR(__xludf.DUMMYFUNCTION("IFNA(vlookup(H543,IMPORTRANGE(""1vUGwO1n0QQGx9kKbO0_M5gmuhXZ6-LaxQxgrmJnzgP0"",""'TP# look up'!A:C""),3,0),"""")"),"")</f>
        <v/>
      </c>
      <c r="AH543" s="49">
        <f>LEFT(J543,2)</f>
        <v/>
      </c>
    </row>
    <row r="544" ht="12.75" customHeight="1">
      <c r="A544" s="45">
        <f>IFERROR(__xludf.DUMMYFUNCTION("""COMPUTED_VALUE"""),"Colombo")</f>
        <v/>
      </c>
      <c r="B544" s="45" t="n"/>
      <c r="C544" s="45">
        <f>IFERROR(__xludf.DUMMYFUNCTION("""COMPUTED_VALUE"""),3254508)</f>
        <v/>
      </c>
      <c r="D544" s="45" t="n"/>
      <c r="E544" s="45">
        <f>IFERROR(__xludf.DUMMYFUNCTION("""COMPUTED_VALUE"""),"CFS")</f>
        <v/>
      </c>
      <c r="F544" s="45">
        <f>IFERROR(__xludf.DUMMYFUNCTION("""COMPUTED_VALUE"""),"MAS AMITY PTE LTD")</f>
        <v/>
      </c>
      <c r="G544" s="45">
        <f>IFERROR(__xludf.DUMMYFUNCTION("""COMPUTED_VALUE"""),"MAS Fabrics (Pvt) Ltd Intimo")</f>
        <v/>
      </c>
      <c r="H544" s="43">
        <f>IFERROR(__xludf.DUMMYFUNCTION("""COMPUTED_VALUE"""),454701898077)</f>
        <v/>
      </c>
      <c r="I544" s="45">
        <f>IFERROR(__xludf.DUMMYFUNCTION("""COMPUTED_VALUE"""),19910605)</f>
        <v/>
      </c>
      <c r="J544" s="45">
        <f>IFERROR(__xludf.DUMMYFUNCTION("""COMPUTED_VALUE"""),"LW3JE8S")</f>
        <v/>
      </c>
      <c r="K544" s="45">
        <f>IFERROR(__xludf.DUMMYFUNCTION("""COMPUTED_VALUE"""),"LW3JE8S-012826")</f>
        <v/>
      </c>
      <c r="L544" s="45">
        <f>IFERROR(__xludf.DUMMYFUNCTION("""COMPUTED_VALUE"""),5)</f>
        <v/>
      </c>
      <c r="M544" s="45">
        <f>IFERROR(__xludf.DUMMYFUNCTION("""COMPUTED_VALUE"""),142)</f>
        <v/>
      </c>
      <c r="N544" s="45">
        <f>IFERROR(__xludf.DUMMYFUNCTION("""COMPUTED_VALUE"""),29.954)</f>
        <v/>
      </c>
      <c r="O544" s="45">
        <f>IFERROR(__xludf.DUMMYFUNCTION("""COMPUTED_VALUE"""),0.276)</f>
        <v/>
      </c>
      <c r="P544" s="45">
        <f>IFERROR(__xludf.DUMMYFUNCTION("""COMPUTED_VALUE"""),"Colombo, LK")</f>
        <v/>
      </c>
      <c r="Q544" s="45">
        <f>IFERROR(__xludf.DUMMYFUNCTION("""COMPUTED_VALUE"""),"New York, NY, US")</f>
        <v/>
      </c>
      <c r="R544" s="44">
        <f>IFERROR(__xludf.DUMMYFUNCTION("""COMPUTED_VALUE"""),45824)</f>
        <v/>
      </c>
      <c r="S544" s="44">
        <f>IFERROR(__xludf.DUMMYFUNCTION("""COMPUTED_VALUE"""),45883)</f>
        <v/>
      </c>
      <c r="T544" s="45">
        <f>IFERROR(__xludf.DUMMYFUNCTION("""COMPUTED_VALUE"""),"Mississauga, ON, CA")</f>
        <v/>
      </c>
      <c r="U544" s="45" t="n"/>
      <c r="V544" s="45" t="n"/>
      <c r="W544" s="45" t="n"/>
      <c r="X544" s="45" t="n"/>
      <c r="Y544" s="46">
        <f>IFERROR(__xludf.DUMMYFUNCTION("""COMPUTED_VALUE"""),45831)</f>
        <v/>
      </c>
      <c r="Z544" s="46">
        <f>IFERROR(__xludf.DUMMYFUNCTION("""COMPUTED_VALUE"""),45852)</f>
        <v/>
      </c>
      <c r="AA544" s="46">
        <f>IFERROR(__xludf.DUMMYFUNCTION("""COMPUTED_VALUE"""),45852)</f>
        <v/>
      </c>
      <c r="AB544" s="45">
        <f>IFERROR(__xludf.DUMMYFUNCTION("""COMPUTED_VALUE"""),"3500 Argentia Road")</f>
        <v/>
      </c>
      <c r="AC544" s="45" t="n"/>
      <c r="AD544" s="45">
        <f>IFERROR(__xludf.DUMMYFUNCTION("""COMPUTED_VALUE"""),"OCEAN")</f>
        <v/>
      </c>
      <c r="AE544" s="45">
        <f>IFERROR(__xludf.DUMMYFUNCTION("""COMPUTED_VALUE"""),"N")</f>
        <v/>
      </c>
      <c r="AF544" s="45" t="n"/>
      <c r="AG544" s="49">
        <f>IFERROR(__xludf.DUMMYFUNCTION("IFNA(vlookup(H544,IMPORTRANGE(""1vUGwO1n0QQGx9kKbO0_M5gmuhXZ6-LaxQxgrmJnzgP0"",""'TP# look up'!A:C""),3,0),"""")"),"")</f>
        <v/>
      </c>
      <c r="AH544" s="49">
        <f>LEFT(J544,2)</f>
        <v/>
      </c>
    </row>
    <row r="545" ht="12.75" customHeight="1">
      <c r="A545" s="45">
        <f>IFERROR(__xludf.DUMMYFUNCTION("""COMPUTED_VALUE"""),"Colombo")</f>
        <v/>
      </c>
      <c r="B545" s="45" t="n"/>
      <c r="C545" s="45">
        <f>IFERROR(__xludf.DUMMYFUNCTION("""COMPUTED_VALUE"""),3254508)</f>
        <v/>
      </c>
      <c r="D545" s="45" t="n"/>
      <c r="E545" s="45">
        <f>IFERROR(__xludf.DUMMYFUNCTION("""COMPUTED_VALUE"""),"CFS")</f>
        <v/>
      </c>
      <c r="F545" s="45">
        <f>IFERROR(__xludf.DUMMYFUNCTION("""COMPUTED_VALUE"""),"MAS AMITY PTE LTD")</f>
        <v/>
      </c>
      <c r="G545" s="45">
        <f>IFERROR(__xludf.DUMMYFUNCTION("""COMPUTED_VALUE"""),"MAS Fabrics (Pvt) Ltd Intimo")</f>
        <v/>
      </c>
      <c r="H545" s="43">
        <f>IFERROR(__xludf.DUMMYFUNCTION("""COMPUTED_VALUE"""),454701899241)</f>
        <v/>
      </c>
      <c r="I545" s="45">
        <f>IFERROR(__xludf.DUMMYFUNCTION("""COMPUTED_VALUE"""),19910832)</f>
        <v/>
      </c>
      <c r="J545" s="45">
        <f>IFERROR(__xludf.DUMMYFUNCTION("""COMPUTED_VALUE"""),"LW3GH4S")</f>
        <v/>
      </c>
      <c r="K545" s="45">
        <f>IFERROR(__xludf.DUMMYFUNCTION("""COMPUTED_VALUE"""),"LW3GH4S-4780")</f>
        <v/>
      </c>
      <c r="L545" s="45">
        <f>IFERROR(__xludf.DUMMYFUNCTION("""COMPUTED_VALUE"""),5)</f>
        <v/>
      </c>
      <c r="M545" s="45">
        <f>IFERROR(__xludf.DUMMYFUNCTION("""COMPUTED_VALUE"""),393)</f>
        <v/>
      </c>
      <c r="N545" s="45">
        <f>IFERROR(__xludf.DUMMYFUNCTION("""COMPUTED_VALUE"""),49.962)</f>
        <v/>
      </c>
      <c r="O545" s="45">
        <f>IFERROR(__xludf.DUMMYFUNCTION("""COMPUTED_VALUE"""),0.355)</f>
        <v/>
      </c>
      <c r="P545" s="45">
        <f>IFERROR(__xludf.DUMMYFUNCTION("""COMPUTED_VALUE"""),"Colombo, LK")</f>
        <v/>
      </c>
      <c r="Q545" s="45">
        <f>IFERROR(__xludf.DUMMYFUNCTION("""COMPUTED_VALUE"""),"New York, NY, US")</f>
        <v/>
      </c>
      <c r="R545" s="44">
        <f>IFERROR(__xludf.DUMMYFUNCTION("""COMPUTED_VALUE"""),45824)</f>
        <v/>
      </c>
      <c r="S545" s="44">
        <f>IFERROR(__xludf.DUMMYFUNCTION("""COMPUTED_VALUE"""),45883)</f>
        <v/>
      </c>
      <c r="T545" s="45">
        <f>IFERROR(__xludf.DUMMYFUNCTION("""COMPUTED_VALUE"""),"Mississauga, ON, CA")</f>
        <v/>
      </c>
      <c r="U545" s="45" t="n"/>
      <c r="V545" s="45" t="n"/>
      <c r="W545" s="45" t="n"/>
      <c r="X545" s="45" t="n"/>
      <c r="Y545" s="46">
        <f>IFERROR(__xludf.DUMMYFUNCTION("""COMPUTED_VALUE"""),45831)</f>
        <v/>
      </c>
      <c r="Z545" s="46">
        <f>IFERROR(__xludf.DUMMYFUNCTION("""COMPUTED_VALUE"""),45852)</f>
        <v/>
      </c>
      <c r="AA545" s="46">
        <f>IFERROR(__xludf.DUMMYFUNCTION("""COMPUTED_VALUE"""),45852)</f>
        <v/>
      </c>
      <c r="AB545" s="45">
        <f>IFERROR(__xludf.DUMMYFUNCTION("""COMPUTED_VALUE"""),"3500 Argentia Road")</f>
        <v/>
      </c>
      <c r="AC545" s="45" t="n"/>
      <c r="AD545" s="45">
        <f>IFERROR(__xludf.DUMMYFUNCTION("""COMPUTED_VALUE"""),"OCEAN")</f>
        <v/>
      </c>
      <c r="AE545" s="45">
        <f>IFERROR(__xludf.DUMMYFUNCTION("""COMPUTED_VALUE"""),"N")</f>
        <v/>
      </c>
      <c r="AF545" s="45" t="n"/>
      <c r="AG545" s="49">
        <f>IFERROR(__xludf.DUMMYFUNCTION("IFNA(vlookup(H545,IMPORTRANGE(""1vUGwO1n0QQGx9kKbO0_M5gmuhXZ6-LaxQxgrmJnzgP0"",""'TP# look up'!A:C""),3,0),"""")"),"")</f>
        <v/>
      </c>
      <c r="AH545" s="49">
        <f>LEFT(J545,2)</f>
        <v/>
      </c>
    </row>
    <row r="546" ht="12.75" customHeight="1">
      <c r="A546" s="45">
        <f>IFERROR(__xludf.DUMMYFUNCTION("""COMPUTED_VALUE"""),"Colombo")</f>
        <v/>
      </c>
      <c r="B546" s="45" t="n"/>
      <c r="C546" s="45">
        <f>IFERROR(__xludf.DUMMYFUNCTION("""COMPUTED_VALUE"""),3254508)</f>
        <v/>
      </c>
      <c r="D546" s="45" t="n"/>
      <c r="E546" s="45">
        <f>IFERROR(__xludf.DUMMYFUNCTION("""COMPUTED_VALUE"""),"CFS")</f>
        <v/>
      </c>
      <c r="F546" s="45">
        <f>IFERROR(__xludf.DUMMYFUNCTION("""COMPUTED_VALUE"""),"MAS AMITY PTE LTD")</f>
        <v/>
      </c>
      <c r="G546" s="45">
        <f>IFERROR(__xludf.DUMMYFUNCTION("""COMPUTED_VALUE"""),"MAS Fabrics (Pvt) Ltd Intimo")</f>
        <v/>
      </c>
      <c r="H546" s="43">
        <f>IFERROR(__xludf.DUMMYFUNCTION("""COMPUTED_VALUE"""),454702650660)</f>
        <v/>
      </c>
      <c r="I546" s="45">
        <f>IFERROR(__xludf.DUMMYFUNCTION("""COMPUTED_VALUE"""),19910987)</f>
        <v/>
      </c>
      <c r="J546" s="45">
        <f>IFERROR(__xludf.DUMMYFUNCTION("""COMPUTED_VALUE"""),"LW3GZHS")</f>
        <v/>
      </c>
      <c r="K546" s="45">
        <f>IFERROR(__xludf.DUMMYFUNCTION("""COMPUTED_VALUE"""),"LW3GZHS-0572")</f>
        <v/>
      </c>
      <c r="L546" s="45">
        <f>IFERROR(__xludf.DUMMYFUNCTION("""COMPUTED_VALUE"""),5)</f>
        <v/>
      </c>
      <c r="M546" s="45">
        <f>IFERROR(__xludf.DUMMYFUNCTION("""COMPUTED_VALUE"""),328)</f>
        <v/>
      </c>
      <c r="N546" s="45">
        <f>IFERROR(__xludf.DUMMYFUNCTION("""COMPUTED_VALUE"""),27.946)</f>
        <v/>
      </c>
      <c r="O546" s="45">
        <f>IFERROR(__xludf.DUMMYFUNCTION("""COMPUTED_VALUE"""),0.316)</f>
        <v/>
      </c>
      <c r="P546" s="45">
        <f>IFERROR(__xludf.DUMMYFUNCTION("""COMPUTED_VALUE"""),"Colombo, LK")</f>
        <v/>
      </c>
      <c r="Q546" s="45">
        <f>IFERROR(__xludf.DUMMYFUNCTION("""COMPUTED_VALUE"""),"New York, NY, US")</f>
        <v/>
      </c>
      <c r="R546" s="44">
        <f>IFERROR(__xludf.DUMMYFUNCTION("""COMPUTED_VALUE"""),45824)</f>
        <v/>
      </c>
      <c r="S546" s="44">
        <f>IFERROR(__xludf.DUMMYFUNCTION("""COMPUTED_VALUE"""),45883)</f>
        <v/>
      </c>
      <c r="T546" s="45">
        <f>IFERROR(__xludf.DUMMYFUNCTION("""COMPUTED_VALUE"""),"Mississauga, ON, CA")</f>
        <v/>
      </c>
      <c r="U546" s="45" t="n"/>
      <c r="V546" s="45" t="n"/>
      <c r="W546" s="45" t="n"/>
      <c r="X546" s="45" t="n"/>
      <c r="Y546" s="46">
        <f>IFERROR(__xludf.DUMMYFUNCTION("""COMPUTED_VALUE"""),45831)</f>
        <v/>
      </c>
      <c r="Z546" s="46">
        <f>IFERROR(__xludf.DUMMYFUNCTION("""COMPUTED_VALUE"""),45852)</f>
        <v/>
      </c>
      <c r="AA546" s="46">
        <f>IFERROR(__xludf.DUMMYFUNCTION("""COMPUTED_VALUE"""),45852)</f>
        <v/>
      </c>
      <c r="AB546" s="45">
        <f>IFERROR(__xludf.DUMMYFUNCTION("""COMPUTED_VALUE"""),"3500 Argentia Road")</f>
        <v/>
      </c>
      <c r="AC546" s="45" t="n"/>
      <c r="AD546" s="45">
        <f>IFERROR(__xludf.DUMMYFUNCTION("""COMPUTED_VALUE"""),"OCEAN")</f>
        <v/>
      </c>
      <c r="AE546" s="45">
        <f>IFERROR(__xludf.DUMMYFUNCTION("""COMPUTED_VALUE"""),"N")</f>
        <v/>
      </c>
      <c r="AF546" s="45" t="n"/>
      <c r="AG546" s="49">
        <f>IFERROR(__xludf.DUMMYFUNCTION("IFNA(vlookup(H546,IMPORTRANGE(""1vUGwO1n0QQGx9kKbO0_M5gmuhXZ6-LaxQxgrmJnzgP0"",""'TP# look up'!A:C""),3,0),"""")"),"")</f>
        <v/>
      </c>
      <c r="AH546" s="49">
        <f>LEFT(J546,2)</f>
        <v/>
      </c>
    </row>
    <row r="547" ht="12.75" customHeight="1">
      <c r="A547" s="45">
        <f>IFERROR(__xludf.DUMMYFUNCTION("""COMPUTED_VALUE"""),"Colombo")</f>
        <v/>
      </c>
      <c r="B547" s="45" t="n"/>
      <c r="C547" s="45">
        <f>IFERROR(__xludf.DUMMYFUNCTION("""COMPUTED_VALUE"""),3254508)</f>
        <v/>
      </c>
      <c r="D547" s="45" t="n"/>
      <c r="E547" s="45">
        <f>IFERROR(__xludf.DUMMYFUNCTION("""COMPUTED_VALUE"""),"CFS")</f>
        <v/>
      </c>
      <c r="F547" s="45">
        <f>IFERROR(__xludf.DUMMYFUNCTION("""COMPUTED_VALUE"""),"MAS AMITY PTE LTD")</f>
        <v/>
      </c>
      <c r="G547" s="45">
        <f>IFERROR(__xludf.DUMMYFUNCTION("""COMPUTED_VALUE"""),"MAS Fabrics (Pvt) Ltd Intimo")</f>
        <v/>
      </c>
      <c r="H547" s="43">
        <f>IFERROR(__xludf.DUMMYFUNCTION("""COMPUTED_VALUE"""),454702745689)</f>
        <v/>
      </c>
      <c r="I547" s="45">
        <f>IFERROR(__xludf.DUMMYFUNCTION("""COMPUTED_VALUE"""),19910879)</f>
        <v/>
      </c>
      <c r="J547" s="45">
        <f>IFERROR(__xludf.DUMMYFUNCTION("""COMPUTED_VALUE"""),"LW3GH4S")</f>
        <v/>
      </c>
      <c r="K547" s="45">
        <f>IFERROR(__xludf.DUMMYFUNCTION("""COMPUTED_VALUE"""),"LW3GH4S-0572")</f>
        <v/>
      </c>
      <c r="L547" s="45">
        <f>IFERROR(__xludf.DUMMYFUNCTION("""COMPUTED_VALUE"""),4)</f>
        <v/>
      </c>
      <c r="M547" s="45">
        <f>IFERROR(__xludf.DUMMYFUNCTION("""COMPUTED_VALUE"""),278)</f>
        <v/>
      </c>
      <c r="N547" s="45">
        <f>IFERROR(__xludf.DUMMYFUNCTION("""COMPUTED_VALUE"""),35.795)</f>
        <v/>
      </c>
      <c r="O547" s="45">
        <f>IFERROR(__xludf.DUMMYFUNCTION("""COMPUTED_VALUE"""),0.276)</f>
        <v/>
      </c>
      <c r="P547" s="45">
        <f>IFERROR(__xludf.DUMMYFUNCTION("""COMPUTED_VALUE"""),"Colombo, LK")</f>
        <v/>
      </c>
      <c r="Q547" s="45">
        <f>IFERROR(__xludf.DUMMYFUNCTION("""COMPUTED_VALUE"""),"New York, NY, US")</f>
        <v/>
      </c>
      <c r="R547" s="44">
        <f>IFERROR(__xludf.DUMMYFUNCTION("""COMPUTED_VALUE"""),45824)</f>
        <v/>
      </c>
      <c r="S547" s="44">
        <f>IFERROR(__xludf.DUMMYFUNCTION("""COMPUTED_VALUE"""),45883)</f>
        <v/>
      </c>
      <c r="T547" s="45">
        <f>IFERROR(__xludf.DUMMYFUNCTION("""COMPUTED_VALUE"""),"Mississauga, ON, CA")</f>
        <v/>
      </c>
      <c r="U547" s="45" t="n"/>
      <c r="V547" s="45" t="n"/>
      <c r="W547" s="45" t="n"/>
      <c r="X547" s="45" t="n"/>
      <c r="Y547" s="46">
        <f>IFERROR(__xludf.DUMMYFUNCTION("""COMPUTED_VALUE"""),45831)</f>
        <v/>
      </c>
      <c r="Z547" s="46">
        <f>IFERROR(__xludf.DUMMYFUNCTION("""COMPUTED_VALUE"""),45852)</f>
        <v/>
      </c>
      <c r="AA547" s="46">
        <f>IFERROR(__xludf.DUMMYFUNCTION("""COMPUTED_VALUE"""),45852)</f>
        <v/>
      </c>
      <c r="AB547" s="45">
        <f>IFERROR(__xludf.DUMMYFUNCTION("""COMPUTED_VALUE"""),"3500 Argentia Road")</f>
        <v/>
      </c>
      <c r="AC547" s="45" t="n"/>
      <c r="AD547" s="45">
        <f>IFERROR(__xludf.DUMMYFUNCTION("""COMPUTED_VALUE"""),"OCEAN")</f>
        <v/>
      </c>
      <c r="AE547" s="45">
        <f>IFERROR(__xludf.DUMMYFUNCTION("""COMPUTED_VALUE"""),"N")</f>
        <v/>
      </c>
      <c r="AF547" s="45" t="n"/>
      <c r="AG547" s="49">
        <f>IFERROR(__xludf.DUMMYFUNCTION("IFNA(vlookup(H547,IMPORTRANGE(""1vUGwO1n0QQGx9kKbO0_M5gmuhXZ6-LaxQxgrmJnzgP0"",""'TP# look up'!A:C""),3,0),"""")"),"")</f>
        <v/>
      </c>
      <c r="AH547" s="49">
        <f>LEFT(J547,2)</f>
        <v/>
      </c>
    </row>
    <row r="548" ht="12.75" customHeight="1">
      <c r="A548" s="45">
        <f>IFERROR(__xludf.DUMMYFUNCTION("""COMPUTED_VALUE"""),"Colombo")</f>
        <v/>
      </c>
      <c r="B548" s="45" t="n"/>
      <c r="C548" s="45">
        <f>IFERROR(__xludf.DUMMYFUNCTION("""COMPUTED_VALUE"""),3254508)</f>
        <v/>
      </c>
      <c r="D548" s="45" t="n"/>
      <c r="E548" s="45">
        <f>IFERROR(__xludf.DUMMYFUNCTION("""COMPUTED_VALUE"""),"CFS")</f>
        <v/>
      </c>
      <c r="F548" s="45">
        <f>IFERROR(__xludf.DUMMYFUNCTION("""COMPUTED_VALUE"""),"MAS AMITY PTE LTD")</f>
        <v/>
      </c>
      <c r="G548" s="45">
        <f>IFERROR(__xludf.DUMMYFUNCTION("""COMPUTED_VALUE"""),"MAS Fabrics (Pvt) Ltd Intimo")</f>
        <v/>
      </c>
      <c r="H548" s="43">
        <f>IFERROR(__xludf.DUMMYFUNCTION("""COMPUTED_VALUE"""),454703022457)</f>
        <v/>
      </c>
      <c r="I548" s="45">
        <f>IFERROR(__xludf.DUMMYFUNCTION("""COMPUTED_VALUE"""),19911053)</f>
        <v/>
      </c>
      <c r="J548" s="45">
        <f>IFERROR(__xludf.DUMMYFUNCTION("""COMPUTED_VALUE"""),"LW3JE8S")</f>
        <v/>
      </c>
      <c r="K548" s="45">
        <f>IFERROR(__xludf.DUMMYFUNCTION("""COMPUTED_VALUE"""),"LW3JE8S-042836")</f>
        <v/>
      </c>
      <c r="L548" s="45">
        <f>IFERROR(__xludf.DUMMYFUNCTION("""COMPUTED_VALUE"""),10)</f>
        <v/>
      </c>
      <c r="M548" s="45">
        <f>IFERROR(__xludf.DUMMYFUNCTION("""COMPUTED_VALUE"""),504)</f>
        <v/>
      </c>
      <c r="N548" s="45">
        <f>IFERROR(__xludf.DUMMYFUNCTION("""COMPUTED_VALUE"""),99.136)</f>
        <v/>
      </c>
      <c r="O548" s="45">
        <f>IFERROR(__xludf.DUMMYFUNCTION("""COMPUTED_VALUE"""),0.711)</f>
        <v/>
      </c>
      <c r="P548" s="45">
        <f>IFERROR(__xludf.DUMMYFUNCTION("""COMPUTED_VALUE"""),"Colombo, LK")</f>
        <v/>
      </c>
      <c r="Q548" s="45">
        <f>IFERROR(__xludf.DUMMYFUNCTION("""COMPUTED_VALUE"""),"New York, NY, US")</f>
        <v/>
      </c>
      <c r="R548" s="44">
        <f>IFERROR(__xludf.DUMMYFUNCTION("""COMPUTED_VALUE"""),45824)</f>
        <v/>
      </c>
      <c r="S548" s="44">
        <f>IFERROR(__xludf.DUMMYFUNCTION("""COMPUTED_VALUE"""),45883)</f>
        <v/>
      </c>
      <c r="T548" s="45">
        <f>IFERROR(__xludf.DUMMYFUNCTION("""COMPUTED_VALUE"""),"Mississauga, ON, CA")</f>
        <v/>
      </c>
      <c r="U548" s="45" t="n"/>
      <c r="V548" s="45" t="n"/>
      <c r="W548" s="45" t="n"/>
      <c r="X548" s="45" t="n"/>
      <c r="Y548" s="46">
        <f>IFERROR(__xludf.DUMMYFUNCTION("""COMPUTED_VALUE"""),45831)</f>
        <v/>
      </c>
      <c r="Z548" s="46">
        <f>IFERROR(__xludf.DUMMYFUNCTION("""COMPUTED_VALUE"""),45852)</f>
        <v/>
      </c>
      <c r="AA548" s="46">
        <f>IFERROR(__xludf.DUMMYFUNCTION("""COMPUTED_VALUE"""),45852)</f>
        <v/>
      </c>
      <c r="AB548" s="45">
        <f>IFERROR(__xludf.DUMMYFUNCTION("""COMPUTED_VALUE"""),"3500 Argentia Road")</f>
        <v/>
      </c>
      <c r="AC548" s="45" t="n"/>
      <c r="AD548" s="45">
        <f>IFERROR(__xludf.DUMMYFUNCTION("""COMPUTED_VALUE"""),"OCEAN")</f>
        <v/>
      </c>
      <c r="AE548" s="45">
        <f>IFERROR(__xludf.DUMMYFUNCTION("""COMPUTED_VALUE"""),"N")</f>
        <v/>
      </c>
      <c r="AF548" s="45" t="n"/>
      <c r="AG548" s="49">
        <f>IFERROR(__xludf.DUMMYFUNCTION("IFNA(vlookup(H548,IMPORTRANGE(""1vUGwO1n0QQGx9kKbO0_M5gmuhXZ6-LaxQxgrmJnzgP0"",""'TP# look up'!A:C""),3,0),"""")"),"")</f>
        <v/>
      </c>
      <c r="AH548" s="49">
        <f>LEFT(J548,2)</f>
        <v/>
      </c>
    </row>
    <row r="549" ht="12.75" customHeight="1">
      <c r="A549" s="45">
        <f>IFERROR(__xludf.DUMMYFUNCTION("""COMPUTED_VALUE"""),"Colombo")</f>
        <v/>
      </c>
      <c r="B549" s="45" t="n"/>
      <c r="C549" s="45">
        <f>IFERROR(__xludf.DUMMYFUNCTION("""COMPUTED_VALUE"""),3254508)</f>
        <v/>
      </c>
      <c r="D549" s="45" t="n"/>
      <c r="E549" s="45">
        <f>IFERROR(__xludf.DUMMYFUNCTION("""COMPUTED_VALUE"""),"CFS")</f>
        <v/>
      </c>
      <c r="F549" s="45">
        <f>IFERROR(__xludf.DUMMYFUNCTION("""COMPUTED_VALUE"""),"MAS AMITY PTE LTD")</f>
        <v/>
      </c>
      <c r="G549" s="45">
        <f>IFERROR(__xludf.DUMMYFUNCTION("""COMPUTED_VALUE"""),"MAS Fabrics (Pvt) Ltd Intimo")</f>
        <v/>
      </c>
      <c r="H549" s="43">
        <f>IFERROR(__xludf.DUMMYFUNCTION("""COMPUTED_VALUE"""),454703722960)</f>
        <v/>
      </c>
      <c r="I549" s="45">
        <f>IFERROR(__xludf.DUMMYFUNCTION("""COMPUTED_VALUE"""),19911110)</f>
        <v/>
      </c>
      <c r="J549" s="45">
        <f>IFERROR(__xludf.DUMMYFUNCTION("""COMPUTED_VALUE"""),"LW3JE8S")</f>
        <v/>
      </c>
      <c r="K549" s="45">
        <f>IFERROR(__xludf.DUMMYFUNCTION("""COMPUTED_VALUE"""),"LW3JE8S-0572")</f>
        <v/>
      </c>
      <c r="L549" s="45">
        <f>IFERROR(__xludf.DUMMYFUNCTION("""COMPUTED_VALUE"""),13)</f>
        <v/>
      </c>
      <c r="M549" s="45">
        <f>IFERROR(__xludf.DUMMYFUNCTION("""COMPUTED_VALUE"""),674)</f>
        <v/>
      </c>
      <c r="N549" s="45">
        <f>IFERROR(__xludf.DUMMYFUNCTION("""COMPUTED_VALUE"""),132.41)</f>
        <v/>
      </c>
      <c r="O549" s="45">
        <f>IFERROR(__xludf.DUMMYFUNCTION("""COMPUTED_VALUE"""),0.948)</f>
        <v/>
      </c>
      <c r="P549" s="45">
        <f>IFERROR(__xludf.DUMMYFUNCTION("""COMPUTED_VALUE"""),"Colombo, LK")</f>
        <v/>
      </c>
      <c r="Q549" s="45">
        <f>IFERROR(__xludf.DUMMYFUNCTION("""COMPUTED_VALUE"""),"New York, NY, US")</f>
        <v/>
      </c>
      <c r="R549" s="44">
        <f>IFERROR(__xludf.DUMMYFUNCTION("""COMPUTED_VALUE"""),45824)</f>
        <v/>
      </c>
      <c r="S549" s="44">
        <f>IFERROR(__xludf.DUMMYFUNCTION("""COMPUTED_VALUE"""),45883)</f>
        <v/>
      </c>
      <c r="T549" s="45">
        <f>IFERROR(__xludf.DUMMYFUNCTION("""COMPUTED_VALUE"""),"Mississauga, ON, CA")</f>
        <v/>
      </c>
      <c r="U549" s="45" t="n"/>
      <c r="V549" s="45" t="n"/>
      <c r="W549" s="45" t="n"/>
      <c r="X549" s="45" t="n"/>
      <c r="Y549" s="46">
        <f>IFERROR(__xludf.DUMMYFUNCTION("""COMPUTED_VALUE"""),45831)</f>
        <v/>
      </c>
      <c r="Z549" s="46">
        <f>IFERROR(__xludf.DUMMYFUNCTION("""COMPUTED_VALUE"""),45852)</f>
        <v/>
      </c>
      <c r="AA549" s="46">
        <f>IFERROR(__xludf.DUMMYFUNCTION("""COMPUTED_VALUE"""),45852)</f>
        <v/>
      </c>
      <c r="AB549" s="45">
        <f>IFERROR(__xludf.DUMMYFUNCTION("""COMPUTED_VALUE"""),"3500 Argentia Road")</f>
        <v/>
      </c>
      <c r="AC549" s="45" t="n"/>
      <c r="AD549" s="45">
        <f>IFERROR(__xludf.DUMMYFUNCTION("""COMPUTED_VALUE"""),"OCEAN")</f>
        <v/>
      </c>
      <c r="AE549" s="45">
        <f>IFERROR(__xludf.DUMMYFUNCTION("""COMPUTED_VALUE"""),"N")</f>
        <v/>
      </c>
      <c r="AF549" s="45" t="n"/>
      <c r="AG549" s="49">
        <f>IFERROR(__xludf.DUMMYFUNCTION("IFNA(vlookup(H549,IMPORTRANGE(""1vUGwO1n0QQGx9kKbO0_M5gmuhXZ6-LaxQxgrmJnzgP0"",""'TP# look up'!A:C""),3,0),"""")"),"")</f>
        <v/>
      </c>
      <c r="AH549" s="49">
        <f>LEFT(J549,2)</f>
        <v/>
      </c>
    </row>
    <row r="550" ht="12.75" customHeight="1">
      <c r="A550" s="45">
        <f>IFERROR(__xludf.DUMMYFUNCTION("""COMPUTED_VALUE"""),"Colombo")</f>
        <v/>
      </c>
      <c r="B550" s="45" t="n"/>
      <c r="C550" s="45">
        <f>IFERROR(__xludf.DUMMYFUNCTION("""COMPUTED_VALUE"""),3254508)</f>
        <v/>
      </c>
      <c r="D550" s="45" t="n"/>
      <c r="E550" s="45">
        <f>IFERROR(__xludf.DUMMYFUNCTION("""COMPUTED_VALUE"""),"CFS")</f>
        <v/>
      </c>
      <c r="F550" s="45">
        <f>IFERROR(__xludf.DUMMYFUNCTION("""COMPUTED_VALUE"""),"MAS AMITY PTE LTD")</f>
        <v/>
      </c>
      <c r="G550" s="45">
        <f>IFERROR(__xludf.DUMMYFUNCTION("""COMPUTED_VALUE"""),"MAS Fabrics (Pvt) Ltd Intimo")</f>
        <v/>
      </c>
      <c r="H550" s="43">
        <f>IFERROR(__xludf.DUMMYFUNCTION("""COMPUTED_VALUE"""),454703992680)</f>
        <v/>
      </c>
      <c r="I550" s="45">
        <f>IFERROR(__xludf.DUMMYFUNCTION("""COMPUTED_VALUE"""),19911259)</f>
        <v/>
      </c>
      <c r="J550" s="45">
        <f>IFERROR(__xludf.DUMMYFUNCTION("""COMPUTED_VALUE"""),"LW3JSMS")</f>
        <v/>
      </c>
      <c r="K550" s="45">
        <f>IFERROR(__xludf.DUMMYFUNCTION("""COMPUTED_VALUE"""),"LW3JSMS-071211")</f>
        <v/>
      </c>
      <c r="L550" s="45">
        <f>IFERROR(__xludf.DUMMYFUNCTION("""COMPUTED_VALUE"""),7)</f>
        <v/>
      </c>
      <c r="M550" s="45">
        <f>IFERROR(__xludf.DUMMYFUNCTION("""COMPUTED_VALUE"""),430)</f>
        <v/>
      </c>
      <c r="N550" s="45">
        <f>IFERROR(__xludf.DUMMYFUNCTION("""COMPUTED_VALUE"""),54.56)</f>
        <v/>
      </c>
      <c r="O550" s="45">
        <f>IFERROR(__xludf.DUMMYFUNCTION("""COMPUTED_VALUE"""),0.474)</f>
        <v/>
      </c>
      <c r="P550" s="45">
        <f>IFERROR(__xludf.DUMMYFUNCTION("""COMPUTED_VALUE"""),"Colombo, LK")</f>
        <v/>
      </c>
      <c r="Q550" s="45">
        <f>IFERROR(__xludf.DUMMYFUNCTION("""COMPUTED_VALUE"""),"New York, NY, US")</f>
        <v/>
      </c>
      <c r="R550" s="44">
        <f>IFERROR(__xludf.DUMMYFUNCTION("""COMPUTED_VALUE"""),45824)</f>
        <v/>
      </c>
      <c r="S550" s="44">
        <f>IFERROR(__xludf.DUMMYFUNCTION("""COMPUTED_VALUE"""),45883)</f>
        <v/>
      </c>
      <c r="T550" s="45">
        <f>IFERROR(__xludf.DUMMYFUNCTION("""COMPUTED_VALUE"""),"Mississauga, ON, CA")</f>
        <v/>
      </c>
      <c r="U550" s="45" t="n"/>
      <c r="V550" s="45" t="n"/>
      <c r="W550" s="45" t="n"/>
      <c r="X550" s="45" t="n"/>
      <c r="Y550" s="46">
        <f>IFERROR(__xludf.DUMMYFUNCTION("""COMPUTED_VALUE"""),45832)</f>
        <v/>
      </c>
      <c r="Z550" s="46">
        <f>IFERROR(__xludf.DUMMYFUNCTION("""COMPUTED_VALUE"""),45861)</f>
        <v/>
      </c>
      <c r="AA550" s="46">
        <f>IFERROR(__xludf.DUMMYFUNCTION("""COMPUTED_VALUE"""),45874)</f>
        <v/>
      </c>
      <c r="AB550" s="45">
        <f>IFERROR(__xludf.DUMMYFUNCTION("""COMPUTED_VALUE"""),"3500 Argentia Road")</f>
        <v/>
      </c>
      <c r="AC550" s="45" t="n"/>
      <c r="AD550" s="45">
        <f>IFERROR(__xludf.DUMMYFUNCTION("""COMPUTED_VALUE"""),"OCEAN")</f>
        <v/>
      </c>
      <c r="AE550" s="45">
        <f>IFERROR(__xludf.DUMMYFUNCTION("""COMPUTED_VALUE"""),"N")</f>
        <v/>
      </c>
      <c r="AF550" s="45" t="n"/>
      <c r="AG550" s="49">
        <f>IFERROR(__xludf.DUMMYFUNCTION("IFNA(vlookup(H550,IMPORTRANGE(""1vUGwO1n0QQGx9kKbO0_M5gmuhXZ6-LaxQxgrmJnzgP0"",""'TP# look up'!A:C""),3,0),"""")"),"")</f>
        <v/>
      </c>
      <c r="AH550" s="49">
        <f>LEFT(J550,2)</f>
        <v/>
      </c>
    </row>
    <row r="551" ht="12.75" customHeight="1">
      <c r="A551" s="45">
        <f>IFERROR(__xludf.DUMMYFUNCTION("""COMPUTED_VALUE"""),"Colombo")</f>
        <v/>
      </c>
      <c r="B551" s="45" t="n"/>
      <c r="C551" s="45">
        <f>IFERROR(__xludf.DUMMYFUNCTION("""COMPUTED_VALUE"""),3254508)</f>
        <v/>
      </c>
      <c r="D551" s="45" t="n"/>
      <c r="E551" s="45">
        <f>IFERROR(__xludf.DUMMYFUNCTION("""COMPUTED_VALUE"""),"CFS")</f>
        <v/>
      </c>
      <c r="F551" s="45">
        <f>IFERROR(__xludf.DUMMYFUNCTION("""COMPUTED_VALUE"""),"MAS AMITY PTE LTD")</f>
        <v/>
      </c>
      <c r="G551" s="45">
        <f>IFERROR(__xludf.DUMMYFUNCTION("""COMPUTED_VALUE"""),"MAS Fabrics (Pvt) Ltd Intimo")</f>
        <v/>
      </c>
      <c r="H551" s="43">
        <f>IFERROR(__xludf.DUMMYFUNCTION("""COMPUTED_VALUE"""),454704210198)</f>
        <v/>
      </c>
      <c r="I551" s="45">
        <f>IFERROR(__xludf.DUMMYFUNCTION("""COMPUTED_VALUE"""),19911317)</f>
        <v/>
      </c>
      <c r="J551" s="45">
        <f>IFERROR(__xludf.DUMMYFUNCTION("""COMPUTED_VALUE"""),"LM3FG2S")</f>
        <v/>
      </c>
      <c r="K551" s="45">
        <f>IFERROR(__xludf.DUMMYFUNCTION("""COMPUTED_VALUE"""),"LM3FG2S-071159")</f>
        <v/>
      </c>
      <c r="L551" s="45">
        <f>IFERROR(__xludf.DUMMYFUNCTION("""COMPUTED_VALUE"""),6)</f>
        <v/>
      </c>
      <c r="M551" s="45">
        <f>IFERROR(__xludf.DUMMYFUNCTION("""COMPUTED_VALUE"""),339)</f>
        <v/>
      </c>
      <c r="N551" s="45">
        <f>IFERROR(__xludf.DUMMYFUNCTION("""COMPUTED_VALUE"""),58.66)</f>
        <v/>
      </c>
      <c r="O551" s="45">
        <f>IFERROR(__xludf.DUMMYFUNCTION("""COMPUTED_VALUE"""),0.434)</f>
        <v/>
      </c>
      <c r="P551" s="45">
        <f>IFERROR(__xludf.DUMMYFUNCTION("""COMPUTED_VALUE"""),"Colombo, LK")</f>
        <v/>
      </c>
      <c r="Q551" s="45">
        <f>IFERROR(__xludf.DUMMYFUNCTION("""COMPUTED_VALUE"""),"New York, NY, US")</f>
        <v/>
      </c>
      <c r="R551" s="44">
        <f>IFERROR(__xludf.DUMMYFUNCTION("""COMPUTED_VALUE"""),45824)</f>
        <v/>
      </c>
      <c r="S551" s="44">
        <f>IFERROR(__xludf.DUMMYFUNCTION("""COMPUTED_VALUE"""),45883)</f>
        <v/>
      </c>
      <c r="T551" s="45">
        <f>IFERROR(__xludf.DUMMYFUNCTION("""COMPUTED_VALUE"""),"Mississauga, ON, CA")</f>
        <v/>
      </c>
      <c r="U551" s="45" t="n"/>
      <c r="V551" s="45" t="n"/>
      <c r="W551" s="45" t="n"/>
      <c r="X551" s="45" t="n"/>
      <c r="Y551" s="46">
        <f>IFERROR(__xludf.DUMMYFUNCTION("""COMPUTED_VALUE"""),45832)</f>
        <v/>
      </c>
      <c r="Z551" s="46">
        <f>IFERROR(__xludf.DUMMYFUNCTION("""COMPUTED_VALUE"""),45861)</f>
        <v/>
      </c>
      <c r="AA551" s="46">
        <f>IFERROR(__xludf.DUMMYFUNCTION("""COMPUTED_VALUE"""),45874)</f>
        <v/>
      </c>
      <c r="AB551" s="45">
        <f>IFERROR(__xludf.DUMMYFUNCTION("""COMPUTED_VALUE"""),"3500 Argentia Road")</f>
        <v/>
      </c>
      <c r="AC551" s="45" t="n"/>
      <c r="AD551" s="45">
        <f>IFERROR(__xludf.DUMMYFUNCTION("""COMPUTED_VALUE"""),"OCEAN")</f>
        <v/>
      </c>
      <c r="AE551" s="45">
        <f>IFERROR(__xludf.DUMMYFUNCTION("""COMPUTED_VALUE"""),"N")</f>
        <v/>
      </c>
      <c r="AF551" s="45" t="n"/>
      <c r="AG551" s="49">
        <f>IFERROR(__xludf.DUMMYFUNCTION("IFNA(vlookup(H551,IMPORTRANGE(""1vUGwO1n0QQGx9kKbO0_M5gmuhXZ6-LaxQxgrmJnzgP0"",""'TP# look up'!A:C""),3,0),"""")"),"")</f>
        <v/>
      </c>
      <c r="AH551" s="49">
        <f>LEFT(J551,2)</f>
        <v/>
      </c>
    </row>
    <row r="552" ht="12.75" customHeight="1">
      <c r="A552" s="45">
        <f>IFERROR(__xludf.DUMMYFUNCTION("""COMPUTED_VALUE"""),"Colombo")</f>
        <v/>
      </c>
      <c r="B552" s="45" t="n"/>
      <c r="C552" s="45">
        <f>IFERROR(__xludf.DUMMYFUNCTION("""COMPUTED_VALUE"""),3254508)</f>
        <v/>
      </c>
      <c r="D552" s="45" t="n"/>
      <c r="E552" s="45">
        <f>IFERROR(__xludf.DUMMYFUNCTION("""COMPUTED_VALUE"""),"CFS")</f>
        <v/>
      </c>
      <c r="F552" s="45">
        <f>IFERROR(__xludf.DUMMYFUNCTION("""COMPUTED_VALUE"""),"MAS AMITY PTE LTD")</f>
        <v/>
      </c>
      <c r="G552" s="45">
        <f>IFERROR(__xludf.DUMMYFUNCTION("""COMPUTED_VALUE"""),"MAS Fabrics (Pvt) Ltd Intimo")</f>
        <v/>
      </c>
      <c r="H552" s="43">
        <f>IFERROR(__xludf.DUMMYFUNCTION("""COMPUTED_VALUE"""),454711350541)</f>
        <v/>
      </c>
      <c r="I552" s="45">
        <f>IFERROR(__xludf.DUMMYFUNCTION("""COMPUTED_VALUE"""),19919974)</f>
        <v/>
      </c>
      <c r="J552" s="45">
        <f>IFERROR(__xludf.DUMMYFUNCTION("""COMPUTED_VALUE"""),"LW3FQFS")</f>
        <v/>
      </c>
      <c r="K552" s="45">
        <f>IFERROR(__xludf.DUMMYFUNCTION("""COMPUTED_VALUE"""),"LW3FQFS-012826")</f>
        <v/>
      </c>
      <c r="L552" s="45">
        <f>IFERROR(__xludf.DUMMYFUNCTION("""COMPUTED_VALUE"""),4)</f>
        <v/>
      </c>
      <c r="M552" s="45">
        <f>IFERROR(__xludf.DUMMYFUNCTION("""COMPUTED_VALUE"""),133)</f>
        <v/>
      </c>
      <c r="N552" s="45">
        <f>IFERROR(__xludf.DUMMYFUNCTION("""COMPUTED_VALUE"""),21.507)</f>
        <v/>
      </c>
      <c r="O552" s="45">
        <f>IFERROR(__xludf.DUMMYFUNCTION("""COMPUTED_VALUE"""),0.276)</f>
        <v/>
      </c>
      <c r="P552" s="45">
        <f>IFERROR(__xludf.DUMMYFUNCTION("""COMPUTED_VALUE"""),"Colombo, LK")</f>
        <v/>
      </c>
      <c r="Q552" s="45">
        <f>IFERROR(__xludf.DUMMYFUNCTION("""COMPUTED_VALUE"""),"New York, NY, US")</f>
        <v/>
      </c>
      <c r="R552" s="44">
        <f>IFERROR(__xludf.DUMMYFUNCTION("""COMPUTED_VALUE"""),45824)</f>
        <v/>
      </c>
      <c r="S552" s="44">
        <f>IFERROR(__xludf.DUMMYFUNCTION("""COMPUTED_VALUE"""),45883)</f>
        <v/>
      </c>
      <c r="T552" s="45">
        <f>IFERROR(__xludf.DUMMYFUNCTION("""COMPUTED_VALUE"""),"Mississauga, ON, CA")</f>
        <v/>
      </c>
      <c r="U552" s="45" t="n"/>
      <c r="V552" s="45" t="n"/>
      <c r="W552" s="45" t="n"/>
      <c r="X552" s="45" t="n"/>
      <c r="Y552" s="46">
        <f>IFERROR(__xludf.DUMMYFUNCTION("""COMPUTED_VALUE"""),45832)</f>
        <v/>
      </c>
      <c r="Z552" s="46">
        <f>IFERROR(__xludf.DUMMYFUNCTION("""COMPUTED_VALUE"""),45861)</f>
        <v/>
      </c>
      <c r="AA552" s="46">
        <f>IFERROR(__xludf.DUMMYFUNCTION("""COMPUTED_VALUE"""),45874)</f>
        <v/>
      </c>
      <c r="AB552" s="45">
        <f>IFERROR(__xludf.DUMMYFUNCTION("""COMPUTED_VALUE"""),"3500 Argentia Road")</f>
        <v/>
      </c>
      <c r="AC552" s="45" t="n"/>
      <c r="AD552" s="45">
        <f>IFERROR(__xludf.DUMMYFUNCTION("""COMPUTED_VALUE"""),"OCEAN")</f>
        <v/>
      </c>
      <c r="AE552" s="45">
        <f>IFERROR(__xludf.DUMMYFUNCTION("""COMPUTED_VALUE"""),"N")</f>
        <v/>
      </c>
      <c r="AF552" s="45" t="n"/>
      <c r="AG552" s="49">
        <f>IFERROR(__xludf.DUMMYFUNCTION("IFNA(vlookup(H552,IMPORTRANGE(""1vUGwO1n0QQGx9kKbO0_M5gmuhXZ6-LaxQxgrmJnzgP0"",""'TP# look up'!A:C""),3,0),"""")"),"")</f>
        <v/>
      </c>
      <c r="AH552" s="49">
        <f>LEFT(J552,2)</f>
        <v/>
      </c>
    </row>
    <row r="553" ht="12.75" customHeight="1">
      <c r="A553" s="45">
        <f>IFERROR(__xludf.DUMMYFUNCTION("""COMPUTED_VALUE"""),"Colombo")</f>
        <v/>
      </c>
      <c r="B553" s="45" t="n"/>
      <c r="C553" s="45">
        <f>IFERROR(__xludf.DUMMYFUNCTION("""COMPUTED_VALUE"""),3254508)</f>
        <v/>
      </c>
      <c r="D553" s="45" t="n"/>
      <c r="E553" s="45">
        <f>IFERROR(__xludf.DUMMYFUNCTION("""COMPUTED_VALUE"""),"CFS")</f>
        <v/>
      </c>
      <c r="F553" s="45">
        <f>IFERROR(__xludf.DUMMYFUNCTION("""COMPUTED_VALUE"""),"MAS AMITY PTE LTD")</f>
        <v/>
      </c>
      <c r="G553" s="45">
        <f>IFERROR(__xludf.DUMMYFUNCTION("""COMPUTED_VALUE"""),"MAS Fabrics (Pvt) Ltd Intimo")</f>
        <v/>
      </c>
      <c r="H553" s="43">
        <f>IFERROR(__xludf.DUMMYFUNCTION("""COMPUTED_VALUE"""),454711488388)</f>
        <v/>
      </c>
      <c r="I553" s="45">
        <f>IFERROR(__xludf.DUMMYFUNCTION("""COMPUTED_VALUE"""),19919960)</f>
        <v/>
      </c>
      <c r="J553" s="45">
        <f>IFERROR(__xludf.DUMMYFUNCTION("""COMPUTED_VALUE"""),"LW3DFNS")</f>
        <v/>
      </c>
      <c r="K553" s="45">
        <f>IFERROR(__xludf.DUMMYFUNCTION("""COMPUTED_VALUE"""),"LW3DFNS-012826")</f>
        <v/>
      </c>
      <c r="L553" s="45">
        <f>IFERROR(__xludf.DUMMYFUNCTION("""COMPUTED_VALUE"""),7)</f>
        <v/>
      </c>
      <c r="M553" s="45">
        <f>IFERROR(__xludf.DUMMYFUNCTION("""COMPUTED_VALUE"""),457)</f>
        <v/>
      </c>
      <c r="N553" s="45">
        <f>IFERROR(__xludf.DUMMYFUNCTION("""COMPUTED_VALUE"""),57.61)</f>
        <v/>
      </c>
      <c r="O553" s="45">
        <f>IFERROR(__xludf.DUMMYFUNCTION("""COMPUTED_VALUE"""),0.436)</f>
        <v/>
      </c>
      <c r="P553" s="45">
        <f>IFERROR(__xludf.DUMMYFUNCTION("""COMPUTED_VALUE"""),"Colombo, LK")</f>
        <v/>
      </c>
      <c r="Q553" s="45">
        <f>IFERROR(__xludf.DUMMYFUNCTION("""COMPUTED_VALUE"""),"New York, NY, US")</f>
        <v/>
      </c>
      <c r="R553" s="44">
        <f>IFERROR(__xludf.DUMMYFUNCTION("""COMPUTED_VALUE"""),45824)</f>
        <v/>
      </c>
      <c r="S553" s="44">
        <f>IFERROR(__xludf.DUMMYFUNCTION("""COMPUTED_VALUE"""),45883)</f>
        <v/>
      </c>
      <c r="T553" s="45">
        <f>IFERROR(__xludf.DUMMYFUNCTION("""COMPUTED_VALUE"""),"Mississauga, ON, CA")</f>
        <v/>
      </c>
      <c r="U553" s="45" t="n"/>
      <c r="V553" s="45" t="n"/>
      <c r="W553" s="45" t="n"/>
      <c r="X553" s="45" t="n"/>
      <c r="Y553" s="46">
        <f>IFERROR(__xludf.DUMMYFUNCTION("""COMPUTED_VALUE"""),45832)</f>
        <v/>
      </c>
      <c r="Z553" s="46">
        <f>IFERROR(__xludf.DUMMYFUNCTION("""COMPUTED_VALUE"""),45861)</f>
        <v/>
      </c>
      <c r="AA553" s="46">
        <f>IFERROR(__xludf.DUMMYFUNCTION("""COMPUTED_VALUE"""),45874)</f>
        <v/>
      </c>
      <c r="AB553" s="45">
        <f>IFERROR(__xludf.DUMMYFUNCTION("""COMPUTED_VALUE"""),"3500 Argentia Road")</f>
        <v/>
      </c>
      <c r="AC553" s="45" t="n"/>
      <c r="AD553" s="45">
        <f>IFERROR(__xludf.DUMMYFUNCTION("""COMPUTED_VALUE"""),"OCEAN")</f>
        <v/>
      </c>
      <c r="AE553" s="45">
        <f>IFERROR(__xludf.DUMMYFUNCTION("""COMPUTED_VALUE"""),"N")</f>
        <v/>
      </c>
      <c r="AF553" s="45" t="n"/>
      <c r="AG553" s="49">
        <f>IFERROR(__xludf.DUMMYFUNCTION("IFNA(vlookup(H553,IMPORTRANGE(""1vUGwO1n0QQGx9kKbO0_M5gmuhXZ6-LaxQxgrmJnzgP0"",""'TP# look up'!A:C""),3,0),"""")"),"")</f>
        <v/>
      </c>
      <c r="AH553" s="49">
        <f>LEFT(J553,2)</f>
        <v/>
      </c>
    </row>
    <row r="554" ht="12.75" customHeight="1">
      <c r="A554" s="45">
        <f>IFERROR(__xludf.DUMMYFUNCTION("""COMPUTED_VALUE"""),"Colombo")</f>
        <v/>
      </c>
      <c r="B554" s="45" t="n"/>
      <c r="C554" s="45">
        <f>IFERROR(__xludf.DUMMYFUNCTION("""COMPUTED_VALUE"""),3254508)</f>
        <v/>
      </c>
      <c r="D554" s="45" t="n"/>
      <c r="E554" s="45">
        <f>IFERROR(__xludf.DUMMYFUNCTION("""COMPUTED_VALUE"""),"CFS")</f>
        <v/>
      </c>
      <c r="F554" s="45">
        <f>IFERROR(__xludf.DUMMYFUNCTION("""COMPUTED_VALUE"""),"MAS AMITY PTE LTD")</f>
        <v/>
      </c>
      <c r="G554" s="45">
        <f>IFERROR(__xludf.DUMMYFUNCTION("""COMPUTED_VALUE"""),"MAS Fabrics (Pvt) Ltd Intimo")</f>
        <v/>
      </c>
      <c r="H554" s="43">
        <f>IFERROR(__xludf.DUMMYFUNCTION("""COMPUTED_VALUE"""),454711982979)</f>
        <v/>
      </c>
      <c r="I554" s="45">
        <f>IFERROR(__xludf.DUMMYFUNCTION("""COMPUTED_VALUE"""),19920044)</f>
        <v/>
      </c>
      <c r="J554" s="45">
        <f>IFERROR(__xludf.DUMMYFUNCTION("""COMPUTED_VALUE"""),"LW3FQFS")</f>
        <v/>
      </c>
      <c r="K554" s="45">
        <f>IFERROR(__xludf.DUMMYFUNCTION("""COMPUTED_VALUE"""),"LW3FQFS-012826")</f>
        <v/>
      </c>
      <c r="L554" s="45">
        <f>IFERROR(__xludf.DUMMYFUNCTION("""COMPUTED_VALUE"""),8)</f>
        <v/>
      </c>
      <c r="M554" s="45">
        <f>IFERROR(__xludf.DUMMYFUNCTION("""COMPUTED_VALUE"""),414)</f>
        <v/>
      </c>
      <c r="N554" s="45">
        <f>IFERROR(__xludf.DUMMYFUNCTION("""COMPUTED_VALUE"""),61.884)</f>
        <v/>
      </c>
      <c r="O554" s="45">
        <f>IFERROR(__xludf.DUMMYFUNCTION("""COMPUTED_VALUE"""),0.632)</f>
        <v/>
      </c>
      <c r="P554" s="45">
        <f>IFERROR(__xludf.DUMMYFUNCTION("""COMPUTED_VALUE"""),"Colombo, LK")</f>
        <v/>
      </c>
      <c r="Q554" s="45">
        <f>IFERROR(__xludf.DUMMYFUNCTION("""COMPUTED_VALUE"""),"New York, NY, US")</f>
        <v/>
      </c>
      <c r="R554" s="44">
        <f>IFERROR(__xludf.DUMMYFUNCTION("""COMPUTED_VALUE"""),45824)</f>
        <v/>
      </c>
      <c r="S554" s="44">
        <f>IFERROR(__xludf.DUMMYFUNCTION("""COMPUTED_VALUE"""),45883)</f>
        <v/>
      </c>
      <c r="T554" s="45">
        <f>IFERROR(__xludf.DUMMYFUNCTION("""COMPUTED_VALUE"""),"Mississauga, ON, CA")</f>
        <v/>
      </c>
      <c r="U554" s="45" t="n"/>
      <c r="V554" s="45" t="n"/>
      <c r="W554" s="45" t="n"/>
      <c r="X554" s="45" t="n"/>
      <c r="Y554" s="46">
        <f>IFERROR(__xludf.DUMMYFUNCTION("""COMPUTED_VALUE"""),45831)</f>
        <v/>
      </c>
      <c r="Z554" s="46">
        <f>IFERROR(__xludf.DUMMYFUNCTION("""COMPUTED_VALUE"""),45852)</f>
        <v/>
      </c>
      <c r="AA554" s="46">
        <f>IFERROR(__xludf.DUMMYFUNCTION("""COMPUTED_VALUE"""),45852)</f>
        <v/>
      </c>
      <c r="AB554" s="45">
        <f>IFERROR(__xludf.DUMMYFUNCTION("""COMPUTED_VALUE"""),"3500 Argentia Road")</f>
        <v/>
      </c>
      <c r="AC554" s="45" t="n"/>
      <c r="AD554" s="45">
        <f>IFERROR(__xludf.DUMMYFUNCTION("""COMPUTED_VALUE"""),"OCEAN")</f>
        <v/>
      </c>
      <c r="AE554" s="45">
        <f>IFERROR(__xludf.DUMMYFUNCTION("""COMPUTED_VALUE"""),"N")</f>
        <v/>
      </c>
      <c r="AF554" s="45" t="n"/>
      <c r="AG554" s="49">
        <f>IFERROR(__xludf.DUMMYFUNCTION("IFNA(vlookup(H554,IMPORTRANGE(""1vUGwO1n0QQGx9kKbO0_M5gmuhXZ6-LaxQxgrmJnzgP0"",""'TP# look up'!A:C""),3,0),"""")"),"")</f>
        <v/>
      </c>
      <c r="AH554" s="49">
        <f>LEFT(J554,2)</f>
        <v/>
      </c>
    </row>
    <row r="555" ht="12.75" customHeight="1">
      <c r="A555" s="45">
        <f>IFERROR(__xludf.DUMMYFUNCTION("""COMPUTED_VALUE"""),"Colombo")</f>
        <v/>
      </c>
      <c r="B555" s="45" t="n"/>
      <c r="C555" s="45">
        <f>IFERROR(__xludf.DUMMYFUNCTION("""COMPUTED_VALUE"""),3254508)</f>
        <v/>
      </c>
      <c r="D555" s="45" t="n"/>
      <c r="E555" s="45">
        <f>IFERROR(__xludf.DUMMYFUNCTION("""COMPUTED_VALUE"""),"CFS")</f>
        <v/>
      </c>
      <c r="F555" s="45">
        <f>IFERROR(__xludf.DUMMYFUNCTION("""COMPUTED_VALUE"""),"MAS AMITY PTE LTD")</f>
        <v/>
      </c>
      <c r="G555" s="45">
        <f>IFERROR(__xludf.DUMMYFUNCTION("""COMPUTED_VALUE"""),"MAS Fabrics (Pvt) Ltd Intimo")</f>
        <v/>
      </c>
      <c r="H555" s="43">
        <f>IFERROR(__xludf.DUMMYFUNCTION("""COMPUTED_VALUE"""),454712171432)</f>
        <v/>
      </c>
      <c r="I555" s="45">
        <f>IFERROR(__xludf.DUMMYFUNCTION("""COMPUTED_VALUE"""),19919987)</f>
        <v/>
      </c>
      <c r="J555" s="45">
        <f>IFERROR(__xludf.DUMMYFUNCTION("""COMPUTED_VALUE"""),"LW3GH4S")</f>
        <v/>
      </c>
      <c r="K555" s="45">
        <f>IFERROR(__xludf.DUMMYFUNCTION("""COMPUTED_VALUE"""),"LW3GH4S-0572")</f>
        <v/>
      </c>
      <c r="L555" s="45">
        <f>IFERROR(__xludf.DUMMYFUNCTION("""COMPUTED_VALUE"""),5)</f>
        <v/>
      </c>
      <c r="M555" s="45">
        <f>IFERROR(__xludf.DUMMYFUNCTION("""COMPUTED_VALUE"""),148)</f>
        <v/>
      </c>
      <c r="N555" s="45">
        <f>IFERROR(__xludf.DUMMYFUNCTION("""COMPUTED_VALUE"""),21.174)</f>
        <v/>
      </c>
      <c r="O555" s="45">
        <f>IFERROR(__xludf.DUMMYFUNCTION("""COMPUTED_VALUE"""),0.197)</f>
        <v/>
      </c>
      <c r="P555" s="45">
        <f>IFERROR(__xludf.DUMMYFUNCTION("""COMPUTED_VALUE"""),"Colombo, LK")</f>
        <v/>
      </c>
      <c r="Q555" s="45">
        <f>IFERROR(__xludf.DUMMYFUNCTION("""COMPUTED_VALUE"""),"New York, NY, US")</f>
        <v/>
      </c>
      <c r="R555" s="44">
        <f>IFERROR(__xludf.DUMMYFUNCTION("""COMPUTED_VALUE"""),45824)</f>
        <v/>
      </c>
      <c r="S555" s="44">
        <f>IFERROR(__xludf.DUMMYFUNCTION("""COMPUTED_VALUE"""),45883)</f>
        <v/>
      </c>
      <c r="T555" s="45">
        <f>IFERROR(__xludf.DUMMYFUNCTION("""COMPUTED_VALUE"""),"Mississauga, ON, CA")</f>
        <v/>
      </c>
      <c r="U555" s="45" t="n"/>
      <c r="V555" s="45" t="n"/>
      <c r="W555" s="45" t="n"/>
      <c r="X555" s="45" t="n"/>
      <c r="Y555" s="46">
        <f>IFERROR(__xludf.DUMMYFUNCTION("""COMPUTED_VALUE"""),45832)</f>
        <v/>
      </c>
      <c r="Z555" s="46">
        <f>IFERROR(__xludf.DUMMYFUNCTION("""COMPUTED_VALUE"""),45861)</f>
        <v/>
      </c>
      <c r="AA555" s="46">
        <f>IFERROR(__xludf.DUMMYFUNCTION("""COMPUTED_VALUE"""),45874)</f>
        <v/>
      </c>
      <c r="AB555" s="45">
        <f>IFERROR(__xludf.DUMMYFUNCTION("""COMPUTED_VALUE"""),"3500 Argentia Road")</f>
        <v/>
      </c>
      <c r="AC555" s="45" t="n"/>
      <c r="AD555" s="45">
        <f>IFERROR(__xludf.DUMMYFUNCTION("""COMPUTED_VALUE"""),"OCEAN")</f>
        <v/>
      </c>
      <c r="AE555" s="45">
        <f>IFERROR(__xludf.DUMMYFUNCTION("""COMPUTED_VALUE"""),"N")</f>
        <v/>
      </c>
      <c r="AF555" s="45" t="n"/>
      <c r="AG555" s="49">
        <f>IFERROR(__xludf.DUMMYFUNCTION("IFNA(vlookup(H555,IMPORTRANGE(""1vUGwO1n0QQGx9kKbO0_M5gmuhXZ6-LaxQxgrmJnzgP0"",""'TP# look up'!A:C""),3,0),"""")"),"")</f>
        <v/>
      </c>
      <c r="AH555" s="49">
        <f>LEFT(J555,2)</f>
        <v/>
      </c>
    </row>
    <row r="556" ht="12.75" customHeight="1">
      <c r="A556" s="45">
        <f>IFERROR(__xludf.DUMMYFUNCTION("""COMPUTED_VALUE"""),"Colombo")</f>
        <v/>
      </c>
      <c r="B556" s="45" t="n"/>
      <c r="C556" s="45">
        <f>IFERROR(__xludf.DUMMYFUNCTION("""COMPUTED_VALUE"""),3254508)</f>
        <v/>
      </c>
      <c r="D556" s="45" t="n"/>
      <c r="E556" s="45">
        <f>IFERROR(__xludf.DUMMYFUNCTION("""COMPUTED_VALUE"""),"CFS")</f>
        <v/>
      </c>
      <c r="F556" s="45">
        <f>IFERROR(__xludf.DUMMYFUNCTION("""COMPUTED_VALUE"""),"MAS AMITY PTE LTD")</f>
        <v/>
      </c>
      <c r="G556" s="45">
        <f>IFERROR(__xludf.DUMMYFUNCTION("""COMPUTED_VALUE"""),"MAS Fabrics (Pvt) Ltd Intimo")</f>
        <v/>
      </c>
      <c r="H556" s="43">
        <f>IFERROR(__xludf.DUMMYFUNCTION("""COMPUTED_VALUE"""),454712183469)</f>
        <v/>
      </c>
      <c r="I556" s="45">
        <f>IFERROR(__xludf.DUMMYFUNCTION("""COMPUTED_VALUE"""),19919981)</f>
        <v/>
      </c>
      <c r="J556" s="45">
        <f>IFERROR(__xludf.DUMMYFUNCTION("""COMPUTED_VALUE"""),"LW3GH4S")</f>
        <v/>
      </c>
      <c r="K556" s="45">
        <f>IFERROR(__xludf.DUMMYFUNCTION("""COMPUTED_VALUE"""),"LW3GH4S-4780")</f>
        <v/>
      </c>
      <c r="L556" s="45">
        <f>IFERROR(__xludf.DUMMYFUNCTION("""COMPUTED_VALUE"""),5)</f>
        <v/>
      </c>
      <c r="M556" s="45">
        <f>IFERROR(__xludf.DUMMYFUNCTION("""COMPUTED_VALUE"""),227)</f>
        <v/>
      </c>
      <c r="N556" s="45">
        <f>IFERROR(__xludf.DUMMYFUNCTION("""COMPUTED_VALUE"""),30.889)</f>
        <v/>
      </c>
      <c r="O556" s="45">
        <f>IFERROR(__xludf.DUMMYFUNCTION("""COMPUTED_VALUE"""),0.276)</f>
        <v/>
      </c>
      <c r="P556" s="45">
        <f>IFERROR(__xludf.DUMMYFUNCTION("""COMPUTED_VALUE"""),"Colombo, LK")</f>
        <v/>
      </c>
      <c r="Q556" s="45">
        <f>IFERROR(__xludf.DUMMYFUNCTION("""COMPUTED_VALUE"""),"New York, NY, US")</f>
        <v/>
      </c>
      <c r="R556" s="44">
        <f>IFERROR(__xludf.DUMMYFUNCTION("""COMPUTED_VALUE"""),45824)</f>
        <v/>
      </c>
      <c r="S556" s="44">
        <f>IFERROR(__xludf.DUMMYFUNCTION("""COMPUTED_VALUE"""),45883)</f>
        <v/>
      </c>
      <c r="T556" s="45">
        <f>IFERROR(__xludf.DUMMYFUNCTION("""COMPUTED_VALUE"""),"Mississauga, ON, CA")</f>
        <v/>
      </c>
      <c r="U556" s="45" t="n"/>
      <c r="V556" s="45" t="n"/>
      <c r="W556" s="45" t="n"/>
      <c r="X556" s="45" t="n"/>
      <c r="Y556" s="46">
        <f>IFERROR(__xludf.DUMMYFUNCTION("""COMPUTED_VALUE"""),45832)</f>
        <v/>
      </c>
      <c r="Z556" s="46">
        <f>IFERROR(__xludf.DUMMYFUNCTION("""COMPUTED_VALUE"""),45861)</f>
        <v/>
      </c>
      <c r="AA556" s="46">
        <f>IFERROR(__xludf.DUMMYFUNCTION("""COMPUTED_VALUE"""),45874)</f>
        <v/>
      </c>
      <c r="AB556" s="45">
        <f>IFERROR(__xludf.DUMMYFUNCTION("""COMPUTED_VALUE"""),"3500 Argentia Road")</f>
        <v/>
      </c>
      <c r="AC556" s="45" t="n"/>
      <c r="AD556" s="45">
        <f>IFERROR(__xludf.DUMMYFUNCTION("""COMPUTED_VALUE"""),"OCEAN")</f>
        <v/>
      </c>
      <c r="AE556" s="45">
        <f>IFERROR(__xludf.DUMMYFUNCTION("""COMPUTED_VALUE"""),"N")</f>
        <v/>
      </c>
      <c r="AF556" s="45" t="n"/>
      <c r="AG556" s="49">
        <f>IFERROR(__xludf.DUMMYFUNCTION("IFNA(vlookup(H556,IMPORTRANGE(""1vUGwO1n0QQGx9kKbO0_M5gmuhXZ6-LaxQxgrmJnzgP0"",""'TP# look up'!A:C""),3,0),"""")"),"")</f>
        <v/>
      </c>
      <c r="AH556" s="49">
        <f>LEFT(J556,2)</f>
        <v/>
      </c>
    </row>
    <row r="557" ht="12.75" customHeight="1">
      <c r="A557" s="45">
        <f>IFERROR(__xludf.DUMMYFUNCTION("""COMPUTED_VALUE"""),"Colombo")</f>
        <v/>
      </c>
      <c r="B557" s="45" t="n"/>
      <c r="C557" s="45">
        <f>IFERROR(__xludf.DUMMYFUNCTION("""COMPUTED_VALUE"""),3254508)</f>
        <v/>
      </c>
      <c r="D557" s="45" t="n"/>
      <c r="E557" s="45">
        <f>IFERROR(__xludf.DUMMYFUNCTION("""COMPUTED_VALUE"""),"CFS")</f>
        <v/>
      </c>
      <c r="F557" s="45">
        <f>IFERROR(__xludf.DUMMYFUNCTION("""COMPUTED_VALUE"""),"MAS AMITY PTE LTD")</f>
        <v/>
      </c>
      <c r="G557" s="45">
        <f>IFERROR(__xludf.DUMMYFUNCTION("""COMPUTED_VALUE"""),"MAS Fabrics (Pvt) Ltd Intimo")</f>
        <v/>
      </c>
      <c r="H557" s="43">
        <f>IFERROR(__xludf.DUMMYFUNCTION("""COMPUTED_VALUE"""),454712197828)</f>
        <v/>
      </c>
      <c r="I557" s="45">
        <f>IFERROR(__xludf.DUMMYFUNCTION("""COMPUTED_VALUE"""),19920005)</f>
        <v/>
      </c>
      <c r="J557" s="45">
        <f>IFERROR(__xludf.DUMMYFUNCTION("""COMPUTED_VALUE"""),"LW3JE8S")</f>
        <v/>
      </c>
      <c r="K557" s="45">
        <f>IFERROR(__xludf.DUMMYFUNCTION("""COMPUTED_VALUE"""),"LW3JE8S-042836")</f>
        <v/>
      </c>
      <c r="L557" s="45">
        <f>IFERROR(__xludf.DUMMYFUNCTION("""COMPUTED_VALUE"""),6)</f>
        <v/>
      </c>
      <c r="M557" s="45">
        <f>IFERROR(__xludf.DUMMYFUNCTION("""COMPUTED_VALUE"""),261)</f>
        <v/>
      </c>
      <c r="N557" s="45">
        <f>IFERROR(__xludf.DUMMYFUNCTION("""COMPUTED_VALUE"""),53.177)</f>
        <v/>
      </c>
      <c r="O557" s="45">
        <f>IFERROR(__xludf.DUMMYFUNCTION("""COMPUTED_VALUE"""),0.474)</f>
        <v/>
      </c>
      <c r="P557" s="45">
        <f>IFERROR(__xludf.DUMMYFUNCTION("""COMPUTED_VALUE"""),"Colombo, LK")</f>
        <v/>
      </c>
      <c r="Q557" s="45">
        <f>IFERROR(__xludf.DUMMYFUNCTION("""COMPUTED_VALUE"""),"New York, NY, US")</f>
        <v/>
      </c>
      <c r="R557" s="44">
        <f>IFERROR(__xludf.DUMMYFUNCTION("""COMPUTED_VALUE"""),45824)</f>
        <v/>
      </c>
      <c r="S557" s="44">
        <f>IFERROR(__xludf.DUMMYFUNCTION("""COMPUTED_VALUE"""),45883)</f>
        <v/>
      </c>
      <c r="T557" s="45">
        <f>IFERROR(__xludf.DUMMYFUNCTION("""COMPUTED_VALUE"""),"Mississauga, ON, CA")</f>
        <v/>
      </c>
      <c r="U557" s="45" t="n"/>
      <c r="V557" s="45" t="n"/>
      <c r="W557" s="45" t="n"/>
      <c r="X557" s="45" t="n"/>
      <c r="Y557" s="46">
        <f>IFERROR(__xludf.DUMMYFUNCTION("""COMPUTED_VALUE"""),45832)</f>
        <v/>
      </c>
      <c r="Z557" s="46">
        <f>IFERROR(__xludf.DUMMYFUNCTION("""COMPUTED_VALUE"""),45861)</f>
        <v/>
      </c>
      <c r="AA557" s="46">
        <f>IFERROR(__xludf.DUMMYFUNCTION("""COMPUTED_VALUE"""),45874)</f>
        <v/>
      </c>
      <c r="AB557" s="45">
        <f>IFERROR(__xludf.DUMMYFUNCTION("""COMPUTED_VALUE"""),"3500 Argentia Road")</f>
        <v/>
      </c>
      <c r="AC557" s="45" t="n"/>
      <c r="AD557" s="45">
        <f>IFERROR(__xludf.DUMMYFUNCTION("""COMPUTED_VALUE"""),"OCEAN")</f>
        <v/>
      </c>
      <c r="AE557" s="45">
        <f>IFERROR(__xludf.DUMMYFUNCTION("""COMPUTED_VALUE"""),"N")</f>
        <v/>
      </c>
      <c r="AF557" s="45" t="n"/>
      <c r="AG557" s="49">
        <f>IFERROR(__xludf.DUMMYFUNCTION("IFNA(vlookup(H557,IMPORTRANGE(""1vUGwO1n0QQGx9kKbO0_M5gmuhXZ6-LaxQxgrmJnzgP0"",""'TP# look up'!A:C""),3,0),"""")"),"")</f>
        <v/>
      </c>
      <c r="AH557" s="49">
        <f>LEFT(J557,2)</f>
        <v/>
      </c>
    </row>
    <row r="558" ht="12.75" customHeight="1">
      <c r="A558" s="45">
        <f>IFERROR(__xludf.DUMMYFUNCTION("""COMPUTED_VALUE"""),"Colombo")</f>
        <v/>
      </c>
      <c r="B558" s="45" t="n"/>
      <c r="C558" s="45">
        <f>IFERROR(__xludf.DUMMYFUNCTION("""COMPUTED_VALUE"""),3254508)</f>
        <v/>
      </c>
      <c r="D558" s="45" t="n"/>
      <c r="E558" s="45">
        <f>IFERROR(__xludf.DUMMYFUNCTION("""COMPUTED_VALUE"""),"CFS")</f>
        <v/>
      </c>
      <c r="F558" s="45">
        <f>IFERROR(__xludf.DUMMYFUNCTION("""COMPUTED_VALUE"""),"MAS AMITY PTE LTD")</f>
        <v/>
      </c>
      <c r="G558" s="45">
        <f>IFERROR(__xludf.DUMMYFUNCTION("""COMPUTED_VALUE"""),"MAS Fabrics (Pvt) Ltd Intimo")</f>
        <v/>
      </c>
      <c r="H558" s="43">
        <f>IFERROR(__xludf.DUMMYFUNCTION("""COMPUTED_VALUE"""),454712198075)</f>
        <v/>
      </c>
      <c r="I558" s="45">
        <f>IFERROR(__xludf.DUMMYFUNCTION("""COMPUTED_VALUE"""),19920021)</f>
        <v/>
      </c>
      <c r="J558" s="45">
        <f>IFERROR(__xludf.DUMMYFUNCTION("""COMPUTED_VALUE"""),"LW3JSOS")</f>
        <v/>
      </c>
      <c r="K558" s="45">
        <f>IFERROR(__xludf.DUMMYFUNCTION("""COMPUTED_VALUE"""),"LW3JSOS-071211")</f>
        <v/>
      </c>
      <c r="L558" s="45">
        <f>IFERROR(__xludf.DUMMYFUNCTION("""COMPUTED_VALUE"""),5)</f>
        <v/>
      </c>
      <c r="M558" s="45">
        <f>IFERROR(__xludf.DUMMYFUNCTION("""COMPUTED_VALUE"""),238)</f>
        <v/>
      </c>
      <c r="N558" s="45">
        <f>IFERROR(__xludf.DUMMYFUNCTION("""COMPUTED_VALUE"""),37.635)</f>
        <v/>
      </c>
      <c r="O558" s="45">
        <f>IFERROR(__xludf.DUMMYFUNCTION("""COMPUTED_VALUE"""),0.316)</f>
        <v/>
      </c>
      <c r="P558" s="45">
        <f>IFERROR(__xludf.DUMMYFUNCTION("""COMPUTED_VALUE"""),"Colombo, LK")</f>
        <v/>
      </c>
      <c r="Q558" s="45">
        <f>IFERROR(__xludf.DUMMYFUNCTION("""COMPUTED_VALUE"""),"New York, NY, US")</f>
        <v/>
      </c>
      <c r="R558" s="44">
        <f>IFERROR(__xludf.DUMMYFUNCTION("""COMPUTED_VALUE"""),45824)</f>
        <v/>
      </c>
      <c r="S558" s="44">
        <f>IFERROR(__xludf.DUMMYFUNCTION("""COMPUTED_VALUE"""),45883)</f>
        <v/>
      </c>
      <c r="T558" s="45">
        <f>IFERROR(__xludf.DUMMYFUNCTION("""COMPUTED_VALUE"""),"Mississauga, ON, CA")</f>
        <v/>
      </c>
      <c r="U558" s="45" t="n"/>
      <c r="V558" s="45" t="n"/>
      <c r="W558" s="45" t="n"/>
      <c r="X558" s="45" t="n"/>
      <c r="Y558" s="46">
        <f>IFERROR(__xludf.DUMMYFUNCTION("""COMPUTED_VALUE"""),45832)</f>
        <v/>
      </c>
      <c r="Z558" s="46">
        <f>IFERROR(__xludf.DUMMYFUNCTION("""COMPUTED_VALUE"""),45861)</f>
        <v/>
      </c>
      <c r="AA558" s="46">
        <f>IFERROR(__xludf.DUMMYFUNCTION("""COMPUTED_VALUE"""),45874)</f>
        <v/>
      </c>
      <c r="AB558" s="45">
        <f>IFERROR(__xludf.DUMMYFUNCTION("""COMPUTED_VALUE"""),"3500 Argentia Road")</f>
        <v/>
      </c>
      <c r="AC558" s="45" t="n"/>
      <c r="AD558" s="45">
        <f>IFERROR(__xludf.DUMMYFUNCTION("""COMPUTED_VALUE"""),"OCEAN")</f>
        <v/>
      </c>
      <c r="AE558" s="45">
        <f>IFERROR(__xludf.DUMMYFUNCTION("""COMPUTED_VALUE"""),"N")</f>
        <v/>
      </c>
      <c r="AF558" s="45" t="n"/>
      <c r="AG558" s="49">
        <f>IFERROR(__xludf.DUMMYFUNCTION("IFNA(vlookup(H558,IMPORTRANGE(""1vUGwO1n0QQGx9kKbO0_M5gmuhXZ6-LaxQxgrmJnzgP0"",""'TP# look up'!A:C""),3,0),"""")"),"")</f>
        <v/>
      </c>
      <c r="AH558" s="49">
        <f>LEFT(J558,2)</f>
        <v/>
      </c>
    </row>
    <row r="559" ht="12.75" customHeight="1">
      <c r="A559" s="45">
        <f>IFERROR(__xludf.DUMMYFUNCTION("""COMPUTED_VALUE"""),"Colombo")</f>
        <v/>
      </c>
      <c r="B559" s="45" t="n"/>
      <c r="C559" s="45">
        <f>IFERROR(__xludf.DUMMYFUNCTION("""COMPUTED_VALUE"""),3254508)</f>
        <v/>
      </c>
      <c r="D559" s="45" t="n"/>
      <c r="E559" s="45">
        <f>IFERROR(__xludf.DUMMYFUNCTION("""COMPUTED_VALUE"""),"CFS")</f>
        <v/>
      </c>
      <c r="F559" s="45">
        <f>IFERROR(__xludf.DUMMYFUNCTION("""COMPUTED_VALUE"""),"MAS AMITY PTE LTD")</f>
        <v/>
      </c>
      <c r="G559" s="45">
        <f>IFERROR(__xludf.DUMMYFUNCTION("""COMPUTED_VALUE"""),"MAS Fabrics (Pvt) Ltd Intimo")</f>
        <v/>
      </c>
      <c r="H559" s="43">
        <f>IFERROR(__xludf.DUMMYFUNCTION("""COMPUTED_VALUE"""),454712670472)</f>
        <v/>
      </c>
      <c r="I559" s="45">
        <f>IFERROR(__xludf.DUMMYFUNCTION("""COMPUTED_VALUE"""),19920029)</f>
        <v/>
      </c>
      <c r="J559" s="45">
        <f>IFERROR(__xludf.DUMMYFUNCTION("""COMPUTED_VALUE"""),"LM3FG2S")</f>
        <v/>
      </c>
      <c r="K559" s="45">
        <f>IFERROR(__xludf.DUMMYFUNCTION("""COMPUTED_VALUE"""),"LM3FG2S-070561")</f>
        <v/>
      </c>
      <c r="L559" s="45">
        <f>IFERROR(__xludf.DUMMYFUNCTION("""COMPUTED_VALUE"""),3)</f>
        <v/>
      </c>
      <c r="M559" s="45">
        <f>IFERROR(__xludf.DUMMYFUNCTION("""COMPUTED_VALUE"""),104)</f>
        <v/>
      </c>
      <c r="N559" s="45">
        <f>IFERROR(__xludf.DUMMYFUNCTION("""COMPUTED_VALUE"""),18.576)</f>
        <v/>
      </c>
      <c r="O559" s="45">
        <f>IFERROR(__xludf.DUMMYFUNCTION("""COMPUTED_VALUE"""),0.158)</f>
        <v/>
      </c>
      <c r="P559" s="45">
        <f>IFERROR(__xludf.DUMMYFUNCTION("""COMPUTED_VALUE"""),"Colombo, LK")</f>
        <v/>
      </c>
      <c r="Q559" s="45">
        <f>IFERROR(__xludf.DUMMYFUNCTION("""COMPUTED_VALUE"""),"New York, NY, US")</f>
        <v/>
      </c>
      <c r="R559" s="44">
        <f>IFERROR(__xludf.DUMMYFUNCTION("""COMPUTED_VALUE"""),45824)</f>
        <v/>
      </c>
      <c r="S559" s="44">
        <f>IFERROR(__xludf.DUMMYFUNCTION("""COMPUTED_VALUE"""),45883)</f>
        <v/>
      </c>
      <c r="T559" s="45">
        <f>IFERROR(__xludf.DUMMYFUNCTION("""COMPUTED_VALUE"""),"Mississauga, ON, CA")</f>
        <v/>
      </c>
      <c r="U559" s="45" t="n"/>
      <c r="V559" s="45" t="n"/>
      <c r="W559" s="45" t="n"/>
      <c r="X559" s="45" t="n"/>
      <c r="Y559" s="46">
        <f>IFERROR(__xludf.DUMMYFUNCTION("""COMPUTED_VALUE"""),45832)</f>
        <v/>
      </c>
      <c r="Z559" s="46">
        <f>IFERROR(__xludf.DUMMYFUNCTION("""COMPUTED_VALUE"""),45861)</f>
        <v/>
      </c>
      <c r="AA559" s="46">
        <f>IFERROR(__xludf.DUMMYFUNCTION("""COMPUTED_VALUE"""),45874)</f>
        <v/>
      </c>
      <c r="AB559" s="45">
        <f>IFERROR(__xludf.DUMMYFUNCTION("""COMPUTED_VALUE"""),"3500 Argentia Road")</f>
        <v/>
      </c>
      <c r="AC559" s="45" t="n"/>
      <c r="AD559" s="45">
        <f>IFERROR(__xludf.DUMMYFUNCTION("""COMPUTED_VALUE"""),"OCEAN")</f>
        <v/>
      </c>
      <c r="AE559" s="45">
        <f>IFERROR(__xludf.DUMMYFUNCTION("""COMPUTED_VALUE"""),"N")</f>
        <v/>
      </c>
      <c r="AF559" s="45" t="n"/>
      <c r="AG559" s="49">
        <f>IFERROR(__xludf.DUMMYFUNCTION("IFNA(vlookup(H559,IMPORTRANGE(""1vUGwO1n0QQGx9kKbO0_M5gmuhXZ6-LaxQxgrmJnzgP0"",""'TP# look up'!A:C""),3,0),"""")"),"")</f>
        <v/>
      </c>
      <c r="AH559" s="49">
        <f>LEFT(J559,2)</f>
        <v/>
      </c>
    </row>
    <row r="560" ht="12.75" customHeight="1">
      <c r="A560" s="45">
        <f>IFERROR(__xludf.DUMMYFUNCTION("""COMPUTED_VALUE"""),"Colombo")</f>
        <v/>
      </c>
      <c r="B560" s="45" t="n"/>
      <c r="C560" s="45">
        <f>IFERROR(__xludf.DUMMYFUNCTION("""COMPUTED_VALUE"""),3254508)</f>
        <v/>
      </c>
      <c r="D560" s="45" t="n"/>
      <c r="E560" s="45">
        <f>IFERROR(__xludf.DUMMYFUNCTION("""COMPUTED_VALUE"""),"CFS")</f>
        <v/>
      </c>
      <c r="F560" s="45">
        <f>IFERROR(__xludf.DUMMYFUNCTION("""COMPUTED_VALUE"""),"MAS AMITY PTE LTD")</f>
        <v/>
      </c>
      <c r="G560" s="45">
        <f>IFERROR(__xludf.DUMMYFUNCTION("""COMPUTED_VALUE"""),"MAS Fabrics (Pvt) Ltd Intimo")</f>
        <v/>
      </c>
      <c r="H560" s="43">
        <f>IFERROR(__xludf.DUMMYFUNCTION("""COMPUTED_VALUE"""),454712851437)</f>
        <v/>
      </c>
      <c r="I560" s="45">
        <f>IFERROR(__xludf.DUMMYFUNCTION("""COMPUTED_VALUE"""),19920060)</f>
        <v/>
      </c>
      <c r="J560" s="45">
        <f>IFERROR(__xludf.DUMMYFUNCTION("""COMPUTED_VALUE"""),"LW3GH4S")</f>
        <v/>
      </c>
      <c r="K560" s="45">
        <f>IFERROR(__xludf.DUMMYFUNCTION("""COMPUTED_VALUE"""),"LW3GH4S-012826")</f>
        <v/>
      </c>
      <c r="L560" s="45">
        <f>IFERROR(__xludf.DUMMYFUNCTION("""COMPUTED_VALUE"""),4)</f>
        <v/>
      </c>
      <c r="M560" s="45">
        <f>IFERROR(__xludf.DUMMYFUNCTION("""COMPUTED_VALUE"""),230)</f>
        <v/>
      </c>
      <c r="N560" s="45">
        <f>IFERROR(__xludf.DUMMYFUNCTION("""COMPUTED_VALUE"""),30.255)</f>
        <v/>
      </c>
      <c r="O560" s="45">
        <f>IFERROR(__xludf.DUMMYFUNCTION("""COMPUTED_VALUE"""),0.276)</f>
        <v/>
      </c>
      <c r="P560" s="45">
        <f>IFERROR(__xludf.DUMMYFUNCTION("""COMPUTED_VALUE"""),"Colombo, LK")</f>
        <v/>
      </c>
      <c r="Q560" s="45">
        <f>IFERROR(__xludf.DUMMYFUNCTION("""COMPUTED_VALUE"""),"New York, NY, US")</f>
        <v/>
      </c>
      <c r="R560" s="44">
        <f>IFERROR(__xludf.DUMMYFUNCTION("""COMPUTED_VALUE"""),45824)</f>
        <v/>
      </c>
      <c r="S560" s="44">
        <f>IFERROR(__xludf.DUMMYFUNCTION("""COMPUTED_VALUE"""),45883)</f>
        <v/>
      </c>
      <c r="T560" s="45">
        <f>IFERROR(__xludf.DUMMYFUNCTION("""COMPUTED_VALUE"""),"Mississauga, ON, CA")</f>
        <v/>
      </c>
      <c r="U560" s="45" t="n"/>
      <c r="V560" s="45" t="n"/>
      <c r="W560" s="45" t="n"/>
      <c r="X560" s="45" t="n"/>
      <c r="Y560" s="46">
        <f>IFERROR(__xludf.DUMMYFUNCTION("""COMPUTED_VALUE"""),45832)</f>
        <v/>
      </c>
      <c r="Z560" s="46">
        <f>IFERROR(__xludf.DUMMYFUNCTION("""COMPUTED_VALUE"""),45861)</f>
        <v/>
      </c>
      <c r="AA560" s="46">
        <f>IFERROR(__xludf.DUMMYFUNCTION("""COMPUTED_VALUE"""),45874)</f>
        <v/>
      </c>
      <c r="AB560" s="45">
        <f>IFERROR(__xludf.DUMMYFUNCTION("""COMPUTED_VALUE"""),"3500 Argentia Road")</f>
        <v/>
      </c>
      <c r="AC560" s="45" t="n"/>
      <c r="AD560" s="45">
        <f>IFERROR(__xludf.DUMMYFUNCTION("""COMPUTED_VALUE"""),"OCEAN")</f>
        <v/>
      </c>
      <c r="AE560" s="45">
        <f>IFERROR(__xludf.DUMMYFUNCTION("""COMPUTED_VALUE"""),"N")</f>
        <v/>
      </c>
      <c r="AF560" s="45" t="n"/>
      <c r="AG560" s="49">
        <f>IFERROR(__xludf.DUMMYFUNCTION("IFNA(vlookup(H560,IMPORTRANGE(""1vUGwO1n0QQGx9kKbO0_M5gmuhXZ6-LaxQxgrmJnzgP0"",""'TP# look up'!A:C""),3,0),"""")"),"")</f>
        <v/>
      </c>
      <c r="AH560" s="49">
        <f>LEFT(J560,2)</f>
        <v/>
      </c>
    </row>
    <row r="561" ht="12.75" customHeight="1">
      <c r="A561" s="45">
        <f>IFERROR(__xludf.DUMMYFUNCTION("""COMPUTED_VALUE"""),"Colombo")</f>
        <v/>
      </c>
      <c r="B561" s="45" t="n"/>
      <c r="C561" s="45">
        <f>IFERROR(__xludf.DUMMYFUNCTION("""COMPUTED_VALUE"""),3254508)</f>
        <v/>
      </c>
      <c r="D561" s="45" t="n"/>
      <c r="E561" s="45">
        <f>IFERROR(__xludf.DUMMYFUNCTION("""COMPUTED_VALUE"""),"CFS")</f>
        <v/>
      </c>
      <c r="F561" s="45">
        <f>IFERROR(__xludf.DUMMYFUNCTION("""COMPUTED_VALUE"""),"MAS AMITY PTE LTD")</f>
        <v/>
      </c>
      <c r="G561" s="45">
        <f>IFERROR(__xludf.DUMMYFUNCTION("""COMPUTED_VALUE"""),"MAS Fabrics (Pvt) Ltd Intimo")</f>
        <v/>
      </c>
      <c r="H561" s="43">
        <f>IFERROR(__xludf.DUMMYFUNCTION("""COMPUTED_VALUE"""),454713043181)</f>
        <v/>
      </c>
      <c r="I561" s="45">
        <f>IFERROR(__xludf.DUMMYFUNCTION("""COMPUTED_VALUE"""),19920073)</f>
        <v/>
      </c>
      <c r="J561" s="45">
        <f>IFERROR(__xludf.DUMMYFUNCTION("""COMPUTED_VALUE"""),"LW3GZHS")</f>
        <v/>
      </c>
      <c r="K561" s="45">
        <f>IFERROR(__xludf.DUMMYFUNCTION("""COMPUTED_VALUE"""),"LW3GZHS-012826")</f>
        <v/>
      </c>
      <c r="L561" s="45">
        <f>IFERROR(__xludf.DUMMYFUNCTION("""COMPUTED_VALUE"""),3)</f>
        <v/>
      </c>
      <c r="M561" s="45">
        <f>IFERROR(__xludf.DUMMYFUNCTION("""COMPUTED_VALUE"""),181)</f>
        <v/>
      </c>
      <c r="N561" s="45">
        <f>IFERROR(__xludf.DUMMYFUNCTION("""COMPUTED_VALUE"""),15.41)</f>
        <v/>
      </c>
      <c r="O561" s="45">
        <f>IFERROR(__xludf.DUMMYFUNCTION("""COMPUTED_VALUE"""),0.158)</f>
        <v/>
      </c>
      <c r="P561" s="45">
        <f>IFERROR(__xludf.DUMMYFUNCTION("""COMPUTED_VALUE"""),"Colombo, LK")</f>
        <v/>
      </c>
      <c r="Q561" s="45">
        <f>IFERROR(__xludf.DUMMYFUNCTION("""COMPUTED_VALUE"""),"New York, NY, US")</f>
        <v/>
      </c>
      <c r="R561" s="44">
        <f>IFERROR(__xludf.DUMMYFUNCTION("""COMPUTED_VALUE"""),45824)</f>
        <v/>
      </c>
      <c r="S561" s="44">
        <f>IFERROR(__xludf.DUMMYFUNCTION("""COMPUTED_VALUE"""),45883)</f>
        <v/>
      </c>
      <c r="T561" s="45">
        <f>IFERROR(__xludf.DUMMYFUNCTION("""COMPUTED_VALUE"""),"Mississauga, ON, CA")</f>
        <v/>
      </c>
      <c r="U561" s="45" t="n"/>
      <c r="V561" s="45" t="n"/>
      <c r="W561" s="45" t="n"/>
      <c r="X561" s="45" t="n"/>
      <c r="Y561" s="46">
        <f>IFERROR(__xludf.DUMMYFUNCTION("""COMPUTED_VALUE"""),45832)</f>
        <v/>
      </c>
      <c r="Z561" s="46">
        <f>IFERROR(__xludf.DUMMYFUNCTION("""COMPUTED_VALUE"""),45861)</f>
        <v/>
      </c>
      <c r="AA561" s="46">
        <f>IFERROR(__xludf.DUMMYFUNCTION("""COMPUTED_VALUE"""),45874)</f>
        <v/>
      </c>
      <c r="AB561" s="45">
        <f>IFERROR(__xludf.DUMMYFUNCTION("""COMPUTED_VALUE"""),"3500 Argentia Road")</f>
        <v/>
      </c>
      <c r="AC561" s="45" t="n"/>
      <c r="AD561" s="45">
        <f>IFERROR(__xludf.DUMMYFUNCTION("""COMPUTED_VALUE"""),"OCEAN")</f>
        <v/>
      </c>
      <c r="AE561" s="45">
        <f>IFERROR(__xludf.DUMMYFUNCTION("""COMPUTED_VALUE"""),"N")</f>
        <v/>
      </c>
      <c r="AF561" s="45" t="n"/>
      <c r="AG561" s="49">
        <f>IFERROR(__xludf.DUMMYFUNCTION("IFNA(vlookup(H561,IMPORTRANGE(""1vUGwO1n0QQGx9kKbO0_M5gmuhXZ6-LaxQxgrmJnzgP0"",""'TP# look up'!A:C""),3,0),"""")"),"")</f>
        <v/>
      </c>
      <c r="AH561" s="49">
        <f>LEFT(J561,2)</f>
        <v/>
      </c>
    </row>
    <row r="562" ht="12.75" customHeight="1">
      <c r="A562" s="45">
        <f>IFERROR(__xludf.DUMMYFUNCTION("""COMPUTED_VALUE"""),"Colombo")</f>
        <v/>
      </c>
      <c r="B562" s="45" t="n"/>
      <c r="C562" s="45">
        <f>IFERROR(__xludf.DUMMYFUNCTION("""COMPUTED_VALUE"""),3254508)</f>
        <v/>
      </c>
      <c r="D562" s="45" t="n"/>
      <c r="E562" s="45">
        <f>IFERROR(__xludf.DUMMYFUNCTION("""COMPUTED_VALUE"""),"CFS")</f>
        <v/>
      </c>
      <c r="F562" s="45">
        <f>IFERROR(__xludf.DUMMYFUNCTION("""COMPUTED_VALUE"""),"MAS AMITY PTE LTD")</f>
        <v/>
      </c>
      <c r="G562" s="45">
        <f>IFERROR(__xludf.DUMMYFUNCTION("""COMPUTED_VALUE"""),"MAS Fabrics (Pvt) Ltd Intimo")</f>
        <v/>
      </c>
      <c r="H562" s="43">
        <f>IFERROR(__xludf.DUMMYFUNCTION("""COMPUTED_VALUE"""),454713073528)</f>
        <v/>
      </c>
      <c r="I562" s="45">
        <f>IFERROR(__xludf.DUMMYFUNCTION("""COMPUTED_VALUE"""),19920096)</f>
        <v/>
      </c>
      <c r="J562" s="45">
        <f>IFERROR(__xludf.DUMMYFUNCTION("""COMPUTED_VALUE"""),"LW3JE8S")</f>
        <v/>
      </c>
      <c r="K562" s="45">
        <f>IFERROR(__xludf.DUMMYFUNCTION("""COMPUTED_VALUE"""),"LW3JE8S-4780")</f>
        <v/>
      </c>
      <c r="L562" s="45">
        <f>IFERROR(__xludf.DUMMYFUNCTION("""COMPUTED_VALUE"""),15)</f>
        <v/>
      </c>
      <c r="M562" s="45">
        <f>IFERROR(__xludf.DUMMYFUNCTION("""COMPUTED_VALUE"""),824)</f>
        <v/>
      </c>
      <c r="N562" s="45">
        <f>IFERROR(__xludf.DUMMYFUNCTION("""COMPUTED_VALUE"""),161.308)</f>
        <v/>
      </c>
      <c r="O562" s="45">
        <f>IFERROR(__xludf.DUMMYFUNCTION("""COMPUTED_VALUE"""),1.145)</f>
        <v/>
      </c>
      <c r="P562" s="45">
        <f>IFERROR(__xludf.DUMMYFUNCTION("""COMPUTED_VALUE"""),"Colombo, LK")</f>
        <v/>
      </c>
      <c r="Q562" s="45">
        <f>IFERROR(__xludf.DUMMYFUNCTION("""COMPUTED_VALUE"""),"New York, NY, US")</f>
        <v/>
      </c>
      <c r="R562" s="44">
        <f>IFERROR(__xludf.DUMMYFUNCTION("""COMPUTED_VALUE"""),45824)</f>
        <v/>
      </c>
      <c r="S562" s="44">
        <f>IFERROR(__xludf.DUMMYFUNCTION("""COMPUTED_VALUE"""),45883)</f>
        <v/>
      </c>
      <c r="T562" s="45">
        <f>IFERROR(__xludf.DUMMYFUNCTION("""COMPUTED_VALUE"""),"Mississauga, ON, CA")</f>
        <v/>
      </c>
      <c r="U562" s="45" t="n"/>
      <c r="V562" s="45" t="n"/>
      <c r="W562" s="45" t="n"/>
      <c r="X562" s="45" t="n"/>
      <c r="Y562" s="46">
        <f>IFERROR(__xludf.DUMMYFUNCTION("""COMPUTED_VALUE"""),45832)</f>
        <v/>
      </c>
      <c r="Z562" s="46">
        <f>IFERROR(__xludf.DUMMYFUNCTION("""COMPUTED_VALUE"""),45861)</f>
        <v/>
      </c>
      <c r="AA562" s="46">
        <f>IFERROR(__xludf.DUMMYFUNCTION("""COMPUTED_VALUE"""),45874)</f>
        <v/>
      </c>
      <c r="AB562" s="45">
        <f>IFERROR(__xludf.DUMMYFUNCTION("""COMPUTED_VALUE"""),"3500 Argentia Road")</f>
        <v/>
      </c>
      <c r="AC562" s="45" t="n"/>
      <c r="AD562" s="45">
        <f>IFERROR(__xludf.DUMMYFUNCTION("""COMPUTED_VALUE"""),"OCEAN")</f>
        <v/>
      </c>
      <c r="AE562" s="45">
        <f>IFERROR(__xludf.DUMMYFUNCTION("""COMPUTED_VALUE"""),"N")</f>
        <v/>
      </c>
      <c r="AF562" s="45" t="n"/>
      <c r="AG562" s="49">
        <f>IFERROR(__xludf.DUMMYFUNCTION("IFNA(vlookup(H562,IMPORTRANGE(""1vUGwO1n0QQGx9kKbO0_M5gmuhXZ6-LaxQxgrmJnzgP0"",""'TP# look up'!A:C""),3,0),"""")"),"")</f>
        <v/>
      </c>
      <c r="AH562" s="49">
        <f>LEFT(J562,2)</f>
        <v/>
      </c>
    </row>
    <row r="563" ht="12.75" customHeight="1">
      <c r="A563" s="45">
        <f>IFERROR(__xludf.DUMMYFUNCTION("""COMPUTED_VALUE"""),"Colombo")</f>
        <v/>
      </c>
      <c r="B563" s="45" t="n"/>
      <c r="C563" s="45">
        <f>IFERROR(__xludf.DUMMYFUNCTION("""COMPUTED_VALUE"""),3254508)</f>
        <v/>
      </c>
      <c r="D563" s="45" t="n"/>
      <c r="E563" s="45">
        <f>IFERROR(__xludf.DUMMYFUNCTION("""COMPUTED_VALUE"""),"CFS")</f>
        <v/>
      </c>
      <c r="F563" s="45">
        <f>IFERROR(__xludf.DUMMYFUNCTION("""COMPUTED_VALUE"""),"MAS AMITY PTE LTD")</f>
        <v/>
      </c>
      <c r="G563" s="45">
        <f>IFERROR(__xludf.DUMMYFUNCTION("""COMPUTED_VALUE"""),"MAS Fabrics (Pvt) Ltd Intimo")</f>
        <v/>
      </c>
      <c r="H563" s="43">
        <f>IFERROR(__xludf.DUMMYFUNCTION("""COMPUTED_VALUE"""),454713416339)</f>
        <v/>
      </c>
      <c r="I563" s="45">
        <f>IFERROR(__xludf.DUMMYFUNCTION("""COMPUTED_VALUE"""),19920180)</f>
        <v/>
      </c>
      <c r="J563" s="45">
        <f>IFERROR(__xludf.DUMMYFUNCTION("""COMPUTED_VALUE"""),"LM3FG2S")</f>
        <v/>
      </c>
      <c r="K563" s="45">
        <f>IFERROR(__xludf.DUMMYFUNCTION("""COMPUTED_VALUE"""),"LM3FG2S-070561")</f>
        <v/>
      </c>
      <c r="L563" s="45">
        <f>IFERROR(__xludf.DUMMYFUNCTION("""COMPUTED_VALUE"""),7)</f>
        <v/>
      </c>
      <c r="M563" s="45">
        <f>IFERROR(__xludf.DUMMYFUNCTION("""COMPUTED_VALUE"""),461)</f>
        <v/>
      </c>
      <c r="N563" s="45">
        <f>IFERROR(__xludf.DUMMYFUNCTION("""COMPUTED_VALUE"""),78.593)</f>
        <v/>
      </c>
      <c r="O563" s="45">
        <f>IFERROR(__xludf.DUMMYFUNCTION("""COMPUTED_VALUE"""),0.513)</f>
        <v/>
      </c>
      <c r="P563" s="45">
        <f>IFERROR(__xludf.DUMMYFUNCTION("""COMPUTED_VALUE"""),"Colombo, LK")</f>
        <v/>
      </c>
      <c r="Q563" s="45">
        <f>IFERROR(__xludf.DUMMYFUNCTION("""COMPUTED_VALUE"""),"New York, NY, US")</f>
        <v/>
      </c>
      <c r="R563" s="44">
        <f>IFERROR(__xludf.DUMMYFUNCTION("""COMPUTED_VALUE"""),45824)</f>
        <v/>
      </c>
      <c r="S563" s="44">
        <f>IFERROR(__xludf.DUMMYFUNCTION("""COMPUTED_VALUE"""),45883)</f>
        <v/>
      </c>
      <c r="T563" s="45">
        <f>IFERROR(__xludf.DUMMYFUNCTION("""COMPUTED_VALUE"""),"Mississauga, ON, CA")</f>
        <v/>
      </c>
      <c r="U563" s="45" t="n"/>
      <c r="V563" s="45" t="n"/>
      <c r="W563" s="45" t="n"/>
      <c r="X563" s="45" t="n"/>
      <c r="Y563" s="46">
        <f>IFERROR(__xludf.DUMMYFUNCTION("""COMPUTED_VALUE"""),45832)</f>
        <v/>
      </c>
      <c r="Z563" s="46">
        <f>IFERROR(__xludf.DUMMYFUNCTION("""COMPUTED_VALUE"""),45861)</f>
        <v/>
      </c>
      <c r="AA563" s="46">
        <f>IFERROR(__xludf.DUMMYFUNCTION("""COMPUTED_VALUE"""),45874)</f>
        <v/>
      </c>
      <c r="AB563" s="45">
        <f>IFERROR(__xludf.DUMMYFUNCTION("""COMPUTED_VALUE"""),"3500 Argentia Road")</f>
        <v/>
      </c>
      <c r="AC563" s="45" t="n"/>
      <c r="AD563" s="45">
        <f>IFERROR(__xludf.DUMMYFUNCTION("""COMPUTED_VALUE"""),"OCEAN")</f>
        <v/>
      </c>
      <c r="AE563" s="45">
        <f>IFERROR(__xludf.DUMMYFUNCTION("""COMPUTED_VALUE"""),"N")</f>
        <v/>
      </c>
      <c r="AF563" s="45" t="n"/>
      <c r="AG563" s="49">
        <f>IFERROR(__xludf.DUMMYFUNCTION("IFNA(vlookup(H563,IMPORTRANGE(""1vUGwO1n0QQGx9kKbO0_M5gmuhXZ6-LaxQxgrmJnzgP0"",""'TP# look up'!A:C""),3,0),"""")"),"")</f>
        <v/>
      </c>
      <c r="AH563" s="49">
        <f>LEFT(J563,2)</f>
        <v/>
      </c>
    </row>
    <row r="564" ht="12.75" customHeight="1">
      <c r="A564" s="45">
        <f>IFERROR(__xludf.DUMMYFUNCTION("""COMPUTED_VALUE"""),"Colombo")</f>
        <v/>
      </c>
      <c r="B564" s="45" t="n"/>
      <c r="C564" s="45">
        <f>IFERROR(__xludf.DUMMYFUNCTION("""COMPUTED_VALUE"""),3254508)</f>
        <v/>
      </c>
      <c r="D564" s="45" t="n"/>
      <c r="E564" s="45">
        <f>IFERROR(__xludf.DUMMYFUNCTION("""COMPUTED_VALUE"""),"CFS")</f>
        <v/>
      </c>
      <c r="F564" s="45">
        <f>IFERROR(__xludf.DUMMYFUNCTION("""COMPUTED_VALUE"""),"MAS AMITY PTE LTD")</f>
        <v/>
      </c>
      <c r="G564" s="45">
        <f>IFERROR(__xludf.DUMMYFUNCTION("""COMPUTED_VALUE"""),"MAS Fabrics (Pvt) Ltd Intimo")</f>
        <v/>
      </c>
      <c r="H564" s="43">
        <f>IFERROR(__xludf.DUMMYFUNCTION("""COMPUTED_VALUE"""),454713717867)</f>
        <v/>
      </c>
      <c r="I564" s="45">
        <f>IFERROR(__xludf.DUMMYFUNCTION("""COMPUTED_VALUE"""),19920157)</f>
        <v/>
      </c>
      <c r="J564" s="45">
        <f>IFERROR(__xludf.DUMMYFUNCTION("""COMPUTED_VALUE"""),"LM3FG2S")</f>
        <v/>
      </c>
      <c r="K564" s="45">
        <f>IFERROR(__xludf.DUMMYFUNCTION("""COMPUTED_VALUE"""),"LM3FG2S-071162")</f>
        <v/>
      </c>
      <c r="L564" s="45">
        <f>IFERROR(__xludf.DUMMYFUNCTION("""COMPUTED_VALUE"""),7)</f>
        <v/>
      </c>
      <c r="M564" s="45">
        <f>IFERROR(__xludf.DUMMYFUNCTION("""COMPUTED_VALUE"""),417)</f>
        <v/>
      </c>
      <c r="N564" s="45">
        <f>IFERROR(__xludf.DUMMYFUNCTION("""COMPUTED_VALUE"""),71.504)</f>
        <v/>
      </c>
      <c r="O564" s="45">
        <f>IFERROR(__xludf.DUMMYFUNCTION("""COMPUTED_VALUE"""),0.474)</f>
        <v/>
      </c>
      <c r="P564" s="45">
        <f>IFERROR(__xludf.DUMMYFUNCTION("""COMPUTED_VALUE"""),"Colombo, LK")</f>
        <v/>
      </c>
      <c r="Q564" s="45">
        <f>IFERROR(__xludf.DUMMYFUNCTION("""COMPUTED_VALUE"""),"New York, NY, US")</f>
        <v/>
      </c>
      <c r="R564" s="44">
        <f>IFERROR(__xludf.DUMMYFUNCTION("""COMPUTED_VALUE"""),45824)</f>
        <v/>
      </c>
      <c r="S564" s="44">
        <f>IFERROR(__xludf.DUMMYFUNCTION("""COMPUTED_VALUE"""),45883)</f>
        <v/>
      </c>
      <c r="T564" s="45">
        <f>IFERROR(__xludf.DUMMYFUNCTION("""COMPUTED_VALUE"""),"Mississauga, ON, CA")</f>
        <v/>
      </c>
      <c r="U564" s="45" t="n"/>
      <c r="V564" s="45" t="n"/>
      <c r="W564" s="45" t="n"/>
      <c r="X564" s="45" t="n"/>
      <c r="Y564" s="46">
        <f>IFERROR(__xludf.DUMMYFUNCTION("""COMPUTED_VALUE"""),45832)</f>
        <v/>
      </c>
      <c r="Z564" s="46">
        <f>IFERROR(__xludf.DUMMYFUNCTION("""COMPUTED_VALUE"""),45861)</f>
        <v/>
      </c>
      <c r="AA564" s="46">
        <f>IFERROR(__xludf.DUMMYFUNCTION("""COMPUTED_VALUE"""),45874)</f>
        <v/>
      </c>
      <c r="AB564" s="45">
        <f>IFERROR(__xludf.DUMMYFUNCTION("""COMPUTED_VALUE"""),"3500 Argentia Road")</f>
        <v/>
      </c>
      <c r="AC564" s="45" t="n"/>
      <c r="AD564" s="45">
        <f>IFERROR(__xludf.DUMMYFUNCTION("""COMPUTED_VALUE"""),"OCEAN")</f>
        <v/>
      </c>
      <c r="AE564" s="45">
        <f>IFERROR(__xludf.DUMMYFUNCTION("""COMPUTED_VALUE"""),"N")</f>
        <v/>
      </c>
      <c r="AF564" s="45" t="n"/>
      <c r="AG564" s="49">
        <f>IFERROR(__xludf.DUMMYFUNCTION("IFNA(vlookup(H564,IMPORTRANGE(""1vUGwO1n0QQGx9kKbO0_M5gmuhXZ6-LaxQxgrmJnzgP0"",""'TP# look up'!A:C""),3,0),"""")"),"")</f>
        <v/>
      </c>
      <c r="AH564" s="49">
        <f>LEFT(J564,2)</f>
        <v/>
      </c>
    </row>
    <row r="565" ht="12.75" customHeight="1">
      <c r="A565" s="45">
        <f>IFERROR(__xludf.DUMMYFUNCTION("""COMPUTED_VALUE"""),"Colombo")</f>
        <v/>
      </c>
      <c r="B565" s="45" t="n"/>
      <c r="C565" s="45">
        <f>IFERROR(__xludf.DUMMYFUNCTION("""COMPUTED_VALUE"""),3254508)</f>
        <v/>
      </c>
      <c r="D565" s="45" t="n"/>
      <c r="E565" s="45">
        <f>IFERROR(__xludf.DUMMYFUNCTION("""COMPUTED_VALUE"""),"CFS")</f>
        <v/>
      </c>
      <c r="F565" s="45">
        <f>IFERROR(__xludf.DUMMYFUNCTION("""COMPUTED_VALUE"""),"MAS AMITY PTE LTD")</f>
        <v/>
      </c>
      <c r="G565" s="45">
        <f>IFERROR(__xludf.DUMMYFUNCTION("""COMPUTED_VALUE"""),"MAS Fabrics (Pvt) Ltd Intimo")</f>
        <v/>
      </c>
      <c r="H565" s="43">
        <f>IFERROR(__xludf.DUMMYFUNCTION("""COMPUTED_VALUE"""),454717637878)</f>
        <v/>
      </c>
      <c r="I565" s="45">
        <f>IFERROR(__xludf.DUMMYFUNCTION("""COMPUTED_VALUE"""),19923422)</f>
        <v/>
      </c>
      <c r="J565" s="45">
        <f>IFERROR(__xludf.DUMMYFUNCTION("""COMPUTED_VALUE"""),"LM3FG2S")</f>
        <v/>
      </c>
      <c r="K565" s="45">
        <f>IFERROR(__xludf.DUMMYFUNCTION("""COMPUTED_VALUE"""),"LM3FG2S-071159")</f>
        <v/>
      </c>
      <c r="L565" s="45">
        <f>IFERROR(__xludf.DUMMYFUNCTION("""COMPUTED_VALUE"""),2)</f>
        <v/>
      </c>
      <c r="M565" s="45">
        <f>IFERROR(__xludf.DUMMYFUNCTION("""COMPUTED_VALUE"""),81)</f>
        <v/>
      </c>
      <c r="N565" s="45">
        <f>IFERROR(__xludf.DUMMYFUNCTION("""COMPUTED_VALUE"""),14.274)</f>
        <v/>
      </c>
      <c r="O565" s="45">
        <f>IFERROR(__xludf.DUMMYFUNCTION("""COMPUTED_VALUE"""),0.118)</f>
        <v/>
      </c>
      <c r="P565" s="45">
        <f>IFERROR(__xludf.DUMMYFUNCTION("""COMPUTED_VALUE"""),"Colombo, LK")</f>
        <v/>
      </c>
      <c r="Q565" s="45">
        <f>IFERROR(__xludf.DUMMYFUNCTION("""COMPUTED_VALUE"""),"New York, NY, US")</f>
        <v/>
      </c>
      <c r="R565" s="44">
        <f>IFERROR(__xludf.DUMMYFUNCTION("""COMPUTED_VALUE"""),45824)</f>
        <v/>
      </c>
      <c r="S565" s="44">
        <f>IFERROR(__xludf.DUMMYFUNCTION("""COMPUTED_VALUE"""),45883)</f>
        <v/>
      </c>
      <c r="T565" s="45">
        <f>IFERROR(__xludf.DUMMYFUNCTION("""COMPUTED_VALUE"""),"Mississauga, ON, CA")</f>
        <v/>
      </c>
      <c r="U565" s="45" t="n"/>
      <c r="V565" s="45" t="n"/>
      <c r="W565" s="45" t="n"/>
      <c r="X565" s="45" t="n"/>
      <c r="Y565" s="46">
        <f>IFERROR(__xludf.DUMMYFUNCTION("""COMPUTED_VALUE"""),45832)</f>
        <v/>
      </c>
      <c r="Z565" s="46">
        <f>IFERROR(__xludf.DUMMYFUNCTION("""COMPUTED_VALUE"""),45861)</f>
        <v/>
      </c>
      <c r="AA565" s="46">
        <f>IFERROR(__xludf.DUMMYFUNCTION("""COMPUTED_VALUE"""),45874)</f>
        <v/>
      </c>
      <c r="AB565" s="45">
        <f>IFERROR(__xludf.DUMMYFUNCTION("""COMPUTED_VALUE"""),"3500 Argentia Road")</f>
        <v/>
      </c>
      <c r="AC565" s="45" t="n"/>
      <c r="AD565" s="45">
        <f>IFERROR(__xludf.DUMMYFUNCTION("""COMPUTED_VALUE"""),"OCEAN")</f>
        <v/>
      </c>
      <c r="AE565" s="45">
        <f>IFERROR(__xludf.DUMMYFUNCTION("""COMPUTED_VALUE"""),"N")</f>
        <v/>
      </c>
      <c r="AF565" s="45" t="n"/>
      <c r="AG565" s="49">
        <f>IFERROR(__xludf.DUMMYFUNCTION("IFNA(vlookup(H565,IMPORTRANGE(""1vUGwO1n0QQGx9kKbO0_M5gmuhXZ6-LaxQxgrmJnzgP0"",""'TP# look up'!A:C""),3,0),"""")"),"")</f>
        <v/>
      </c>
      <c r="AH565" s="49">
        <f>LEFT(J565,2)</f>
        <v/>
      </c>
    </row>
    <row r="566" ht="12.75" customHeight="1">
      <c r="A566" s="45">
        <f>IFERROR(__xludf.DUMMYFUNCTION("""COMPUTED_VALUE"""),"Colombo")</f>
        <v/>
      </c>
      <c r="B566" s="45" t="n"/>
      <c r="C566" s="45">
        <f>IFERROR(__xludf.DUMMYFUNCTION("""COMPUTED_VALUE"""),3254508)</f>
        <v/>
      </c>
      <c r="D566" s="45" t="n"/>
      <c r="E566" s="45">
        <f>IFERROR(__xludf.DUMMYFUNCTION("""COMPUTED_VALUE"""),"CFS")</f>
        <v/>
      </c>
      <c r="F566" s="45">
        <f>IFERROR(__xludf.DUMMYFUNCTION("""COMPUTED_VALUE"""),"MAS AMITY PTE LTD")</f>
        <v/>
      </c>
      <c r="G566" s="45">
        <f>IFERROR(__xludf.DUMMYFUNCTION("""COMPUTED_VALUE"""),"MAS Fabrics (Pvt) Ltd Intimo")</f>
        <v/>
      </c>
      <c r="H566" s="43">
        <f>IFERROR(__xludf.DUMMYFUNCTION("""COMPUTED_VALUE"""),454717661378)</f>
        <v/>
      </c>
      <c r="I566" s="45">
        <f>IFERROR(__xludf.DUMMYFUNCTION("""COMPUTED_VALUE"""),19923242)</f>
        <v/>
      </c>
      <c r="J566" s="45">
        <f>IFERROR(__xludf.DUMMYFUNCTION("""COMPUTED_VALUE"""),"LW3GH4S")</f>
        <v/>
      </c>
      <c r="K566" s="45">
        <f>IFERROR(__xludf.DUMMYFUNCTION("""COMPUTED_VALUE"""),"LW3GH4S-012826")</f>
        <v/>
      </c>
      <c r="L566" s="45">
        <f>IFERROR(__xludf.DUMMYFUNCTION("""COMPUTED_VALUE"""),5)</f>
        <v/>
      </c>
      <c r="M566" s="45">
        <f>IFERROR(__xludf.DUMMYFUNCTION("""COMPUTED_VALUE"""),238)</f>
        <v/>
      </c>
      <c r="N566" s="45">
        <f>IFERROR(__xludf.DUMMYFUNCTION("""COMPUTED_VALUE"""),32.144)</f>
        <v/>
      </c>
      <c r="O566" s="45">
        <f>IFERROR(__xludf.DUMMYFUNCTION("""COMPUTED_VALUE"""),0.276)</f>
        <v/>
      </c>
      <c r="P566" s="45">
        <f>IFERROR(__xludf.DUMMYFUNCTION("""COMPUTED_VALUE"""),"Colombo, LK")</f>
        <v/>
      </c>
      <c r="Q566" s="45">
        <f>IFERROR(__xludf.DUMMYFUNCTION("""COMPUTED_VALUE"""),"New York, NY, US")</f>
        <v/>
      </c>
      <c r="R566" s="44">
        <f>IFERROR(__xludf.DUMMYFUNCTION("""COMPUTED_VALUE"""),45824)</f>
        <v/>
      </c>
      <c r="S566" s="44">
        <f>IFERROR(__xludf.DUMMYFUNCTION("""COMPUTED_VALUE"""),45883)</f>
        <v/>
      </c>
      <c r="T566" s="45">
        <f>IFERROR(__xludf.DUMMYFUNCTION("""COMPUTED_VALUE"""),"Mississauga, ON, CA")</f>
        <v/>
      </c>
      <c r="U566" s="45" t="n"/>
      <c r="V566" s="45" t="n"/>
      <c r="W566" s="45" t="n"/>
      <c r="X566" s="45" t="n"/>
      <c r="Y566" s="46">
        <f>IFERROR(__xludf.DUMMYFUNCTION("""COMPUTED_VALUE"""),45832)</f>
        <v/>
      </c>
      <c r="Z566" s="46">
        <f>IFERROR(__xludf.DUMMYFUNCTION("""COMPUTED_VALUE"""),45861)</f>
        <v/>
      </c>
      <c r="AA566" s="46">
        <f>IFERROR(__xludf.DUMMYFUNCTION("""COMPUTED_VALUE"""),45874)</f>
        <v/>
      </c>
      <c r="AB566" s="45">
        <f>IFERROR(__xludf.DUMMYFUNCTION("""COMPUTED_VALUE"""),"3500 Argentia Road")</f>
        <v/>
      </c>
      <c r="AC566" s="45" t="n"/>
      <c r="AD566" s="45">
        <f>IFERROR(__xludf.DUMMYFUNCTION("""COMPUTED_VALUE"""),"OCEAN")</f>
        <v/>
      </c>
      <c r="AE566" s="45">
        <f>IFERROR(__xludf.DUMMYFUNCTION("""COMPUTED_VALUE"""),"N")</f>
        <v/>
      </c>
      <c r="AF566" s="45" t="n"/>
      <c r="AG566" s="49">
        <f>IFERROR(__xludf.DUMMYFUNCTION("IFNA(vlookup(H566,IMPORTRANGE(""1vUGwO1n0QQGx9kKbO0_M5gmuhXZ6-LaxQxgrmJnzgP0"",""'TP# look up'!A:C""),3,0),"""")"),"")</f>
        <v/>
      </c>
      <c r="AH566" s="49">
        <f>LEFT(J566,2)</f>
        <v/>
      </c>
    </row>
    <row r="567" ht="12.75" customHeight="1">
      <c r="A567" s="45">
        <f>IFERROR(__xludf.DUMMYFUNCTION("""COMPUTED_VALUE"""),"Colombo")</f>
        <v/>
      </c>
      <c r="B567" s="45" t="n"/>
      <c r="C567" s="45">
        <f>IFERROR(__xludf.DUMMYFUNCTION("""COMPUTED_VALUE"""),3254508)</f>
        <v/>
      </c>
      <c r="D567" s="45" t="n"/>
      <c r="E567" s="45">
        <f>IFERROR(__xludf.DUMMYFUNCTION("""COMPUTED_VALUE"""),"CFS")</f>
        <v/>
      </c>
      <c r="F567" s="45">
        <f>IFERROR(__xludf.DUMMYFUNCTION("""COMPUTED_VALUE"""),"MAS AMITY PTE LTD")</f>
        <v/>
      </c>
      <c r="G567" s="45">
        <f>IFERROR(__xludf.DUMMYFUNCTION("""COMPUTED_VALUE"""),"MAS Fabrics (Pvt) Ltd Intimo")</f>
        <v/>
      </c>
      <c r="H567" s="43">
        <f>IFERROR(__xludf.DUMMYFUNCTION("""COMPUTED_VALUE"""),454717719021)</f>
        <v/>
      </c>
      <c r="I567" s="45">
        <f>IFERROR(__xludf.DUMMYFUNCTION("""COMPUTED_VALUE"""),19923296)</f>
        <v/>
      </c>
      <c r="J567" s="45">
        <f>IFERROR(__xludf.DUMMYFUNCTION("""COMPUTED_VALUE"""),"LW3JSOS")</f>
        <v/>
      </c>
      <c r="K567" s="45">
        <f>IFERROR(__xludf.DUMMYFUNCTION("""COMPUTED_VALUE"""),"LW3JSOS-071211")</f>
        <v/>
      </c>
      <c r="L567" s="45">
        <f>IFERROR(__xludf.DUMMYFUNCTION("""COMPUTED_VALUE"""),7)</f>
        <v/>
      </c>
      <c r="M567" s="45">
        <f>IFERROR(__xludf.DUMMYFUNCTION("""COMPUTED_VALUE"""),475)</f>
        <v/>
      </c>
      <c r="N567" s="45">
        <f>IFERROR(__xludf.DUMMYFUNCTION("""COMPUTED_VALUE"""),71.567)</f>
        <v/>
      </c>
      <c r="O567" s="45">
        <f>IFERROR(__xludf.DUMMYFUNCTION("""COMPUTED_VALUE"""),0.474)</f>
        <v/>
      </c>
      <c r="P567" s="45">
        <f>IFERROR(__xludf.DUMMYFUNCTION("""COMPUTED_VALUE"""),"Colombo, LK")</f>
        <v/>
      </c>
      <c r="Q567" s="45">
        <f>IFERROR(__xludf.DUMMYFUNCTION("""COMPUTED_VALUE"""),"New York, NY, US")</f>
        <v/>
      </c>
      <c r="R567" s="44">
        <f>IFERROR(__xludf.DUMMYFUNCTION("""COMPUTED_VALUE"""),45824)</f>
        <v/>
      </c>
      <c r="S567" s="44">
        <f>IFERROR(__xludf.DUMMYFUNCTION("""COMPUTED_VALUE"""),45883)</f>
        <v/>
      </c>
      <c r="T567" s="45">
        <f>IFERROR(__xludf.DUMMYFUNCTION("""COMPUTED_VALUE"""),"Mississauga, ON, CA")</f>
        <v/>
      </c>
      <c r="U567" s="45" t="n"/>
      <c r="V567" s="45" t="n"/>
      <c r="W567" s="45" t="n"/>
      <c r="X567" s="45" t="n"/>
      <c r="Y567" s="46">
        <f>IFERROR(__xludf.DUMMYFUNCTION("""COMPUTED_VALUE"""),45832)</f>
        <v/>
      </c>
      <c r="Z567" s="46">
        <f>IFERROR(__xludf.DUMMYFUNCTION("""COMPUTED_VALUE"""),45861)</f>
        <v/>
      </c>
      <c r="AA567" s="46">
        <f>IFERROR(__xludf.DUMMYFUNCTION("""COMPUTED_VALUE"""),45874)</f>
        <v/>
      </c>
      <c r="AB567" s="45">
        <f>IFERROR(__xludf.DUMMYFUNCTION("""COMPUTED_VALUE"""),"3500 Argentia Road")</f>
        <v/>
      </c>
      <c r="AC567" s="45" t="n"/>
      <c r="AD567" s="45">
        <f>IFERROR(__xludf.DUMMYFUNCTION("""COMPUTED_VALUE"""),"OCEAN")</f>
        <v/>
      </c>
      <c r="AE567" s="45">
        <f>IFERROR(__xludf.DUMMYFUNCTION("""COMPUTED_VALUE"""),"N")</f>
        <v/>
      </c>
      <c r="AF567" s="45" t="n"/>
      <c r="AG567" s="49">
        <f>IFERROR(__xludf.DUMMYFUNCTION("IFNA(vlookup(H567,IMPORTRANGE(""1vUGwO1n0QQGx9kKbO0_M5gmuhXZ6-LaxQxgrmJnzgP0"",""'TP# look up'!A:C""),3,0),"""")"),"")</f>
        <v/>
      </c>
      <c r="AH567" s="49">
        <f>LEFT(J567,2)</f>
        <v/>
      </c>
    </row>
    <row r="568" ht="12.75" customHeight="1">
      <c r="A568" s="45">
        <f>IFERROR(__xludf.DUMMYFUNCTION("""COMPUTED_VALUE"""),"Colombo")</f>
        <v/>
      </c>
      <c r="B568" s="45" t="n"/>
      <c r="C568" s="45">
        <f>IFERROR(__xludf.DUMMYFUNCTION("""COMPUTED_VALUE"""),3254508)</f>
        <v/>
      </c>
      <c r="D568" s="45" t="n"/>
      <c r="E568" s="45">
        <f>IFERROR(__xludf.DUMMYFUNCTION("""COMPUTED_VALUE"""),"CFS")</f>
        <v/>
      </c>
      <c r="F568" s="45">
        <f>IFERROR(__xludf.DUMMYFUNCTION("""COMPUTED_VALUE"""),"MAS AMITY PTE LTD")</f>
        <v/>
      </c>
      <c r="G568" s="45">
        <f>IFERROR(__xludf.DUMMYFUNCTION("""COMPUTED_VALUE"""),"MAS Fabrics (Pvt) Ltd Intimo")</f>
        <v/>
      </c>
      <c r="H568" s="43">
        <f>IFERROR(__xludf.DUMMYFUNCTION("""COMPUTED_VALUE"""),454717943996)</f>
        <v/>
      </c>
      <c r="I568" s="45">
        <f>IFERROR(__xludf.DUMMYFUNCTION("""COMPUTED_VALUE"""),19923284)</f>
        <v/>
      </c>
      <c r="J568" s="45">
        <f>IFERROR(__xludf.DUMMYFUNCTION("""COMPUTED_VALUE"""),"LW3JE8S")</f>
        <v/>
      </c>
      <c r="K568" s="45">
        <f>IFERROR(__xludf.DUMMYFUNCTION("""COMPUTED_VALUE"""),"LW3JE8S-4780")</f>
        <v/>
      </c>
      <c r="L568" s="45">
        <f>IFERROR(__xludf.DUMMYFUNCTION("""COMPUTED_VALUE"""),8)</f>
        <v/>
      </c>
      <c r="M568" s="45">
        <f>IFERROR(__xludf.DUMMYFUNCTION("""COMPUTED_VALUE"""),390)</f>
        <v/>
      </c>
      <c r="N568" s="45">
        <f>IFERROR(__xludf.DUMMYFUNCTION("""COMPUTED_VALUE"""),78.082)</f>
        <v/>
      </c>
      <c r="O568" s="45">
        <f>IFERROR(__xludf.DUMMYFUNCTION("""COMPUTED_VALUE"""),0.592)</f>
        <v/>
      </c>
      <c r="P568" s="45">
        <f>IFERROR(__xludf.DUMMYFUNCTION("""COMPUTED_VALUE"""),"Colombo, LK")</f>
        <v/>
      </c>
      <c r="Q568" s="45">
        <f>IFERROR(__xludf.DUMMYFUNCTION("""COMPUTED_VALUE"""),"New York, NY, US")</f>
        <v/>
      </c>
      <c r="R568" s="44">
        <f>IFERROR(__xludf.DUMMYFUNCTION("""COMPUTED_VALUE"""),45824)</f>
        <v/>
      </c>
      <c r="S568" s="44">
        <f>IFERROR(__xludf.DUMMYFUNCTION("""COMPUTED_VALUE"""),45883)</f>
        <v/>
      </c>
      <c r="T568" s="45">
        <f>IFERROR(__xludf.DUMMYFUNCTION("""COMPUTED_VALUE"""),"Mississauga, ON, CA")</f>
        <v/>
      </c>
      <c r="U568" s="45" t="n"/>
      <c r="V568" s="45" t="n"/>
      <c r="W568" s="45" t="n"/>
      <c r="X568" s="45" t="n"/>
      <c r="Y568" s="46">
        <f>IFERROR(__xludf.DUMMYFUNCTION("""COMPUTED_VALUE"""),45832)</f>
        <v/>
      </c>
      <c r="Z568" s="46">
        <f>IFERROR(__xludf.DUMMYFUNCTION("""COMPUTED_VALUE"""),45861)</f>
        <v/>
      </c>
      <c r="AA568" s="46">
        <f>IFERROR(__xludf.DUMMYFUNCTION("""COMPUTED_VALUE"""),45874)</f>
        <v/>
      </c>
      <c r="AB568" s="45">
        <f>IFERROR(__xludf.DUMMYFUNCTION("""COMPUTED_VALUE"""),"3500 Argentia Road")</f>
        <v/>
      </c>
      <c r="AC568" s="45" t="n"/>
      <c r="AD568" s="45">
        <f>IFERROR(__xludf.DUMMYFUNCTION("""COMPUTED_VALUE"""),"OCEAN")</f>
        <v/>
      </c>
      <c r="AE568" s="45">
        <f>IFERROR(__xludf.DUMMYFUNCTION("""COMPUTED_VALUE"""),"N")</f>
        <v/>
      </c>
      <c r="AF568" s="45" t="n"/>
      <c r="AG568" s="49">
        <f>IFERROR(__xludf.DUMMYFUNCTION("IFNA(vlookup(H568,IMPORTRANGE(""1vUGwO1n0QQGx9kKbO0_M5gmuhXZ6-LaxQxgrmJnzgP0"",""'TP# look up'!A:C""),3,0),"""")"),"")</f>
        <v/>
      </c>
      <c r="AH568" s="49">
        <f>LEFT(J568,2)</f>
        <v/>
      </c>
    </row>
    <row r="569" ht="12.75" customHeight="1">
      <c r="A569" s="45">
        <f>IFERROR(__xludf.DUMMYFUNCTION("""COMPUTED_VALUE"""),"Colombo")</f>
        <v/>
      </c>
      <c r="B569" s="45" t="n"/>
      <c r="C569" s="45">
        <f>IFERROR(__xludf.DUMMYFUNCTION("""COMPUTED_VALUE"""),3254508)</f>
        <v/>
      </c>
      <c r="D569" s="45" t="n"/>
      <c r="E569" s="45">
        <f>IFERROR(__xludf.DUMMYFUNCTION("""COMPUTED_VALUE"""),"CFS")</f>
        <v/>
      </c>
      <c r="F569" s="45">
        <f>IFERROR(__xludf.DUMMYFUNCTION("""COMPUTED_VALUE"""),"MAS AMITY PTE LTD")</f>
        <v/>
      </c>
      <c r="G569" s="45">
        <f>IFERROR(__xludf.DUMMYFUNCTION("""COMPUTED_VALUE"""),"MAS Fabrics (Pvt) Ltd Intimo")</f>
        <v/>
      </c>
      <c r="H569" s="43">
        <f>IFERROR(__xludf.DUMMYFUNCTION("""COMPUTED_VALUE"""),454718596121)</f>
        <v/>
      </c>
      <c r="I569" s="45">
        <f>IFERROR(__xludf.DUMMYFUNCTION("""COMPUTED_VALUE"""),19923439)</f>
        <v/>
      </c>
      <c r="J569" s="45">
        <f>IFERROR(__xludf.DUMMYFUNCTION("""COMPUTED_VALUE"""),"LM3FG2S")</f>
        <v/>
      </c>
      <c r="K569" s="45">
        <f>IFERROR(__xludf.DUMMYFUNCTION("""COMPUTED_VALUE"""),"LM3FG2S-071162")</f>
        <v/>
      </c>
      <c r="L569" s="45">
        <f>IFERROR(__xludf.DUMMYFUNCTION("""COMPUTED_VALUE"""),2)</f>
        <v/>
      </c>
      <c r="M569" s="45">
        <f>IFERROR(__xludf.DUMMYFUNCTION("""COMPUTED_VALUE"""),98)</f>
        <v/>
      </c>
      <c r="N569" s="45">
        <f>IFERROR(__xludf.DUMMYFUNCTION("""COMPUTED_VALUE"""),16.878)</f>
        <v/>
      </c>
      <c r="O569" s="45">
        <f>IFERROR(__xludf.DUMMYFUNCTION("""COMPUTED_VALUE"""),0.118)</f>
        <v/>
      </c>
      <c r="P569" s="45">
        <f>IFERROR(__xludf.DUMMYFUNCTION("""COMPUTED_VALUE"""),"Colombo, LK")</f>
        <v/>
      </c>
      <c r="Q569" s="45">
        <f>IFERROR(__xludf.DUMMYFUNCTION("""COMPUTED_VALUE"""),"New York, NY, US")</f>
        <v/>
      </c>
      <c r="R569" s="44">
        <f>IFERROR(__xludf.DUMMYFUNCTION("""COMPUTED_VALUE"""),45824)</f>
        <v/>
      </c>
      <c r="S569" s="44">
        <f>IFERROR(__xludf.DUMMYFUNCTION("""COMPUTED_VALUE"""),45883)</f>
        <v/>
      </c>
      <c r="T569" s="45">
        <f>IFERROR(__xludf.DUMMYFUNCTION("""COMPUTED_VALUE"""),"Mississauga, ON, CA")</f>
        <v/>
      </c>
      <c r="U569" s="45" t="n"/>
      <c r="V569" s="45" t="n"/>
      <c r="W569" s="45" t="n"/>
      <c r="X569" s="45" t="n"/>
      <c r="Y569" s="46">
        <f>IFERROR(__xludf.DUMMYFUNCTION("""COMPUTED_VALUE"""),45832)</f>
        <v/>
      </c>
      <c r="Z569" s="46">
        <f>IFERROR(__xludf.DUMMYFUNCTION("""COMPUTED_VALUE"""),45861)</f>
        <v/>
      </c>
      <c r="AA569" s="46">
        <f>IFERROR(__xludf.DUMMYFUNCTION("""COMPUTED_VALUE"""),45874)</f>
        <v/>
      </c>
      <c r="AB569" s="45">
        <f>IFERROR(__xludf.DUMMYFUNCTION("""COMPUTED_VALUE"""),"3500 Argentia Road")</f>
        <v/>
      </c>
      <c r="AC569" s="45" t="n"/>
      <c r="AD569" s="45">
        <f>IFERROR(__xludf.DUMMYFUNCTION("""COMPUTED_VALUE"""),"OCEAN")</f>
        <v/>
      </c>
      <c r="AE569" s="45">
        <f>IFERROR(__xludf.DUMMYFUNCTION("""COMPUTED_VALUE"""),"N")</f>
        <v/>
      </c>
      <c r="AF569" s="45" t="n"/>
      <c r="AG569" s="49">
        <f>IFERROR(__xludf.DUMMYFUNCTION("IFNA(vlookup(H569,IMPORTRANGE(""1vUGwO1n0QQGx9kKbO0_M5gmuhXZ6-LaxQxgrmJnzgP0"",""'TP# look up'!A:C""),3,0),"""")"),"")</f>
        <v/>
      </c>
      <c r="AH569" s="49">
        <f>LEFT(J569,2)</f>
        <v/>
      </c>
    </row>
    <row r="570" ht="12.75" customHeight="1">
      <c r="A570" s="45">
        <f>IFERROR(__xludf.DUMMYFUNCTION("""COMPUTED_VALUE"""),"Colombo")</f>
        <v/>
      </c>
      <c r="B570" s="45" t="n"/>
      <c r="C570" s="45">
        <f>IFERROR(__xludf.DUMMYFUNCTION("""COMPUTED_VALUE"""),3254508)</f>
        <v/>
      </c>
      <c r="D570" s="45" t="n"/>
      <c r="E570" s="45">
        <f>IFERROR(__xludf.DUMMYFUNCTION("""COMPUTED_VALUE"""),"CFS")</f>
        <v/>
      </c>
      <c r="F570" s="45">
        <f>IFERROR(__xludf.DUMMYFUNCTION("""COMPUTED_VALUE"""),"MAS AMITY PTE LTD")</f>
        <v/>
      </c>
      <c r="G570" s="45">
        <f>IFERROR(__xludf.DUMMYFUNCTION("""COMPUTED_VALUE"""),"MAS Fabrics (Pvt) Ltd Intimo")</f>
        <v/>
      </c>
      <c r="H570" s="43">
        <f>IFERROR(__xludf.DUMMYFUNCTION("""COMPUTED_VALUE"""),454718830888)</f>
        <v/>
      </c>
      <c r="I570" s="45">
        <f>IFERROR(__xludf.DUMMYFUNCTION("""COMPUTED_VALUE"""),19923463)</f>
        <v/>
      </c>
      <c r="J570" s="45">
        <f>IFERROR(__xludf.DUMMYFUNCTION("""COMPUTED_VALUE"""),"LW3DFNS")</f>
        <v/>
      </c>
      <c r="K570" s="45">
        <f>IFERROR(__xludf.DUMMYFUNCTION("""COMPUTED_VALUE"""),"LW3DFNS-012826")</f>
        <v/>
      </c>
      <c r="L570" s="45">
        <f>IFERROR(__xludf.DUMMYFUNCTION("""COMPUTED_VALUE"""),12)</f>
        <v/>
      </c>
      <c r="M570" s="45">
        <f>IFERROR(__xludf.DUMMYFUNCTION("""COMPUTED_VALUE"""),957)</f>
        <v/>
      </c>
      <c r="N570" s="45">
        <f>IFERROR(__xludf.DUMMYFUNCTION("""COMPUTED_VALUE"""),114.03)</f>
        <v/>
      </c>
      <c r="O570" s="45">
        <f>IFERROR(__xludf.DUMMYFUNCTION("""COMPUTED_VALUE"""),0.872)</f>
        <v/>
      </c>
      <c r="P570" s="45">
        <f>IFERROR(__xludf.DUMMYFUNCTION("""COMPUTED_VALUE"""),"Colombo, LK")</f>
        <v/>
      </c>
      <c r="Q570" s="45">
        <f>IFERROR(__xludf.DUMMYFUNCTION("""COMPUTED_VALUE"""),"New York, NY, US")</f>
        <v/>
      </c>
      <c r="R570" s="44">
        <f>IFERROR(__xludf.DUMMYFUNCTION("""COMPUTED_VALUE"""),45824)</f>
        <v/>
      </c>
      <c r="S570" s="44">
        <f>IFERROR(__xludf.DUMMYFUNCTION("""COMPUTED_VALUE"""),45883)</f>
        <v/>
      </c>
      <c r="T570" s="45">
        <f>IFERROR(__xludf.DUMMYFUNCTION("""COMPUTED_VALUE"""),"Mississauga, ON, CA")</f>
        <v/>
      </c>
      <c r="U570" s="45" t="n"/>
      <c r="V570" s="45" t="n"/>
      <c r="W570" s="45" t="n"/>
      <c r="X570" s="45" t="n"/>
      <c r="Y570" s="46">
        <f>IFERROR(__xludf.DUMMYFUNCTION("""COMPUTED_VALUE"""),45832)</f>
        <v/>
      </c>
      <c r="Z570" s="46">
        <f>IFERROR(__xludf.DUMMYFUNCTION("""COMPUTED_VALUE"""),45861)</f>
        <v/>
      </c>
      <c r="AA570" s="46">
        <f>IFERROR(__xludf.DUMMYFUNCTION("""COMPUTED_VALUE"""),45874)</f>
        <v/>
      </c>
      <c r="AB570" s="45">
        <f>IFERROR(__xludf.DUMMYFUNCTION("""COMPUTED_VALUE"""),"3500 Argentia Road")</f>
        <v/>
      </c>
      <c r="AC570" s="45" t="n"/>
      <c r="AD570" s="45">
        <f>IFERROR(__xludf.DUMMYFUNCTION("""COMPUTED_VALUE"""),"OCEAN")</f>
        <v/>
      </c>
      <c r="AE570" s="45">
        <f>IFERROR(__xludf.DUMMYFUNCTION("""COMPUTED_VALUE"""),"N")</f>
        <v/>
      </c>
      <c r="AF570" s="45" t="n"/>
      <c r="AG570" s="49">
        <f>IFERROR(__xludf.DUMMYFUNCTION("IFNA(vlookup(H570,IMPORTRANGE(""1vUGwO1n0QQGx9kKbO0_M5gmuhXZ6-LaxQxgrmJnzgP0"",""'TP# look up'!A:C""),3,0),"""")"),"")</f>
        <v/>
      </c>
      <c r="AH570" s="49">
        <f>LEFT(J570,2)</f>
        <v/>
      </c>
    </row>
    <row r="571" ht="12.75" customHeight="1">
      <c r="A571" s="45">
        <f>IFERROR(__xludf.DUMMYFUNCTION("""COMPUTED_VALUE"""),"Colombo")</f>
        <v/>
      </c>
      <c r="B571" s="45" t="n"/>
      <c r="C571" s="45">
        <f>IFERROR(__xludf.DUMMYFUNCTION("""COMPUTED_VALUE"""),3254508)</f>
        <v/>
      </c>
      <c r="D571" s="45" t="n"/>
      <c r="E571" s="45">
        <f>IFERROR(__xludf.DUMMYFUNCTION("""COMPUTED_VALUE"""),"CFS")</f>
        <v/>
      </c>
      <c r="F571" s="45">
        <f>IFERROR(__xludf.DUMMYFUNCTION("""COMPUTED_VALUE"""),"MAS AMITY PTE LTD")</f>
        <v/>
      </c>
      <c r="G571" s="45">
        <f>IFERROR(__xludf.DUMMYFUNCTION("""COMPUTED_VALUE"""),"MAS Fabrics (Pvt) Ltd Intimo")</f>
        <v/>
      </c>
      <c r="H571" s="43">
        <f>IFERROR(__xludf.DUMMYFUNCTION("""COMPUTED_VALUE"""),454955582669)</f>
        <v/>
      </c>
      <c r="I571" s="45">
        <f>IFERROR(__xludf.DUMMYFUNCTION("""COMPUTED_VALUE"""),19900261)</f>
        <v/>
      </c>
      <c r="J571" s="45">
        <f>IFERROR(__xludf.DUMMYFUNCTION("""COMPUTED_VALUE"""),"LM3FG2S")</f>
        <v/>
      </c>
      <c r="K571" s="45">
        <f>IFERROR(__xludf.DUMMYFUNCTION("""COMPUTED_VALUE"""),"LM3FG2S-071159")</f>
        <v/>
      </c>
      <c r="L571" s="45">
        <f>IFERROR(__xludf.DUMMYFUNCTION("""COMPUTED_VALUE"""),3)</f>
        <v/>
      </c>
      <c r="M571" s="45">
        <f>IFERROR(__xludf.DUMMYFUNCTION("""COMPUTED_VALUE"""),131)</f>
        <v/>
      </c>
      <c r="N571" s="45">
        <f>IFERROR(__xludf.DUMMYFUNCTION("""COMPUTED_VALUE"""),23.083)</f>
        <v/>
      </c>
      <c r="O571" s="45">
        <f>IFERROR(__xludf.DUMMYFUNCTION("""COMPUTED_VALUE"""),0.197)</f>
        <v/>
      </c>
      <c r="P571" s="45">
        <f>IFERROR(__xludf.DUMMYFUNCTION("""COMPUTED_VALUE"""),"Colombo, LK")</f>
        <v/>
      </c>
      <c r="Q571" s="45">
        <f>IFERROR(__xludf.DUMMYFUNCTION("""COMPUTED_VALUE"""),"New York, NY, US")</f>
        <v/>
      </c>
      <c r="R571" s="44">
        <f>IFERROR(__xludf.DUMMYFUNCTION("""COMPUTED_VALUE"""),45824)</f>
        <v/>
      </c>
      <c r="S571" s="44">
        <f>IFERROR(__xludf.DUMMYFUNCTION("""COMPUTED_VALUE"""),45883)</f>
        <v/>
      </c>
      <c r="T571" s="45">
        <f>IFERROR(__xludf.DUMMYFUNCTION("""COMPUTED_VALUE"""),"Milton, ON, CA")</f>
        <v/>
      </c>
      <c r="U571" s="45" t="n"/>
      <c r="V571" s="45" t="n"/>
      <c r="W571" s="45" t="n"/>
      <c r="X571" s="45" t="n"/>
      <c r="Y571" s="46">
        <f>IFERROR(__xludf.DUMMYFUNCTION("""COMPUTED_VALUE"""),45832)</f>
        <v/>
      </c>
      <c r="Z571" s="46">
        <f>IFERROR(__xludf.DUMMYFUNCTION("""COMPUTED_VALUE"""),45861)</f>
        <v/>
      </c>
      <c r="AA571" s="46">
        <f>IFERROR(__xludf.DUMMYFUNCTION("""COMPUTED_VALUE"""),45874)</f>
        <v/>
      </c>
      <c r="AB571" s="45">
        <f>IFERROR(__xludf.DUMMYFUNCTION("""COMPUTED_VALUE"""),"7211 Fifth Line")</f>
        <v/>
      </c>
      <c r="AC571" s="45" t="n"/>
      <c r="AD571" s="45">
        <f>IFERROR(__xludf.DUMMYFUNCTION("""COMPUTED_VALUE"""),"OCEAN")</f>
        <v/>
      </c>
      <c r="AE571" s="45">
        <f>IFERROR(__xludf.DUMMYFUNCTION("""COMPUTED_VALUE"""),"N")</f>
        <v/>
      </c>
      <c r="AF571" s="45" t="n"/>
      <c r="AG571" s="49">
        <f>IFERROR(__xludf.DUMMYFUNCTION("IFNA(vlookup(H571,IMPORTRANGE(""1vUGwO1n0QQGx9kKbO0_M5gmuhXZ6-LaxQxgrmJnzgP0"",""'TP# look up'!A:C""),3,0),"""")"),"")</f>
        <v/>
      </c>
      <c r="AH571" s="49">
        <f>LEFT(J571,2)</f>
        <v/>
      </c>
    </row>
    <row r="572" ht="12.75" customHeight="1">
      <c r="A572" s="45">
        <f>IFERROR(__xludf.DUMMYFUNCTION("""COMPUTED_VALUE"""),"Colombo")</f>
        <v/>
      </c>
      <c r="B572" s="45" t="n"/>
      <c r="C572" s="45">
        <f>IFERROR(__xludf.DUMMYFUNCTION("""COMPUTED_VALUE"""),3254508)</f>
        <v/>
      </c>
      <c r="D572" s="45" t="n"/>
      <c r="E572" s="45">
        <f>IFERROR(__xludf.DUMMYFUNCTION("""COMPUTED_VALUE"""),"CFS")</f>
        <v/>
      </c>
      <c r="F572" s="45">
        <f>IFERROR(__xludf.DUMMYFUNCTION("""COMPUTED_VALUE"""),"MAS AMITY PTE LTD")</f>
        <v/>
      </c>
      <c r="G572" s="45">
        <f>IFERROR(__xludf.DUMMYFUNCTION("""COMPUTED_VALUE"""),"MAS Fabrics (Pvt) Ltd Intimo")</f>
        <v/>
      </c>
      <c r="H572" s="43">
        <f>IFERROR(__xludf.DUMMYFUNCTION("""COMPUTED_VALUE"""),454719489186)</f>
        <v/>
      </c>
      <c r="I572" s="45">
        <f>IFERROR(__xludf.DUMMYFUNCTION("""COMPUTED_VALUE"""),19923656)</f>
        <v/>
      </c>
      <c r="J572" s="45">
        <f>IFERROR(__xludf.DUMMYFUNCTION("""COMPUTED_VALUE"""),"LW3JE8S")</f>
        <v/>
      </c>
      <c r="K572" s="45">
        <f>IFERROR(__xludf.DUMMYFUNCTION("""COMPUTED_VALUE"""),"LW3JE8S-012826")</f>
        <v/>
      </c>
      <c r="L572" s="45">
        <f>IFERROR(__xludf.DUMMYFUNCTION("""COMPUTED_VALUE"""),7)</f>
        <v/>
      </c>
      <c r="M572" s="45">
        <f>IFERROR(__xludf.DUMMYFUNCTION("""COMPUTED_VALUE"""),357)</f>
        <v/>
      </c>
      <c r="N572" s="45">
        <f>IFERROR(__xludf.DUMMYFUNCTION("""COMPUTED_VALUE"""),70.243)</f>
        <v/>
      </c>
      <c r="O572" s="45">
        <f>IFERROR(__xludf.DUMMYFUNCTION("""COMPUTED_VALUE"""),0.513)</f>
        <v/>
      </c>
      <c r="P572" s="45">
        <f>IFERROR(__xludf.DUMMYFUNCTION("""COMPUTED_VALUE"""),"Colombo, LK")</f>
        <v/>
      </c>
      <c r="Q572" s="45">
        <f>IFERROR(__xludf.DUMMYFUNCTION("""COMPUTED_VALUE"""),"New York, NY, US")</f>
        <v/>
      </c>
      <c r="R572" s="44">
        <f>IFERROR(__xludf.DUMMYFUNCTION("""COMPUTED_VALUE"""),45824)</f>
        <v/>
      </c>
      <c r="S572" s="44">
        <f>IFERROR(__xludf.DUMMYFUNCTION("""COMPUTED_VALUE"""),45883)</f>
        <v/>
      </c>
      <c r="T572" s="45">
        <f>IFERROR(__xludf.DUMMYFUNCTION("""COMPUTED_VALUE"""),"Mississauga, ON, CA")</f>
        <v/>
      </c>
      <c r="U572" s="45" t="n"/>
      <c r="V572" s="45" t="n"/>
      <c r="W572" s="45" t="n"/>
      <c r="X572" s="45" t="n"/>
      <c r="Y572" s="46">
        <f>IFERROR(__xludf.DUMMYFUNCTION("""COMPUTED_VALUE"""),45832)</f>
        <v/>
      </c>
      <c r="Z572" s="46">
        <f>IFERROR(__xludf.DUMMYFUNCTION("""COMPUTED_VALUE"""),45861)</f>
        <v/>
      </c>
      <c r="AA572" s="46">
        <f>IFERROR(__xludf.DUMMYFUNCTION("""COMPUTED_VALUE"""),45874)</f>
        <v/>
      </c>
      <c r="AB572" s="45">
        <f>IFERROR(__xludf.DUMMYFUNCTION("""COMPUTED_VALUE"""),"3500 Argentia Road")</f>
        <v/>
      </c>
      <c r="AC572" s="45" t="n"/>
      <c r="AD572" s="45">
        <f>IFERROR(__xludf.DUMMYFUNCTION("""COMPUTED_VALUE"""),"OCEAN")</f>
        <v/>
      </c>
      <c r="AE572" s="45">
        <f>IFERROR(__xludf.DUMMYFUNCTION("""COMPUTED_VALUE"""),"N")</f>
        <v/>
      </c>
      <c r="AF572" s="45" t="n"/>
      <c r="AG572" s="49">
        <f>IFERROR(__xludf.DUMMYFUNCTION("IFNA(vlookup(H572,IMPORTRANGE(""1vUGwO1n0QQGx9kKbO0_M5gmuhXZ6-LaxQxgrmJnzgP0"",""'TP# look up'!A:C""),3,0),"""")"),"")</f>
        <v/>
      </c>
      <c r="AH572" s="49">
        <f>LEFT(J572,2)</f>
        <v/>
      </c>
    </row>
    <row r="573" ht="12.75" customHeight="1">
      <c r="A573" s="45">
        <f>IFERROR(__xludf.DUMMYFUNCTION("""COMPUTED_VALUE"""),"Colombo")</f>
        <v/>
      </c>
      <c r="B573" s="45" t="n"/>
      <c r="C573" s="45">
        <f>IFERROR(__xludf.DUMMYFUNCTION("""COMPUTED_VALUE"""),3254508)</f>
        <v/>
      </c>
      <c r="D573" s="45" t="n"/>
      <c r="E573" s="45">
        <f>IFERROR(__xludf.DUMMYFUNCTION("""COMPUTED_VALUE"""),"CFS")</f>
        <v/>
      </c>
      <c r="F573" s="45">
        <f>IFERROR(__xludf.DUMMYFUNCTION("""COMPUTED_VALUE"""),"Bodyline Trading (Private) Limited")</f>
        <v/>
      </c>
      <c r="G573" s="45">
        <f>IFERROR(__xludf.DUMMYFUNCTION("""COMPUTED_VALUE"""),"Bodyline (Private) Limited")</f>
        <v/>
      </c>
      <c r="H573" s="43">
        <f>IFERROR(__xludf.DUMMYFUNCTION("""COMPUTED_VALUE"""),455263739084)</f>
        <v/>
      </c>
      <c r="I573" s="45">
        <f>IFERROR(__xludf.DUMMYFUNCTION("""COMPUTED_VALUE"""),19877424)</f>
        <v/>
      </c>
      <c r="J573" s="45">
        <f>IFERROR(__xludf.DUMMYFUNCTION("""COMPUTED_VALUE"""),"LW9DC3S")</f>
        <v/>
      </c>
      <c r="K573" s="45">
        <f>IFERROR(__xludf.DUMMYFUNCTION("""COMPUTED_VALUE"""),"LW9DC3S-073330")</f>
        <v/>
      </c>
      <c r="L573" s="45">
        <f>IFERROR(__xludf.DUMMYFUNCTION("""COMPUTED_VALUE"""),3)</f>
        <v/>
      </c>
      <c r="M573" s="45">
        <f>IFERROR(__xludf.DUMMYFUNCTION("""COMPUTED_VALUE"""),84)</f>
        <v/>
      </c>
      <c r="N573" s="45">
        <f>IFERROR(__xludf.DUMMYFUNCTION("""COMPUTED_VALUE"""),7.788)</f>
        <v/>
      </c>
      <c r="O573" s="45">
        <f>IFERROR(__xludf.DUMMYFUNCTION("""COMPUTED_VALUE"""),0.132)</f>
        <v/>
      </c>
      <c r="P573" s="45">
        <f>IFERROR(__xludf.DUMMYFUNCTION("""COMPUTED_VALUE"""),"Colombo, LK")</f>
        <v/>
      </c>
      <c r="Q573" s="45">
        <f>IFERROR(__xludf.DUMMYFUNCTION("""COMPUTED_VALUE"""),"New York, NY, US")</f>
        <v/>
      </c>
      <c r="R573" s="44">
        <f>IFERROR(__xludf.DUMMYFUNCTION("""COMPUTED_VALUE"""),45824)</f>
        <v/>
      </c>
      <c r="S573" s="44">
        <f>IFERROR(__xludf.DUMMYFUNCTION("""COMPUTED_VALUE"""),45883)</f>
        <v/>
      </c>
      <c r="T573" s="45">
        <f>IFERROR(__xludf.DUMMYFUNCTION("""COMPUTED_VALUE"""),"Mississauga, ON, CA")</f>
        <v/>
      </c>
      <c r="U573" s="45" t="n"/>
      <c r="V573" s="45" t="n"/>
      <c r="W573" s="45" t="n"/>
      <c r="X573" s="45" t="n"/>
      <c r="Y573" s="46">
        <f>IFERROR(__xludf.DUMMYFUNCTION("""COMPUTED_VALUE"""),45832)</f>
        <v/>
      </c>
      <c r="Z573" s="46">
        <f>IFERROR(__xludf.DUMMYFUNCTION("""COMPUTED_VALUE"""),45861)</f>
        <v/>
      </c>
      <c r="AA573" s="46">
        <f>IFERROR(__xludf.DUMMYFUNCTION("""COMPUTED_VALUE"""),45874)</f>
        <v/>
      </c>
      <c r="AB573" s="45">
        <f>IFERROR(__xludf.DUMMYFUNCTION("""COMPUTED_VALUE"""),"3500 Argentia Road")</f>
        <v/>
      </c>
      <c r="AC573" s="45" t="n"/>
      <c r="AD573" s="45">
        <f>IFERROR(__xludf.DUMMYFUNCTION("""COMPUTED_VALUE"""),"OCEAN")</f>
        <v/>
      </c>
      <c r="AE573" s="45">
        <f>IFERROR(__xludf.DUMMYFUNCTION("""COMPUTED_VALUE"""),"N")</f>
        <v/>
      </c>
      <c r="AF573" s="45" t="n"/>
      <c r="AG573" s="49">
        <f>IFERROR(__xludf.DUMMYFUNCTION("IFNA(vlookup(H573,IMPORTRANGE(""1vUGwO1n0QQGx9kKbO0_M5gmuhXZ6-LaxQxgrmJnzgP0"",""'TP# look up'!A:C""),3,0),"""")"),"")</f>
        <v/>
      </c>
      <c r="AH573" s="49">
        <f>LEFT(J573,2)</f>
        <v/>
      </c>
    </row>
    <row r="574" ht="12.75" customHeight="1">
      <c r="A574" s="45">
        <f>IFERROR(__xludf.DUMMYFUNCTION("""COMPUTED_VALUE"""),"Colombo")</f>
        <v/>
      </c>
      <c r="B574" s="45" t="n"/>
      <c r="C574" s="45">
        <f>IFERROR(__xludf.DUMMYFUNCTION("""COMPUTED_VALUE"""),3254508)</f>
        <v/>
      </c>
      <c r="D574" s="45" t="n"/>
      <c r="E574" s="45">
        <f>IFERROR(__xludf.DUMMYFUNCTION("""COMPUTED_VALUE"""),"CFS")</f>
        <v/>
      </c>
      <c r="F574" s="45">
        <f>IFERROR(__xludf.DUMMYFUNCTION("""COMPUTED_VALUE"""),"Bodyline Trading (Private) Limited")</f>
        <v/>
      </c>
      <c r="G574" s="45">
        <f>IFERROR(__xludf.DUMMYFUNCTION("""COMPUTED_VALUE"""),"Bodyline (Private) Limited")</f>
        <v/>
      </c>
      <c r="H574" s="43">
        <f>IFERROR(__xludf.DUMMYFUNCTION("""COMPUTED_VALUE"""),455263920586)</f>
        <v/>
      </c>
      <c r="I574" s="45">
        <f>IFERROR(__xludf.DUMMYFUNCTION("""COMPUTED_VALUE"""),19878381)</f>
        <v/>
      </c>
      <c r="J574" s="45">
        <f>IFERROR(__xludf.DUMMYFUNCTION("""COMPUTED_VALUE"""),"LW9DEAS")</f>
        <v/>
      </c>
      <c r="K574" s="45">
        <f>IFERROR(__xludf.DUMMYFUNCTION("""COMPUTED_VALUE"""),"LW9DEAS-070623")</f>
        <v/>
      </c>
      <c r="L574" s="45">
        <f>IFERROR(__xludf.DUMMYFUNCTION("""COMPUTED_VALUE"""),6)</f>
        <v/>
      </c>
      <c r="M574" s="45">
        <f>IFERROR(__xludf.DUMMYFUNCTION("""COMPUTED_VALUE"""),164)</f>
        <v/>
      </c>
      <c r="N574" s="45">
        <f>IFERROR(__xludf.DUMMYFUNCTION("""COMPUTED_VALUE"""),20.563)</f>
        <v/>
      </c>
      <c r="O574" s="45">
        <f>IFERROR(__xludf.DUMMYFUNCTION("""COMPUTED_VALUE"""),0.264)</f>
        <v/>
      </c>
      <c r="P574" s="45">
        <f>IFERROR(__xludf.DUMMYFUNCTION("""COMPUTED_VALUE"""),"Colombo, LK")</f>
        <v/>
      </c>
      <c r="Q574" s="45">
        <f>IFERROR(__xludf.DUMMYFUNCTION("""COMPUTED_VALUE"""),"New York, NY, US")</f>
        <v/>
      </c>
      <c r="R574" s="44">
        <f>IFERROR(__xludf.DUMMYFUNCTION("""COMPUTED_VALUE"""),45824)</f>
        <v/>
      </c>
      <c r="S574" s="44">
        <f>IFERROR(__xludf.DUMMYFUNCTION("""COMPUTED_VALUE"""),45883)</f>
        <v/>
      </c>
      <c r="T574" s="45">
        <f>IFERROR(__xludf.DUMMYFUNCTION("""COMPUTED_VALUE"""),"Mississauga, ON, CA")</f>
        <v/>
      </c>
      <c r="U574" s="45" t="n"/>
      <c r="V574" s="45" t="n"/>
      <c r="W574" s="45" t="n"/>
      <c r="X574" s="45" t="n"/>
      <c r="Y574" s="46">
        <f>IFERROR(__xludf.DUMMYFUNCTION("""COMPUTED_VALUE"""),45832)</f>
        <v/>
      </c>
      <c r="Z574" s="46">
        <f>IFERROR(__xludf.DUMMYFUNCTION("""COMPUTED_VALUE"""),45861)</f>
        <v/>
      </c>
      <c r="AA574" s="46">
        <f>IFERROR(__xludf.DUMMYFUNCTION("""COMPUTED_VALUE"""),45874)</f>
        <v/>
      </c>
      <c r="AB574" s="45">
        <f>IFERROR(__xludf.DUMMYFUNCTION("""COMPUTED_VALUE"""),"3500 Argentia Road")</f>
        <v/>
      </c>
      <c r="AC574" s="45" t="n"/>
      <c r="AD574" s="45">
        <f>IFERROR(__xludf.DUMMYFUNCTION("""COMPUTED_VALUE"""),"OCEAN")</f>
        <v/>
      </c>
      <c r="AE574" s="45">
        <f>IFERROR(__xludf.DUMMYFUNCTION("""COMPUTED_VALUE"""),"N")</f>
        <v/>
      </c>
      <c r="AF574" s="45" t="n"/>
      <c r="AG574" s="49">
        <f>IFERROR(__xludf.DUMMYFUNCTION("IFNA(vlookup(H574,IMPORTRANGE(""1vUGwO1n0QQGx9kKbO0_M5gmuhXZ6-LaxQxgrmJnzgP0"",""'TP# look up'!A:C""),3,0),"""")"),"")</f>
        <v/>
      </c>
      <c r="AH574" s="49">
        <f>LEFT(J574,2)</f>
        <v/>
      </c>
    </row>
    <row r="575" ht="12.75" customHeight="1">
      <c r="A575" s="45">
        <f>IFERROR(__xludf.DUMMYFUNCTION("""COMPUTED_VALUE"""),"Colombo")</f>
        <v/>
      </c>
      <c r="B575" s="45" t="n"/>
      <c r="C575" s="45">
        <f>IFERROR(__xludf.DUMMYFUNCTION("""COMPUTED_VALUE"""),3254508)</f>
        <v/>
      </c>
      <c r="D575" s="45" t="n"/>
      <c r="E575" s="45">
        <f>IFERROR(__xludf.DUMMYFUNCTION("""COMPUTED_VALUE"""),"CFS")</f>
        <v/>
      </c>
      <c r="F575" s="45">
        <f>IFERROR(__xludf.DUMMYFUNCTION("""COMPUTED_VALUE"""),"Bodyline Trading (Private) Limited")</f>
        <v/>
      </c>
      <c r="G575" s="45">
        <f>IFERROR(__xludf.DUMMYFUNCTION("""COMPUTED_VALUE"""),"Bodyline (Private) Limited")</f>
        <v/>
      </c>
      <c r="H575" s="43">
        <f>IFERROR(__xludf.DUMMYFUNCTION("""COMPUTED_VALUE"""),455264408885)</f>
        <v/>
      </c>
      <c r="I575" s="45">
        <f>IFERROR(__xludf.DUMMYFUNCTION("""COMPUTED_VALUE"""),19878107)</f>
        <v/>
      </c>
      <c r="J575" s="45">
        <f>IFERROR(__xludf.DUMMYFUNCTION("""COMPUTED_VALUE"""),"LW9DCIS")</f>
        <v/>
      </c>
      <c r="K575" s="45">
        <f>IFERROR(__xludf.DUMMYFUNCTION("""COMPUTED_VALUE"""),"LW9DCIS-073357")</f>
        <v/>
      </c>
      <c r="L575" s="45">
        <f>IFERROR(__xludf.DUMMYFUNCTION("""COMPUTED_VALUE"""),3)</f>
        <v/>
      </c>
      <c r="M575" s="45">
        <f>IFERROR(__xludf.DUMMYFUNCTION("""COMPUTED_VALUE"""),97)</f>
        <v/>
      </c>
      <c r="N575" s="45">
        <f>IFERROR(__xludf.DUMMYFUNCTION("""COMPUTED_VALUE"""),9.885)</f>
        <v/>
      </c>
      <c r="O575" s="45">
        <f>IFERROR(__xludf.DUMMYFUNCTION("""COMPUTED_VALUE"""),0.132)</f>
        <v/>
      </c>
      <c r="P575" s="45">
        <f>IFERROR(__xludf.DUMMYFUNCTION("""COMPUTED_VALUE"""),"Colombo, LK")</f>
        <v/>
      </c>
      <c r="Q575" s="45">
        <f>IFERROR(__xludf.DUMMYFUNCTION("""COMPUTED_VALUE"""),"New York, NY, US")</f>
        <v/>
      </c>
      <c r="R575" s="44">
        <f>IFERROR(__xludf.DUMMYFUNCTION("""COMPUTED_VALUE"""),45824)</f>
        <v/>
      </c>
      <c r="S575" s="44">
        <f>IFERROR(__xludf.DUMMYFUNCTION("""COMPUTED_VALUE"""),45883)</f>
        <v/>
      </c>
      <c r="T575" s="45">
        <f>IFERROR(__xludf.DUMMYFUNCTION("""COMPUTED_VALUE"""),"Mississauga, ON, CA")</f>
        <v/>
      </c>
      <c r="U575" s="45" t="n"/>
      <c r="V575" s="45" t="n"/>
      <c r="W575" s="45" t="n"/>
      <c r="X575" s="45" t="n"/>
      <c r="Y575" s="46">
        <f>IFERROR(__xludf.DUMMYFUNCTION("""COMPUTED_VALUE"""),45832)</f>
        <v/>
      </c>
      <c r="Z575" s="46">
        <f>IFERROR(__xludf.DUMMYFUNCTION("""COMPUTED_VALUE"""),45861)</f>
        <v/>
      </c>
      <c r="AA575" s="46">
        <f>IFERROR(__xludf.DUMMYFUNCTION("""COMPUTED_VALUE"""),45874)</f>
        <v/>
      </c>
      <c r="AB575" s="45">
        <f>IFERROR(__xludf.DUMMYFUNCTION("""COMPUTED_VALUE"""),"3500 Argentia Road")</f>
        <v/>
      </c>
      <c r="AC575" s="45" t="n"/>
      <c r="AD575" s="45">
        <f>IFERROR(__xludf.DUMMYFUNCTION("""COMPUTED_VALUE"""),"OCEAN")</f>
        <v/>
      </c>
      <c r="AE575" s="45">
        <f>IFERROR(__xludf.DUMMYFUNCTION("""COMPUTED_VALUE"""),"N")</f>
        <v/>
      </c>
      <c r="AF575" s="45" t="n"/>
      <c r="AG575" s="49">
        <f>IFERROR(__xludf.DUMMYFUNCTION("IFNA(vlookup(H575,IMPORTRANGE(""1vUGwO1n0QQGx9kKbO0_M5gmuhXZ6-LaxQxgrmJnzgP0"",""'TP# look up'!A:C""),3,0),"""")"),"")</f>
        <v/>
      </c>
      <c r="AH575" s="49">
        <f>LEFT(J575,2)</f>
        <v/>
      </c>
    </row>
    <row r="576" ht="12.75" customHeight="1">
      <c r="A576" s="45">
        <f>IFERROR(__xludf.DUMMYFUNCTION("""COMPUTED_VALUE"""),"Colombo")</f>
        <v/>
      </c>
      <c r="B576" s="45" t="n"/>
      <c r="C576" s="45">
        <f>IFERROR(__xludf.DUMMYFUNCTION("""COMPUTED_VALUE"""),3254508)</f>
        <v/>
      </c>
      <c r="D576" s="45" t="n"/>
      <c r="E576" s="45">
        <f>IFERROR(__xludf.DUMMYFUNCTION("""COMPUTED_VALUE"""),"CFS")</f>
        <v/>
      </c>
      <c r="F576" s="45">
        <f>IFERROR(__xludf.DUMMYFUNCTION("""COMPUTED_VALUE"""),"MAS AMITY PTE LTD")</f>
        <v/>
      </c>
      <c r="G576" s="45">
        <f>IFERROR(__xludf.DUMMYFUNCTION("""COMPUTED_VALUE"""),"MAS Active(Pvt) Ltd – CONTOURLINE")</f>
        <v/>
      </c>
      <c r="H576" s="43">
        <f>IFERROR(__xludf.DUMMYFUNCTION("""COMPUTED_VALUE"""),454980124369)</f>
        <v/>
      </c>
      <c r="I576" s="45">
        <f>IFERROR(__xludf.DUMMYFUNCTION("""COMPUTED_VALUE"""),19896672)</f>
        <v/>
      </c>
      <c r="J576" s="45">
        <f>IFERROR(__xludf.DUMMYFUNCTION("""COMPUTED_VALUE"""),"LW1DRKS")</f>
        <v/>
      </c>
      <c r="K576" s="45">
        <f>IFERROR(__xludf.DUMMYFUNCTION("""COMPUTED_VALUE"""),"LW1DRKS-070108")</f>
        <v/>
      </c>
      <c r="L576" s="45">
        <f>IFERROR(__xludf.DUMMYFUNCTION("""COMPUTED_VALUE"""),1)</f>
        <v/>
      </c>
      <c r="M576" s="45">
        <f>IFERROR(__xludf.DUMMYFUNCTION("""COMPUTED_VALUE"""),86)</f>
        <v/>
      </c>
      <c r="N576" s="45">
        <f>IFERROR(__xludf.DUMMYFUNCTION("""COMPUTED_VALUE"""),10.882)</f>
        <v/>
      </c>
      <c r="O576" s="45">
        <f>IFERROR(__xludf.DUMMYFUNCTION("""COMPUTED_VALUE"""),0.079)</f>
        <v/>
      </c>
      <c r="P576" s="45">
        <f>IFERROR(__xludf.DUMMYFUNCTION("""COMPUTED_VALUE"""),"Colombo, LK")</f>
        <v/>
      </c>
      <c r="Q576" s="45">
        <f>IFERROR(__xludf.DUMMYFUNCTION("""COMPUTED_VALUE"""),"New York, NY, US")</f>
        <v/>
      </c>
      <c r="R576" s="44">
        <f>IFERROR(__xludf.DUMMYFUNCTION("""COMPUTED_VALUE"""),45824)</f>
        <v/>
      </c>
      <c r="S576" s="44">
        <f>IFERROR(__xludf.DUMMYFUNCTION("""COMPUTED_VALUE"""),45883)</f>
        <v/>
      </c>
      <c r="T576" s="45">
        <f>IFERROR(__xludf.DUMMYFUNCTION("""COMPUTED_VALUE"""),"Mississauga, ON, CA")</f>
        <v/>
      </c>
      <c r="U576" s="45" t="n"/>
      <c r="V576" s="45" t="n"/>
      <c r="W576" s="45" t="n"/>
      <c r="X576" s="45" t="n"/>
      <c r="Y576" s="46">
        <f>IFERROR(__xludf.DUMMYFUNCTION("""COMPUTED_VALUE"""),45832)</f>
        <v/>
      </c>
      <c r="Z576" s="46">
        <f>IFERROR(__xludf.DUMMYFUNCTION("""COMPUTED_VALUE"""),45861)</f>
        <v/>
      </c>
      <c r="AA576" s="46">
        <f>IFERROR(__xludf.DUMMYFUNCTION("""COMPUTED_VALUE"""),45874)</f>
        <v/>
      </c>
      <c r="AB576" s="45">
        <f>IFERROR(__xludf.DUMMYFUNCTION("""COMPUTED_VALUE"""),"3500 Argentia Road")</f>
        <v/>
      </c>
      <c r="AC576" s="45" t="n"/>
      <c r="AD576" s="45">
        <f>IFERROR(__xludf.DUMMYFUNCTION("""COMPUTED_VALUE"""),"OCEAN")</f>
        <v/>
      </c>
      <c r="AE576" s="45">
        <f>IFERROR(__xludf.DUMMYFUNCTION("""COMPUTED_VALUE"""),"N")</f>
        <v/>
      </c>
      <c r="AF576" s="45" t="n"/>
      <c r="AG576" s="49">
        <f>IFERROR(__xludf.DUMMYFUNCTION("IFNA(vlookup(H576,IMPORTRANGE(""1vUGwO1n0QQGx9kKbO0_M5gmuhXZ6-LaxQxgrmJnzgP0"",""'TP# look up'!A:C""),3,0),"""")"),"")</f>
        <v/>
      </c>
      <c r="AH576" s="49">
        <f>LEFT(J576,2)</f>
        <v/>
      </c>
    </row>
    <row r="577" ht="12.75" customHeight="1">
      <c r="A577" s="45">
        <f>IFERROR(__xludf.DUMMYFUNCTION("""COMPUTED_VALUE"""),"Colombo")</f>
        <v/>
      </c>
      <c r="B577" s="45" t="n"/>
      <c r="C577" s="45">
        <f>IFERROR(__xludf.DUMMYFUNCTION("""COMPUTED_VALUE"""),3254508)</f>
        <v/>
      </c>
      <c r="D577" s="45" t="n"/>
      <c r="E577" s="45">
        <f>IFERROR(__xludf.DUMMYFUNCTION("""COMPUTED_VALUE"""),"CFS")</f>
        <v/>
      </c>
      <c r="F577" s="45">
        <f>IFERROR(__xludf.DUMMYFUNCTION("""COMPUTED_VALUE"""),"MAS AMITY PTE LTD")</f>
        <v/>
      </c>
      <c r="G577" s="45">
        <f>IFERROR(__xludf.DUMMYFUNCTION("""COMPUTED_VALUE"""),"MAS Active(Pvt) Ltd – CONTOURLINE")</f>
        <v/>
      </c>
      <c r="H577" s="43">
        <f>IFERROR(__xludf.DUMMYFUNCTION("""COMPUTED_VALUE"""),454984993809)</f>
        <v/>
      </c>
      <c r="I577" s="45">
        <f>IFERROR(__xludf.DUMMYFUNCTION("""COMPUTED_VALUE"""),19896697)</f>
        <v/>
      </c>
      <c r="J577" s="45">
        <f>IFERROR(__xludf.DUMMYFUNCTION("""COMPUTED_VALUE"""),"LW1DRKS")</f>
        <v/>
      </c>
      <c r="K577" s="45">
        <f>IFERROR(__xludf.DUMMYFUNCTION("""COMPUTED_VALUE"""),"LW1DRKS-070108")</f>
        <v/>
      </c>
      <c r="L577" s="45">
        <f>IFERROR(__xludf.DUMMYFUNCTION("""COMPUTED_VALUE"""),3)</f>
        <v/>
      </c>
      <c r="M577" s="45">
        <f>IFERROR(__xludf.DUMMYFUNCTION("""COMPUTED_VALUE"""),252)</f>
        <v/>
      </c>
      <c r="N577" s="45">
        <f>IFERROR(__xludf.DUMMYFUNCTION("""COMPUTED_VALUE"""),31.954)</f>
        <v/>
      </c>
      <c r="O577" s="45">
        <f>IFERROR(__xludf.DUMMYFUNCTION("""COMPUTED_VALUE"""),0.237)</f>
        <v/>
      </c>
      <c r="P577" s="45">
        <f>IFERROR(__xludf.DUMMYFUNCTION("""COMPUTED_VALUE"""),"Colombo, LK")</f>
        <v/>
      </c>
      <c r="Q577" s="45">
        <f>IFERROR(__xludf.DUMMYFUNCTION("""COMPUTED_VALUE"""),"New York, NY, US")</f>
        <v/>
      </c>
      <c r="R577" s="44">
        <f>IFERROR(__xludf.DUMMYFUNCTION("""COMPUTED_VALUE"""),45824)</f>
        <v/>
      </c>
      <c r="S577" s="44">
        <f>IFERROR(__xludf.DUMMYFUNCTION("""COMPUTED_VALUE"""),45883)</f>
        <v/>
      </c>
      <c r="T577" s="45">
        <f>IFERROR(__xludf.DUMMYFUNCTION("""COMPUTED_VALUE"""),"Mississauga, ON, CA")</f>
        <v/>
      </c>
      <c r="U577" s="45" t="n"/>
      <c r="V577" s="45" t="n"/>
      <c r="W577" s="45" t="n"/>
      <c r="X577" s="45" t="n"/>
      <c r="Y577" s="46">
        <f>IFERROR(__xludf.DUMMYFUNCTION("""COMPUTED_VALUE"""),45832)</f>
        <v/>
      </c>
      <c r="Z577" s="46">
        <f>IFERROR(__xludf.DUMMYFUNCTION("""COMPUTED_VALUE"""),45861)</f>
        <v/>
      </c>
      <c r="AA577" s="46">
        <f>IFERROR(__xludf.DUMMYFUNCTION("""COMPUTED_VALUE"""),45874)</f>
        <v/>
      </c>
      <c r="AB577" s="45">
        <f>IFERROR(__xludf.DUMMYFUNCTION("""COMPUTED_VALUE"""),"3500 Argentia Road")</f>
        <v/>
      </c>
      <c r="AC577" s="45" t="n"/>
      <c r="AD577" s="45">
        <f>IFERROR(__xludf.DUMMYFUNCTION("""COMPUTED_VALUE"""),"OCEAN")</f>
        <v/>
      </c>
      <c r="AE577" s="45">
        <f>IFERROR(__xludf.DUMMYFUNCTION("""COMPUTED_VALUE"""),"N")</f>
        <v/>
      </c>
      <c r="AF577" s="45" t="n"/>
      <c r="AG577" s="49">
        <f>IFERROR(__xludf.DUMMYFUNCTION("IFNA(vlookup(H577,IMPORTRANGE(""1vUGwO1n0QQGx9kKbO0_M5gmuhXZ6-LaxQxgrmJnzgP0"",""'TP# look up'!A:C""),3,0),"""")"),"")</f>
        <v/>
      </c>
      <c r="AH577" s="49">
        <f>LEFT(J577,2)</f>
        <v/>
      </c>
    </row>
    <row r="578" ht="12.75" customHeight="1">
      <c r="A578" s="45">
        <f>IFERROR(__xludf.DUMMYFUNCTION("""COMPUTED_VALUE"""),"Colombo")</f>
        <v/>
      </c>
      <c r="B578" s="45" t="n"/>
      <c r="C578" s="45">
        <f>IFERROR(__xludf.DUMMYFUNCTION("""COMPUTED_VALUE"""),3254508)</f>
        <v/>
      </c>
      <c r="D578" s="45" t="n"/>
      <c r="E578" s="45">
        <f>IFERROR(__xludf.DUMMYFUNCTION("""COMPUTED_VALUE"""),"CFS")</f>
        <v/>
      </c>
      <c r="F578" s="45">
        <f>IFERROR(__xludf.DUMMYFUNCTION("""COMPUTED_VALUE"""),"Inqube Global (PVT) Ltd")</f>
        <v/>
      </c>
      <c r="G578" s="45">
        <f>IFERROR(__xludf.DUMMYFUNCTION("""COMPUTED_VALUE"""),"Brandix Apparel Solutions Limited - Minuwangoda")</f>
        <v/>
      </c>
      <c r="H578" s="43">
        <f>IFERROR(__xludf.DUMMYFUNCTION("""COMPUTED_VALUE"""),455683716916)</f>
        <v/>
      </c>
      <c r="I578" s="45">
        <f>IFERROR(__xludf.DUMMYFUNCTION("""COMPUTED_VALUE"""),19855040)</f>
        <v/>
      </c>
      <c r="J578" s="45">
        <f>IFERROR(__xludf.DUMMYFUNCTION("""COMPUTED_VALUE"""),"LW1FQ4S")</f>
        <v/>
      </c>
      <c r="K578" s="45">
        <f>IFERROR(__xludf.DUMMYFUNCTION("""COMPUTED_VALUE"""),"LW1FQ4S-049106")</f>
        <v/>
      </c>
      <c r="L578" s="45">
        <f>IFERROR(__xludf.DUMMYFUNCTION("""COMPUTED_VALUE"""),5)</f>
        <v/>
      </c>
      <c r="M578" s="45">
        <f>IFERROR(__xludf.DUMMYFUNCTION("""COMPUTED_VALUE"""),156)</f>
        <v/>
      </c>
      <c r="N578" s="45">
        <f>IFERROR(__xludf.DUMMYFUNCTION("""COMPUTED_VALUE"""),31.712)</f>
        <v/>
      </c>
      <c r="O578" s="45">
        <f>IFERROR(__xludf.DUMMYFUNCTION("""COMPUTED_VALUE"""),0.393)</f>
        <v/>
      </c>
      <c r="P578" s="45">
        <f>IFERROR(__xludf.DUMMYFUNCTION("""COMPUTED_VALUE"""),"Colombo, LK")</f>
        <v/>
      </c>
      <c r="Q578" s="45">
        <f>IFERROR(__xludf.DUMMYFUNCTION("""COMPUTED_VALUE"""),"New York, NY, US")</f>
        <v/>
      </c>
      <c r="R578" s="44">
        <f>IFERROR(__xludf.DUMMYFUNCTION("""COMPUTED_VALUE"""),45824)</f>
        <v/>
      </c>
      <c r="S578" s="44">
        <f>IFERROR(__xludf.DUMMYFUNCTION("""COMPUTED_VALUE"""),45883)</f>
        <v/>
      </c>
      <c r="T578" s="45">
        <f>IFERROR(__xludf.DUMMYFUNCTION("""COMPUTED_VALUE"""),"Mississauga, ON, CA")</f>
        <v/>
      </c>
      <c r="U578" s="45" t="n"/>
      <c r="V578" s="45" t="n"/>
      <c r="W578" s="45" t="n"/>
      <c r="X578" s="45" t="n"/>
      <c r="Y578" s="46">
        <f>IFERROR(__xludf.DUMMYFUNCTION("""COMPUTED_VALUE"""),45831)</f>
        <v/>
      </c>
      <c r="Z578" s="46">
        <f>IFERROR(__xludf.DUMMYFUNCTION("""COMPUTED_VALUE"""),45852)</f>
        <v/>
      </c>
      <c r="AA578" s="46">
        <f>IFERROR(__xludf.DUMMYFUNCTION("""COMPUTED_VALUE"""),45852)</f>
        <v/>
      </c>
      <c r="AB578" s="45">
        <f>IFERROR(__xludf.DUMMYFUNCTION("""COMPUTED_VALUE"""),"3500 Argentia Road")</f>
        <v/>
      </c>
      <c r="AC578" s="45" t="n"/>
      <c r="AD578" s="45">
        <f>IFERROR(__xludf.DUMMYFUNCTION("""COMPUTED_VALUE"""),"OCEAN")</f>
        <v/>
      </c>
      <c r="AE578" s="45">
        <f>IFERROR(__xludf.DUMMYFUNCTION("""COMPUTED_VALUE"""),"N")</f>
        <v/>
      </c>
      <c r="AF578" s="45" t="n"/>
      <c r="AG578" s="49">
        <f>IFERROR(__xludf.DUMMYFUNCTION("IFNA(vlookup(H578,IMPORTRANGE(""1vUGwO1n0QQGx9kKbO0_M5gmuhXZ6-LaxQxgrmJnzgP0"",""'TP# look up'!A:C""),3,0),"""")"),"")</f>
        <v/>
      </c>
      <c r="AH578" s="49">
        <f>LEFT(J578,2)</f>
        <v/>
      </c>
    </row>
    <row r="579" ht="12.75" customHeight="1">
      <c r="A579" s="45">
        <f>IFERROR(__xludf.DUMMYFUNCTION("""COMPUTED_VALUE"""),"Colombo")</f>
        <v/>
      </c>
      <c r="B579" s="45" t="n"/>
      <c r="C579" s="45">
        <f>IFERROR(__xludf.DUMMYFUNCTION("""COMPUTED_VALUE"""),3254508)</f>
        <v/>
      </c>
      <c r="D579" s="45" t="n"/>
      <c r="E579" s="45">
        <f>IFERROR(__xludf.DUMMYFUNCTION("""COMPUTED_VALUE"""),"CFS")</f>
        <v/>
      </c>
      <c r="F579" s="45">
        <f>IFERROR(__xludf.DUMMYFUNCTION("""COMPUTED_VALUE"""),"Inqube Global (PVT) Ltd")</f>
        <v/>
      </c>
      <c r="G579" s="45">
        <f>IFERROR(__xludf.DUMMYFUNCTION("""COMPUTED_VALUE"""),"Brandix Apparel Solutions Limited - Minuwangoda")</f>
        <v/>
      </c>
      <c r="H579" s="43">
        <f>IFERROR(__xludf.DUMMYFUNCTION("""COMPUTED_VALUE"""),455688329627)</f>
        <v/>
      </c>
      <c r="I579" s="45">
        <f>IFERROR(__xludf.DUMMYFUNCTION("""COMPUTED_VALUE"""),19855123)</f>
        <v/>
      </c>
      <c r="J579" s="45">
        <f>IFERROR(__xludf.DUMMYFUNCTION("""COMPUTED_VALUE"""),"LW1FQ4S")</f>
        <v/>
      </c>
      <c r="K579" s="45">
        <f>IFERROR(__xludf.DUMMYFUNCTION("""COMPUTED_VALUE"""),"LW1FQ4S-049106")</f>
        <v/>
      </c>
      <c r="L579" s="45">
        <f>IFERROR(__xludf.DUMMYFUNCTION("""COMPUTED_VALUE"""),12)</f>
        <v/>
      </c>
      <c r="M579" s="45">
        <f>IFERROR(__xludf.DUMMYFUNCTION("""COMPUTED_VALUE"""),631)</f>
        <v/>
      </c>
      <c r="N579" s="45">
        <f>IFERROR(__xludf.DUMMYFUNCTION("""COMPUTED_VALUE"""),119.58)</f>
        <v/>
      </c>
      <c r="O579" s="45">
        <f>IFERROR(__xludf.DUMMYFUNCTION("""COMPUTED_VALUE"""),0.942)</f>
        <v/>
      </c>
      <c r="P579" s="45">
        <f>IFERROR(__xludf.DUMMYFUNCTION("""COMPUTED_VALUE"""),"Colombo, LK")</f>
        <v/>
      </c>
      <c r="Q579" s="45">
        <f>IFERROR(__xludf.DUMMYFUNCTION("""COMPUTED_VALUE"""),"New York, NY, US")</f>
        <v/>
      </c>
      <c r="R579" s="44">
        <f>IFERROR(__xludf.DUMMYFUNCTION("""COMPUTED_VALUE"""),45824)</f>
        <v/>
      </c>
      <c r="S579" s="44">
        <f>IFERROR(__xludf.DUMMYFUNCTION("""COMPUTED_VALUE"""),45883)</f>
        <v/>
      </c>
      <c r="T579" s="45">
        <f>IFERROR(__xludf.DUMMYFUNCTION("""COMPUTED_VALUE"""),"Mississauga, ON, CA")</f>
        <v/>
      </c>
      <c r="U579" s="45" t="n"/>
      <c r="V579" s="45" t="n"/>
      <c r="W579" s="45" t="n"/>
      <c r="X579" s="45" t="n"/>
      <c r="Y579" s="46">
        <f>IFERROR(__xludf.DUMMYFUNCTION("""COMPUTED_VALUE"""),45831)</f>
        <v/>
      </c>
      <c r="Z579" s="46">
        <f>IFERROR(__xludf.DUMMYFUNCTION("""COMPUTED_VALUE"""),45852)</f>
        <v/>
      </c>
      <c r="AA579" s="46">
        <f>IFERROR(__xludf.DUMMYFUNCTION("""COMPUTED_VALUE"""),45852)</f>
        <v/>
      </c>
      <c r="AB579" s="45">
        <f>IFERROR(__xludf.DUMMYFUNCTION("""COMPUTED_VALUE"""),"3500 Argentia Road")</f>
        <v/>
      </c>
      <c r="AC579" s="45" t="n"/>
      <c r="AD579" s="45">
        <f>IFERROR(__xludf.DUMMYFUNCTION("""COMPUTED_VALUE"""),"OCEAN")</f>
        <v/>
      </c>
      <c r="AE579" s="45">
        <f>IFERROR(__xludf.DUMMYFUNCTION("""COMPUTED_VALUE"""),"N")</f>
        <v/>
      </c>
      <c r="AF579" s="45" t="n"/>
      <c r="AG579" s="49">
        <f>IFERROR(__xludf.DUMMYFUNCTION("IFNA(vlookup(H579,IMPORTRANGE(""1vUGwO1n0QQGx9kKbO0_M5gmuhXZ6-LaxQxgrmJnzgP0"",""'TP# look up'!A:C""),3,0),"""")"),"")</f>
        <v/>
      </c>
      <c r="AH579" s="49">
        <f>LEFT(J579,2)</f>
        <v/>
      </c>
    </row>
    <row r="580" ht="12.75" customHeight="1">
      <c r="A580" s="45">
        <f>IFERROR(__xludf.DUMMYFUNCTION("""COMPUTED_VALUE"""),"Colombo")</f>
        <v/>
      </c>
      <c r="B580" s="45" t="n"/>
      <c r="C580" s="45">
        <f>IFERROR(__xludf.DUMMYFUNCTION("""COMPUTED_VALUE"""),3254508)</f>
        <v/>
      </c>
      <c r="D580" s="45" t="n"/>
      <c r="E580" s="45">
        <f>IFERROR(__xludf.DUMMYFUNCTION("""COMPUTED_VALUE"""),"CFS")</f>
        <v/>
      </c>
      <c r="F580" s="45">
        <f>IFERROR(__xludf.DUMMYFUNCTION("""COMPUTED_VALUE"""),"MAS AMITY PTE LTD")</f>
        <v/>
      </c>
      <c r="G580" s="45">
        <f>IFERROR(__xludf.DUMMYFUNCTION("""COMPUTED_VALUE"""),"MAS Fabrics (Pvt) Ltd Intimo")</f>
        <v/>
      </c>
      <c r="H580" s="43">
        <f>IFERROR(__xludf.DUMMYFUNCTION("""COMPUTED_VALUE"""),455588526597)</f>
        <v/>
      </c>
      <c r="I580" s="45">
        <f>IFERROR(__xludf.DUMMYFUNCTION("""COMPUTED_VALUE"""),19911298)</f>
        <v/>
      </c>
      <c r="J580" s="45">
        <f>IFERROR(__xludf.DUMMYFUNCTION("""COMPUTED_VALUE"""),"LW5HC0S")</f>
        <v/>
      </c>
      <c r="K580" s="45">
        <f>IFERROR(__xludf.DUMMYFUNCTION("""COMPUTED_VALUE"""),"LW5HC0S-071101")</f>
        <v/>
      </c>
      <c r="L580" s="45">
        <f>IFERROR(__xludf.DUMMYFUNCTION("""COMPUTED_VALUE"""),11)</f>
        <v/>
      </c>
      <c r="M580" s="45">
        <f>IFERROR(__xludf.DUMMYFUNCTION("""COMPUTED_VALUE"""),520)</f>
        <v/>
      </c>
      <c r="N580" s="45">
        <f>IFERROR(__xludf.DUMMYFUNCTION("""COMPUTED_VALUE"""),167.397)</f>
        <v/>
      </c>
      <c r="O580" s="45">
        <f>IFERROR(__xludf.DUMMYFUNCTION("""COMPUTED_VALUE"""),0.869)</f>
        <v/>
      </c>
      <c r="P580" s="45">
        <f>IFERROR(__xludf.DUMMYFUNCTION("""COMPUTED_VALUE"""),"Colombo, LK")</f>
        <v/>
      </c>
      <c r="Q580" s="45">
        <f>IFERROR(__xludf.DUMMYFUNCTION("""COMPUTED_VALUE"""),"New York, NY, US")</f>
        <v/>
      </c>
      <c r="R580" s="44">
        <f>IFERROR(__xludf.DUMMYFUNCTION("""COMPUTED_VALUE"""),45824)</f>
        <v/>
      </c>
      <c r="S580" s="44">
        <f>IFERROR(__xludf.DUMMYFUNCTION("""COMPUTED_VALUE"""),45883)</f>
        <v/>
      </c>
      <c r="T580" s="45">
        <f>IFERROR(__xludf.DUMMYFUNCTION("""COMPUTED_VALUE"""),"Mississauga, ON, CA")</f>
        <v/>
      </c>
      <c r="U580" s="45" t="n"/>
      <c r="V580" s="45" t="n"/>
      <c r="W580" s="45" t="n"/>
      <c r="X580" s="45" t="n"/>
      <c r="Y580" s="46">
        <f>IFERROR(__xludf.DUMMYFUNCTION("""COMPUTED_VALUE"""),45831)</f>
        <v/>
      </c>
      <c r="Z580" s="46">
        <f>IFERROR(__xludf.DUMMYFUNCTION("""COMPUTED_VALUE"""),45852)</f>
        <v/>
      </c>
      <c r="AA580" s="46">
        <f>IFERROR(__xludf.DUMMYFUNCTION("""COMPUTED_VALUE"""),45852)</f>
        <v/>
      </c>
      <c r="AB580" s="45">
        <f>IFERROR(__xludf.DUMMYFUNCTION("""COMPUTED_VALUE"""),"3500 Argentia Road")</f>
        <v/>
      </c>
      <c r="AC580" s="45" t="n"/>
      <c r="AD580" s="45">
        <f>IFERROR(__xludf.DUMMYFUNCTION("""COMPUTED_VALUE"""),"OCEAN")</f>
        <v/>
      </c>
      <c r="AE580" s="45">
        <f>IFERROR(__xludf.DUMMYFUNCTION("""COMPUTED_VALUE"""),"N")</f>
        <v/>
      </c>
      <c r="AF580" s="45" t="n"/>
      <c r="AG580" s="49">
        <f>IFERROR(__xludf.DUMMYFUNCTION("IFNA(vlookup(H580,IMPORTRANGE(""1vUGwO1n0QQGx9kKbO0_M5gmuhXZ6-LaxQxgrmJnzgP0"",""'TP# look up'!A:C""),3,0),"""")"),"")</f>
        <v/>
      </c>
      <c r="AH580" s="49">
        <f>LEFT(J580,2)</f>
        <v/>
      </c>
    </row>
    <row r="581" ht="12.75" customHeight="1">
      <c r="A581" s="45">
        <f>IFERROR(__xludf.DUMMYFUNCTION("""COMPUTED_VALUE"""),"Colombo")</f>
        <v/>
      </c>
      <c r="B581" s="45" t="n"/>
      <c r="C581" s="45">
        <f>IFERROR(__xludf.DUMMYFUNCTION("""COMPUTED_VALUE"""),3254508)</f>
        <v/>
      </c>
      <c r="D581" s="45" t="n"/>
      <c r="E581" s="45">
        <f>IFERROR(__xludf.DUMMYFUNCTION("""COMPUTED_VALUE"""),"CFS")</f>
        <v/>
      </c>
      <c r="F581" s="45">
        <f>IFERROR(__xludf.DUMMYFUNCTION("""COMPUTED_VALUE"""),"MAS AMITY PTE LTD")</f>
        <v/>
      </c>
      <c r="G581" s="45">
        <f>IFERROR(__xludf.DUMMYFUNCTION("""COMPUTED_VALUE"""),"MAS Fabrics (Pvt) Ltd Intimo")</f>
        <v/>
      </c>
      <c r="H581" s="43">
        <f>IFERROR(__xludf.DUMMYFUNCTION("""COMPUTED_VALUE"""),455588584748)</f>
        <v/>
      </c>
      <c r="I581" s="45">
        <f>IFERROR(__xludf.DUMMYFUNCTION("""COMPUTED_VALUE"""),19900246)</f>
        <v/>
      </c>
      <c r="J581" s="45">
        <f>IFERROR(__xludf.DUMMYFUNCTION("""COMPUTED_VALUE"""),"LW5HC0S")</f>
        <v/>
      </c>
      <c r="K581" s="45">
        <f>IFERROR(__xludf.DUMMYFUNCTION("""COMPUTED_VALUE"""),"LW5HC0S-071101")</f>
        <v/>
      </c>
      <c r="L581" s="45">
        <f>IFERROR(__xludf.DUMMYFUNCTION("""COMPUTED_VALUE"""),2)</f>
        <v/>
      </c>
      <c r="M581" s="45">
        <f>IFERROR(__xludf.DUMMYFUNCTION("""COMPUTED_VALUE"""),46)</f>
        <v/>
      </c>
      <c r="N581" s="45">
        <f>IFERROR(__xludf.DUMMYFUNCTION("""COMPUTED_VALUE"""),15.406)</f>
        <v/>
      </c>
      <c r="O581" s="45">
        <f>IFERROR(__xludf.DUMMYFUNCTION("""COMPUTED_VALUE"""),0.118)</f>
        <v/>
      </c>
      <c r="P581" s="45">
        <f>IFERROR(__xludf.DUMMYFUNCTION("""COMPUTED_VALUE"""),"Colombo, LK")</f>
        <v/>
      </c>
      <c r="Q581" s="45">
        <f>IFERROR(__xludf.DUMMYFUNCTION("""COMPUTED_VALUE"""),"New York, NY, US")</f>
        <v/>
      </c>
      <c r="R581" s="44">
        <f>IFERROR(__xludf.DUMMYFUNCTION("""COMPUTED_VALUE"""),45824)</f>
        <v/>
      </c>
      <c r="S581" s="44">
        <f>IFERROR(__xludf.DUMMYFUNCTION("""COMPUTED_VALUE"""),45883)</f>
        <v/>
      </c>
      <c r="T581" s="45">
        <f>IFERROR(__xludf.DUMMYFUNCTION("""COMPUTED_VALUE"""),"Milton, ON, CA")</f>
        <v/>
      </c>
      <c r="U581" s="45" t="n"/>
      <c r="V581" s="45" t="n"/>
      <c r="W581" s="45" t="n"/>
      <c r="X581" s="45" t="n"/>
      <c r="Y581" s="46">
        <f>IFERROR(__xludf.DUMMYFUNCTION("""COMPUTED_VALUE"""),45831)</f>
        <v/>
      </c>
      <c r="Z581" s="46">
        <f>IFERROR(__xludf.DUMMYFUNCTION("""COMPUTED_VALUE"""),45852)</f>
        <v/>
      </c>
      <c r="AA581" s="46">
        <f>IFERROR(__xludf.DUMMYFUNCTION("""COMPUTED_VALUE"""),45852)</f>
        <v/>
      </c>
      <c r="AB581" s="45">
        <f>IFERROR(__xludf.DUMMYFUNCTION("""COMPUTED_VALUE"""),"7211 Fifth Line")</f>
        <v/>
      </c>
      <c r="AC581" s="45" t="n"/>
      <c r="AD581" s="45">
        <f>IFERROR(__xludf.DUMMYFUNCTION("""COMPUTED_VALUE"""),"OCEAN")</f>
        <v/>
      </c>
      <c r="AE581" s="45">
        <f>IFERROR(__xludf.DUMMYFUNCTION("""COMPUTED_VALUE"""),"N")</f>
        <v/>
      </c>
      <c r="AF581" s="45" t="n"/>
      <c r="AG581" s="49">
        <f>IFERROR(__xludf.DUMMYFUNCTION("IFNA(vlookup(H581,IMPORTRANGE(""1vUGwO1n0QQGx9kKbO0_M5gmuhXZ6-LaxQxgrmJnzgP0"",""'TP# look up'!A:C""),3,0),"""")"),"")</f>
        <v/>
      </c>
      <c r="AH581" s="49">
        <f>LEFT(J581,2)</f>
        <v/>
      </c>
    </row>
    <row r="582" ht="12.75" customHeight="1">
      <c r="A582" s="45">
        <f>IFERROR(__xludf.DUMMYFUNCTION("""COMPUTED_VALUE"""),"Colombo")</f>
        <v/>
      </c>
      <c r="B582" s="45" t="n"/>
      <c r="C582" s="45">
        <f>IFERROR(__xludf.DUMMYFUNCTION("""COMPUTED_VALUE"""),3254508)</f>
        <v/>
      </c>
      <c r="D582" s="45" t="n"/>
      <c r="E582" s="45">
        <f>IFERROR(__xludf.DUMMYFUNCTION("""COMPUTED_VALUE"""),"CFS")</f>
        <v/>
      </c>
      <c r="F582" s="45">
        <f>IFERROR(__xludf.DUMMYFUNCTION("""COMPUTED_VALUE"""),"MAS AMITY PTE LTD")</f>
        <v/>
      </c>
      <c r="G582" s="45">
        <f>IFERROR(__xludf.DUMMYFUNCTION("""COMPUTED_VALUE"""),"MAS Fabrics (Pvt) Ltd Intimo")</f>
        <v/>
      </c>
      <c r="H582" s="43">
        <f>IFERROR(__xludf.DUMMYFUNCTION("""COMPUTED_VALUE"""),455589046661)</f>
        <v/>
      </c>
      <c r="I582" s="45">
        <f>IFERROR(__xludf.DUMMYFUNCTION("""COMPUTED_VALUE"""),19923407)</f>
        <v/>
      </c>
      <c r="J582" s="45">
        <f>IFERROR(__xludf.DUMMYFUNCTION("""COMPUTED_VALUE"""),"LW5HC0S")</f>
        <v/>
      </c>
      <c r="K582" s="45">
        <f>IFERROR(__xludf.DUMMYFUNCTION("""COMPUTED_VALUE"""),"LW5HC0S-071101")</f>
        <v/>
      </c>
      <c r="L582" s="45">
        <f>IFERROR(__xludf.DUMMYFUNCTION("""COMPUTED_VALUE"""),5)</f>
        <v/>
      </c>
      <c r="M582" s="45">
        <f>IFERROR(__xludf.DUMMYFUNCTION("""COMPUTED_VALUE"""),162)</f>
        <v/>
      </c>
      <c r="N582" s="45">
        <f>IFERROR(__xludf.DUMMYFUNCTION("""COMPUTED_VALUE"""),53.596)</f>
        <v/>
      </c>
      <c r="O582" s="45">
        <f>IFERROR(__xludf.DUMMYFUNCTION("""COMPUTED_VALUE"""),0.355)</f>
        <v/>
      </c>
      <c r="P582" s="45">
        <f>IFERROR(__xludf.DUMMYFUNCTION("""COMPUTED_VALUE"""),"Colombo, LK")</f>
        <v/>
      </c>
      <c r="Q582" s="45">
        <f>IFERROR(__xludf.DUMMYFUNCTION("""COMPUTED_VALUE"""),"New York, NY, US")</f>
        <v/>
      </c>
      <c r="R582" s="44">
        <f>IFERROR(__xludf.DUMMYFUNCTION("""COMPUTED_VALUE"""),45824)</f>
        <v/>
      </c>
      <c r="S582" s="44">
        <f>IFERROR(__xludf.DUMMYFUNCTION("""COMPUTED_VALUE"""),45883)</f>
        <v/>
      </c>
      <c r="T582" s="45">
        <f>IFERROR(__xludf.DUMMYFUNCTION("""COMPUTED_VALUE"""),"Mississauga, ON, CA")</f>
        <v/>
      </c>
      <c r="U582" s="45" t="n"/>
      <c r="V582" s="45" t="n"/>
      <c r="W582" s="45" t="n"/>
      <c r="X582" s="45" t="n"/>
      <c r="Y582" s="46">
        <f>IFERROR(__xludf.DUMMYFUNCTION("""COMPUTED_VALUE"""),45831)</f>
        <v/>
      </c>
      <c r="Z582" s="46">
        <f>IFERROR(__xludf.DUMMYFUNCTION("""COMPUTED_VALUE"""),45852)</f>
        <v/>
      </c>
      <c r="AA582" s="46">
        <f>IFERROR(__xludf.DUMMYFUNCTION("""COMPUTED_VALUE"""),45852)</f>
        <v/>
      </c>
      <c r="AB582" s="45">
        <f>IFERROR(__xludf.DUMMYFUNCTION("""COMPUTED_VALUE"""),"3500 Argentia Road")</f>
        <v/>
      </c>
      <c r="AC582" s="45" t="n"/>
      <c r="AD582" s="45">
        <f>IFERROR(__xludf.DUMMYFUNCTION("""COMPUTED_VALUE"""),"OCEAN")</f>
        <v/>
      </c>
      <c r="AE582" s="45">
        <f>IFERROR(__xludf.DUMMYFUNCTION("""COMPUTED_VALUE"""),"N")</f>
        <v/>
      </c>
      <c r="AF582" s="45" t="n"/>
      <c r="AG582" s="49">
        <f>IFERROR(__xludf.DUMMYFUNCTION("IFNA(vlookup(H582,IMPORTRANGE(""1vUGwO1n0QQGx9kKbO0_M5gmuhXZ6-LaxQxgrmJnzgP0"",""'TP# look up'!A:C""),3,0),"""")"),"")</f>
        <v/>
      </c>
      <c r="AH582" s="49">
        <f>LEFT(J582,2)</f>
        <v/>
      </c>
    </row>
    <row r="583" ht="12.75" customHeight="1">
      <c r="A583" s="45">
        <f>IFERROR(__xludf.DUMMYFUNCTION("""COMPUTED_VALUE"""),"Colombo")</f>
        <v/>
      </c>
      <c r="B583" s="45" t="n"/>
      <c r="C583" s="45">
        <f>IFERROR(__xludf.DUMMYFUNCTION("""COMPUTED_VALUE"""),3254508)</f>
        <v/>
      </c>
      <c r="D583" s="45" t="n"/>
      <c r="E583" s="45">
        <f>IFERROR(__xludf.DUMMYFUNCTION("""COMPUTED_VALUE"""),"CFS")</f>
        <v/>
      </c>
      <c r="F583" s="45">
        <f>IFERROR(__xludf.DUMMYFUNCTION("""COMPUTED_VALUE"""),"Inqube Global (PVT) Ltd")</f>
        <v/>
      </c>
      <c r="G583" s="45">
        <f>IFERROR(__xludf.DUMMYFUNCTION("""COMPUTED_VALUE"""),"Quantum Clothing Lanka (Pvt) Ltd")</f>
        <v/>
      </c>
      <c r="H583" s="43">
        <f>IFERROR(__xludf.DUMMYFUNCTION("""COMPUTED_VALUE"""),452347858422)</f>
        <v/>
      </c>
      <c r="I583" s="45">
        <f>IFERROR(__xludf.DUMMYFUNCTION("""COMPUTED_VALUE"""),19877095)</f>
        <v/>
      </c>
      <c r="J583" s="45">
        <f>IFERROR(__xludf.DUMMYFUNCTION("""COMPUTED_VALUE"""),"LW9FUES")</f>
        <v/>
      </c>
      <c r="K583" s="45">
        <f>IFERROR(__xludf.DUMMYFUNCTION("""COMPUTED_VALUE"""),"LW9FUES-071150")</f>
        <v/>
      </c>
      <c r="L583" s="45">
        <f>IFERROR(__xludf.DUMMYFUNCTION("""COMPUTED_VALUE"""),1)</f>
        <v/>
      </c>
      <c r="M583" s="45">
        <f>IFERROR(__xludf.DUMMYFUNCTION("""COMPUTED_VALUE"""),69)</f>
        <v/>
      </c>
      <c r="N583" s="45">
        <f>IFERROR(__xludf.DUMMYFUNCTION("""COMPUTED_VALUE"""),5.868)</f>
        <v/>
      </c>
      <c r="O583" s="45">
        <f>IFERROR(__xludf.DUMMYFUNCTION("""COMPUTED_VALUE"""),0.04)</f>
        <v/>
      </c>
      <c r="P583" s="45">
        <f>IFERROR(__xludf.DUMMYFUNCTION("""COMPUTED_VALUE"""),"Colombo, LK")</f>
        <v/>
      </c>
      <c r="Q583" s="45">
        <f>IFERROR(__xludf.DUMMYFUNCTION("""COMPUTED_VALUE"""),"New York, NY, US")</f>
        <v/>
      </c>
      <c r="R583" s="44">
        <f>IFERROR(__xludf.DUMMYFUNCTION("""COMPUTED_VALUE"""),45824)</f>
        <v/>
      </c>
      <c r="S583" s="44">
        <f>IFERROR(__xludf.DUMMYFUNCTION("""COMPUTED_VALUE"""),45883)</f>
        <v/>
      </c>
      <c r="T583" s="45">
        <f>IFERROR(__xludf.DUMMYFUNCTION("""COMPUTED_VALUE"""),"Mississauga, ON, CA")</f>
        <v/>
      </c>
      <c r="U583" s="45" t="n"/>
      <c r="V583" s="45" t="n"/>
      <c r="W583" s="45" t="n"/>
      <c r="X583" s="45" t="n"/>
      <c r="Y583" s="46">
        <f>IFERROR(__xludf.DUMMYFUNCTION("""COMPUTED_VALUE"""),45832)</f>
        <v/>
      </c>
      <c r="Z583" s="46">
        <f>IFERROR(__xludf.DUMMYFUNCTION("""COMPUTED_VALUE"""),45861)</f>
        <v/>
      </c>
      <c r="AA583" s="46">
        <f>IFERROR(__xludf.DUMMYFUNCTION("""COMPUTED_VALUE"""),45874)</f>
        <v/>
      </c>
      <c r="AB583" s="45">
        <f>IFERROR(__xludf.DUMMYFUNCTION("""COMPUTED_VALUE"""),"3500 Argentia Road")</f>
        <v/>
      </c>
      <c r="AC583" s="45" t="n"/>
      <c r="AD583" s="45">
        <f>IFERROR(__xludf.DUMMYFUNCTION("""COMPUTED_VALUE"""),"OCEAN")</f>
        <v/>
      </c>
      <c r="AE583" s="45">
        <f>IFERROR(__xludf.DUMMYFUNCTION("""COMPUTED_VALUE"""),"N")</f>
        <v/>
      </c>
      <c r="AF583" s="45" t="n"/>
      <c r="AG583" s="49">
        <f>IFERROR(__xludf.DUMMYFUNCTION("IFNA(vlookup(H583,IMPORTRANGE(""1vUGwO1n0QQGx9kKbO0_M5gmuhXZ6-LaxQxgrmJnzgP0"",""'TP# look up'!A:C""),3,0),"""")"),"")</f>
        <v/>
      </c>
      <c r="AH583" s="49">
        <f>LEFT(J583,2)</f>
        <v/>
      </c>
    </row>
    <row r="584" ht="12.75" customHeight="1">
      <c r="A584" s="45">
        <f>IFERROR(__xludf.DUMMYFUNCTION("""COMPUTED_VALUE"""),"Colombo")</f>
        <v/>
      </c>
      <c r="B584" s="45" t="n"/>
      <c r="C584" s="45">
        <f>IFERROR(__xludf.DUMMYFUNCTION("""COMPUTED_VALUE"""),3259830)</f>
        <v/>
      </c>
      <c r="D584" s="45" t="n"/>
      <c r="E584" s="45">
        <f>IFERROR(__xludf.DUMMYFUNCTION("""COMPUTED_VALUE"""),"CFS")</f>
        <v/>
      </c>
      <c r="F584" s="45">
        <f>IFERROR(__xludf.DUMMYFUNCTION("""COMPUTED_VALUE"""),"MAS AMITY PTE LTD")</f>
        <v/>
      </c>
      <c r="G584" s="45">
        <f>IFERROR(__xludf.DUMMYFUNCTION("""COMPUTED_VALUE"""),"MAS Active (Pvt) Ltd - Linea Intimo")</f>
        <v/>
      </c>
      <c r="H584" s="43">
        <f>IFERROR(__xludf.DUMMYFUNCTION("""COMPUTED_VALUE"""),456886028901)</f>
        <v/>
      </c>
      <c r="I584" s="45">
        <f>IFERROR(__xludf.DUMMYFUNCTION("""COMPUTED_VALUE"""),19822090)</f>
        <v/>
      </c>
      <c r="J584" s="45">
        <f>IFERROR(__xludf.DUMMYFUNCTION("""COMPUTED_VALUE"""),"LW3JE9S")</f>
        <v/>
      </c>
      <c r="K584" s="45">
        <f>IFERROR(__xludf.DUMMYFUNCTION("""COMPUTED_VALUE"""),"LW3JE9S-071170")</f>
        <v/>
      </c>
      <c r="L584" s="45">
        <f>IFERROR(__xludf.DUMMYFUNCTION("""COMPUTED_VALUE"""),4)</f>
        <v/>
      </c>
      <c r="M584" s="45">
        <f>IFERROR(__xludf.DUMMYFUNCTION("""COMPUTED_VALUE"""),130)</f>
        <v/>
      </c>
      <c r="N584" s="45">
        <f>IFERROR(__xludf.DUMMYFUNCTION("""COMPUTED_VALUE"""),25.239)</f>
        <v/>
      </c>
      <c r="O584" s="45">
        <f>IFERROR(__xludf.DUMMYFUNCTION("""COMPUTED_VALUE"""),0.197)</f>
        <v/>
      </c>
      <c r="P584" s="45">
        <f>IFERROR(__xludf.DUMMYFUNCTION("""COMPUTED_VALUE"""),"Colombo, LK")</f>
        <v/>
      </c>
      <c r="Q584" s="45">
        <f>IFERROR(__xludf.DUMMYFUNCTION("""COMPUTED_VALUE"""),"Rotterdam, NL")</f>
        <v/>
      </c>
      <c r="R584" s="44">
        <f>IFERROR(__xludf.DUMMYFUNCTION("""COMPUTED_VALUE"""),45831)</f>
        <v/>
      </c>
      <c r="S584" s="44">
        <f>IFERROR(__xludf.DUMMYFUNCTION("""COMPUTED_VALUE"""),45885)</f>
        <v/>
      </c>
      <c r="T584" s="45">
        <f>IFERROR(__xludf.DUMMYFUNCTION("""COMPUTED_VALUE"""),"Rotterdam, NL")</f>
        <v/>
      </c>
      <c r="U584" s="45" t="n"/>
      <c r="V584" s="45" t="n"/>
      <c r="W584" s="45" t="n"/>
      <c r="X584" s="45" t="n"/>
      <c r="Y584" s="46">
        <f>IFERROR(__xludf.DUMMYFUNCTION("""COMPUTED_VALUE"""),45838)</f>
        <v/>
      </c>
      <c r="Z584" s="46">
        <f>IFERROR(__xludf.DUMMYFUNCTION("""COMPUTED_VALUE"""),45859)</f>
        <v/>
      </c>
      <c r="AA584" s="46">
        <f>IFERROR(__xludf.DUMMYFUNCTION("""COMPUTED_VALUE"""),45859)</f>
        <v/>
      </c>
      <c r="AB584" s="45">
        <f>IFERROR(__xludf.DUMMYFUNCTION("""COMPUTED_VALUE"""),"Conradweg 26")</f>
        <v/>
      </c>
      <c r="AC584" s="45" t="n"/>
      <c r="AD584" s="45">
        <f>IFERROR(__xludf.DUMMYFUNCTION("""COMPUTED_VALUE"""),"OCEAN")</f>
        <v/>
      </c>
      <c r="AE584" s="45">
        <f>IFERROR(__xludf.DUMMYFUNCTION("""COMPUTED_VALUE"""),"N")</f>
        <v/>
      </c>
      <c r="AF584" s="45" t="n"/>
      <c r="AG584" s="49">
        <f>IFERROR(__xludf.DUMMYFUNCTION("IFNA(vlookup(H584,IMPORTRANGE(""1vUGwO1n0QQGx9kKbO0_M5gmuhXZ6-LaxQxgrmJnzgP0"",""'TP# look up'!A:C""),3,0),"""")"),"")</f>
        <v/>
      </c>
      <c r="AH584" s="49">
        <f>LEFT(J584,2)</f>
        <v/>
      </c>
    </row>
    <row r="585" ht="12.75" customHeight="1">
      <c r="A585" s="45">
        <f>IFERROR(__xludf.DUMMYFUNCTION("""COMPUTED_VALUE"""),"Colombo")</f>
        <v/>
      </c>
      <c r="B585" s="45" t="n"/>
      <c r="C585" s="45">
        <f>IFERROR(__xludf.DUMMYFUNCTION("""COMPUTED_VALUE"""),3259830)</f>
        <v/>
      </c>
      <c r="D585" s="45" t="n"/>
      <c r="E585" s="45">
        <f>IFERROR(__xludf.DUMMYFUNCTION("""COMPUTED_VALUE"""),"CFS")</f>
        <v/>
      </c>
      <c r="F585" s="45">
        <f>IFERROR(__xludf.DUMMYFUNCTION("""COMPUTED_VALUE"""),"MAS AMITY PTE LTD")</f>
        <v/>
      </c>
      <c r="G585" s="45">
        <f>IFERROR(__xludf.DUMMYFUNCTION("""COMPUTED_VALUE"""),"MAS Active (Pvt) Ltd - Linea Intimo")</f>
        <v/>
      </c>
      <c r="H585" s="43">
        <f>IFERROR(__xludf.DUMMYFUNCTION("""COMPUTED_VALUE"""),456912516171)</f>
        <v/>
      </c>
      <c r="I585" s="45">
        <f>IFERROR(__xludf.DUMMYFUNCTION("""COMPUTED_VALUE"""),91018359)</f>
        <v/>
      </c>
      <c r="J585" s="45">
        <f>IFERROR(__xludf.DUMMYFUNCTION("""COMPUTED_VALUE"""),"LW1CHSS")</f>
        <v/>
      </c>
      <c r="K585" s="45">
        <f>IFERROR(__xludf.DUMMYFUNCTION("""COMPUTED_VALUE"""),"LW1CHSS-012826")</f>
        <v/>
      </c>
      <c r="L585" s="45">
        <f>IFERROR(__xludf.DUMMYFUNCTION("""COMPUTED_VALUE"""),2)</f>
        <v/>
      </c>
      <c r="M585" s="45">
        <f>IFERROR(__xludf.DUMMYFUNCTION("""COMPUTED_VALUE"""),132)</f>
        <v/>
      </c>
      <c r="N585" s="45">
        <f>IFERROR(__xludf.DUMMYFUNCTION("""COMPUTED_VALUE"""),13.568)</f>
        <v/>
      </c>
      <c r="O585" s="45">
        <f>IFERROR(__xludf.DUMMYFUNCTION("""COMPUTED_VALUE"""),0.118)</f>
        <v/>
      </c>
      <c r="P585" s="45">
        <f>IFERROR(__xludf.DUMMYFUNCTION("""COMPUTED_VALUE"""),"Colombo, LK")</f>
        <v/>
      </c>
      <c r="Q585" s="45">
        <f>IFERROR(__xludf.DUMMYFUNCTION("""COMPUTED_VALUE"""),"Rotterdam, NL")</f>
        <v/>
      </c>
      <c r="R585" s="44">
        <f>IFERROR(__xludf.DUMMYFUNCTION("""COMPUTED_VALUE"""),45831)</f>
        <v/>
      </c>
      <c r="S585" s="44">
        <f>IFERROR(__xludf.DUMMYFUNCTION("""COMPUTED_VALUE"""),45885)</f>
        <v/>
      </c>
      <c r="T585" s="45">
        <f>IFERROR(__xludf.DUMMYFUNCTION("""COMPUTED_VALUE"""),"Rotterdam, NL")</f>
        <v/>
      </c>
      <c r="U585" s="45" t="n"/>
      <c r="V585" s="45" t="n"/>
      <c r="W585" s="45" t="n"/>
      <c r="X585" s="45" t="n"/>
      <c r="Y585" s="46">
        <f>IFERROR(__xludf.DUMMYFUNCTION("""COMPUTED_VALUE"""),45838)</f>
        <v/>
      </c>
      <c r="Z585" s="46">
        <f>IFERROR(__xludf.DUMMYFUNCTION("""COMPUTED_VALUE"""),45859)</f>
        <v/>
      </c>
      <c r="AA585" s="46">
        <f>IFERROR(__xludf.DUMMYFUNCTION("""COMPUTED_VALUE"""),45859)</f>
        <v/>
      </c>
      <c r="AB585" s="45">
        <f>IFERROR(__xludf.DUMMYFUNCTION("""COMPUTED_VALUE"""),"Conradweg 26")</f>
        <v/>
      </c>
      <c r="AC585" s="45" t="n"/>
      <c r="AD585" s="45">
        <f>IFERROR(__xludf.DUMMYFUNCTION("""COMPUTED_VALUE"""),"OCEAN")</f>
        <v/>
      </c>
      <c r="AE585" s="45">
        <f>IFERROR(__xludf.DUMMYFUNCTION("""COMPUTED_VALUE"""),"N")</f>
        <v/>
      </c>
      <c r="AF585" s="45" t="n"/>
      <c r="AG585" s="49">
        <f>IFERROR(__xludf.DUMMYFUNCTION("IFNA(vlookup(H585,IMPORTRANGE(""1vUGwO1n0QQGx9kKbO0_M5gmuhXZ6-LaxQxgrmJnzgP0"",""'TP# look up'!A:C""),3,0),"""")"),"")</f>
        <v/>
      </c>
      <c r="AH585" s="49">
        <f>LEFT(J585,2)</f>
        <v/>
      </c>
    </row>
    <row r="586" ht="12.75" customHeight="1">
      <c r="A586" s="45">
        <f>IFERROR(__xludf.DUMMYFUNCTION("""COMPUTED_VALUE"""),"Colombo")</f>
        <v/>
      </c>
      <c r="B586" s="45" t="n"/>
      <c r="C586" s="45">
        <f>IFERROR(__xludf.DUMMYFUNCTION("""COMPUTED_VALUE"""),3259830)</f>
        <v/>
      </c>
      <c r="D586" s="45" t="n"/>
      <c r="E586" s="45">
        <f>IFERROR(__xludf.DUMMYFUNCTION("""COMPUTED_VALUE"""),"CFS")</f>
        <v/>
      </c>
      <c r="F586" s="45">
        <f>IFERROR(__xludf.DUMMYFUNCTION("""COMPUTED_VALUE"""),"MAS AMITY PTE LTD")</f>
        <v/>
      </c>
      <c r="G586" s="45">
        <f>IFERROR(__xludf.DUMMYFUNCTION("""COMPUTED_VALUE"""),"MAS Fabrics (Pvt) Ltd Intimo")</f>
        <v/>
      </c>
      <c r="H586" s="43">
        <f>IFERROR(__xludf.DUMMYFUNCTION("""COMPUTED_VALUE"""),456883432301)</f>
        <v/>
      </c>
      <c r="I586" s="45">
        <f>IFERROR(__xludf.DUMMYFUNCTION("""COMPUTED_VALUE"""),19820870)</f>
        <v/>
      </c>
      <c r="J586" s="45">
        <f>IFERROR(__xludf.DUMMYFUNCTION("""COMPUTED_VALUE"""),"LW3JE8S")</f>
        <v/>
      </c>
      <c r="K586" s="45">
        <f>IFERROR(__xludf.DUMMYFUNCTION("""COMPUTED_VALUE"""),"LW3JE8S-071170")</f>
        <v/>
      </c>
      <c r="L586" s="45">
        <f>IFERROR(__xludf.DUMMYFUNCTION("""COMPUTED_VALUE"""),3)</f>
        <v/>
      </c>
      <c r="M586" s="45">
        <f>IFERROR(__xludf.DUMMYFUNCTION("""COMPUTED_VALUE"""),96)</f>
        <v/>
      </c>
      <c r="N586" s="45">
        <f>IFERROR(__xludf.DUMMYFUNCTION("""COMPUTED_VALUE"""),18.659)</f>
        <v/>
      </c>
      <c r="O586" s="45">
        <f>IFERROR(__xludf.DUMMYFUNCTION("""COMPUTED_VALUE"""),0.158)</f>
        <v/>
      </c>
      <c r="P586" s="45">
        <f>IFERROR(__xludf.DUMMYFUNCTION("""COMPUTED_VALUE"""),"Colombo, LK")</f>
        <v/>
      </c>
      <c r="Q586" s="45">
        <f>IFERROR(__xludf.DUMMYFUNCTION("""COMPUTED_VALUE"""),"Rotterdam, NL")</f>
        <v/>
      </c>
      <c r="R586" s="44">
        <f>IFERROR(__xludf.DUMMYFUNCTION("""COMPUTED_VALUE"""),45831)</f>
        <v/>
      </c>
      <c r="S586" s="44">
        <f>IFERROR(__xludf.DUMMYFUNCTION("""COMPUTED_VALUE"""),45885)</f>
        <v/>
      </c>
      <c r="T586" s="45">
        <f>IFERROR(__xludf.DUMMYFUNCTION("""COMPUTED_VALUE"""),"Rotterdam, NL")</f>
        <v/>
      </c>
      <c r="U586" s="45" t="n"/>
      <c r="V586" s="45" t="n"/>
      <c r="W586" s="45" t="n"/>
      <c r="X586" s="45" t="n"/>
      <c r="Y586" s="46">
        <f>IFERROR(__xludf.DUMMYFUNCTION("""COMPUTED_VALUE"""),45838)</f>
        <v/>
      </c>
      <c r="Z586" s="46">
        <f>IFERROR(__xludf.DUMMYFUNCTION("""COMPUTED_VALUE"""),45859)</f>
        <v/>
      </c>
      <c r="AA586" s="46">
        <f>IFERROR(__xludf.DUMMYFUNCTION("""COMPUTED_VALUE"""),45859)</f>
        <v/>
      </c>
      <c r="AB586" s="45">
        <f>IFERROR(__xludf.DUMMYFUNCTION("""COMPUTED_VALUE"""),"Conradweg 26")</f>
        <v/>
      </c>
      <c r="AC586" s="45" t="n"/>
      <c r="AD586" s="45">
        <f>IFERROR(__xludf.DUMMYFUNCTION("""COMPUTED_VALUE"""),"OCEAN")</f>
        <v/>
      </c>
      <c r="AE586" s="45">
        <f>IFERROR(__xludf.DUMMYFUNCTION("""COMPUTED_VALUE"""),"N")</f>
        <v/>
      </c>
      <c r="AF586" s="45" t="n"/>
      <c r="AG586" s="49">
        <f>IFERROR(__xludf.DUMMYFUNCTION("IFNA(vlookup(H586,IMPORTRANGE(""1vUGwO1n0QQGx9kKbO0_M5gmuhXZ6-LaxQxgrmJnzgP0"",""'TP# look up'!A:C""),3,0),"""")"),"")</f>
        <v/>
      </c>
      <c r="AH586" s="49">
        <f>LEFT(J586,2)</f>
        <v/>
      </c>
    </row>
    <row r="587" ht="12.75" customHeight="1">
      <c r="A587" s="45">
        <f>IFERROR(__xludf.DUMMYFUNCTION("""COMPUTED_VALUE"""),"Colombo")</f>
        <v/>
      </c>
      <c r="B587" s="45" t="n"/>
      <c r="C587" s="45">
        <f>IFERROR(__xludf.DUMMYFUNCTION("""COMPUTED_VALUE"""),3259830)</f>
        <v/>
      </c>
      <c r="D587" s="45" t="n"/>
      <c r="E587" s="45">
        <f>IFERROR(__xludf.DUMMYFUNCTION("""COMPUTED_VALUE"""),"CFS")</f>
        <v/>
      </c>
      <c r="F587" s="45">
        <f>IFERROR(__xludf.DUMMYFUNCTION("""COMPUTED_VALUE"""),"MAS AMITY PTE LTD")</f>
        <v/>
      </c>
      <c r="G587" s="45">
        <f>IFERROR(__xludf.DUMMYFUNCTION("""COMPUTED_VALUE"""),"MAS Active (Pvt) Ltd – Shadowline")</f>
        <v/>
      </c>
      <c r="H587" s="43">
        <f>IFERROR(__xludf.DUMMYFUNCTION("""COMPUTED_VALUE"""),457022291241)</f>
        <v/>
      </c>
      <c r="I587" s="45">
        <f>IFERROR(__xludf.DUMMYFUNCTION("""COMPUTED_VALUE"""),19814190)</f>
        <v/>
      </c>
      <c r="J587" s="45">
        <f>IFERROR(__xludf.DUMMYFUNCTION("""COMPUTED_VALUE"""),"LW1DUDS")</f>
        <v/>
      </c>
      <c r="K587" s="45">
        <f>IFERROR(__xludf.DUMMYFUNCTION("""COMPUTED_VALUE"""),"LW1DUDS-0002")</f>
        <v/>
      </c>
      <c r="L587" s="45">
        <f>IFERROR(__xludf.DUMMYFUNCTION("""COMPUTED_VALUE"""),11)</f>
        <v/>
      </c>
      <c r="M587" s="45">
        <f>IFERROR(__xludf.DUMMYFUNCTION("""COMPUTED_VALUE"""),671)</f>
        <v/>
      </c>
      <c r="N587" s="45">
        <f>IFERROR(__xludf.DUMMYFUNCTION("""COMPUTED_VALUE"""),101.336)</f>
        <v/>
      </c>
      <c r="O587" s="45">
        <f>IFERROR(__xludf.DUMMYFUNCTION("""COMPUTED_VALUE"""),0.79)</f>
        <v/>
      </c>
      <c r="P587" s="45">
        <f>IFERROR(__xludf.DUMMYFUNCTION("""COMPUTED_VALUE"""),"Colombo, LK")</f>
        <v/>
      </c>
      <c r="Q587" s="45">
        <f>IFERROR(__xludf.DUMMYFUNCTION("""COMPUTED_VALUE"""),"Rotterdam, NL")</f>
        <v/>
      </c>
      <c r="R587" s="44">
        <f>IFERROR(__xludf.DUMMYFUNCTION("""COMPUTED_VALUE"""),45831)</f>
        <v/>
      </c>
      <c r="S587" s="44">
        <f>IFERROR(__xludf.DUMMYFUNCTION("""COMPUTED_VALUE"""),45885)</f>
        <v/>
      </c>
      <c r="T587" s="45">
        <f>IFERROR(__xludf.DUMMYFUNCTION("""COMPUTED_VALUE"""),"Rotterdam, NL")</f>
        <v/>
      </c>
      <c r="U587" s="45" t="n"/>
      <c r="V587" s="45" t="n"/>
      <c r="W587" s="45" t="n"/>
      <c r="X587" s="45" t="n"/>
      <c r="Y587" s="46">
        <f>IFERROR(__xludf.DUMMYFUNCTION("""COMPUTED_VALUE"""),45838)</f>
        <v/>
      </c>
      <c r="Z587" s="46">
        <f>IFERROR(__xludf.DUMMYFUNCTION("""COMPUTED_VALUE"""),45859)</f>
        <v/>
      </c>
      <c r="AA587" s="46">
        <f>IFERROR(__xludf.DUMMYFUNCTION("""COMPUTED_VALUE"""),45859)</f>
        <v/>
      </c>
      <c r="AB587" s="45">
        <f>IFERROR(__xludf.DUMMYFUNCTION("""COMPUTED_VALUE"""),"Conradweg 26")</f>
        <v/>
      </c>
      <c r="AC587" s="45" t="n"/>
      <c r="AD587" s="45">
        <f>IFERROR(__xludf.DUMMYFUNCTION("""COMPUTED_VALUE"""),"OCEAN")</f>
        <v/>
      </c>
      <c r="AE587" s="45">
        <f>IFERROR(__xludf.DUMMYFUNCTION("""COMPUTED_VALUE"""),"N")</f>
        <v/>
      </c>
      <c r="AF587" s="45" t="n"/>
      <c r="AG587" s="49">
        <f>IFERROR(__xludf.DUMMYFUNCTION("IFNA(vlookup(H587,IMPORTRANGE(""1vUGwO1n0QQGx9kKbO0_M5gmuhXZ6-LaxQxgrmJnzgP0"",""'TP# look up'!A:C""),3,0),"""")"),"")</f>
        <v/>
      </c>
      <c r="AH587" s="49">
        <f>LEFT(J587,2)</f>
        <v/>
      </c>
    </row>
    <row r="588" ht="12.75" customHeight="1">
      <c r="A588" s="45">
        <f>IFERROR(__xludf.DUMMYFUNCTION("""COMPUTED_VALUE"""),"Colombo")</f>
        <v/>
      </c>
      <c r="B588" s="45" t="n"/>
      <c r="C588" s="45">
        <f>IFERROR(__xludf.DUMMYFUNCTION("""COMPUTED_VALUE"""),3259830)</f>
        <v/>
      </c>
      <c r="D588" s="45" t="n"/>
      <c r="E588" s="45">
        <f>IFERROR(__xludf.DUMMYFUNCTION("""COMPUTED_VALUE"""),"CFS")</f>
        <v/>
      </c>
      <c r="F588" s="45">
        <f>IFERROR(__xludf.DUMMYFUNCTION("""COMPUTED_VALUE"""),"MAS AMITY PTE LTD")</f>
        <v/>
      </c>
      <c r="G588" s="45">
        <f>IFERROR(__xludf.DUMMYFUNCTION("""COMPUTED_VALUE"""),"MAS Active (Pvt) Ltd – Shadowline")</f>
        <v/>
      </c>
      <c r="H588" s="43">
        <f>IFERROR(__xludf.DUMMYFUNCTION("""COMPUTED_VALUE"""),457028102880)</f>
        <v/>
      </c>
      <c r="I588" s="45">
        <f>IFERROR(__xludf.DUMMYFUNCTION("""COMPUTED_VALUE"""),19814199)</f>
        <v/>
      </c>
      <c r="J588" s="45">
        <f>IFERROR(__xludf.DUMMYFUNCTION("""COMPUTED_VALUE"""),"LW1DUDS")</f>
        <v/>
      </c>
      <c r="K588" s="45">
        <f>IFERROR(__xludf.DUMMYFUNCTION("""COMPUTED_VALUE"""),"LW1DUDS-020392")</f>
        <v/>
      </c>
      <c r="L588" s="45">
        <f>IFERROR(__xludf.DUMMYFUNCTION("""COMPUTED_VALUE"""),8)</f>
        <v/>
      </c>
      <c r="M588" s="45">
        <f>IFERROR(__xludf.DUMMYFUNCTION("""COMPUTED_VALUE"""),356)</f>
        <v/>
      </c>
      <c r="N588" s="45">
        <f>IFERROR(__xludf.DUMMYFUNCTION("""COMPUTED_VALUE"""),56.446)</f>
        <v/>
      </c>
      <c r="O588" s="45">
        <f>IFERROR(__xludf.DUMMYFUNCTION("""COMPUTED_VALUE"""),0.474)</f>
        <v/>
      </c>
      <c r="P588" s="45">
        <f>IFERROR(__xludf.DUMMYFUNCTION("""COMPUTED_VALUE"""),"Colombo, LK")</f>
        <v/>
      </c>
      <c r="Q588" s="45">
        <f>IFERROR(__xludf.DUMMYFUNCTION("""COMPUTED_VALUE"""),"Rotterdam, NL")</f>
        <v/>
      </c>
      <c r="R588" s="44">
        <f>IFERROR(__xludf.DUMMYFUNCTION("""COMPUTED_VALUE"""),45831)</f>
        <v/>
      </c>
      <c r="S588" s="44">
        <f>IFERROR(__xludf.DUMMYFUNCTION("""COMPUTED_VALUE"""),45885)</f>
        <v/>
      </c>
      <c r="T588" s="45">
        <f>IFERROR(__xludf.DUMMYFUNCTION("""COMPUTED_VALUE"""),"Rotterdam, NL")</f>
        <v/>
      </c>
      <c r="U588" s="45" t="n"/>
      <c r="V588" s="45" t="n"/>
      <c r="W588" s="45" t="n"/>
      <c r="X588" s="45" t="n"/>
      <c r="Y588" s="46">
        <f>IFERROR(__xludf.DUMMYFUNCTION("""COMPUTED_VALUE"""),45838)</f>
        <v/>
      </c>
      <c r="Z588" s="46">
        <f>IFERROR(__xludf.DUMMYFUNCTION("""COMPUTED_VALUE"""),45859)</f>
        <v/>
      </c>
      <c r="AA588" s="46">
        <f>IFERROR(__xludf.DUMMYFUNCTION("""COMPUTED_VALUE"""),45859)</f>
        <v/>
      </c>
      <c r="AB588" s="45">
        <f>IFERROR(__xludf.DUMMYFUNCTION("""COMPUTED_VALUE"""),"Conradweg 26")</f>
        <v/>
      </c>
      <c r="AC588" s="45" t="n"/>
      <c r="AD588" s="45">
        <f>IFERROR(__xludf.DUMMYFUNCTION("""COMPUTED_VALUE"""),"OCEAN")</f>
        <v/>
      </c>
      <c r="AE588" s="45">
        <f>IFERROR(__xludf.DUMMYFUNCTION("""COMPUTED_VALUE"""),"N")</f>
        <v/>
      </c>
      <c r="AF588" s="45" t="n"/>
      <c r="AG588" s="49">
        <f>IFERROR(__xludf.DUMMYFUNCTION("IFNA(vlookup(H588,IMPORTRANGE(""1vUGwO1n0QQGx9kKbO0_M5gmuhXZ6-LaxQxgrmJnzgP0"",""'TP# look up'!A:C""),3,0),"""")"),"")</f>
        <v/>
      </c>
      <c r="AH588" s="49">
        <f>LEFT(J588,2)</f>
        <v/>
      </c>
    </row>
    <row r="589" ht="12.75" customHeight="1">
      <c r="A589" s="45">
        <f>IFERROR(__xludf.DUMMYFUNCTION("""COMPUTED_VALUE"""),"Colombo")</f>
        <v/>
      </c>
      <c r="B589" s="45" t="n"/>
      <c r="C589" s="45">
        <f>IFERROR(__xludf.DUMMYFUNCTION("""COMPUTED_VALUE"""),3259830)</f>
        <v/>
      </c>
      <c r="D589" s="45" t="n"/>
      <c r="E589" s="45">
        <f>IFERROR(__xludf.DUMMYFUNCTION("""COMPUTED_VALUE"""),"CFS")</f>
        <v/>
      </c>
      <c r="F589" s="45">
        <f>IFERROR(__xludf.DUMMYFUNCTION("""COMPUTED_VALUE"""),"MAS AMITY PTE LTD")</f>
        <v/>
      </c>
      <c r="G589" s="45">
        <f>IFERROR(__xludf.DUMMYFUNCTION("""COMPUTED_VALUE"""),"MAS Active (Pvt) Ltd – Shadowline")</f>
        <v/>
      </c>
      <c r="H589" s="43">
        <f>IFERROR(__xludf.DUMMYFUNCTION("""COMPUTED_VALUE"""),457032093687)</f>
        <v/>
      </c>
      <c r="I589" s="45">
        <f>IFERROR(__xludf.DUMMYFUNCTION("""COMPUTED_VALUE"""),19919852)</f>
        <v/>
      </c>
      <c r="J589" s="45">
        <f>IFERROR(__xludf.DUMMYFUNCTION("""COMPUTED_VALUE"""),"LW5FLOS")</f>
        <v/>
      </c>
      <c r="K589" s="45">
        <f>IFERROR(__xludf.DUMMYFUNCTION("""COMPUTED_VALUE"""),"LW5FLOS-0001")</f>
        <v/>
      </c>
      <c r="L589" s="45">
        <f>IFERROR(__xludf.DUMMYFUNCTION("""COMPUTED_VALUE"""),12)</f>
        <v/>
      </c>
      <c r="M589" s="45">
        <f>IFERROR(__xludf.DUMMYFUNCTION("""COMPUTED_VALUE"""),648)</f>
        <v/>
      </c>
      <c r="N589" s="45">
        <f>IFERROR(__xludf.DUMMYFUNCTION("""COMPUTED_VALUE"""),137.009)</f>
        <v/>
      </c>
      <c r="O589" s="45">
        <f>IFERROR(__xludf.DUMMYFUNCTION("""COMPUTED_VALUE"""),0.869)</f>
        <v/>
      </c>
      <c r="P589" s="45">
        <f>IFERROR(__xludf.DUMMYFUNCTION("""COMPUTED_VALUE"""),"Colombo, LK")</f>
        <v/>
      </c>
      <c r="Q589" s="45">
        <f>IFERROR(__xludf.DUMMYFUNCTION("""COMPUTED_VALUE"""),"Rotterdam, NL")</f>
        <v/>
      </c>
      <c r="R589" s="44">
        <f>IFERROR(__xludf.DUMMYFUNCTION("""COMPUTED_VALUE"""),45831)</f>
        <v/>
      </c>
      <c r="S589" s="44">
        <f>IFERROR(__xludf.DUMMYFUNCTION("""COMPUTED_VALUE"""),45885)</f>
        <v/>
      </c>
      <c r="T589" s="45">
        <f>IFERROR(__xludf.DUMMYFUNCTION("""COMPUTED_VALUE"""),"Rotterdam, NL")</f>
        <v/>
      </c>
      <c r="U589" s="45" t="n"/>
      <c r="V589" s="45" t="n"/>
      <c r="W589" s="45" t="n"/>
      <c r="X589" s="45" t="n"/>
      <c r="Y589" s="46">
        <f>IFERROR(__xludf.DUMMYFUNCTION("""COMPUTED_VALUE"""),45838)</f>
        <v/>
      </c>
      <c r="Z589" s="46">
        <f>IFERROR(__xludf.DUMMYFUNCTION("""COMPUTED_VALUE"""),45859)</f>
        <v/>
      </c>
      <c r="AA589" s="46">
        <f>IFERROR(__xludf.DUMMYFUNCTION("""COMPUTED_VALUE"""),45859)</f>
        <v/>
      </c>
      <c r="AB589" s="45">
        <f>IFERROR(__xludf.DUMMYFUNCTION("""COMPUTED_VALUE"""),"Conradweg 26")</f>
        <v/>
      </c>
      <c r="AC589" s="45" t="n"/>
      <c r="AD589" s="45">
        <f>IFERROR(__xludf.DUMMYFUNCTION("""COMPUTED_VALUE"""),"OCEAN")</f>
        <v/>
      </c>
      <c r="AE589" s="45">
        <f>IFERROR(__xludf.DUMMYFUNCTION("""COMPUTED_VALUE"""),"N")</f>
        <v/>
      </c>
      <c r="AF589" s="45" t="n"/>
      <c r="AG589" s="49">
        <f>IFERROR(__xludf.DUMMYFUNCTION("IFNA(vlookup(H589,IMPORTRANGE(""1vUGwO1n0QQGx9kKbO0_M5gmuhXZ6-LaxQxgrmJnzgP0"",""'TP# look up'!A:C""),3,0),"""")"),"")</f>
        <v/>
      </c>
      <c r="AH589" s="49">
        <f>LEFT(J589,2)</f>
        <v/>
      </c>
    </row>
    <row r="590" ht="12.75" customHeight="1">
      <c r="A590" s="45">
        <f>IFERROR(__xludf.DUMMYFUNCTION("""COMPUTED_VALUE"""),"Colombo")</f>
        <v/>
      </c>
      <c r="B590" s="45" t="n"/>
      <c r="C590" s="45">
        <f>IFERROR(__xludf.DUMMYFUNCTION("""COMPUTED_VALUE"""),3259830)</f>
        <v/>
      </c>
      <c r="D590" s="45" t="n"/>
      <c r="E590" s="45">
        <f>IFERROR(__xludf.DUMMYFUNCTION("""COMPUTED_VALUE"""),"CFS")</f>
        <v/>
      </c>
      <c r="F590" s="45">
        <f>IFERROR(__xludf.DUMMYFUNCTION("""COMPUTED_VALUE"""),"MAS AMITY PTE LTD")</f>
        <v/>
      </c>
      <c r="G590" s="45">
        <f>IFERROR(__xludf.DUMMYFUNCTION("""COMPUTED_VALUE"""),"MAS Active (Pvt) Ltd – Shadowline")</f>
        <v/>
      </c>
      <c r="H590" s="43">
        <f>IFERROR(__xludf.DUMMYFUNCTION("""COMPUTED_VALUE"""),457035532800)</f>
        <v/>
      </c>
      <c r="I590" s="45">
        <f>IFERROR(__xludf.DUMMYFUNCTION("""COMPUTED_VALUE"""),19892441)</f>
        <v/>
      </c>
      <c r="J590" s="45">
        <f>IFERROR(__xludf.DUMMYFUNCTION("""COMPUTED_VALUE"""),"LM1366S")</f>
        <v/>
      </c>
      <c r="K590" s="45">
        <f>IFERROR(__xludf.DUMMYFUNCTION("""COMPUTED_VALUE"""),"LM1366S-032507")</f>
        <v/>
      </c>
      <c r="L590" s="45">
        <f>IFERROR(__xludf.DUMMYFUNCTION("""COMPUTED_VALUE"""),5)</f>
        <v/>
      </c>
      <c r="M590" s="45">
        <f>IFERROR(__xludf.DUMMYFUNCTION("""COMPUTED_VALUE"""),404)</f>
        <v/>
      </c>
      <c r="N590" s="45">
        <f>IFERROR(__xludf.DUMMYFUNCTION("""COMPUTED_VALUE"""),39.465)</f>
        <v/>
      </c>
      <c r="O590" s="45">
        <f>IFERROR(__xludf.DUMMYFUNCTION("""COMPUTED_VALUE"""),0.316)</f>
        <v/>
      </c>
      <c r="P590" s="45">
        <f>IFERROR(__xludf.DUMMYFUNCTION("""COMPUTED_VALUE"""),"Colombo, LK")</f>
        <v/>
      </c>
      <c r="Q590" s="45">
        <f>IFERROR(__xludf.DUMMYFUNCTION("""COMPUTED_VALUE"""),"Rotterdam, NL")</f>
        <v/>
      </c>
      <c r="R590" s="44">
        <f>IFERROR(__xludf.DUMMYFUNCTION("""COMPUTED_VALUE"""),45831)</f>
        <v/>
      </c>
      <c r="S590" s="44">
        <f>IFERROR(__xludf.DUMMYFUNCTION("""COMPUTED_VALUE"""),45885)</f>
        <v/>
      </c>
      <c r="T590" s="45">
        <f>IFERROR(__xludf.DUMMYFUNCTION("""COMPUTED_VALUE"""),"Rotterdam, NL")</f>
        <v/>
      </c>
      <c r="U590" s="45" t="n"/>
      <c r="V590" s="45" t="n"/>
      <c r="W590" s="45" t="n"/>
      <c r="X590" s="45" t="n"/>
      <c r="Y590" s="46">
        <f>IFERROR(__xludf.DUMMYFUNCTION("""COMPUTED_VALUE"""),45838)</f>
        <v/>
      </c>
      <c r="Z590" s="46">
        <f>IFERROR(__xludf.DUMMYFUNCTION("""COMPUTED_VALUE"""),45859)</f>
        <v/>
      </c>
      <c r="AA590" s="46">
        <f>IFERROR(__xludf.DUMMYFUNCTION("""COMPUTED_VALUE"""),45859)</f>
        <v/>
      </c>
      <c r="AB590" s="45">
        <f>IFERROR(__xludf.DUMMYFUNCTION("""COMPUTED_VALUE"""),"Conradweg 26")</f>
        <v/>
      </c>
      <c r="AC590" s="45" t="n"/>
      <c r="AD590" s="45">
        <f>IFERROR(__xludf.DUMMYFUNCTION("""COMPUTED_VALUE"""),"OCEAN")</f>
        <v/>
      </c>
      <c r="AE590" s="45">
        <f>IFERROR(__xludf.DUMMYFUNCTION("""COMPUTED_VALUE"""),"N")</f>
        <v/>
      </c>
      <c r="AF590" s="45" t="n"/>
      <c r="AG590" s="49">
        <f>IFERROR(__xludf.DUMMYFUNCTION("IFNA(vlookup(H590,IMPORTRANGE(""1vUGwO1n0QQGx9kKbO0_M5gmuhXZ6-LaxQxgrmJnzgP0"",""'TP# look up'!A:C""),3,0),"""")"),"")</f>
        <v/>
      </c>
      <c r="AH590" s="49">
        <f>LEFT(J590,2)</f>
        <v/>
      </c>
    </row>
    <row r="591" ht="12.75" customHeight="1">
      <c r="A591" s="45">
        <f>IFERROR(__xludf.DUMMYFUNCTION("""COMPUTED_VALUE"""),"Colombo")</f>
        <v/>
      </c>
      <c r="B591" s="45" t="n"/>
      <c r="C591" s="45">
        <f>IFERROR(__xludf.DUMMYFUNCTION("""COMPUTED_VALUE"""),3259830)</f>
        <v/>
      </c>
      <c r="D591" s="45" t="n"/>
      <c r="E591" s="45">
        <f>IFERROR(__xludf.DUMMYFUNCTION("""COMPUTED_VALUE"""),"CFS")</f>
        <v/>
      </c>
      <c r="F591" s="45">
        <f>IFERROR(__xludf.DUMMYFUNCTION("""COMPUTED_VALUE"""),"MAS AMITY PTE LTD")</f>
        <v/>
      </c>
      <c r="G591" s="45">
        <f>IFERROR(__xludf.DUMMYFUNCTION("""COMPUTED_VALUE"""),"MAS Active (Pvt) Ltd – Shadowline")</f>
        <v/>
      </c>
      <c r="H591" s="43">
        <f>IFERROR(__xludf.DUMMYFUNCTION("""COMPUTED_VALUE"""),457036880160)</f>
        <v/>
      </c>
      <c r="I591" s="45">
        <f>IFERROR(__xludf.DUMMYFUNCTION("""COMPUTED_VALUE"""),19814194)</f>
        <v/>
      </c>
      <c r="J591" s="45">
        <f>IFERROR(__xludf.DUMMYFUNCTION("""COMPUTED_VALUE"""),"LW1DUDS")</f>
        <v/>
      </c>
      <c r="K591" s="45">
        <f>IFERROR(__xludf.DUMMYFUNCTION("""COMPUTED_VALUE"""),"LW1DUDS-0002")</f>
        <v/>
      </c>
      <c r="L591" s="45">
        <f>IFERROR(__xludf.DUMMYFUNCTION("""COMPUTED_VALUE"""),7)</f>
        <v/>
      </c>
      <c r="M591" s="45">
        <f>IFERROR(__xludf.DUMMYFUNCTION("""COMPUTED_VALUE"""),350)</f>
        <v/>
      </c>
      <c r="N591" s="45">
        <f>IFERROR(__xludf.DUMMYFUNCTION("""COMPUTED_VALUE"""),54.878)</f>
        <v/>
      </c>
      <c r="O591" s="45">
        <f>IFERROR(__xludf.DUMMYFUNCTION("""COMPUTED_VALUE"""),0.474)</f>
        <v/>
      </c>
      <c r="P591" s="45">
        <f>IFERROR(__xludf.DUMMYFUNCTION("""COMPUTED_VALUE"""),"Colombo, LK")</f>
        <v/>
      </c>
      <c r="Q591" s="45">
        <f>IFERROR(__xludf.DUMMYFUNCTION("""COMPUTED_VALUE"""),"Rotterdam, NL")</f>
        <v/>
      </c>
      <c r="R591" s="44">
        <f>IFERROR(__xludf.DUMMYFUNCTION("""COMPUTED_VALUE"""),45831)</f>
        <v/>
      </c>
      <c r="S591" s="44">
        <f>IFERROR(__xludf.DUMMYFUNCTION("""COMPUTED_VALUE"""),45885)</f>
        <v/>
      </c>
      <c r="T591" s="45">
        <f>IFERROR(__xludf.DUMMYFUNCTION("""COMPUTED_VALUE"""),"Rotterdam, NL")</f>
        <v/>
      </c>
      <c r="U591" s="45" t="n"/>
      <c r="V591" s="45" t="n"/>
      <c r="W591" s="45" t="n"/>
      <c r="X591" s="45" t="n"/>
      <c r="Y591" s="46">
        <f>IFERROR(__xludf.DUMMYFUNCTION("""COMPUTED_VALUE"""),45838)</f>
        <v/>
      </c>
      <c r="Z591" s="46">
        <f>IFERROR(__xludf.DUMMYFUNCTION("""COMPUTED_VALUE"""),45859)</f>
        <v/>
      </c>
      <c r="AA591" s="46">
        <f>IFERROR(__xludf.DUMMYFUNCTION("""COMPUTED_VALUE"""),45859)</f>
        <v/>
      </c>
      <c r="AB591" s="45">
        <f>IFERROR(__xludf.DUMMYFUNCTION("""COMPUTED_VALUE"""),"Conradweg 26")</f>
        <v/>
      </c>
      <c r="AC591" s="45" t="n"/>
      <c r="AD591" s="45">
        <f>IFERROR(__xludf.DUMMYFUNCTION("""COMPUTED_VALUE"""),"OCEAN")</f>
        <v/>
      </c>
      <c r="AE591" s="45">
        <f>IFERROR(__xludf.DUMMYFUNCTION("""COMPUTED_VALUE"""),"N")</f>
        <v/>
      </c>
      <c r="AF591" s="45" t="n"/>
      <c r="AG591" s="49">
        <f>IFERROR(__xludf.DUMMYFUNCTION("IFNA(vlookup(H591,IMPORTRANGE(""1vUGwO1n0QQGx9kKbO0_M5gmuhXZ6-LaxQxgrmJnzgP0"",""'TP# look up'!A:C""),3,0),"""")"),"")</f>
        <v/>
      </c>
      <c r="AH591" s="49">
        <f>LEFT(J591,2)</f>
        <v/>
      </c>
    </row>
    <row r="592" ht="12.75" customHeight="1">
      <c r="A592" s="45">
        <f>IFERROR(__xludf.DUMMYFUNCTION("""COMPUTED_VALUE"""),"Colombo")</f>
        <v/>
      </c>
      <c r="B592" s="45" t="n"/>
      <c r="C592" s="45">
        <f>IFERROR(__xludf.DUMMYFUNCTION("""COMPUTED_VALUE"""),3259830)</f>
        <v/>
      </c>
      <c r="D592" s="45" t="n"/>
      <c r="E592" s="45">
        <f>IFERROR(__xludf.DUMMYFUNCTION("""COMPUTED_VALUE"""),"CFS")</f>
        <v/>
      </c>
      <c r="F592" s="45">
        <f>IFERROR(__xludf.DUMMYFUNCTION("""COMPUTED_VALUE"""),"MAS AMITY PTE LTD")</f>
        <v/>
      </c>
      <c r="G592" s="45">
        <f>IFERROR(__xludf.DUMMYFUNCTION("""COMPUTED_VALUE"""),"MAS Active (Pvt) Ltd – Shadowline")</f>
        <v/>
      </c>
      <c r="H592" s="43">
        <f>IFERROR(__xludf.DUMMYFUNCTION("""COMPUTED_VALUE"""),457045386476)</f>
        <v/>
      </c>
      <c r="I592" s="45">
        <f>IFERROR(__xludf.DUMMYFUNCTION("""COMPUTED_VALUE"""),19923504)</f>
        <v/>
      </c>
      <c r="J592" s="45">
        <f>IFERROR(__xludf.DUMMYFUNCTION("""COMPUTED_VALUE"""),"LW5FLOS")</f>
        <v/>
      </c>
      <c r="K592" s="45">
        <f>IFERROR(__xludf.DUMMYFUNCTION("""COMPUTED_VALUE"""),"LW5FLOS-071150")</f>
        <v/>
      </c>
      <c r="L592" s="45">
        <f>IFERROR(__xludf.DUMMYFUNCTION("""COMPUTED_VALUE"""),1)</f>
        <v/>
      </c>
      <c r="M592" s="45">
        <f>IFERROR(__xludf.DUMMYFUNCTION("""COMPUTED_VALUE"""),9)</f>
        <v/>
      </c>
      <c r="N592" s="45">
        <f>IFERROR(__xludf.DUMMYFUNCTION("""COMPUTED_VALUE"""),2.58)</f>
        <v/>
      </c>
      <c r="O592" s="45">
        <f>IFERROR(__xludf.DUMMYFUNCTION("""COMPUTED_VALUE"""),0.039)</f>
        <v/>
      </c>
      <c r="P592" s="45">
        <f>IFERROR(__xludf.DUMMYFUNCTION("""COMPUTED_VALUE"""),"Colombo, LK")</f>
        <v/>
      </c>
      <c r="Q592" s="45">
        <f>IFERROR(__xludf.DUMMYFUNCTION("""COMPUTED_VALUE"""),"Rotterdam, NL")</f>
        <v/>
      </c>
      <c r="R592" s="44">
        <f>IFERROR(__xludf.DUMMYFUNCTION("""COMPUTED_VALUE"""),45831)</f>
        <v/>
      </c>
      <c r="S592" s="44">
        <f>IFERROR(__xludf.DUMMYFUNCTION("""COMPUTED_VALUE"""),45885)</f>
        <v/>
      </c>
      <c r="T592" s="45">
        <f>IFERROR(__xludf.DUMMYFUNCTION("""COMPUTED_VALUE"""),"Rotterdam, NL")</f>
        <v/>
      </c>
      <c r="U592" s="45" t="n"/>
      <c r="V592" s="45" t="n"/>
      <c r="W592" s="45" t="n"/>
      <c r="X592" s="45" t="n"/>
      <c r="Y592" s="46">
        <f>IFERROR(__xludf.DUMMYFUNCTION("""COMPUTED_VALUE"""),45838)</f>
        <v/>
      </c>
      <c r="Z592" s="46">
        <f>IFERROR(__xludf.DUMMYFUNCTION("""COMPUTED_VALUE"""),45859)</f>
        <v/>
      </c>
      <c r="AA592" s="46">
        <f>IFERROR(__xludf.DUMMYFUNCTION("""COMPUTED_VALUE"""),45859)</f>
        <v/>
      </c>
      <c r="AB592" s="45">
        <f>IFERROR(__xludf.DUMMYFUNCTION("""COMPUTED_VALUE"""),"Conradweg 26")</f>
        <v/>
      </c>
      <c r="AC592" s="45" t="n"/>
      <c r="AD592" s="45">
        <f>IFERROR(__xludf.DUMMYFUNCTION("""COMPUTED_VALUE"""),"OCEAN")</f>
        <v/>
      </c>
      <c r="AE592" s="45">
        <f>IFERROR(__xludf.DUMMYFUNCTION("""COMPUTED_VALUE"""),"N")</f>
        <v/>
      </c>
      <c r="AF592" s="45" t="n"/>
      <c r="AG592" s="49">
        <f>IFERROR(__xludf.DUMMYFUNCTION("IFNA(vlookup(H592,IMPORTRANGE(""1vUGwO1n0QQGx9kKbO0_M5gmuhXZ6-LaxQxgrmJnzgP0"",""'TP# look up'!A:C""),3,0),"""")"),"")</f>
        <v/>
      </c>
      <c r="AH592" s="49">
        <f>LEFT(J592,2)</f>
        <v/>
      </c>
    </row>
    <row r="593" ht="12.75" customHeight="1">
      <c r="A593" s="45">
        <f>IFERROR(__xludf.DUMMYFUNCTION("""COMPUTED_VALUE"""),"Colombo")</f>
        <v/>
      </c>
      <c r="B593" s="45" t="n"/>
      <c r="C593" s="45">
        <f>IFERROR(__xludf.DUMMYFUNCTION("""COMPUTED_VALUE"""),3259830)</f>
        <v/>
      </c>
      <c r="D593" s="45" t="n"/>
      <c r="E593" s="45">
        <f>IFERROR(__xludf.DUMMYFUNCTION("""COMPUTED_VALUE"""),"CFS")</f>
        <v/>
      </c>
      <c r="F593" s="45">
        <f>IFERROR(__xludf.DUMMYFUNCTION("""COMPUTED_VALUE"""),"MAS AMITY PTE LTD")</f>
        <v/>
      </c>
      <c r="G593" s="45">
        <f>IFERROR(__xludf.DUMMYFUNCTION("""COMPUTED_VALUE"""),"MAS Active (Pvt) Ltd – Sleekline")</f>
        <v/>
      </c>
      <c r="H593" s="43">
        <f>IFERROR(__xludf.DUMMYFUNCTION("""COMPUTED_VALUE"""),457017261877)</f>
        <v/>
      </c>
      <c r="I593" s="45">
        <f>IFERROR(__xludf.DUMMYFUNCTION("""COMPUTED_VALUE"""),19810099)</f>
        <v/>
      </c>
      <c r="J593" s="45">
        <f>IFERROR(__xludf.DUMMYFUNCTION("""COMPUTED_VALUE"""),"LM9AYLS")</f>
        <v/>
      </c>
      <c r="K593" s="45">
        <f>IFERROR(__xludf.DUMMYFUNCTION("""COMPUTED_VALUE"""),"LM9AYLS-035487")</f>
        <v/>
      </c>
      <c r="L593" s="45">
        <f>IFERROR(__xludf.DUMMYFUNCTION("""COMPUTED_VALUE"""),3)</f>
        <v/>
      </c>
      <c r="M593" s="45">
        <f>IFERROR(__xludf.DUMMYFUNCTION("""COMPUTED_VALUE"""),238)</f>
        <v/>
      </c>
      <c r="N593" s="45">
        <f>IFERROR(__xludf.DUMMYFUNCTION("""COMPUTED_VALUE"""),23.47)</f>
        <v/>
      </c>
      <c r="O593" s="45">
        <f>IFERROR(__xludf.DUMMYFUNCTION("""COMPUTED_VALUE"""),0.198)</f>
        <v/>
      </c>
      <c r="P593" s="45">
        <f>IFERROR(__xludf.DUMMYFUNCTION("""COMPUTED_VALUE"""),"Colombo, LK")</f>
        <v/>
      </c>
      <c r="Q593" s="45">
        <f>IFERROR(__xludf.DUMMYFUNCTION("""COMPUTED_VALUE"""),"Rotterdam, NL")</f>
        <v/>
      </c>
      <c r="R593" s="44">
        <f>IFERROR(__xludf.DUMMYFUNCTION("""COMPUTED_VALUE"""),45831)</f>
        <v/>
      </c>
      <c r="S593" s="44">
        <f>IFERROR(__xludf.DUMMYFUNCTION("""COMPUTED_VALUE"""),45885)</f>
        <v/>
      </c>
      <c r="T593" s="45">
        <f>IFERROR(__xludf.DUMMYFUNCTION("""COMPUTED_VALUE"""),"Rotterdam, NL")</f>
        <v/>
      </c>
      <c r="U593" s="45" t="n"/>
      <c r="V593" s="45" t="n"/>
      <c r="W593" s="45" t="n"/>
      <c r="X593" s="45" t="n"/>
      <c r="Y593" s="46">
        <f>IFERROR(__xludf.DUMMYFUNCTION("""COMPUTED_VALUE"""),45838)</f>
        <v/>
      </c>
      <c r="Z593" s="46">
        <f>IFERROR(__xludf.DUMMYFUNCTION("""COMPUTED_VALUE"""),45859)</f>
        <v/>
      </c>
      <c r="AA593" s="46">
        <f>IFERROR(__xludf.DUMMYFUNCTION("""COMPUTED_VALUE"""),45859)</f>
        <v/>
      </c>
      <c r="AB593" s="45">
        <f>IFERROR(__xludf.DUMMYFUNCTION("""COMPUTED_VALUE"""),"Conradweg 26")</f>
        <v/>
      </c>
      <c r="AC593" s="45" t="n"/>
      <c r="AD593" s="45">
        <f>IFERROR(__xludf.DUMMYFUNCTION("""COMPUTED_VALUE"""),"OCEAN")</f>
        <v/>
      </c>
      <c r="AE593" s="45">
        <f>IFERROR(__xludf.DUMMYFUNCTION("""COMPUTED_VALUE"""),"N")</f>
        <v/>
      </c>
      <c r="AF593" s="45" t="n"/>
      <c r="AG593" s="49">
        <f>IFERROR(__xludf.DUMMYFUNCTION("IFNA(vlookup(H593,IMPORTRANGE(""1vUGwO1n0QQGx9kKbO0_M5gmuhXZ6-LaxQxgrmJnzgP0"",""'TP# look up'!A:C""),3,0),"""")"),"")</f>
        <v/>
      </c>
      <c r="AH593" s="49">
        <f>LEFT(J593,2)</f>
        <v/>
      </c>
    </row>
    <row r="594" ht="12.75" customHeight="1">
      <c r="A594" s="45">
        <f>IFERROR(__xludf.DUMMYFUNCTION("""COMPUTED_VALUE"""),"Colombo")</f>
        <v/>
      </c>
      <c r="B594" s="45" t="n"/>
      <c r="C594" s="45">
        <f>IFERROR(__xludf.DUMMYFUNCTION("""COMPUTED_VALUE"""),3259830)</f>
        <v/>
      </c>
      <c r="D594" s="45" t="n"/>
      <c r="E594" s="45">
        <f>IFERROR(__xludf.DUMMYFUNCTION("""COMPUTED_VALUE"""),"CFS")</f>
        <v/>
      </c>
      <c r="F594" s="45">
        <f>IFERROR(__xludf.DUMMYFUNCTION("""COMPUTED_VALUE"""),"MAS AMITY PTE LTD")</f>
        <v/>
      </c>
      <c r="G594" s="45">
        <f>IFERROR(__xludf.DUMMYFUNCTION("""COMPUTED_VALUE"""),"MAS Active (Pvt) Ltd – Sleekline")</f>
        <v/>
      </c>
      <c r="H594" s="43">
        <f>IFERROR(__xludf.DUMMYFUNCTION("""COMPUTED_VALUE"""),457019297788)</f>
        <v/>
      </c>
      <c r="I594" s="45">
        <f>IFERROR(__xludf.DUMMYFUNCTION("""COMPUTED_VALUE"""),19805694)</f>
        <v/>
      </c>
      <c r="J594" s="45">
        <f>IFERROR(__xludf.DUMMYFUNCTION("""COMPUTED_VALUE"""),"LM9AY9S")</f>
        <v/>
      </c>
      <c r="K594" s="45">
        <f>IFERROR(__xludf.DUMMYFUNCTION("""COMPUTED_VALUE"""),"LM9AY9S-042751")</f>
        <v/>
      </c>
      <c r="L594" s="45">
        <f>IFERROR(__xludf.DUMMYFUNCTION("""COMPUTED_VALUE"""),2)</f>
        <v/>
      </c>
      <c r="M594" s="45">
        <f>IFERROR(__xludf.DUMMYFUNCTION("""COMPUTED_VALUE"""),53)</f>
        <v/>
      </c>
      <c r="N594" s="45">
        <f>IFERROR(__xludf.DUMMYFUNCTION("""COMPUTED_VALUE"""),16.31)</f>
        <v/>
      </c>
      <c r="O594" s="45">
        <f>IFERROR(__xludf.DUMMYFUNCTION("""COMPUTED_VALUE"""),0.119)</f>
        <v/>
      </c>
      <c r="P594" s="45">
        <f>IFERROR(__xludf.DUMMYFUNCTION("""COMPUTED_VALUE"""),"Colombo, LK")</f>
        <v/>
      </c>
      <c r="Q594" s="45">
        <f>IFERROR(__xludf.DUMMYFUNCTION("""COMPUTED_VALUE"""),"Rotterdam, NL")</f>
        <v/>
      </c>
      <c r="R594" s="44">
        <f>IFERROR(__xludf.DUMMYFUNCTION("""COMPUTED_VALUE"""),45831)</f>
        <v/>
      </c>
      <c r="S594" s="44">
        <f>IFERROR(__xludf.DUMMYFUNCTION("""COMPUTED_VALUE"""),45885)</f>
        <v/>
      </c>
      <c r="T594" s="45">
        <f>IFERROR(__xludf.DUMMYFUNCTION("""COMPUTED_VALUE"""),"Rotterdam, NL")</f>
        <v/>
      </c>
      <c r="U594" s="45" t="n"/>
      <c r="V594" s="45" t="n"/>
      <c r="W594" s="45" t="n"/>
      <c r="X594" s="45" t="n"/>
      <c r="Y594" s="46">
        <f>IFERROR(__xludf.DUMMYFUNCTION("""COMPUTED_VALUE"""),45838)</f>
        <v/>
      </c>
      <c r="Z594" s="46">
        <f>IFERROR(__xludf.DUMMYFUNCTION("""COMPUTED_VALUE"""),45859)</f>
        <v/>
      </c>
      <c r="AA594" s="46">
        <f>IFERROR(__xludf.DUMMYFUNCTION("""COMPUTED_VALUE"""),45859)</f>
        <v/>
      </c>
      <c r="AB594" s="45">
        <f>IFERROR(__xludf.DUMMYFUNCTION("""COMPUTED_VALUE"""),"Conradweg 26")</f>
        <v/>
      </c>
      <c r="AC594" s="45" t="n"/>
      <c r="AD594" s="45">
        <f>IFERROR(__xludf.DUMMYFUNCTION("""COMPUTED_VALUE"""),"OCEAN")</f>
        <v/>
      </c>
      <c r="AE594" s="45">
        <f>IFERROR(__xludf.DUMMYFUNCTION("""COMPUTED_VALUE"""),"N")</f>
        <v/>
      </c>
      <c r="AF594" s="45" t="n"/>
      <c r="AG594" s="49">
        <f>IFERROR(__xludf.DUMMYFUNCTION("IFNA(vlookup(H594,IMPORTRANGE(""1vUGwO1n0QQGx9kKbO0_M5gmuhXZ6-LaxQxgrmJnzgP0"",""'TP# look up'!A:C""),3,0),"""")"),"")</f>
        <v/>
      </c>
      <c r="AH594" s="49">
        <f>LEFT(J594,2)</f>
        <v/>
      </c>
    </row>
    <row r="595" ht="12.75" customHeight="1">
      <c r="A595" s="45">
        <f>IFERROR(__xludf.DUMMYFUNCTION("""COMPUTED_VALUE"""),"Colombo")</f>
        <v/>
      </c>
      <c r="B595" s="45" t="n"/>
      <c r="C595" s="45">
        <f>IFERROR(__xludf.DUMMYFUNCTION("""COMPUTED_VALUE"""),3259830)</f>
        <v/>
      </c>
      <c r="D595" s="45" t="n"/>
      <c r="E595" s="45">
        <f>IFERROR(__xludf.DUMMYFUNCTION("""COMPUTED_VALUE"""),"CFS")</f>
        <v/>
      </c>
      <c r="F595" s="45">
        <f>IFERROR(__xludf.DUMMYFUNCTION("""COMPUTED_VALUE"""),"MAS AMITY PTE LTD")</f>
        <v/>
      </c>
      <c r="G595" s="45">
        <f>IFERROR(__xludf.DUMMYFUNCTION("""COMPUTED_VALUE"""),"MAS Active (Pvt) Ltd – Sleekline")</f>
        <v/>
      </c>
      <c r="H595" s="43">
        <f>IFERROR(__xludf.DUMMYFUNCTION("""COMPUTED_VALUE"""),457022287383)</f>
        <v/>
      </c>
      <c r="I595" s="45">
        <f>IFERROR(__xludf.DUMMYFUNCTION("""COMPUTED_VALUE"""),19805642)</f>
        <v/>
      </c>
      <c r="J595" s="45">
        <f>IFERROR(__xludf.DUMMYFUNCTION("""COMPUTED_VALUE"""),"LM9B19S")</f>
        <v/>
      </c>
      <c r="K595" s="45">
        <f>IFERROR(__xludf.DUMMYFUNCTION("""COMPUTED_VALUE"""),"LM9B19S-4310")</f>
        <v/>
      </c>
      <c r="L595" s="45">
        <f>IFERROR(__xludf.DUMMYFUNCTION("""COMPUTED_VALUE"""),1)</f>
        <v/>
      </c>
      <c r="M595" s="45">
        <f>IFERROR(__xludf.DUMMYFUNCTION("""COMPUTED_VALUE"""),29)</f>
        <v/>
      </c>
      <c r="N595" s="45">
        <f>IFERROR(__xludf.DUMMYFUNCTION("""COMPUTED_VALUE"""),8.55)</f>
        <v/>
      </c>
      <c r="O595" s="45">
        <f>IFERROR(__xludf.DUMMYFUNCTION("""COMPUTED_VALUE"""),0.079)</f>
        <v/>
      </c>
      <c r="P595" s="45">
        <f>IFERROR(__xludf.DUMMYFUNCTION("""COMPUTED_VALUE"""),"Colombo, LK")</f>
        <v/>
      </c>
      <c r="Q595" s="45">
        <f>IFERROR(__xludf.DUMMYFUNCTION("""COMPUTED_VALUE"""),"Rotterdam, NL")</f>
        <v/>
      </c>
      <c r="R595" s="44">
        <f>IFERROR(__xludf.DUMMYFUNCTION("""COMPUTED_VALUE"""),45831)</f>
        <v/>
      </c>
      <c r="S595" s="44">
        <f>IFERROR(__xludf.DUMMYFUNCTION("""COMPUTED_VALUE"""),45885)</f>
        <v/>
      </c>
      <c r="T595" s="45">
        <f>IFERROR(__xludf.DUMMYFUNCTION("""COMPUTED_VALUE"""),"Rotterdam, NL")</f>
        <v/>
      </c>
      <c r="U595" s="45" t="n"/>
      <c r="V595" s="45" t="n"/>
      <c r="W595" s="45" t="n"/>
      <c r="X595" s="45" t="n"/>
      <c r="Y595" s="46">
        <f>IFERROR(__xludf.DUMMYFUNCTION("""COMPUTED_VALUE"""),45838)</f>
        <v/>
      </c>
      <c r="Z595" s="46">
        <f>IFERROR(__xludf.DUMMYFUNCTION("""COMPUTED_VALUE"""),45859)</f>
        <v/>
      </c>
      <c r="AA595" s="46">
        <f>IFERROR(__xludf.DUMMYFUNCTION("""COMPUTED_VALUE"""),45859)</f>
        <v/>
      </c>
      <c r="AB595" s="45">
        <f>IFERROR(__xludf.DUMMYFUNCTION("""COMPUTED_VALUE"""),"Conradweg 26")</f>
        <v/>
      </c>
      <c r="AC595" s="45" t="n"/>
      <c r="AD595" s="45">
        <f>IFERROR(__xludf.DUMMYFUNCTION("""COMPUTED_VALUE"""),"OCEAN")</f>
        <v/>
      </c>
      <c r="AE595" s="45">
        <f>IFERROR(__xludf.DUMMYFUNCTION("""COMPUTED_VALUE"""),"N")</f>
        <v/>
      </c>
      <c r="AF595" s="45" t="n"/>
      <c r="AG595" s="49">
        <f>IFERROR(__xludf.DUMMYFUNCTION("IFNA(vlookup(H595,IMPORTRANGE(""1vUGwO1n0QQGx9kKbO0_M5gmuhXZ6-LaxQxgrmJnzgP0"",""'TP# look up'!A:C""),3,0),"""")"),"")</f>
        <v/>
      </c>
      <c r="AH595" s="49">
        <f>LEFT(J595,2)</f>
        <v/>
      </c>
    </row>
    <row r="596" ht="12.75" customHeight="1">
      <c r="A596" s="45">
        <f>IFERROR(__xludf.DUMMYFUNCTION("""COMPUTED_VALUE"""),"Colombo")</f>
        <v/>
      </c>
      <c r="B596" s="45" t="n"/>
      <c r="C596" s="45">
        <f>IFERROR(__xludf.DUMMYFUNCTION("""COMPUTED_VALUE"""),3259830)</f>
        <v/>
      </c>
      <c r="D596" s="45" t="n"/>
      <c r="E596" s="45">
        <f>IFERROR(__xludf.DUMMYFUNCTION("""COMPUTED_VALUE"""),"CFS")</f>
        <v/>
      </c>
      <c r="F596" s="45">
        <f>IFERROR(__xludf.DUMMYFUNCTION("""COMPUTED_VALUE"""),"MAS AMITY PTE LTD")</f>
        <v/>
      </c>
      <c r="G596" s="45">
        <f>IFERROR(__xludf.DUMMYFUNCTION("""COMPUTED_VALUE"""),"MAS Active (Pvt) Ltd – Sleekline")</f>
        <v/>
      </c>
      <c r="H596" s="43">
        <f>IFERROR(__xludf.DUMMYFUNCTION("""COMPUTED_VALUE"""),457022287805)</f>
        <v/>
      </c>
      <c r="I596" s="45">
        <f>IFERROR(__xludf.DUMMYFUNCTION("""COMPUTED_VALUE"""),19810097)</f>
        <v/>
      </c>
      <c r="J596" s="45">
        <f>IFERROR(__xludf.DUMMYFUNCTION("""COMPUTED_VALUE"""),"LM9AY9S")</f>
        <v/>
      </c>
      <c r="K596" s="45">
        <f>IFERROR(__xludf.DUMMYFUNCTION("""COMPUTED_VALUE"""),"LM9AY9S-042751")</f>
        <v/>
      </c>
      <c r="L596" s="45">
        <f>IFERROR(__xludf.DUMMYFUNCTION("""COMPUTED_VALUE"""),6)</f>
        <v/>
      </c>
      <c r="M596" s="45">
        <f>IFERROR(__xludf.DUMMYFUNCTION("""COMPUTED_VALUE"""),263)</f>
        <v/>
      </c>
      <c r="N596" s="45">
        <f>IFERROR(__xludf.DUMMYFUNCTION("""COMPUTED_VALUE"""),77.26)</f>
        <v/>
      </c>
      <c r="O596" s="45">
        <f>IFERROR(__xludf.DUMMYFUNCTION("""COMPUTED_VALUE"""),0.476)</f>
        <v/>
      </c>
      <c r="P596" s="45">
        <f>IFERROR(__xludf.DUMMYFUNCTION("""COMPUTED_VALUE"""),"Colombo, LK")</f>
        <v/>
      </c>
      <c r="Q596" s="45">
        <f>IFERROR(__xludf.DUMMYFUNCTION("""COMPUTED_VALUE"""),"Rotterdam, NL")</f>
        <v/>
      </c>
      <c r="R596" s="44">
        <f>IFERROR(__xludf.DUMMYFUNCTION("""COMPUTED_VALUE"""),45831)</f>
        <v/>
      </c>
      <c r="S596" s="44">
        <f>IFERROR(__xludf.DUMMYFUNCTION("""COMPUTED_VALUE"""),45885)</f>
        <v/>
      </c>
      <c r="T596" s="45">
        <f>IFERROR(__xludf.DUMMYFUNCTION("""COMPUTED_VALUE"""),"Rotterdam, NL")</f>
        <v/>
      </c>
      <c r="U596" s="45" t="n"/>
      <c r="V596" s="45" t="n"/>
      <c r="W596" s="45" t="n"/>
      <c r="X596" s="45" t="n"/>
      <c r="Y596" s="46">
        <f>IFERROR(__xludf.DUMMYFUNCTION("""COMPUTED_VALUE"""),45838)</f>
        <v/>
      </c>
      <c r="Z596" s="46">
        <f>IFERROR(__xludf.DUMMYFUNCTION("""COMPUTED_VALUE"""),45859)</f>
        <v/>
      </c>
      <c r="AA596" s="46">
        <f>IFERROR(__xludf.DUMMYFUNCTION("""COMPUTED_VALUE"""),45859)</f>
        <v/>
      </c>
      <c r="AB596" s="45">
        <f>IFERROR(__xludf.DUMMYFUNCTION("""COMPUTED_VALUE"""),"Conradweg 26")</f>
        <v/>
      </c>
      <c r="AC596" s="45" t="n"/>
      <c r="AD596" s="45">
        <f>IFERROR(__xludf.DUMMYFUNCTION("""COMPUTED_VALUE"""),"OCEAN")</f>
        <v/>
      </c>
      <c r="AE596" s="45">
        <f>IFERROR(__xludf.DUMMYFUNCTION("""COMPUTED_VALUE"""),"N")</f>
        <v/>
      </c>
      <c r="AF596" s="45" t="n"/>
      <c r="AG596" s="49">
        <f>IFERROR(__xludf.DUMMYFUNCTION("IFNA(vlookup(H596,IMPORTRANGE(""1vUGwO1n0QQGx9kKbO0_M5gmuhXZ6-LaxQxgrmJnzgP0"",""'TP# look up'!A:C""),3,0),"""")"),"")</f>
        <v/>
      </c>
      <c r="AH596" s="49">
        <f>LEFT(J596,2)</f>
        <v/>
      </c>
    </row>
    <row r="597" ht="12.75" customHeight="1">
      <c r="A597" s="45">
        <f>IFERROR(__xludf.DUMMYFUNCTION("""COMPUTED_VALUE"""),"Colombo")</f>
        <v/>
      </c>
      <c r="B597" s="45" t="n"/>
      <c r="C597" s="45">
        <f>IFERROR(__xludf.DUMMYFUNCTION("""COMPUTED_VALUE"""),3259830)</f>
        <v/>
      </c>
      <c r="D597" s="45" t="n"/>
      <c r="E597" s="45">
        <f>IFERROR(__xludf.DUMMYFUNCTION("""COMPUTED_VALUE"""),"CFS")</f>
        <v/>
      </c>
      <c r="F597" s="45">
        <f>IFERROR(__xludf.DUMMYFUNCTION("""COMPUTED_VALUE"""),"MAS AMITY PTE LTD")</f>
        <v/>
      </c>
      <c r="G597" s="45">
        <f>IFERROR(__xludf.DUMMYFUNCTION("""COMPUTED_VALUE"""),"MAS Active (Pvt) Ltd – Sleekline")</f>
        <v/>
      </c>
      <c r="H597" s="43">
        <f>IFERROR(__xludf.DUMMYFUNCTION("""COMPUTED_VALUE"""),457023341324)</f>
        <v/>
      </c>
      <c r="I597" s="45">
        <f>IFERROR(__xludf.DUMMYFUNCTION("""COMPUTED_VALUE"""),19805638)</f>
        <v/>
      </c>
      <c r="J597" s="45">
        <f>IFERROR(__xludf.DUMMYFUNCTION("""COMPUTED_VALUE"""),"LM9AYLS")</f>
        <v/>
      </c>
      <c r="K597" s="45">
        <f>IFERROR(__xludf.DUMMYFUNCTION("""COMPUTED_VALUE"""),"LM9AYLS-035487")</f>
        <v/>
      </c>
      <c r="L597" s="45">
        <f>IFERROR(__xludf.DUMMYFUNCTION("""COMPUTED_VALUE"""),1)</f>
        <v/>
      </c>
      <c r="M597" s="45">
        <f>IFERROR(__xludf.DUMMYFUNCTION("""COMPUTED_VALUE"""),37)</f>
        <v/>
      </c>
      <c r="N597" s="45">
        <f>IFERROR(__xludf.DUMMYFUNCTION("""COMPUTED_VALUE"""),4.02)</f>
        <v/>
      </c>
      <c r="O597" s="45">
        <f>IFERROR(__xludf.DUMMYFUNCTION("""COMPUTED_VALUE"""),0.04)</f>
        <v/>
      </c>
      <c r="P597" s="45">
        <f>IFERROR(__xludf.DUMMYFUNCTION("""COMPUTED_VALUE"""),"Colombo, LK")</f>
        <v/>
      </c>
      <c r="Q597" s="45">
        <f>IFERROR(__xludf.DUMMYFUNCTION("""COMPUTED_VALUE"""),"Rotterdam, NL")</f>
        <v/>
      </c>
      <c r="R597" s="44">
        <f>IFERROR(__xludf.DUMMYFUNCTION("""COMPUTED_VALUE"""),45831)</f>
        <v/>
      </c>
      <c r="S597" s="44">
        <f>IFERROR(__xludf.DUMMYFUNCTION("""COMPUTED_VALUE"""),45885)</f>
        <v/>
      </c>
      <c r="T597" s="45">
        <f>IFERROR(__xludf.DUMMYFUNCTION("""COMPUTED_VALUE"""),"Rotterdam, NL")</f>
        <v/>
      </c>
      <c r="U597" s="45" t="n"/>
      <c r="V597" s="45" t="n"/>
      <c r="W597" s="45" t="n"/>
      <c r="X597" s="45" t="n"/>
      <c r="Y597" s="46">
        <f>IFERROR(__xludf.DUMMYFUNCTION("""COMPUTED_VALUE"""),45838)</f>
        <v/>
      </c>
      <c r="Z597" s="46">
        <f>IFERROR(__xludf.DUMMYFUNCTION("""COMPUTED_VALUE"""),45859)</f>
        <v/>
      </c>
      <c r="AA597" s="46">
        <f>IFERROR(__xludf.DUMMYFUNCTION("""COMPUTED_VALUE"""),45859)</f>
        <v/>
      </c>
      <c r="AB597" s="45">
        <f>IFERROR(__xludf.DUMMYFUNCTION("""COMPUTED_VALUE"""),"Conradweg 26")</f>
        <v/>
      </c>
      <c r="AC597" s="45" t="n"/>
      <c r="AD597" s="45">
        <f>IFERROR(__xludf.DUMMYFUNCTION("""COMPUTED_VALUE"""),"OCEAN")</f>
        <v/>
      </c>
      <c r="AE597" s="45">
        <f>IFERROR(__xludf.DUMMYFUNCTION("""COMPUTED_VALUE"""),"N")</f>
        <v/>
      </c>
      <c r="AF597" s="45" t="n"/>
      <c r="AG597" s="49">
        <f>IFERROR(__xludf.DUMMYFUNCTION("IFNA(vlookup(H597,IMPORTRANGE(""1vUGwO1n0QQGx9kKbO0_M5gmuhXZ6-LaxQxgrmJnzgP0"",""'TP# look up'!A:C""),3,0),"""")"),"")</f>
        <v/>
      </c>
      <c r="AH597" s="49">
        <f>LEFT(J597,2)</f>
        <v/>
      </c>
    </row>
    <row r="598" ht="12.75" customHeight="1">
      <c r="A598" s="45">
        <f>IFERROR(__xludf.DUMMYFUNCTION("""COMPUTED_VALUE"""),"Colombo")</f>
        <v/>
      </c>
      <c r="B598" s="45" t="n"/>
      <c r="C598" s="45">
        <f>IFERROR(__xludf.DUMMYFUNCTION("""COMPUTED_VALUE"""),3259830)</f>
        <v/>
      </c>
      <c r="D598" s="45" t="n"/>
      <c r="E598" s="45">
        <f>IFERROR(__xludf.DUMMYFUNCTION("""COMPUTED_VALUE"""),"CFS")</f>
        <v/>
      </c>
      <c r="F598" s="45">
        <f>IFERROR(__xludf.DUMMYFUNCTION("""COMPUTED_VALUE"""),"MAS AMITY PTE LTD")</f>
        <v/>
      </c>
      <c r="G598" s="45">
        <f>IFERROR(__xludf.DUMMYFUNCTION("""COMPUTED_VALUE"""),"MAS Active (Pvt) Ltd – Sleekline")</f>
        <v/>
      </c>
      <c r="H598" s="43">
        <f>IFERROR(__xludf.DUMMYFUNCTION("""COMPUTED_VALUE"""),457024005236)</f>
        <v/>
      </c>
      <c r="I598" s="45">
        <f>IFERROR(__xludf.DUMMYFUNCTION("""COMPUTED_VALUE"""),19810101)</f>
        <v/>
      </c>
      <c r="J598" s="45">
        <f>IFERROR(__xludf.DUMMYFUNCTION("""COMPUTED_VALUE"""),"LM9B19S")</f>
        <v/>
      </c>
      <c r="K598" s="45">
        <f>IFERROR(__xludf.DUMMYFUNCTION("""COMPUTED_VALUE"""),"LM9B19S-4310")</f>
        <v/>
      </c>
      <c r="L598" s="45">
        <f>IFERROR(__xludf.DUMMYFUNCTION("""COMPUTED_VALUE"""),5)</f>
        <v/>
      </c>
      <c r="M598" s="45">
        <f>IFERROR(__xludf.DUMMYFUNCTION("""COMPUTED_VALUE"""),227)</f>
        <v/>
      </c>
      <c r="N598" s="45">
        <f>IFERROR(__xludf.DUMMYFUNCTION("""COMPUTED_VALUE"""),63.78)</f>
        <v/>
      </c>
      <c r="O598" s="45">
        <f>IFERROR(__xludf.DUMMYFUNCTION("""COMPUTED_VALUE"""),0.397)</f>
        <v/>
      </c>
      <c r="P598" s="45">
        <f>IFERROR(__xludf.DUMMYFUNCTION("""COMPUTED_VALUE"""),"Colombo, LK")</f>
        <v/>
      </c>
      <c r="Q598" s="45">
        <f>IFERROR(__xludf.DUMMYFUNCTION("""COMPUTED_VALUE"""),"Rotterdam, NL")</f>
        <v/>
      </c>
      <c r="R598" s="44">
        <f>IFERROR(__xludf.DUMMYFUNCTION("""COMPUTED_VALUE"""),45831)</f>
        <v/>
      </c>
      <c r="S598" s="44">
        <f>IFERROR(__xludf.DUMMYFUNCTION("""COMPUTED_VALUE"""),45885)</f>
        <v/>
      </c>
      <c r="T598" s="45">
        <f>IFERROR(__xludf.DUMMYFUNCTION("""COMPUTED_VALUE"""),"Rotterdam, NL")</f>
        <v/>
      </c>
      <c r="U598" s="45" t="n"/>
      <c r="V598" s="45" t="n"/>
      <c r="W598" s="45" t="n"/>
      <c r="X598" s="45" t="n"/>
      <c r="Y598" s="46">
        <f>IFERROR(__xludf.DUMMYFUNCTION("""COMPUTED_VALUE"""),45838)</f>
        <v/>
      </c>
      <c r="Z598" s="46">
        <f>IFERROR(__xludf.DUMMYFUNCTION("""COMPUTED_VALUE"""),45859)</f>
        <v/>
      </c>
      <c r="AA598" s="46">
        <f>IFERROR(__xludf.DUMMYFUNCTION("""COMPUTED_VALUE"""),45859)</f>
        <v/>
      </c>
      <c r="AB598" s="45">
        <f>IFERROR(__xludf.DUMMYFUNCTION("""COMPUTED_VALUE"""),"Conradweg 26")</f>
        <v/>
      </c>
      <c r="AC598" s="45" t="n"/>
      <c r="AD598" s="45">
        <f>IFERROR(__xludf.DUMMYFUNCTION("""COMPUTED_VALUE"""),"OCEAN")</f>
        <v/>
      </c>
      <c r="AE598" s="45">
        <f>IFERROR(__xludf.DUMMYFUNCTION("""COMPUTED_VALUE"""),"N")</f>
        <v/>
      </c>
      <c r="AF598" s="45" t="n"/>
      <c r="AG598" s="49">
        <f>IFERROR(__xludf.DUMMYFUNCTION("IFNA(vlookup(H598,IMPORTRANGE(""1vUGwO1n0QQGx9kKbO0_M5gmuhXZ6-LaxQxgrmJnzgP0"",""'TP# look up'!A:C""),3,0),"""")"),"")</f>
        <v/>
      </c>
      <c r="AH598" s="49">
        <f>LEFT(J598,2)</f>
        <v/>
      </c>
    </row>
    <row r="599" ht="12.75" customHeight="1">
      <c r="A599" s="45">
        <f>IFERROR(__xludf.DUMMYFUNCTION("""COMPUTED_VALUE"""),"Colombo")</f>
        <v/>
      </c>
      <c r="B599" s="45" t="n"/>
      <c r="C599" s="45">
        <f>IFERROR(__xludf.DUMMYFUNCTION("""COMPUTED_VALUE"""),3259830)</f>
        <v/>
      </c>
      <c r="D599" s="45" t="n"/>
      <c r="E599" s="45">
        <f>IFERROR(__xludf.DUMMYFUNCTION("""COMPUTED_VALUE"""),"CFS")</f>
        <v/>
      </c>
      <c r="F599" s="45">
        <f>IFERROR(__xludf.DUMMYFUNCTION("""COMPUTED_VALUE"""),"MAS AMITY PTE LTD")</f>
        <v/>
      </c>
      <c r="G599" s="45">
        <f>IFERROR(__xludf.DUMMYFUNCTION("""COMPUTED_VALUE"""),"MAS Active(Pvt) Ltd – CONTOURLINE")</f>
        <v/>
      </c>
      <c r="H599" s="43">
        <f>IFERROR(__xludf.DUMMYFUNCTION("""COMPUTED_VALUE"""),457017263021)</f>
        <v/>
      </c>
      <c r="I599" s="45">
        <f>IFERROR(__xludf.DUMMYFUNCTION("""COMPUTED_VALUE"""),19820909)</f>
        <v/>
      </c>
      <c r="J599" s="45">
        <f>IFERROR(__xludf.DUMMYFUNCTION("""COMPUTED_VALUE"""),"LW1DRKS")</f>
        <v/>
      </c>
      <c r="K599" s="45">
        <f>IFERROR(__xludf.DUMMYFUNCTION("""COMPUTED_VALUE"""),"LW1DRKS-070108")</f>
        <v/>
      </c>
      <c r="L599" s="45">
        <f>IFERROR(__xludf.DUMMYFUNCTION("""COMPUTED_VALUE"""),2)</f>
        <v/>
      </c>
      <c r="M599" s="45">
        <f>IFERROR(__xludf.DUMMYFUNCTION("""COMPUTED_VALUE"""),123)</f>
        <v/>
      </c>
      <c r="N599" s="45">
        <f>IFERROR(__xludf.DUMMYFUNCTION("""COMPUTED_VALUE"""),15.582)</f>
        <v/>
      </c>
      <c r="O599" s="45">
        <f>IFERROR(__xludf.DUMMYFUNCTION("""COMPUTED_VALUE"""),0.118)</f>
        <v/>
      </c>
      <c r="P599" s="45">
        <f>IFERROR(__xludf.DUMMYFUNCTION("""COMPUTED_VALUE"""),"Colombo, LK")</f>
        <v/>
      </c>
      <c r="Q599" s="45">
        <f>IFERROR(__xludf.DUMMYFUNCTION("""COMPUTED_VALUE"""),"Rotterdam, NL")</f>
        <v/>
      </c>
      <c r="R599" s="44">
        <f>IFERROR(__xludf.DUMMYFUNCTION("""COMPUTED_VALUE"""),45831)</f>
        <v/>
      </c>
      <c r="S599" s="44">
        <f>IFERROR(__xludf.DUMMYFUNCTION("""COMPUTED_VALUE"""),45885)</f>
        <v/>
      </c>
      <c r="T599" s="45">
        <f>IFERROR(__xludf.DUMMYFUNCTION("""COMPUTED_VALUE"""),"Rotterdam, NL")</f>
        <v/>
      </c>
      <c r="U599" s="45" t="n"/>
      <c r="V599" s="45" t="n"/>
      <c r="W599" s="45" t="n"/>
      <c r="X599" s="45" t="n"/>
      <c r="Y599" s="46">
        <f>IFERROR(__xludf.DUMMYFUNCTION("""COMPUTED_VALUE"""),45838)</f>
        <v/>
      </c>
      <c r="Z599" s="46">
        <f>IFERROR(__xludf.DUMMYFUNCTION("""COMPUTED_VALUE"""),45859)</f>
        <v/>
      </c>
      <c r="AA599" s="46">
        <f>IFERROR(__xludf.DUMMYFUNCTION("""COMPUTED_VALUE"""),45859)</f>
        <v/>
      </c>
      <c r="AB599" s="45">
        <f>IFERROR(__xludf.DUMMYFUNCTION("""COMPUTED_VALUE"""),"Conradweg 26")</f>
        <v/>
      </c>
      <c r="AC599" s="45" t="n"/>
      <c r="AD599" s="45">
        <f>IFERROR(__xludf.DUMMYFUNCTION("""COMPUTED_VALUE"""),"OCEAN")</f>
        <v/>
      </c>
      <c r="AE599" s="45">
        <f>IFERROR(__xludf.DUMMYFUNCTION("""COMPUTED_VALUE"""),"N")</f>
        <v/>
      </c>
      <c r="AF599" s="45" t="n"/>
      <c r="AG599" s="49">
        <f>IFERROR(__xludf.DUMMYFUNCTION("IFNA(vlookup(H599,IMPORTRANGE(""1vUGwO1n0QQGx9kKbO0_M5gmuhXZ6-LaxQxgrmJnzgP0"",""'TP# look up'!A:C""),3,0),"""")"),"")</f>
        <v/>
      </c>
      <c r="AH599" s="49">
        <f>LEFT(J599,2)</f>
        <v/>
      </c>
    </row>
    <row r="600" ht="12.75" customHeight="1">
      <c r="A600" s="45">
        <f>IFERROR(__xludf.DUMMYFUNCTION("""COMPUTED_VALUE"""),"Colombo")</f>
        <v/>
      </c>
      <c r="B600" s="45" t="n"/>
      <c r="C600" s="45">
        <f>IFERROR(__xludf.DUMMYFUNCTION("""COMPUTED_VALUE"""),3259830)</f>
        <v/>
      </c>
      <c r="D600" s="45" t="n"/>
      <c r="E600" s="45">
        <f>IFERROR(__xludf.DUMMYFUNCTION("""COMPUTED_VALUE"""),"CFS")</f>
        <v/>
      </c>
      <c r="F600" s="45">
        <f>IFERROR(__xludf.DUMMYFUNCTION("""COMPUTED_VALUE"""),"MAS AMITY PTE LTD")</f>
        <v/>
      </c>
      <c r="G600" s="45">
        <f>IFERROR(__xludf.DUMMYFUNCTION("""COMPUTED_VALUE"""),"MAS Active(Pvt) Ltd – CONTOURLINE")</f>
        <v/>
      </c>
      <c r="H600" s="43">
        <f>IFERROR(__xludf.DUMMYFUNCTION("""COMPUTED_VALUE"""),457017263432)</f>
        <v/>
      </c>
      <c r="I600" s="45">
        <f>IFERROR(__xludf.DUMMYFUNCTION("""COMPUTED_VALUE"""),19921011)</f>
        <v/>
      </c>
      <c r="J600" s="45">
        <f>IFERROR(__xludf.DUMMYFUNCTION("""COMPUTED_VALUE"""),"LW7DPES")</f>
        <v/>
      </c>
      <c r="K600" s="45">
        <f>IFERROR(__xludf.DUMMYFUNCTION("""COMPUTED_VALUE"""),"LW7DPES-071168")</f>
        <v/>
      </c>
      <c r="L600" s="45">
        <f>IFERROR(__xludf.DUMMYFUNCTION("""COMPUTED_VALUE"""),6)</f>
        <v/>
      </c>
      <c r="M600" s="45">
        <f>IFERROR(__xludf.DUMMYFUNCTION("""COMPUTED_VALUE"""),348)</f>
        <v/>
      </c>
      <c r="N600" s="45">
        <f>IFERROR(__xludf.DUMMYFUNCTION("""COMPUTED_VALUE"""),56.938)</f>
        <v/>
      </c>
      <c r="O600" s="45">
        <f>IFERROR(__xludf.DUMMYFUNCTION("""COMPUTED_VALUE"""),0.395)</f>
        <v/>
      </c>
      <c r="P600" s="45">
        <f>IFERROR(__xludf.DUMMYFUNCTION("""COMPUTED_VALUE"""),"Colombo, LK")</f>
        <v/>
      </c>
      <c r="Q600" s="45">
        <f>IFERROR(__xludf.DUMMYFUNCTION("""COMPUTED_VALUE"""),"Rotterdam, NL")</f>
        <v/>
      </c>
      <c r="R600" s="44">
        <f>IFERROR(__xludf.DUMMYFUNCTION("""COMPUTED_VALUE"""),45831)</f>
        <v/>
      </c>
      <c r="S600" s="44">
        <f>IFERROR(__xludf.DUMMYFUNCTION("""COMPUTED_VALUE"""),45885)</f>
        <v/>
      </c>
      <c r="T600" s="45">
        <f>IFERROR(__xludf.DUMMYFUNCTION("""COMPUTED_VALUE"""),"Rotterdam, NL")</f>
        <v/>
      </c>
      <c r="U600" s="45" t="n"/>
      <c r="V600" s="45" t="n"/>
      <c r="W600" s="45" t="n"/>
      <c r="X600" s="45" t="n"/>
      <c r="Y600" s="46">
        <f>IFERROR(__xludf.DUMMYFUNCTION("""COMPUTED_VALUE"""),45838)</f>
        <v/>
      </c>
      <c r="Z600" s="46">
        <f>IFERROR(__xludf.DUMMYFUNCTION("""COMPUTED_VALUE"""),45859)</f>
        <v/>
      </c>
      <c r="AA600" s="46">
        <f>IFERROR(__xludf.DUMMYFUNCTION("""COMPUTED_VALUE"""),45859)</f>
        <v/>
      </c>
      <c r="AB600" s="45">
        <f>IFERROR(__xludf.DUMMYFUNCTION("""COMPUTED_VALUE"""),"Conradweg 26")</f>
        <v/>
      </c>
      <c r="AC600" s="45" t="n"/>
      <c r="AD600" s="45">
        <f>IFERROR(__xludf.DUMMYFUNCTION("""COMPUTED_VALUE"""),"OCEAN")</f>
        <v/>
      </c>
      <c r="AE600" s="45">
        <f>IFERROR(__xludf.DUMMYFUNCTION("""COMPUTED_VALUE"""),"N")</f>
        <v/>
      </c>
      <c r="AF600" s="45" t="n"/>
      <c r="AG600" s="49">
        <f>IFERROR(__xludf.DUMMYFUNCTION("IFNA(vlookup(H600,IMPORTRANGE(""1vUGwO1n0QQGx9kKbO0_M5gmuhXZ6-LaxQxgrmJnzgP0"",""'TP# look up'!A:C""),3,0),"""")"),"")</f>
        <v/>
      </c>
      <c r="AH600" s="49">
        <f>LEFT(J600,2)</f>
        <v/>
      </c>
    </row>
    <row r="601" ht="12.75" customHeight="1">
      <c r="A601" s="45">
        <f>IFERROR(__xludf.DUMMYFUNCTION("""COMPUTED_VALUE"""),"Colombo")</f>
        <v/>
      </c>
      <c r="B601" s="45" t="n"/>
      <c r="C601" s="45">
        <f>IFERROR(__xludf.DUMMYFUNCTION("""COMPUTED_VALUE"""),3259830)</f>
        <v/>
      </c>
      <c r="D601" s="45" t="n"/>
      <c r="E601" s="45">
        <f>IFERROR(__xludf.DUMMYFUNCTION("""COMPUTED_VALUE"""),"CFS")</f>
        <v/>
      </c>
      <c r="F601" s="45">
        <f>IFERROR(__xludf.DUMMYFUNCTION("""COMPUTED_VALUE"""),"MAS AMITY PTE LTD")</f>
        <v/>
      </c>
      <c r="G601" s="45">
        <f>IFERROR(__xludf.DUMMYFUNCTION("""COMPUTED_VALUE"""),"MAS Active(Pvt) Ltd – CONTOURLINE")</f>
        <v/>
      </c>
      <c r="H601" s="43">
        <f>IFERROR(__xludf.DUMMYFUNCTION("""COMPUTED_VALUE"""),457019157226)</f>
        <v/>
      </c>
      <c r="I601" s="45">
        <f>IFERROR(__xludf.DUMMYFUNCTION("""COMPUTED_VALUE"""),19820905)</f>
        <v/>
      </c>
      <c r="J601" s="45">
        <f>IFERROR(__xludf.DUMMYFUNCTION("""COMPUTED_VALUE"""),"LW1DRKS")</f>
        <v/>
      </c>
      <c r="K601" s="45">
        <f>IFERROR(__xludf.DUMMYFUNCTION("""COMPUTED_VALUE"""),"LW1DRKS-070108")</f>
        <v/>
      </c>
      <c r="L601" s="45">
        <f>IFERROR(__xludf.DUMMYFUNCTION("""COMPUTED_VALUE"""),5)</f>
        <v/>
      </c>
      <c r="M601" s="45">
        <f>IFERROR(__xludf.DUMMYFUNCTION("""COMPUTED_VALUE"""),302)</f>
        <v/>
      </c>
      <c r="N601" s="45">
        <f>IFERROR(__xludf.DUMMYFUNCTION("""COMPUTED_VALUE"""),38.355)</f>
        <v/>
      </c>
      <c r="O601" s="45">
        <f>IFERROR(__xludf.DUMMYFUNCTION("""COMPUTED_VALUE"""),0.276)</f>
        <v/>
      </c>
      <c r="P601" s="45">
        <f>IFERROR(__xludf.DUMMYFUNCTION("""COMPUTED_VALUE"""),"Colombo, LK")</f>
        <v/>
      </c>
      <c r="Q601" s="45">
        <f>IFERROR(__xludf.DUMMYFUNCTION("""COMPUTED_VALUE"""),"Rotterdam, NL")</f>
        <v/>
      </c>
      <c r="R601" s="44">
        <f>IFERROR(__xludf.DUMMYFUNCTION("""COMPUTED_VALUE"""),45831)</f>
        <v/>
      </c>
      <c r="S601" s="44">
        <f>IFERROR(__xludf.DUMMYFUNCTION("""COMPUTED_VALUE"""),45885)</f>
        <v/>
      </c>
      <c r="T601" s="45">
        <f>IFERROR(__xludf.DUMMYFUNCTION("""COMPUTED_VALUE"""),"Rotterdam, NL")</f>
        <v/>
      </c>
      <c r="U601" s="45" t="n"/>
      <c r="V601" s="45" t="n"/>
      <c r="W601" s="45" t="n"/>
      <c r="X601" s="45" t="n"/>
      <c r="Y601" s="46">
        <f>IFERROR(__xludf.DUMMYFUNCTION("""COMPUTED_VALUE"""),45838)</f>
        <v/>
      </c>
      <c r="Z601" s="46">
        <f>IFERROR(__xludf.DUMMYFUNCTION("""COMPUTED_VALUE"""),45859)</f>
        <v/>
      </c>
      <c r="AA601" s="46">
        <f>IFERROR(__xludf.DUMMYFUNCTION("""COMPUTED_VALUE"""),45859)</f>
        <v/>
      </c>
      <c r="AB601" s="45">
        <f>IFERROR(__xludf.DUMMYFUNCTION("""COMPUTED_VALUE"""),"Conradweg 26")</f>
        <v/>
      </c>
      <c r="AC601" s="45" t="n"/>
      <c r="AD601" s="45">
        <f>IFERROR(__xludf.DUMMYFUNCTION("""COMPUTED_VALUE"""),"OCEAN")</f>
        <v/>
      </c>
      <c r="AE601" s="45">
        <f>IFERROR(__xludf.DUMMYFUNCTION("""COMPUTED_VALUE"""),"N")</f>
        <v/>
      </c>
      <c r="AF601" s="45" t="n"/>
      <c r="AG601" s="49">
        <f>IFERROR(__xludf.DUMMYFUNCTION("IFNA(vlookup(H601,IMPORTRANGE(""1vUGwO1n0QQGx9kKbO0_M5gmuhXZ6-LaxQxgrmJnzgP0"",""'TP# look up'!A:C""),3,0),"""")"),"")</f>
        <v/>
      </c>
      <c r="AH601" s="49">
        <f>LEFT(J601,2)</f>
        <v/>
      </c>
    </row>
    <row r="602" ht="12.75" customHeight="1">
      <c r="A602" s="45">
        <f>IFERROR(__xludf.DUMMYFUNCTION("""COMPUTED_VALUE"""),"Colombo")</f>
        <v/>
      </c>
      <c r="B602" s="45" t="n"/>
      <c r="C602" s="45">
        <f>IFERROR(__xludf.DUMMYFUNCTION("""COMPUTED_VALUE"""),3259830)</f>
        <v/>
      </c>
      <c r="D602" s="45" t="n"/>
      <c r="E602" s="45">
        <f>IFERROR(__xludf.DUMMYFUNCTION("""COMPUTED_VALUE"""),"CFS")</f>
        <v/>
      </c>
      <c r="F602" s="45">
        <f>IFERROR(__xludf.DUMMYFUNCTION("""COMPUTED_VALUE"""),"MAS AMITY PTE LTD")</f>
        <v/>
      </c>
      <c r="G602" s="45">
        <f>IFERROR(__xludf.DUMMYFUNCTION("""COMPUTED_VALUE"""),"MAS Active(Pvt) Ltd – CONTOURLINE")</f>
        <v/>
      </c>
      <c r="H602" s="43">
        <f>IFERROR(__xludf.DUMMYFUNCTION("""COMPUTED_VALUE"""),457019299559)</f>
        <v/>
      </c>
      <c r="I602" s="45">
        <f>IFERROR(__xludf.DUMMYFUNCTION("""COMPUTED_VALUE"""),19921013)</f>
        <v/>
      </c>
      <c r="J602" s="45">
        <f>IFERROR(__xludf.DUMMYFUNCTION("""COMPUTED_VALUE"""),"LW7DPES")</f>
        <v/>
      </c>
      <c r="K602" s="45">
        <f>IFERROR(__xludf.DUMMYFUNCTION("""COMPUTED_VALUE"""),"LW7DPES-031382")</f>
        <v/>
      </c>
      <c r="L602" s="45">
        <f>IFERROR(__xludf.DUMMYFUNCTION("""COMPUTED_VALUE"""),6)</f>
        <v/>
      </c>
      <c r="M602" s="45">
        <f>IFERROR(__xludf.DUMMYFUNCTION("""COMPUTED_VALUE"""),351)</f>
        <v/>
      </c>
      <c r="N602" s="45">
        <f>IFERROR(__xludf.DUMMYFUNCTION("""COMPUTED_VALUE"""),57.349)</f>
        <v/>
      </c>
      <c r="O602" s="45">
        <f>IFERROR(__xludf.DUMMYFUNCTION("""COMPUTED_VALUE"""),0.395)</f>
        <v/>
      </c>
      <c r="P602" s="45">
        <f>IFERROR(__xludf.DUMMYFUNCTION("""COMPUTED_VALUE"""),"Colombo, LK")</f>
        <v/>
      </c>
      <c r="Q602" s="45">
        <f>IFERROR(__xludf.DUMMYFUNCTION("""COMPUTED_VALUE"""),"Rotterdam, NL")</f>
        <v/>
      </c>
      <c r="R602" s="44">
        <f>IFERROR(__xludf.DUMMYFUNCTION("""COMPUTED_VALUE"""),45831)</f>
        <v/>
      </c>
      <c r="S602" s="44">
        <f>IFERROR(__xludf.DUMMYFUNCTION("""COMPUTED_VALUE"""),45885)</f>
        <v/>
      </c>
      <c r="T602" s="45">
        <f>IFERROR(__xludf.DUMMYFUNCTION("""COMPUTED_VALUE"""),"Rotterdam, NL")</f>
        <v/>
      </c>
      <c r="U602" s="45" t="n"/>
      <c r="V602" s="45" t="n"/>
      <c r="W602" s="45" t="n"/>
      <c r="X602" s="45" t="n"/>
      <c r="Y602" s="46">
        <f>IFERROR(__xludf.DUMMYFUNCTION("""COMPUTED_VALUE"""),45838)</f>
        <v/>
      </c>
      <c r="Z602" s="46">
        <f>IFERROR(__xludf.DUMMYFUNCTION("""COMPUTED_VALUE"""),45859)</f>
        <v/>
      </c>
      <c r="AA602" s="46">
        <f>IFERROR(__xludf.DUMMYFUNCTION("""COMPUTED_VALUE"""),45859)</f>
        <v/>
      </c>
      <c r="AB602" s="45">
        <f>IFERROR(__xludf.DUMMYFUNCTION("""COMPUTED_VALUE"""),"Conradweg 26")</f>
        <v/>
      </c>
      <c r="AC602" s="45" t="n"/>
      <c r="AD602" s="45">
        <f>IFERROR(__xludf.DUMMYFUNCTION("""COMPUTED_VALUE"""),"OCEAN")</f>
        <v/>
      </c>
      <c r="AE602" s="45">
        <f>IFERROR(__xludf.DUMMYFUNCTION("""COMPUTED_VALUE"""),"N")</f>
        <v/>
      </c>
      <c r="AF602" s="45" t="n"/>
      <c r="AG602" s="49">
        <f>IFERROR(__xludf.DUMMYFUNCTION("IFNA(vlookup(H602,IMPORTRANGE(""1vUGwO1n0QQGx9kKbO0_M5gmuhXZ6-LaxQxgrmJnzgP0"",""'TP# look up'!A:C""),3,0),"""")"),"")</f>
        <v/>
      </c>
      <c r="AH602" s="49">
        <f>LEFT(J602,2)</f>
        <v/>
      </c>
    </row>
    <row r="603" ht="12.75" customHeight="1">
      <c r="A603" s="45">
        <f>IFERROR(__xludf.DUMMYFUNCTION("""COMPUTED_VALUE"""),"Colombo")</f>
        <v/>
      </c>
      <c r="B603" s="45" t="n"/>
      <c r="C603" s="45">
        <f>IFERROR(__xludf.DUMMYFUNCTION("""COMPUTED_VALUE"""),3259830)</f>
        <v/>
      </c>
      <c r="D603" s="45" t="n"/>
      <c r="E603" s="45">
        <f>IFERROR(__xludf.DUMMYFUNCTION("""COMPUTED_VALUE"""),"CFS")</f>
        <v/>
      </c>
      <c r="F603" s="45">
        <f>IFERROR(__xludf.DUMMYFUNCTION("""COMPUTED_VALUE"""),"MAS AMITY PTE LTD")</f>
        <v/>
      </c>
      <c r="G603" s="45">
        <f>IFERROR(__xludf.DUMMYFUNCTION("""COMPUTED_VALUE"""),"MAS Active(Pvt) Ltd – CONTOURLINE")</f>
        <v/>
      </c>
      <c r="H603" s="43">
        <f>IFERROR(__xludf.DUMMYFUNCTION("""COMPUTED_VALUE"""),457022289453)</f>
        <v/>
      </c>
      <c r="I603" s="45">
        <f>IFERROR(__xludf.DUMMYFUNCTION("""COMPUTED_VALUE"""),19921006)</f>
        <v/>
      </c>
      <c r="J603" s="45">
        <f>IFERROR(__xludf.DUMMYFUNCTION("""COMPUTED_VALUE"""),"LW7CPPS")</f>
        <v/>
      </c>
      <c r="K603" s="45">
        <f>IFERROR(__xludf.DUMMYFUNCTION("""COMPUTED_VALUE"""),"LW7CPPS-062214")</f>
        <v/>
      </c>
      <c r="L603" s="45">
        <f>IFERROR(__xludf.DUMMYFUNCTION("""COMPUTED_VALUE"""),5)</f>
        <v/>
      </c>
      <c r="M603" s="45">
        <f>IFERROR(__xludf.DUMMYFUNCTION("""COMPUTED_VALUE"""),293)</f>
        <v/>
      </c>
      <c r="N603" s="45">
        <f>IFERROR(__xludf.DUMMYFUNCTION("""COMPUTED_VALUE"""),45.513)</f>
        <v/>
      </c>
      <c r="O603" s="45">
        <f>IFERROR(__xludf.DUMMYFUNCTION("""COMPUTED_VALUE"""),0.355)</f>
        <v/>
      </c>
      <c r="P603" s="45">
        <f>IFERROR(__xludf.DUMMYFUNCTION("""COMPUTED_VALUE"""),"Colombo, LK")</f>
        <v/>
      </c>
      <c r="Q603" s="45">
        <f>IFERROR(__xludf.DUMMYFUNCTION("""COMPUTED_VALUE"""),"Rotterdam, NL")</f>
        <v/>
      </c>
      <c r="R603" s="44">
        <f>IFERROR(__xludf.DUMMYFUNCTION("""COMPUTED_VALUE"""),45831)</f>
        <v/>
      </c>
      <c r="S603" s="44">
        <f>IFERROR(__xludf.DUMMYFUNCTION("""COMPUTED_VALUE"""),45885)</f>
        <v/>
      </c>
      <c r="T603" s="45">
        <f>IFERROR(__xludf.DUMMYFUNCTION("""COMPUTED_VALUE"""),"Rotterdam, NL")</f>
        <v/>
      </c>
      <c r="U603" s="45" t="n"/>
      <c r="V603" s="45" t="n"/>
      <c r="W603" s="45" t="n"/>
      <c r="X603" s="45" t="n"/>
      <c r="Y603" s="46">
        <f>IFERROR(__xludf.DUMMYFUNCTION("""COMPUTED_VALUE"""),45838)</f>
        <v/>
      </c>
      <c r="Z603" s="46">
        <f>IFERROR(__xludf.DUMMYFUNCTION("""COMPUTED_VALUE"""),45859)</f>
        <v/>
      </c>
      <c r="AA603" s="46">
        <f>IFERROR(__xludf.DUMMYFUNCTION("""COMPUTED_VALUE"""),45859)</f>
        <v/>
      </c>
      <c r="AB603" s="45">
        <f>IFERROR(__xludf.DUMMYFUNCTION("""COMPUTED_VALUE"""),"Conradweg 26")</f>
        <v/>
      </c>
      <c r="AC603" s="45" t="n"/>
      <c r="AD603" s="45">
        <f>IFERROR(__xludf.DUMMYFUNCTION("""COMPUTED_VALUE"""),"OCEAN")</f>
        <v/>
      </c>
      <c r="AE603" s="45">
        <f>IFERROR(__xludf.DUMMYFUNCTION("""COMPUTED_VALUE"""),"N")</f>
        <v/>
      </c>
      <c r="AF603" s="45" t="n"/>
      <c r="AG603" s="49">
        <f>IFERROR(__xludf.DUMMYFUNCTION("IFNA(vlookup(H603,IMPORTRANGE(""1vUGwO1n0QQGx9kKbO0_M5gmuhXZ6-LaxQxgrmJnzgP0"",""'TP# look up'!A:C""),3,0),"""")"),"")</f>
        <v/>
      </c>
      <c r="AH603" s="49">
        <f>LEFT(J603,2)</f>
        <v/>
      </c>
    </row>
    <row r="604" ht="12.75" customHeight="1">
      <c r="A604" s="45">
        <f>IFERROR(__xludf.DUMMYFUNCTION("""COMPUTED_VALUE"""),"Colombo")</f>
        <v/>
      </c>
      <c r="B604" s="45" t="n"/>
      <c r="C604" s="45">
        <f>IFERROR(__xludf.DUMMYFUNCTION("""COMPUTED_VALUE"""),3259830)</f>
        <v/>
      </c>
      <c r="D604" s="45" t="n"/>
      <c r="E604" s="45">
        <f>IFERROR(__xludf.DUMMYFUNCTION("""COMPUTED_VALUE"""),"CFS")</f>
        <v/>
      </c>
      <c r="F604" s="45">
        <f>IFERROR(__xludf.DUMMYFUNCTION("""COMPUTED_VALUE"""),"MAS AMITY PTE LTD")</f>
        <v/>
      </c>
      <c r="G604" s="45">
        <f>IFERROR(__xludf.DUMMYFUNCTION("""COMPUTED_VALUE"""),"MAS Active(Pvt) Ltd – CONTOURLINE")</f>
        <v/>
      </c>
      <c r="H604" s="43">
        <f>IFERROR(__xludf.DUMMYFUNCTION("""COMPUTED_VALUE"""),457022289673)</f>
        <v/>
      </c>
      <c r="I604" s="45">
        <f>IFERROR(__xludf.DUMMYFUNCTION("""COMPUTED_VALUE"""),19926191)</f>
        <v/>
      </c>
      <c r="J604" s="45">
        <f>IFERROR(__xludf.DUMMYFUNCTION("""COMPUTED_VALUE"""),"LW7CPPS")</f>
        <v/>
      </c>
      <c r="K604" s="45">
        <f>IFERROR(__xludf.DUMMYFUNCTION("""COMPUTED_VALUE"""),"LW7CPPS-049106")</f>
        <v/>
      </c>
      <c r="L604" s="45">
        <f>IFERROR(__xludf.DUMMYFUNCTION("""COMPUTED_VALUE"""),1)</f>
        <v/>
      </c>
      <c r="M604" s="45">
        <f>IFERROR(__xludf.DUMMYFUNCTION("""COMPUTED_VALUE"""),60)</f>
        <v/>
      </c>
      <c r="N604" s="45">
        <f>IFERROR(__xludf.DUMMYFUNCTION("""COMPUTED_VALUE"""),9.482)</f>
        <v/>
      </c>
      <c r="O604" s="45">
        <f>IFERROR(__xludf.DUMMYFUNCTION("""COMPUTED_VALUE"""),0.079)</f>
        <v/>
      </c>
      <c r="P604" s="45">
        <f>IFERROR(__xludf.DUMMYFUNCTION("""COMPUTED_VALUE"""),"Colombo, LK")</f>
        <v/>
      </c>
      <c r="Q604" s="45">
        <f>IFERROR(__xludf.DUMMYFUNCTION("""COMPUTED_VALUE"""),"Rotterdam, NL")</f>
        <v/>
      </c>
      <c r="R604" s="44">
        <f>IFERROR(__xludf.DUMMYFUNCTION("""COMPUTED_VALUE"""),45831)</f>
        <v/>
      </c>
      <c r="S604" s="44">
        <f>IFERROR(__xludf.DUMMYFUNCTION("""COMPUTED_VALUE"""),45885)</f>
        <v/>
      </c>
      <c r="T604" s="45">
        <f>IFERROR(__xludf.DUMMYFUNCTION("""COMPUTED_VALUE"""),"Rotterdam, NL")</f>
        <v/>
      </c>
      <c r="U604" s="45" t="n"/>
      <c r="V604" s="45" t="n"/>
      <c r="W604" s="45" t="n"/>
      <c r="X604" s="45" t="n"/>
      <c r="Y604" s="46">
        <f>IFERROR(__xludf.DUMMYFUNCTION("""COMPUTED_VALUE"""),45838)</f>
        <v/>
      </c>
      <c r="Z604" s="46">
        <f>IFERROR(__xludf.DUMMYFUNCTION("""COMPUTED_VALUE"""),45859)</f>
        <v/>
      </c>
      <c r="AA604" s="46">
        <f>IFERROR(__xludf.DUMMYFUNCTION("""COMPUTED_VALUE"""),45859)</f>
        <v/>
      </c>
      <c r="AB604" s="45">
        <f>IFERROR(__xludf.DUMMYFUNCTION("""COMPUTED_VALUE"""),"Conradweg 26")</f>
        <v/>
      </c>
      <c r="AC604" s="45" t="n"/>
      <c r="AD604" s="45">
        <f>IFERROR(__xludf.DUMMYFUNCTION("""COMPUTED_VALUE"""),"OCEAN")</f>
        <v/>
      </c>
      <c r="AE604" s="45">
        <f>IFERROR(__xludf.DUMMYFUNCTION("""COMPUTED_VALUE"""),"N")</f>
        <v/>
      </c>
      <c r="AF604" s="45" t="n"/>
      <c r="AG604" s="49">
        <f>IFERROR(__xludf.DUMMYFUNCTION("IFNA(vlookup(H604,IMPORTRANGE(""1vUGwO1n0QQGx9kKbO0_M5gmuhXZ6-LaxQxgrmJnzgP0"",""'TP# look up'!A:C""),3,0),"""")"),"")</f>
        <v/>
      </c>
      <c r="AH604" s="49">
        <f>LEFT(J604,2)</f>
        <v/>
      </c>
    </row>
    <row r="605" ht="12.75" customHeight="1">
      <c r="A605" s="45">
        <f>IFERROR(__xludf.DUMMYFUNCTION("""COMPUTED_VALUE"""),"Colombo")</f>
        <v/>
      </c>
      <c r="B605" s="45" t="n"/>
      <c r="C605" s="45">
        <f>IFERROR(__xludf.DUMMYFUNCTION("""COMPUTED_VALUE"""),3259830)</f>
        <v/>
      </c>
      <c r="D605" s="45" t="n"/>
      <c r="E605" s="45">
        <f>IFERROR(__xludf.DUMMYFUNCTION("""COMPUTED_VALUE"""),"CFS")</f>
        <v/>
      </c>
      <c r="F605" s="45">
        <f>IFERROR(__xludf.DUMMYFUNCTION("""COMPUTED_VALUE"""),"MAS AMITY PTE LTD")</f>
        <v/>
      </c>
      <c r="G605" s="45">
        <f>IFERROR(__xludf.DUMMYFUNCTION("""COMPUTED_VALUE"""),"MAS Active(Pvt) Ltd – CONTOURLINE")</f>
        <v/>
      </c>
      <c r="H605" s="43">
        <f>IFERROR(__xludf.DUMMYFUNCTION("""COMPUTED_VALUE"""),457028101475)</f>
        <v/>
      </c>
      <c r="I605" s="45">
        <f>IFERROR(__xludf.DUMMYFUNCTION("""COMPUTED_VALUE"""),19926208)</f>
        <v/>
      </c>
      <c r="J605" s="45">
        <f>IFERROR(__xludf.DUMMYFUNCTION("""COMPUTED_VALUE"""),"LW7CPPS")</f>
        <v/>
      </c>
      <c r="K605" s="45">
        <f>IFERROR(__xludf.DUMMYFUNCTION("""COMPUTED_VALUE"""),"LW7CPPS-049106")</f>
        <v/>
      </c>
      <c r="L605" s="45">
        <f>IFERROR(__xludf.DUMMYFUNCTION("""COMPUTED_VALUE"""),4)</f>
        <v/>
      </c>
      <c r="M605" s="45">
        <f>IFERROR(__xludf.DUMMYFUNCTION("""COMPUTED_VALUE"""),180)</f>
        <v/>
      </c>
      <c r="N605" s="45">
        <f>IFERROR(__xludf.DUMMYFUNCTION("""COMPUTED_VALUE"""),29.215)</f>
        <v/>
      </c>
      <c r="O605" s="45">
        <f>IFERROR(__xludf.DUMMYFUNCTION("""COMPUTED_VALUE"""),0.237)</f>
        <v/>
      </c>
      <c r="P605" s="45">
        <f>IFERROR(__xludf.DUMMYFUNCTION("""COMPUTED_VALUE"""),"Colombo, LK")</f>
        <v/>
      </c>
      <c r="Q605" s="45">
        <f>IFERROR(__xludf.DUMMYFUNCTION("""COMPUTED_VALUE"""),"Rotterdam, NL")</f>
        <v/>
      </c>
      <c r="R605" s="44">
        <f>IFERROR(__xludf.DUMMYFUNCTION("""COMPUTED_VALUE"""),45831)</f>
        <v/>
      </c>
      <c r="S605" s="44">
        <f>IFERROR(__xludf.DUMMYFUNCTION("""COMPUTED_VALUE"""),45885)</f>
        <v/>
      </c>
      <c r="T605" s="45">
        <f>IFERROR(__xludf.DUMMYFUNCTION("""COMPUTED_VALUE"""),"Rotterdam, NL")</f>
        <v/>
      </c>
      <c r="U605" s="45" t="n"/>
      <c r="V605" s="45" t="n"/>
      <c r="W605" s="45" t="n"/>
      <c r="X605" s="45" t="n"/>
      <c r="Y605" s="46">
        <f>IFERROR(__xludf.DUMMYFUNCTION("""COMPUTED_VALUE"""),45838)</f>
        <v/>
      </c>
      <c r="Z605" s="46">
        <f>IFERROR(__xludf.DUMMYFUNCTION("""COMPUTED_VALUE"""),45859)</f>
        <v/>
      </c>
      <c r="AA605" s="46">
        <f>IFERROR(__xludf.DUMMYFUNCTION("""COMPUTED_VALUE"""),45859)</f>
        <v/>
      </c>
      <c r="AB605" s="45">
        <f>IFERROR(__xludf.DUMMYFUNCTION("""COMPUTED_VALUE"""),"Conradweg 26")</f>
        <v/>
      </c>
      <c r="AC605" s="45" t="n"/>
      <c r="AD605" s="45">
        <f>IFERROR(__xludf.DUMMYFUNCTION("""COMPUTED_VALUE"""),"OCEAN")</f>
        <v/>
      </c>
      <c r="AE605" s="45">
        <f>IFERROR(__xludf.DUMMYFUNCTION("""COMPUTED_VALUE"""),"N")</f>
        <v/>
      </c>
      <c r="AF605" s="45" t="n"/>
      <c r="AG605" s="49">
        <f>IFERROR(__xludf.DUMMYFUNCTION("IFNA(vlookup(H605,IMPORTRANGE(""1vUGwO1n0QQGx9kKbO0_M5gmuhXZ6-LaxQxgrmJnzgP0"",""'TP# look up'!A:C""),3,0),"""")"),"")</f>
        <v/>
      </c>
      <c r="AH605" s="49">
        <f>LEFT(J605,2)</f>
        <v/>
      </c>
    </row>
    <row r="606" ht="12.75" customHeight="1">
      <c r="A606" s="45">
        <f>IFERROR(__xludf.DUMMYFUNCTION("""COMPUTED_VALUE"""),"Colombo")</f>
        <v/>
      </c>
      <c r="B606" s="45" t="n"/>
      <c r="C606" s="45">
        <f>IFERROR(__xludf.DUMMYFUNCTION("""COMPUTED_VALUE"""),3259830)</f>
        <v/>
      </c>
      <c r="D606" s="45" t="n"/>
      <c r="E606" s="45">
        <f>IFERROR(__xludf.DUMMYFUNCTION("""COMPUTED_VALUE"""),"CFS")</f>
        <v/>
      </c>
      <c r="F606" s="45">
        <f>IFERROR(__xludf.DUMMYFUNCTION("""COMPUTED_VALUE"""),"MAS AMITY PTE LTD")</f>
        <v/>
      </c>
      <c r="G606" s="45">
        <f>IFERROR(__xludf.DUMMYFUNCTION("""COMPUTED_VALUE"""),"MAS Active(Pvt) Ltd – CONTOURLINE")</f>
        <v/>
      </c>
      <c r="H606" s="43">
        <f>IFERROR(__xludf.DUMMYFUNCTION("""COMPUTED_VALUE"""),457033356641)</f>
        <v/>
      </c>
      <c r="I606" s="45">
        <f>IFERROR(__xludf.DUMMYFUNCTION("""COMPUTED_VALUE"""),19926222)</f>
        <v/>
      </c>
      <c r="J606" s="45">
        <f>IFERROR(__xludf.DUMMYFUNCTION("""COMPUTED_VALUE"""),"LW7DPES")</f>
        <v/>
      </c>
      <c r="K606" s="45">
        <f>IFERROR(__xludf.DUMMYFUNCTION("""COMPUTED_VALUE"""),"LW7DPES-049106")</f>
        <v/>
      </c>
      <c r="L606" s="45">
        <f>IFERROR(__xludf.DUMMYFUNCTION("""COMPUTED_VALUE"""),7)</f>
        <v/>
      </c>
      <c r="M606" s="45">
        <f>IFERROR(__xludf.DUMMYFUNCTION("""COMPUTED_VALUE"""),406)</f>
        <v/>
      </c>
      <c r="N606" s="45">
        <f>IFERROR(__xludf.DUMMYFUNCTION("""COMPUTED_VALUE"""),66.925)</f>
        <v/>
      </c>
      <c r="O606" s="45">
        <f>IFERROR(__xludf.DUMMYFUNCTION("""COMPUTED_VALUE"""),0.434)</f>
        <v/>
      </c>
      <c r="P606" s="45">
        <f>IFERROR(__xludf.DUMMYFUNCTION("""COMPUTED_VALUE"""),"Colombo, LK")</f>
        <v/>
      </c>
      <c r="Q606" s="45">
        <f>IFERROR(__xludf.DUMMYFUNCTION("""COMPUTED_VALUE"""),"Rotterdam, NL")</f>
        <v/>
      </c>
      <c r="R606" s="44">
        <f>IFERROR(__xludf.DUMMYFUNCTION("""COMPUTED_VALUE"""),45831)</f>
        <v/>
      </c>
      <c r="S606" s="44">
        <f>IFERROR(__xludf.DUMMYFUNCTION("""COMPUTED_VALUE"""),45885)</f>
        <v/>
      </c>
      <c r="T606" s="45">
        <f>IFERROR(__xludf.DUMMYFUNCTION("""COMPUTED_VALUE"""),"Rotterdam, NL")</f>
        <v/>
      </c>
      <c r="U606" s="45" t="n"/>
      <c r="V606" s="45" t="n"/>
      <c r="W606" s="45" t="n"/>
      <c r="X606" s="45" t="n"/>
      <c r="Y606" s="46">
        <f>IFERROR(__xludf.DUMMYFUNCTION("""COMPUTED_VALUE"""),45838)</f>
        <v/>
      </c>
      <c r="Z606" s="46">
        <f>IFERROR(__xludf.DUMMYFUNCTION("""COMPUTED_VALUE"""),45859)</f>
        <v/>
      </c>
      <c r="AA606" s="46">
        <f>IFERROR(__xludf.DUMMYFUNCTION("""COMPUTED_VALUE"""),45859)</f>
        <v/>
      </c>
      <c r="AB606" s="45">
        <f>IFERROR(__xludf.DUMMYFUNCTION("""COMPUTED_VALUE"""),"Conradweg 26")</f>
        <v/>
      </c>
      <c r="AC606" s="45" t="n"/>
      <c r="AD606" s="45">
        <f>IFERROR(__xludf.DUMMYFUNCTION("""COMPUTED_VALUE"""),"OCEAN")</f>
        <v/>
      </c>
      <c r="AE606" s="45">
        <f>IFERROR(__xludf.DUMMYFUNCTION("""COMPUTED_VALUE"""),"N")</f>
        <v/>
      </c>
      <c r="AF606" s="45" t="n"/>
      <c r="AG606" s="49">
        <f>IFERROR(__xludf.DUMMYFUNCTION("IFNA(vlookup(H606,IMPORTRANGE(""1vUGwO1n0QQGx9kKbO0_M5gmuhXZ6-LaxQxgrmJnzgP0"",""'TP# look up'!A:C""),3,0),"""")"),"")</f>
        <v/>
      </c>
      <c r="AH606" s="49">
        <f>LEFT(J606,2)</f>
        <v/>
      </c>
    </row>
    <row r="607" ht="12.75" customHeight="1">
      <c r="A607" s="45">
        <f>IFERROR(__xludf.DUMMYFUNCTION("""COMPUTED_VALUE"""),"Colombo")</f>
        <v/>
      </c>
      <c r="B607" s="45" t="n"/>
      <c r="C607" s="45">
        <f>IFERROR(__xludf.DUMMYFUNCTION("""COMPUTED_VALUE"""),3259830)</f>
        <v/>
      </c>
      <c r="D607" s="45" t="n"/>
      <c r="E607" s="45">
        <f>IFERROR(__xludf.DUMMYFUNCTION("""COMPUTED_VALUE"""),"CFS")</f>
        <v/>
      </c>
      <c r="F607" s="45">
        <f>IFERROR(__xludf.DUMMYFUNCTION("""COMPUTED_VALUE"""),"Inqube Global (PVT) Ltd")</f>
        <v/>
      </c>
      <c r="G607" s="45">
        <f>IFERROR(__xludf.DUMMYFUNCTION("""COMPUTED_VALUE"""),"Brandix Apparel Solutions Limited - Minuwangoda")</f>
        <v/>
      </c>
      <c r="H607" s="43">
        <f>IFERROR(__xludf.DUMMYFUNCTION("""COMPUTED_VALUE"""),455735922109)</f>
        <v/>
      </c>
      <c r="I607" s="45">
        <f>IFERROR(__xludf.DUMMYFUNCTION("""COMPUTED_VALUE"""),19855233)</f>
        <v/>
      </c>
      <c r="J607" s="45">
        <f>IFERROR(__xludf.DUMMYFUNCTION("""COMPUTED_VALUE"""),"LW1FQ4S")</f>
        <v/>
      </c>
      <c r="K607" s="45">
        <f>IFERROR(__xludf.DUMMYFUNCTION("""COMPUTED_VALUE"""),"LW1FQ4S-031382")</f>
        <v/>
      </c>
      <c r="L607" s="45">
        <f>IFERROR(__xludf.DUMMYFUNCTION("""COMPUTED_VALUE"""),5)</f>
        <v/>
      </c>
      <c r="M607" s="45">
        <f>IFERROR(__xludf.DUMMYFUNCTION("""COMPUTED_VALUE"""),234)</f>
        <v/>
      </c>
      <c r="N607" s="45">
        <f>IFERROR(__xludf.DUMMYFUNCTION("""COMPUTED_VALUE"""),44.13)</f>
        <v/>
      </c>
      <c r="O607" s="45">
        <f>IFERROR(__xludf.DUMMYFUNCTION("""COMPUTED_VALUE"""),0.393)</f>
        <v/>
      </c>
      <c r="P607" s="45">
        <f>IFERROR(__xludf.DUMMYFUNCTION("""COMPUTED_VALUE"""),"Colombo, LK")</f>
        <v/>
      </c>
      <c r="Q607" s="45">
        <f>IFERROR(__xludf.DUMMYFUNCTION("""COMPUTED_VALUE"""),"Rotterdam, NL")</f>
        <v/>
      </c>
      <c r="R607" s="44">
        <f>IFERROR(__xludf.DUMMYFUNCTION("""COMPUTED_VALUE"""),45831)</f>
        <v/>
      </c>
      <c r="S607" s="44">
        <f>IFERROR(__xludf.DUMMYFUNCTION("""COMPUTED_VALUE"""),45885)</f>
        <v/>
      </c>
      <c r="T607" s="45">
        <f>IFERROR(__xludf.DUMMYFUNCTION("""COMPUTED_VALUE"""),"Rotterdam, NL")</f>
        <v/>
      </c>
      <c r="U607" s="45" t="n"/>
      <c r="V607" s="45" t="n"/>
      <c r="W607" s="45" t="n"/>
      <c r="X607" s="45" t="n"/>
      <c r="Y607" s="46">
        <f>IFERROR(__xludf.DUMMYFUNCTION("""COMPUTED_VALUE"""),45838)</f>
        <v/>
      </c>
      <c r="Z607" s="46">
        <f>IFERROR(__xludf.DUMMYFUNCTION("""COMPUTED_VALUE"""),45859)</f>
        <v/>
      </c>
      <c r="AA607" s="46">
        <f>IFERROR(__xludf.DUMMYFUNCTION("""COMPUTED_VALUE"""),45859)</f>
        <v/>
      </c>
      <c r="AB607" s="45">
        <f>IFERROR(__xludf.DUMMYFUNCTION("""COMPUTED_VALUE"""),"Conradweg 26")</f>
        <v/>
      </c>
      <c r="AC607" s="45" t="n"/>
      <c r="AD607" s="45">
        <f>IFERROR(__xludf.DUMMYFUNCTION("""COMPUTED_VALUE"""),"OCEAN")</f>
        <v/>
      </c>
      <c r="AE607" s="45">
        <f>IFERROR(__xludf.DUMMYFUNCTION("""COMPUTED_VALUE"""),"N")</f>
        <v/>
      </c>
      <c r="AF607" s="45" t="n"/>
      <c r="AG607" s="49">
        <f>IFERROR(__xludf.DUMMYFUNCTION("IFNA(vlookup(H607,IMPORTRANGE(""1vUGwO1n0QQGx9kKbO0_M5gmuhXZ6-LaxQxgrmJnzgP0"",""'TP# look up'!A:C""),3,0),"""")"),"")</f>
        <v/>
      </c>
      <c r="AH607" s="49">
        <f>LEFT(J607,2)</f>
        <v/>
      </c>
    </row>
    <row r="608" ht="12.75" customHeight="1">
      <c r="A608" s="45">
        <f>IFERROR(__xludf.DUMMYFUNCTION("""COMPUTED_VALUE"""),"Colombo")</f>
        <v/>
      </c>
      <c r="B608" s="45" t="n"/>
      <c r="C608" s="45">
        <f>IFERROR(__xludf.DUMMYFUNCTION("""COMPUTED_VALUE"""),3259830)</f>
        <v/>
      </c>
      <c r="D608" s="45" t="n"/>
      <c r="E608" s="45">
        <f>IFERROR(__xludf.DUMMYFUNCTION("""COMPUTED_VALUE"""),"CFS")</f>
        <v/>
      </c>
      <c r="F608" s="45">
        <f>IFERROR(__xludf.DUMMYFUNCTION("""COMPUTED_VALUE"""),"Inqube Global (PVT) Ltd")</f>
        <v/>
      </c>
      <c r="G608" s="45">
        <f>IFERROR(__xludf.DUMMYFUNCTION("""COMPUTED_VALUE"""),"Quantum Clothing Lanka (Pvt) Ltd")</f>
        <v/>
      </c>
      <c r="H608" s="43">
        <f>IFERROR(__xludf.DUMMYFUNCTION("""COMPUTED_VALUE"""),454531702328)</f>
        <v/>
      </c>
      <c r="I608" s="45">
        <f>IFERROR(__xludf.DUMMYFUNCTION("""COMPUTED_VALUE"""),19802396)</f>
        <v/>
      </c>
      <c r="J608" s="45">
        <f>IFERROR(__xludf.DUMMYFUNCTION("""COMPUTED_VALUE"""),"LW2EC1S")</f>
        <v/>
      </c>
      <c r="K608" s="45">
        <f>IFERROR(__xludf.DUMMYFUNCTION("""COMPUTED_VALUE"""),"LW2EC1S-069122")</f>
        <v/>
      </c>
      <c r="L608" s="45">
        <f>IFERROR(__xludf.DUMMYFUNCTION("""COMPUTED_VALUE"""),46)</f>
        <v/>
      </c>
      <c r="M608" s="45">
        <f>IFERROR(__xludf.DUMMYFUNCTION("""COMPUTED_VALUE"""),455)</f>
        <v/>
      </c>
      <c r="N608" s="45">
        <f>IFERROR(__xludf.DUMMYFUNCTION("""COMPUTED_VALUE"""),159.303)</f>
        <v/>
      </c>
      <c r="O608" s="45">
        <f>IFERROR(__xludf.DUMMYFUNCTION("""COMPUTED_VALUE"""),3.822)</f>
        <v/>
      </c>
      <c r="P608" s="45">
        <f>IFERROR(__xludf.DUMMYFUNCTION("""COMPUTED_VALUE"""),"Colombo, LK")</f>
        <v/>
      </c>
      <c r="Q608" s="45">
        <f>IFERROR(__xludf.DUMMYFUNCTION("""COMPUTED_VALUE"""),"Rotterdam, NL")</f>
        <v/>
      </c>
      <c r="R608" s="44">
        <f>IFERROR(__xludf.DUMMYFUNCTION("""COMPUTED_VALUE"""),45831)</f>
        <v/>
      </c>
      <c r="S608" s="44">
        <f>IFERROR(__xludf.DUMMYFUNCTION("""COMPUTED_VALUE"""),45885)</f>
        <v/>
      </c>
      <c r="T608" s="45">
        <f>IFERROR(__xludf.DUMMYFUNCTION("""COMPUTED_VALUE"""),"Rotterdam, NL")</f>
        <v/>
      </c>
      <c r="U608" s="45" t="n"/>
      <c r="V608" s="45" t="n"/>
      <c r="W608" s="45" t="n"/>
      <c r="X608" s="45" t="n"/>
      <c r="Y608" s="46">
        <f>IFERROR(__xludf.DUMMYFUNCTION("""COMPUTED_VALUE"""),45838)</f>
        <v/>
      </c>
      <c r="Z608" s="46">
        <f>IFERROR(__xludf.DUMMYFUNCTION("""COMPUTED_VALUE"""),45859)</f>
        <v/>
      </c>
      <c r="AA608" s="46">
        <f>IFERROR(__xludf.DUMMYFUNCTION("""COMPUTED_VALUE"""),45866)</f>
        <v/>
      </c>
      <c r="AB608" s="45">
        <f>IFERROR(__xludf.DUMMYFUNCTION("""COMPUTED_VALUE"""),"Conradweg 26")</f>
        <v/>
      </c>
      <c r="AC608" s="45" t="n"/>
      <c r="AD608" s="45">
        <f>IFERROR(__xludf.DUMMYFUNCTION("""COMPUTED_VALUE"""),"OCEAN")</f>
        <v/>
      </c>
      <c r="AE608" s="45">
        <f>IFERROR(__xludf.DUMMYFUNCTION("""COMPUTED_VALUE"""),"N")</f>
        <v/>
      </c>
      <c r="AF608" s="45" t="n"/>
      <c r="AG608" s="49">
        <f>IFERROR(__xludf.DUMMYFUNCTION("IFNA(vlookup(H608,IMPORTRANGE(""1vUGwO1n0QQGx9kKbO0_M5gmuhXZ6-LaxQxgrmJnzgP0"",""'TP# look up'!A:C""),3,0),"""")"),"")</f>
        <v/>
      </c>
      <c r="AH608" s="49">
        <f>LEFT(J608,2)</f>
        <v/>
      </c>
    </row>
    <row r="609" ht="12.75" customHeight="1">
      <c r="A609" s="45">
        <f>IFERROR(__xludf.DUMMYFUNCTION("""COMPUTED_VALUE"""),"Colombo")</f>
        <v/>
      </c>
      <c r="B609" s="45" t="n"/>
      <c r="C609" s="45">
        <f>IFERROR(__xludf.DUMMYFUNCTION("""COMPUTED_VALUE"""),3259512)</f>
        <v/>
      </c>
      <c r="D609" s="45" t="n"/>
      <c r="E609" s="45">
        <f>IFERROR(__xludf.DUMMYFUNCTION("""COMPUTED_VALUE"""),"CFS")</f>
        <v/>
      </c>
      <c r="F609" s="45">
        <f>IFERROR(__xludf.DUMMYFUNCTION("""COMPUTED_VALUE"""),"Bodyline Trading (Private) Limited")</f>
        <v/>
      </c>
      <c r="G609" s="45">
        <f>IFERROR(__xludf.DUMMYFUNCTION("""COMPUTED_VALUE"""),"Bodyline (Private) Limited")</f>
        <v/>
      </c>
      <c r="H609" s="43">
        <f>IFERROR(__xludf.DUMMYFUNCTION("""COMPUTED_VALUE"""),454749988325)</f>
        <v/>
      </c>
      <c r="I609" s="45">
        <f>IFERROR(__xludf.DUMMYFUNCTION("""COMPUTED_VALUE"""),19843889)</f>
        <v/>
      </c>
      <c r="J609" s="45">
        <f>IFERROR(__xludf.DUMMYFUNCTION("""COMPUTED_VALUE"""),"LW1FM7S")</f>
        <v/>
      </c>
      <c r="K609" s="45">
        <f>IFERROR(__xludf.DUMMYFUNCTION("""COMPUTED_VALUE"""),"LW1FM7S-069097")</f>
        <v/>
      </c>
      <c r="L609" s="45">
        <f>IFERROR(__xludf.DUMMYFUNCTION("""COMPUTED_VALUE"""),9)</f>
        <v/>
      </c>
      <c r="M609" s="45">
        <f>IFERROR(__xludf.DUMMYFUNCTION("""COMPUTED_VALUE"""),376)</f>
        <v/>
      </c>
      <c r="N609" s="45">
        <f>IFERROR(__xludf.DUMMYFUNCTION("""COMPUTED_VALUE"""),39.795)</f>
        <v/>
      </c>
      <c r="O609" s="45">
        <f>IFERROR(__xludf.DUMMYFUNCTION("""COMPUTED_VALUE"""),0.395)</f>
        <v/>
      </c>
      <c r="P609" s="45">
        <f>IFERROR(__xludf.DUMMYFUNCTION("""COMPUTED_VALUE"""),"Colombo, LK")</f>
        <v/>
      </c>
      <c r="Q609" s="45">
        <f>IFERROR(__xludf.DUMMYFUNCTION("""COMPUTED_VALUE"""),"New York, NY, US")</f>
        <v/>
      </c>
      <c r="R609" s="44">
        <f>IFERROR(__xludf.DUMMYFUNCTION("""COMPUTED_VALUE"""),45831)</f>
        <v/>
      </c>
      <c r="S609" s="44">
        <f>IFERROR(__xludf.DUMMYFUNCTION("""COMPUTED_VALUE"""),45890)</f>
        <v/>
      </c>
      <c r="T609" s="45">
        <f>IFERROR(__xludf.DUMMYFUNCTION("""COMPUTED_VALUE"""),"Mississauga, ON, CA")</f>
        <v/>
      </c>
      <c r="U609" s="45" t="n"/>
      <c r="V609" s="45" t="n"/>
      <c r="W609" s="45" t="n"/>
      <c r="X609" s="45" t="n"/>
      <c r="Y609" s="46">
        <f>IFERROR(__xludf.DUMMYFUNCTION("""COMPUTED_VALUE"""),45838)</f>
        <v/>
      </c>
      <c r="Z609" s="46">
        <f>IFERROR(__xludf.DUMMYFUNCTION("""COMPUTED_VALUE"""),45859)</f>
        <v/>
      </c>
      <c r="AA609" s="46">
        <f>IFERROR(__xludf.DUMMYFUNCTION("""COMPUTED_VALUE"""),45859)</f>
        <v/>
      </c>
      <c r="AB609" s="45">
        <f>IFERROR(__xludf.DUMMYFUNCTION("""COMPUTED_VALUE"""),"3500 Argentia Road")</f>
        <v/>
      </c>
      <c r="AC609" s="45" t="n"/>
      <c r="AD609" s="45">
        <f>IFERROR(__xludf.DUMMYFUNCTION("""COMPUTED_VALUE"""),"OCEAN")</f>
        <v/>
      </c>
      <c r="AE609" s="45">
        <f>IFERROR(__xludf.DUMMYFUNCTION("""COMPUTED_VALUE"""),"N")</f>
        <v/>
      </c>
      <c r="AF609" s="45" t="n"/>
      <c r="AG609" s="49">
        <f>IFERROR(__xludf.DUMMYFUNCTION("IFNA(vlookup(H609,IMPORTRANGE(""1vUGwO1n0QQGx9kKbO0_M5gmuhXZ6-LaxQxgrmJnzgP0"",""'TP# look up'!A:C""),3,0),"""")"),"")</f>
        <v/>
      </c>
      <c r="AH609" s="49">
        <f>LEFT(J609,2)</f>
        <v/>
      </c>
    </row>
    <row r="610" ht="12.75" customHeight="1">
      <c r="A610" s="45">
        <f>IFERROR(__xludf.DUMMYFUNCTION("""COMPUTED_VALUE"""),"Colombo")</f>
        <v/>
      </c>
      <c r="B610" s="45" t="n"/>
      <c r="C610" s="45">
        <f>IFERROR(__xludf.DUMMYFUNCTION("""COMPUTED_VALUE"""),3259512)</f>
        <v/>
      </c>
      <c r="D610" s="45" t="n"/>
      <c r="E610" s="45">
        <f>IFERROR(__xludf.DUMMYFUNCTION("""COMPUTED_VALUE"""),"CFS")</f>
        <v/>
      </c>
      <c r="F610" s="45">
        <f>IFERROR(__xludf.DUMMYFUNCTION("""COMPUTED_VALUE"""),"Bodyline Trading (Private) Limited")</f>
        <v/>
      </c>
      <c r="G610" s="45">
        <f>IFERROR(__xludf.DUMMYFUNCTION("""COMPUTED_VALUE"""),"Bodyline (Private) Limited")</f>
        <v/>
      </c>
      <c r="H610" s="43">
        <f>IFERROR(__xludf.DUMMYFUNCTION("""COMPUTED_VALUE"""),454750600606)</f>
        <v/>
      </c>
      <c r="I610" s="45">
        <f>IFERROR(__xludf.DUMMYFUNCTION("""COMPUTED_VALUE"""),19843768)</f>
        <v/>
      </c>
      <c r="J610" s="45">
        <f>IFERROR(__xludf.DUMMYFUNCTION("""COMPUTED_VALUE"""),"LW1FM7S")</f>
        <v/>
      </c>
      <c r="K610" s="45">
        <f>IFERROR(__xludf.DUMMYFUNCTION("""COMPUTED_VALUE"""),"LW1FM7S-069097")</f>
        <v/>
      </c>
      <c r="L610" s="45">
        <f>IFERROR(__xludf.DUMMYFUNCTION("""COMPUTED_VALUE"""),1)</f>
        <v/>
      </c>
      <c r="M610" s="45">
        <f>IFERROR(__xludf.DUMMYFUNCTION("""COMPUTED_VALUE"""),15)</f>
        <v/>
      </c>
      <c r="N610" s="45">
        <f>IFERROR(__xludf.DUMMYFUNCTION("""COMPUTED_VALUE"""),2.209)</f>
        <v/>
      </c>
      <c r="O610" s="45">
        <f>IFERROR(__xludf.DUMMYFUNCTION("""COMPUTED_VALUE"""),0.044)</f>
        <v/>
      </c>
      <c r="P610" s="45">
        <f>IFERROR(__xludf.DUMMYFUNCTION("""COMPUTED_VALUE"""),"Colombo, LK")</f>
        <v/>
      </c>
      <c r="Q610" s="45">
        <f>IFERROR(__xludf.DUMMYFUNCTION("""COMPUTED_VALUE"""),"New York, NY, US")</f>
        <v/>
      </c>
      <c r="R610" s="44">
        <f>IFERROR(__xludf.DUMMYFUNCTION("""COMPUTED_VALUE"""),45831)</f>
        <v/>
      </c>
      <c r="S610" s="44">
        <f>IFERROR(__xludf.DUMMYFUNCTION("""COMPUTED_VALUE"""),45890)</f>
        <v/>
      </c>
      <c r="T610" s="45">
        <f>IFERROR(__xludf.DUMMYFUNCTION("""COMPUTED_VALUE"""),"Milton, ON, CA")</f>
        <v/>
      </c>
      <c r="U610" s="45" t="n"/>
      <c r="V610" s="45" t="n"/>
      <c r="W610" s="45" t="n"/>
      <c r="X610" s="45" t="n"/>
      <c r="Y610" s="46">
        <f>IFERROR(__xludf.DUMMYFUNCTION("""COMPUTED_VALUE"""),45838)</f>
        <v/>
      </c>
      <c r="Z610" s="46">
        <f>IFERROR(__xludf.DUMMYFUNCTION("""COMPUTED_VALUE"""),45859)</f>
        <v/>
      </c>
      <c r="AA610" s="46">
        <f>IFERROR(__xludf.DUMMYFUNCTION("""COMPUTED_VALUE"""),45859)</f>
        <v/>
      </c>
      <c r="AB610" s="45">
        <f>IFERROR(__xludf.DUMMYFUNCTION("""COMPUTED_VALUE"""),"7211 Fifth Line")</f>
        <v/>
      </c>
      <c r="AC610" s="45" t="n"/>
      <c r="AD610" s="45">
        <f>IFERROR(__xludf.DUMMYFUNCTION("""COMPUTED_VALUE"""),"OCEAN")</f>
        <v/>
      </c>
      <c r="AE610" s="45">
        <f>IFERROR(__xludf.DUMMYFUNCTION("""COMPUTED_VALUE"""),"N")</f>
        <v/>
      </c>
      <c r="AF610" s="45" t="n"/>
      <c r="AG610" s="49">
        <f>IFERROR(__xludf.DUMMYFUNCTION("IFNA(vlookup(H610,IMPORTRANGE(""1vUGwO1n0QQGx9kKbO0_M5gmuhXZ6-LaxQxgrmJnzgP0"",""'TP# look up'!A:C""),3,0),"""")"),"")</f>
        <v/>
      </c>
      <c r="AH610" s="49">
        <f>LEFT(J610,2)</f>
        <v/>
      </c>
    </row>
    <row r="611" ht="12.75" customHeight="1">
      <c r="A611" s="45">
        <f>IFERROR(__xludf.DUMMYFUNCTION("""COMPUTED_VALUE"""),"Colombo")</f>
        <v/>
      </c>
      <c r="B611" s="45" t="n"/>
      <c r="C611" s="45">
        <f>IFERROR(__xludf.DUMMYFUNCTION("""COMPUTED_VALUE"""),3259512)</f>
        <v/>
      </c>
      <c r="D611" s="45" t="n"/>
      <c r="E611" s="45">
        <f>IFERROR(__xludf.DUMMYFUNCTION("""COMPUTED_VALUE"""),"CFS")</f>
        <v/>
      </c>
      <c r="F611" s="45">
        <f>IFERROR(__xludf.DUMMYFUNCTION("""COMPUTED_VALUE"""),"Bodyline Trading (Private) Limited")</f>
        <v/>
      </c>
      <c r="G611" s="45">
        <f>IFERROR(__xludf.DUMMYFUNCTION("""COMPUTED_VALUE"""),"Bodyline (Private) Limited")</f>
        <v/>
      </c>
      <c r="H611" s="43">
        <f>IFERROR(__xludf.DUMMYFUNCTION("""COMPUTED_VALUE"""),454750676644)</f>
        <v/>
      </c>
      <c r="I611" s="45">
        <f>IFERROR(__xludf.DUMMYFUNCTION("""COMPUTED_VALUE"""),19878603)</f>
        <v/>
      </c>
      <c r="J611" s="45">
        <f>IFERROR(__xludf.DUMMYFUNCTION("""COMPUTED_VALUE"""),"LW2731S")</f>
        <v/>
      </c>
      <c r="K611" s="45">
        <f>IFERROR(__xludf.DUMMYFUNCTION("""COMPUTED_VALUE"""),"LW2731S-035486")</f>
        <v/>
      </c>
      <c r="L611" s="45">
        <f>IFERROR(__xludf.DUMMYFUNCTION("""COMPUTED_VALUE"""),12)</f>
        <v/>
      </c>
      <c r="M611" s="45">
        <f>IFERROR(__xludf.DUMMYFUNCTION("""COMPUTED_VALUE"""),673)</f>
        <v/>
      </c>
      <c r="N611" s="45">
        <f>IFERROR(__xludf.DUMMYFUNCTION("""COMPUTED_VALUE"""),69.738)</f>
        <v/>
      </c>
      <c r="O611" s="45">
        <f>IFERROR(__xludf.DUMMYFUNCTION("""COMPUTED_VALUE"""),0.93)</f>
        <v/>
      </c>
      <c r="P611" s="45">
        <f>IFERROR(__xludf.DUMMYFUNCTION("""COMPUTED_VALUE"""),"Colombo, LK")</f>
        <v/>
      </c>
      <c r="Q611" s="45">
        <f>IFERROR(__xludf.DUMMYFUNCTION("""COMPUTED_VALUE"""),"New York, NY, US")</f>
        <v/>
      </c>
      <c r="R611" s="44">
        <f>IFERROR(__xludf.DUMMYFUNCTION("""COMPUTED_VALUE"""),45831)</f>
        <v/>
      </c>
      <c r="S611" s="44">
        <f>IFERROR(__xludf.DUMMYFUNCTION("""COMPUTED_VALUE"""),45890)</f>
        <v/>
      </c>
      <c r="T611" s="45">
        <f>IFERROR(__xludf.DUMMYFUNCTION("""COMPUTED_VALUE"""),"Mississauga, ON, CA")</f>
        <v/>
      </c>
      <c r="U611" s="45" t="n"/>
      <c r="V611" s="45" t="n"/>
      <c r="W611" s="45" t="n"/>
      <c r="X611" s="45" t="n"/>
      <c r="Y611" s="46">
        <f>IFERROR(__xludf.DUMMYFUNCTION("""COMPUTED_VALUE"""),45838)</f>
        <v/>
      </c>
      <c r="Z611" s="46">
        <f>IFERROR(__xludf.DUMMYFUNCTION("""COMPUTED_VALUE"""),45859)</f>
        <v/>
      </c>
      <c r="AA611" s="46">
        <f>IFERROR(__xludf.DUMMYFUNCTION("""COMPUTED_VALUE"""),45859)</f>
        <v/>
      </c>
      <c r="AB611" s="45">
        <f>IFERROR(__xludf.DUMMYFUNCTION("""COMPUTED_VALUE"""),"3500 Argentia Road")</f>
        <v/>
      </c>
      <c r="AC611" s="45" t="n"/>
      <c r="AD611" s="45">
        <f>IFERROR(__xludf.DUMMYFUNCTION("""COMPUTED_VALUE"""),"OCEAN")</f>
        <v/>
      </c>
      <c r="AE611" s="45">
        <f>IFERROR(__xludf.DUMMYFUNCTION("""COMPUTED_VALUE"""),"N")</f>
        <v/>
      </c>
      <c r="AF611" s="45" t="n"/>
      <c r="AG611" s="49">
        <f>IFERROR(__xludf.DUMMYFUNCTION("IFNA(vlookup(H611,IMPORTRANGE(""1vUGwO1n0QQGx9kKbO0_M5gmuhXZ6-LaxQxgrmJnzgP0"",""'TP# look up'!A:C""),3,0),"""")"),"")</f>
        <v/>
      </c>
      <c r="AH611" s="49">
        <f>LEFT(J611,2)</f>
        <v/>
      </c>
    </row>
    <row r="612" ht="12.75" customHeight="1">
      <c r="A612" s="45">
        <f>IFERROR(__xludf.DUMMYFUNCTION("""COMPUTED_VALUE"""),"Colombo")</f>
        <v/>
      </c>
      <c r="B612" s="45" t="n"/>
      <c r="C612" s="45">
        <f>IFERROR(__xludf.DUMMYFUNCTION("""COMPUTED_VALUE"""),3259512)</f>
        <v/>
      </c>
      <c r="D612" s="45" t="n"/>
      <c r="E612" s="45">
        <f>IFERROR(__xludf.DUMMYFUNCTION("""COMPUTED_VALUE"""),"CFS")</f>
        <v/>
      </c>
      <c r="F612" s="45">
        <f>IFERROR(__xludf.DUMMYFUNCTION("""COMPUTED_VALUE"""),"Bodyline Trading (Private) Limited")</f>
        <v/>
      </c>
      <c r="G612" s="45">
        <f>IFERROR(__xludf.DUMMYFUNCTION("""COMPUTED_VALUE"""),"Bodyline (Private) Limited")</f>
        <v/>
      </c>
      <c r="H612" s="43">
        <f>IFERROR(__xludf.DUMMYFUNCTION("""COMPUTED_VALUE"""),454750676857)</f>
        <v/>
      </c>
      <c r="I612" s="45">
        <f>IFERROR(__xludf.DUMMYFUNCTION("""COMPUTED_VALUE"""),19878619)</f>
        <v/>
      </c>
      <c r="J612" s="45">
        <f>IFERROR(__xludf.DUMMYFUNCTION("""COMPUTED_VALUE"""),"LW2DTIS")</f>
        <v/>
      </c>
      <c r="K612" s="45">
        <f>IFERROR(__xludf.DUMMYFUNCTION("""COMPUTED_VALUE"""),"LW2DTIS-035486")</f>
        <v/>
      </c>
      <c r="L612" s="45">
        <f>IFERROR(__xludf.DUMMYFUNCTION("""COMPUTED_VALUE"""),4)</f>
        <v/>
      </c>
      <c r="M612" s="45">
        <f>IFERROR(__xludf.DUMMYFUNCTION("""COMPUTED_VALUE"""),249)</f>
        <v/>
      </c>
      <c r="N612" s="45">
        <f>IFERROR(__xludf.DUMMYFUNCTION("""COMPUTED_VALUE"""),30.057)</f>
        <v/>
      </c>
      <c r="O612" s="45">
        <f>IFERROR(__xludf.DUMMYFUNCTION("""COMPUTED_VALUE"""),0.322)</f>
        <v/>
      </c>
      <c r="P612" s="45">
        <f>IFERROR(__xludf.DUMMYFUNCTION("""COMPUTED_VALUE"""),"Colombo, LK")</f>
        <v/>
      </c>
      <c r="Q612" s="45">
        <f>IFERROR(__xludf.DUMMYFUNCTION("""COMPUTED_VALUE"""),"New York, NY, US")</f>
        <v/>
      </c>
      <c r="R612" s="44">
        <f>IFERROR(__xludf.DUMMYFUNCTION("""COMPUTED_VALUE"""),45831)</f>
        <v/>
      </c>
      <c r="S612" s="44">
        <f>IFERROR(__xludf.DUMMYFUNCTION("""COMPUTED_VALUE"""),45890)</f>
        <v/>
      </c>
      <c r="T612" s="45">
        <f>IFERROR(__xludf.DUMMYFUNCTION("""COMPUTED_VALUE"""),"Mississauga, ON, CA")</f>
        <v/>
      </c>
      <c r="U612" s="45" t="n"/>
      <c r="V612" s="45" t="n"/>
      <c r="W612" s="45" t="n"/>
      <c r="X612" s="45" t="n"/>
      <c r="Y612" s="46">
        <f>IFERROR(__xludf.DUMMYFUNCTION("""COMPUTED_VALUE"""),45838)</f>
        <v/>
      </c>
      <c r="Z612" s="46">
        <f>IFERROR(__xludf.DUMMYFUNCTION("""COMPUTED_VALUE"""),45859)</f>
        <v/>
      </c>
      <c r="AA612" s="46">
        <f>IFERROR(__xludf.DUMMYFUNCTION("""COMPUTED_VALUE"""),45859)</f>
        <v/>
      </c>
      <c r="AB612" s="45">
        <f>IFERROR(__xludf.DUMMYFUNCTION("""COMPUTED_VALUE"""),"3500 Argentia Road")</f>
        <v/>
      </c>
      <c r="AC612" s="45" t="n"/>
      <c r="AD612" s="45">
        <f>IFERROR(__xludf.DUMMYFUNCTION("""COMPUTED_VALUE"""),"OCEAN")</f>
        <v/>
      </c>
      <c r="AE612" s="45">
        <f>IFERROR(__xludf.DUMMYFUNCTION("""COMPUTED_VALUE"""),"N")</f>
        <v/>
      </c>
      <c r="AF612" s="45" t="n"/>
      <c r="AG612" s="49">
        <f>IFERROR(__xludf.DUMMYFUNCTION("IFNA(vlookup(H612,IMPORTRANGE(""1vUGwO1n0QQGx9kKbO0_M5gmuhXZ6-LaxQxgrmJnzgP0"",""'TP# look up'!A:C""),3,0),"""")"),"")</f>
        <v/>
      </c>
      <c r="AH612" s="49">
        <f>LEFT(J612,2)</f>
        <v/>
      </c>
    </row>
    <row r="613" ht="12.75" customHeight="1">
      <c r="A613" s="45">
        <f>IFERROR(__xludf.DUMMYFUNCTION("""COMPUTED_VALUE"""),"Colombo")</f>
        <v/>
      </c>
      <c r="B613" s="45" t="n"/>
      <c r="C613" s="45">
        <f>IFERROR(__xludf.DUMMYFUNCTION("""COMPUTED_VALUE"""),3259512)</f>
        <v/>
      </c>
      <c r="D613" s="45" t="n"/>
      <c r="E613" s="45">
        <f>IFERROR(__xludf.DUMMYFUNCTION("""COMPUTED_VALUE"""),"CFS")</f>
        <v/>
      </c>
      <c r="F613" s="45">
        <f>IFERROR(__xludf.DUMMYFUNCTION("""COMPUTED_VALUE"""),"Bodyline Trading (Private) Limited")</f>
        <v/>
      </c>
      <c r="G613" s="45">
        <f>IFERROR(__xludf.DUMMYFUNCTION("""COMPUTED_VALUE"""),"Bodyline (Private) Limited")</f>
        <v/>
      </c>
      <c r="H613" s="43">
        <f>IFERROR(__xludf.DUMMYFUNCTION("""COMPUTED_VALUE"""),454750716339)</f>
        <v/>
      </c>
      <c r="I613" s="45">
        <f>IFERROR(__xludf.DUMMYFUNCTION("""COMPUTED_VALUE"""),19878389)</f>
        <v/>
      </c>
      <c r="J613" s="45">
        <f>IFERROR(__xludf.DUMMYFUNCTION("""COMPUTED_VALUE"""),"LW2731S")</f>
        <v/>
      </c>
      <c r="K613" s="45">
        <f>IFERROR(__xludf.DUMMYFUNCTION("""COMPUTED_VALUE"""),"LW2731S-035486")</f>
        <v/>
      </c>
      <c r="L613" s="45">
        <f>IFERROR(__xludf.DUMMYFUNCTION("""COMPUTED_VALUE"""),7)</f>
        <v/>
      </c>
      <c r="M613" s="45">
        <f>IFERROR(__xludf.DUMMYFUNCTION("""COMPUTED_VALUE"""),364)</f>
        <v/>
      </c>
      <c r="N613" s="45">
        <f>IFERROR(__xludf.DUMMYFUNCTION("""COMPUTED_VALUE"""),38.752)</f>
        <v/>
      </c>
      <c r="O613" s="45">
        <f>IFERROR(__xludf.DUMMYFUNCTION("""COMPUTED_VALUE"""),0.527)</f>
        <v/>
      </c>
      <c r="P613" s="45">
        <f>IFERROR(__xludf.DUMMYFUNCTION("""COMPUTED_VALUE"""),"Colombo, LK")</f>
        <v/>
      </c>
      <c r="Q613" s="45">
        <f>IFERROR(__xludf.DUMMYFUNCTION("""COMPUTED_VALUE"""),"New York, NY, US")</f>
        <v/>
      </c>
      <c r="R613" s="44">
        <f>IFERROR(__xludf.DUMMYFUNCTION("""COMPUTED_VALUE"""),45831)</f>
        <v/>
      </c>
      <c r="S613" s="44">
        <f>IFERROR(__xludf.DUMMYFUNCTION("""COMPUTED_VALUE"""),45890)</f>
        <v/>
      </c>
      <c r="T613" s="45">
        <f>IFERROR(__xludf.DUMMYFUNCTION("""COMPUTED_VALUE"""),"Mississauga, ON, CA")</f>
        <v/>
      </c>
      <c r="U613" s="45" t="n"/>
      <c r="V613" s="45" t="n"/>
      <c r="W613" s="45" t="n"/>
      <c r="X613" s="45" t="n"/>
      <c r="Y613" s="46">
        <f>IFERROR(__xludf.DUMMYFUNCTION("""COMPUTED_VALUE"""),45838)</f>
        <v/>
      </c>
      <c r="Z613" s="46">
        <f>IFERROR(__xludf.DUMMYFUNCTION("""COMPUTED_VALUE"""),45859)</f>
        <v/>
      </c>
      <c r="AA613" s="46">
        <f>IFERROR(__xludf.DUMMYFUNCTION("""COMPUTED_VALUE"""),45859)</f>
        <v/>
      </c>
      <c r="AB613" s="45">
        <f>IFERROR(__xludf.DUMMYFUNCTION("""COMPUTED_VALUE"""),"3500 Argentia Road")</f>
        <v/>
      </c>
      <c r="AC613" s="45" t="n"/>
      <c r="AD613" s="45">
        <f>IFERROR(__xludf.DUMMYFUNCTION("""COMPUTED_VALUE"""),"OCEAN")</f>
        <v/>
      </c>
      <c r="AE613" s="45">
        <f>IFERROR(__xludf.DUMMYFUNCTION("""COMPUTED_VALUE"""),"N")</f>
        <v/>
      </c>
      <c r="AF613" s="45" t="n"/>
      <c r="AG613" s="49">
        <f>IFERROR(__xludf.DUMMYFUNCTION("IFNA(vlookup(H613,IMPORTRANGE(""1vUGwO1n0QQGx9kKbO0_M5gmuhXZ6-LaxQxgrmJnzgP0"",""'TP# look up'!A:C""),3,0),"""")"),"")</f>
        <v/>
      </c>
      <c r="AH613" s="49">
        <f>LEFT(J613,2)</f>
        <v/>
      </c>
    </row>
    <row r="614" ht="12.75" customHeight="1">
      <c r="A614" s="45">
        <f>IFERROR(__xludf.DUMMYFUNCTION("""COMPUTED_VALUE"""),"Colombo")</f>
        <v/>
      </c>
      <c r="B614" s="45" t="n"/>
      <c r="C614" s="45">
        <f>IFERROR(__xludf.DUMMYFUNCTION("""COMPUTED_VALUE"""),3259512)</f>
        <v/>
      </c>
      <c r="D614" s="45" t="n"/>
      <c r="E614" s="45">
        <f>IFERROR(__xludf.DUMMYFUNCTION("""COMPUTED_VALUE"""),"CFS")</f>
        <v/>
      </c>
      <c r="F614" s="45">
        <f>IFERROR(__xludf.DUMMYFUNCTION("""COMPUTED_VALUE"""),"Bodyline Trading (Private) Limited")</f>
        <v/>
      </c>
      <c r="G614" s="45">
        <f>IFERROR(__xludf.DUMMYFUNCTION("""COMPUTED_VALUE"""),"Bodyline (Private) Limited")</f>
        <v/>
      </c>
      <c r="H614" s="43">
        <f>IFERROR(__xludf.DUMMYFUNCTION("""COMPUTED_VALUE"""),454750717500)</f>
        <v/>
      </c>
      <c r="I614" s="45">
        <f>IFERROR(__xludf.DUMMYFUNCTION("""COMPUTED_VALUE"""),19878843)</f>
        <v/>
      </c>
      <c r="J614" s="45">
        <f>IFERROR(__xludf.DUMMYFUNCTION("""COMPUTED_VALUE"""),"LW2DTJS")</f>
        <v/>
      </c>
      <c r="K614" s="45">
        <f>IFERROR(__xludf.DUMMYFUNCTION("""COMPUTED_VALUE"""),"LW2DTJS-035486")</f>
        <v/>
      </c>
      <c r="L614" s="45">
        <f>IFERROR(__xludf.DUMMYFUNCTION("""COMPUTED_VALUE"""),12)</f>
        <v/>
      </c>
      <c r="M614" s="45">
        <f>IFERROR(__xludf.DUMMYFUNCTION("""COMPUTED_VALUE"""),662)</f>
        <v/>
      </c>
      <c r="N614" s="45">
        <f>IFERROR(__xludf.DUMMYFUNCTION("""COMPUTED_VALUE"""),96.047)</f>
        <v/>
      </c>
      <c r="O614" s="45">
        <f>IFERROR(__xludf.DUMMYFUNCTION("""COMPUTED_VALUE"""),0.966)</f>
        <v/>
      </c>
      <c r="P614" s="45">
        <f>IFERROR(__xludf.DUMMYFUNCTION("""COMPUTED_VALUE"""),"Colombo, LK")</f>
        <v/>
      </c>
      <c r="Q614" s="45">
        <f>IFERROR(__xludf.DUMMYFUNCTION("""COMPUTED_VALUE"""),"New York, NY, US")</f>
        <v/>
      </c>
      <c r="R614" s="44">
        <f>IFERROR(__xludf.DUMMYFUNCTION("""COMPUTED_VALUE"""),45831)</f>
        <v/>
      </c>
      <c r="S614" s="44">
        <f>IFERROR(__xludf.DUMMYFUNCTION("""COMPUTED_VALUE"""),45890)</f>
        <v/>
      </c>
      <c r="T614" s="45">
        <f>IFERROR(__xludf.DUMMYFUNCTION("""COMPUTED_VALUE"""),"Mississauga, ON, CA")</f>
        <v/>
      </c>
      <c r="U614" s="45" t="n"/>
      <c r="V614" s="45" t="n"/>
      <c r="W614" s="45" t="n"/>
      <c r="X614" s="45" t="n"/>
      <c r="Y614" s="46">
        <f>IFERROR(__xludf.DUMMYFUNCTION("""COMPUTED_VALUE"""),45838)</f>
        <v/>
      </c>
      <c r="Z614" s="46">
        <f>IFERROR(__xludf.DUMMYFUNCTION("""COMPUTED_VALUE"""),45859)</f>
        <v/>
      </c>
      <c r="AA614" s="46">
        <f>IFERROR(__xludf.DUMMYFUNCTION("""COMPUTED_VALUE"""),45859)</f>
        <v/>
      </c>
      <c r="AB614" s="45">
        <f>IFERROR(__xludf.DUMMYFUNCTION("""COMPUTED_VALUE"""),"3500 Argentia Road")</f>
        <v/>
      </c>
      <c r="AC614" s="45" t="n"/>
      <c r="AD614" s="45">
        <f>IFERROR(__xludf.DUMMYFUNCTION("""COMPUTED_VALUE"""),"OCEAN")</f>
        <v/>
      </c>
      <c r="AE614" s="45">
        <f>IFERROR(__xludf.DUMMYFUNCTION("""COMPUTED_VALUE"""),"N")</f>
        <v/>
      </c>
      <c r="AF614" s="45" t="n"/>
      <c r="AG614" s="49">
        <f>IFERROR(__xludf.DUMMYFUNCTION("IFNA(vlookup(H614,IMPORTRANGE(""1vUGwO1n0QQGx9kKbO0_M5gmuhXZ6-LaxQxgrmJnzgP0"",""'TP# look up'!A:C""),3,0),"""")"),"")</f>
        <v/>
      </c>
      <c r="AH614" s="49">
        <f>LEFT(J614,2)</f>
        <v/>
      </c>
    </row>
    <row r="615" ht="12.75" customHeight="1">
      <c r="A615" s="45">
        <f>IFERROR(__xludf.DUMMYFUNCTION("""COMPUTED_VALUE"""),"Colombo")</f>
        <v/>
      </c>
      <c r="B615" s="45" t="n"/>
      <c r="C615" s="45">
        <f>IFERROR(__xludf.DUMMYFUNCTION("""COMPUTED_VALUE"""),3259512)</f>
        <v/>
      </c>
      <c r="D615" s="45" t="n"/>
      <c r="E615" s="45">
        <f>IFERROR(__xludf.DUMMYFUNCTION("""COMPUTED_VALUE"""),"CFS")</f>
        <v/>
      </c>
      <c r="F615" s="45">
        <f>IFERROR(__xludf.DUMMYFUNCTION("""COMPUTED_VALUE"""),"Bodyline Trading (Private) Limited")</f>
        <v/>
      </c>
      <c r="G615" s="45">
        <f>IFERROR(__xludf.DUMMYFUNCTION("""COMPUTED_VALUE"""),"Bodyline (Private) Limited")</f>
        <v/>
      </c>
      <c r="H615" s="43">
        <f>IFERROR(__xludf.DUMMYFUNCTION("""COMPUTED_VALUE"""),454750719407)</f>
        <v/>
      </c>
      <c r="I615" s="45">
        <f>IFERROR(__xludf.DUMMYFUNCTION("""COMPUTED_VALUE"""),19843774)</f>
        <v/>
      </c>
      <c r="J615" s="45">
        <f>IFERROR(__xludf.DUMMYFUNCTION("""COMPUTED_VALUE"""),"LW1FM7S")</f>
        <v/>
      </c>
      <c r="K615" s="45">
        <f>IFERROR(__xludf.DUMMYFUNCTION("""COMPUTED_VALUE"""),"LW1FM7S-035487")</f>
        <v/>
      </c>
      <c r="L615" s="45">
        <f>IFERROR(__xludf.DUMMYFUNCTION("""COMPUTED_VALUE"""),3)</f>
        <v/>
      </c>
      <c r="M615" s="45">
        <f>IFERROR(__xludf.DUMMYFUNCTION("""COMPUTED_VALUE"""),143)</f>
        <v/>
      </c>
      <c r="N615" s="45">
        <f>IFERROR(__xludf.DUMMYFUNCTION("""COMPUTED_VALUE"""),14.75)</f>
        <v/>
      </c>
      <c r="O615" s="45">
        <f>IFERROR(__xludf.DUMMYFUNCTION("""COMPUTED_VALUE"""),0.132)</f>
        <v/>
      </c>
      <c r="P615" s="45">
        <f>IFERROR(__xludf.DUMMYFUNCTION("""COMPUTED_VALUE"""),"Colombo, LK")</f>
        <v/>
      </c>
      <c r="Q615" s="45">
        <f>IFERROR(__xludf.DUMMYFUNCTION("""COMPUTED_VALUE"""),"New York, NY, US")</f>
        <v/>
      </c>
      <c r="R615" s="44">
        <f>IFERROR(__xludf.DUMMYFUNCTION("""COMPUTED_VALUE"""),45831)</f>
        <v/>
      </c>
      <c r="S615" s="44">
        <f>IFERROR(__xludf.DUMMYFUNCTION("""COMPUTED_VALUE"""),45890)</f>
        <v/>
      </c>
      <c r="T615" s="45">
        <f>IFERROR(__xludf.DUMMYFUNCTION("""COMPUTED_VALUE"""),"Mississauga, ON, CA")</f>
        <v/>
      </c>
      <c r="U615" s="45" t="n"/>
      <c r="V615" s="45" t="n"/>
      <c r="W615" s="45" t="n"/>
      <c r="X615" s="45" t="n"/>
      <c r="Y615" s="46">
        <f>IFERROR(__xludf.DUMMYFUNCTION("""COMPUTED_VALUE"""),45838)</f>
        <v/>
      </c>
      <c r="Z615" s="46">
        <f>IFERROR(__xludf.DUMMYFUNCTION("""COMPUTED_VALUE"""),45859)</f>
        <v/>
      </c>
      <c r="AA615" s="46">
        <f>IFERROR(__xludf.DUMMYFUNCTION("""COMPUTED_VALUE"""),45859)</f>
        <v/>
      </c>
      <c r="AB615" s="45">
        <f>IFERROR(__xludf.DUMMYFUNCTION("""COMPUTED_VALUE"""),"3500 Argentia Road")</f>
        <v/>
      </c>
      <c r="AC615" s="45" t="n"/>
      <c r="AD615" s="45">
        <f>IFERROR(__xludf.DUMMYFUNCTION("""COMPUTED_VALUE"""),"OCEAN")</f>
        <v/>
      </c>
      <c r="AE615" s="45">
        <f>IFERROR(__xludf.DUMMYFUNCTION("""COMPUTED_VALUE"""),"N")</f>
        <v/>
      </c>
      <c r="AF615" s="45" t="n"/>
      <c r="AG615" s="49">
        <f>IFERROR(__xludf.DUMMYFUNCTION("IFNA(vlookup(H615,IMPORTRANGE(""1vUGwO1n0QQGx9kKbO0_M5gmuhXZ6-LaxQxgrmJnzgP0"",""'TP# look up'!A:C""),3,0),"""")"),"")</f>
        <v/>
      </c>
      <c r="AH615" s="49">
        <f>LEFT(J615,2)</f>
        <v/>
      </c>
    </row>
    <row r="616" ht="12.75" customHeight="1">
      <c r="A616" s="45">
        <f>IFERROR(__xludf.DUMMYFUNCTION("""COMPUTED_VALUE"""),"Colombo")</f>
        <v/>
      </c>
      <c r="B616" s="45" t="n"/>
      <c r="C616" s="45">
        <f>IFERROR(__xludf.DUMMYFUNCTION("""COMPUTED_VALUE"""),3259512)</f>
        <v/>
      </c>
      <c r="D616" s="45" t="n"/>
      <c r="E616" s="45">
        <f>IFERROR(__xludf.DUMMYFUNCTION("""COMPUTED_VALUE"""),"CFS")</f>
        <v/>
      </c>
      <c r="F616" s="45">
        <f>IFERROR(__xludf.DUMMYFUNCTION("""COMPUTED_VALUE"""),"Bodyline Trading (Private) Limited")</f>
        <v/>
      </c>
      <c r="G616" s="45">
        <f>IFERROR(__xludf.DUMMYFUNCTION("""COMPUTED_VALUE"""),"Bodyline (Private) Limited")</f>
        <v/>
      </c>
      <c r="H616" s="43">
        <f>IFERROR(__xludf.DUMMYFUNCTION("""COMPUTED_VALUE"""),454750719636)</f>
        <v/>
      </c>
      <c r="I616" s="45">
        <f>IFERROR(__xludf.DUMMYFUNCTION("""COMPUTED_VALUE"""),19843773)</f>
        <v/>
      </c>
      <c r="J616" s="45">
        <f>IFERROR(__xludf.DUMMYFUNCTION("""COMPUTED_VALUE"""),"LW1FM7S")</f>
        <v/>
      </c>
      <c r="K616" s="45">
        <f>IFERROR(__xludf.DUMMYFUNCTION("""COMPUTED_VALUE"""),"LW1FM7S-035487")</f>
        <v/>
      </c>
      <c r="L616" s="45">
        <f>IFERROR(__xludf.DUMMYFUNCTION("""COMPUTED_VALUE"""),1)</f>
        <v/>
      </c>
      <c r="M616" s="45">
        <f>IFERROR(__xludf.DUMMYFUNCTION("""COMPUTED_VALUE"""),13)</f>
        <v/>
      </c>
      <c r="N616" s="45">
        <f>IFERROR(__xludf.DUMMYFUNCTION("""COMPUTED_VALUE"""),1.999)</f>
        <v/>
      </c>
      <c r="O616" s="45">
        <f>IFERROR(__xludf.DUMMYFUNCTION("""COMPUTED_VALUE"""),0.044)</f>
        <v/>
      </c>
      <c r="P616" s="45">
        <f>IFERROR(__xludf.DUMMYFUNCTION("""COMPUTED_VALUE"""),"Colombo, LK")</f>
        <v/>
      </c>
      <c r="Q616" s="45">
        <f>IFERROR(__xludf.DUMMYFUNCTION("""COMPUTED_VALUE"""),"New York, NY, US")</f>
        <v/>
      </c>
      <c r="R616" s="44">
        <f>IFERROR(__xludf.DUMMYFUNCTION("""COMPUTED_VALUE"""),45831)</f>
        <v/>
      </c>
      <c r="S616" s="44">
        <f>IFERROR(__xludf.DUMMYFUNCTION("""COMPUTED_VALUE"""),45890)</f>
        <v/>
      </c>
      <c r="T616" s="45">
        <f>IFERROR(__xludf.DUMMYFUNCTION("""COMPUTED_VALUE"""),"Milton, ON, CA")</f>
        <v/>
      </c>
      <c r="U616" s="45" t="n"/>
      <c r="V616" s="45" t="n"/>
      <c r="W616" s="45" t="n"/>
      <c r="X616" s="45" t="n"/>
      <c r="Y616" s="46">
        <f>IFERROR(__xludf.DUMMYFUNCTION("""COMPUTED_VALUE"""),45838)</f>
        <v/>
      </c>
      <c r="Z616" s="46">
        <f>IFERROR(__xludf.DUMMYFUNCTION("""COMPUTED_VALUE"""),45859)</f>
        <v/>
      </c>
      <c r="AA616" s="46">
        <f>IFERROR(__xludf.DUMMYFUNCTION("""COMPUTED_VALUE"""),45859)</f>
        <v/>
      </c>
      <c r="AB616" s="45">
        <f>IFERROR(__xludf.DUMMYFUNCTION("""COMPUTED_VALUE"""),"7211 Fifth Line")</f>
        <v/>
      </c>
      <c r="AC616" s="45" t="n"/>
      <c r="AD616" s="45">
        <f>IFERROR(__xludf.DUMMYFUNCTION("""COMPUTED_VALUE"""),"OCEAN")</f>
        <v/>
      </c>
      <c r="AE616" s="45">
        <f>IFERROR(__xludf.DUMMYFUNCTION("""COMPUTED_VALUE"""),"N")</f>
        <v/>
      </c>
      <c r="AF616" s="45" t="n"/>
      <c r="AG616" s="49">
        <f>IFERROR(__xludf.DUMMYFUNCTION("IFNA(vlookup(H616,IMPORTRANGE(""1vUGwO1n0QQGx9kKbO0_M5gmuhXZ6-LaxQxgrmJnzgP0"",""'TP# look up'!A:C""),3,0),"""")"),"")</f>
        <v/>
      </c>
      <c r="AH616" s="49">
        <f>LEFT(J616,2)</f>
        <v/>
      </c>
    </row>
    <row r="617" ht="12.75" customHeight="1">
      <c r="A617" s="45">
        <f>IFERROR(__xludf.DUMMYFUNCTION("""COMPUTED_VALUE"""),"Colombo")</f>
        <v/>
      </c>
      <c r="B617" s="45" t="n"/>
      <c r="C617" s="45">
        <f>IFERROR(__xludf.DUMMYFUNCTION("""COMPUTED_VALUE"""),3259512)</f>
        <v/>
      </c>
      <c r="D617" s="45" t="n"/>
      <c r="E617" s="45">
        <f>IFERROR(__xludf.DUMMYFUNCTION("""COMPUTED_VALUE"""),"CFS")</f>
        <v/>
      </c>
      <c r="F617" s="45">
        <f>IFERROR(__xludf.DUMMYFUNCTION("""COMPUTED_VALUE"""),"Bodyline Trading (Private) Limited")</f>
        <v/>
      </c>
      <c r="G617" s="45">
        <f>IFERROR(__xludf.DUMMYFUNCTION("""COMPUTED_VALUE"""),"Bodyline (Private) Limited")</f>
        <v/>
      </c>
      <c r="H617" s="43">
        <f>IFERROR(__xludf.DUMMYFUNCTION("""COMPUTED_VALUE"""),454751025053)</f>
        <v/>
      </c>
      <c r="I617" s="45">
        <f>IFERROR(__xludf.DUMMYFUNCTION("""COMPUTED_VALUE"""),19843769)</f>
        <v/>
      </c>
      <c r="J617" s="45">
        <f>IFERROR(__xludf.DUMMYFUNCTION("""COMPUTED_VALUE"""),"LW1FM7S")</f>
        <v/>
      </c>
      <c r="K617" s="45">
        <f>IFERROR(__xludf.DUMMYFUNCTION("""COMPUTED_VALUE"""),"LW1FM7S-069097")</f>
        <v/>
      </c>
      <c r="L617" s="45">
        <f>IFERROR(__xludf.DUMMYFUNCTION("""COMPUTED_VALUE"""),3)</f>
        <v/>
      </c>
      <c r="M617" s="45">
        <f>IFERROR(__xludf.DUMMYFUNCTION("""COMPUTED_VALUE"""),147)</f>
        <v/>
      </c>
      <c r="N617" s="45">
        <f>IFERROR(__xludf.DUMMYFUNCTION("""COMPUTED_VALUE"""),15.101)</f>
        <v/>
      </c>
      <c r="O617" s="45">
        <f>IFERROR(__xludf.DUMMYFUNCTION("""COMPUTED_VALUE"""),0.132)</f>
        <v/>
      </c>
      <c r="P617" s="45">
        <f>IFERROR(__xludf.DUMMYFUNCTION("""COMPUTED_VALUE"""),"Colombo, LK")</f>
        <v/>
      </c>
      <c r="Q617" s="45">
        <f>IFERROR(__xludf.DUMMYFUNCTION("""COMPUTED_VALUE"""),"New York, NY, US")</f>
        <v/>
      </c>
      <c r="R617" s="44">
        <f>IFERROR(__xludf.DUMMYFUNCTION("""COMPUTED_VALUE"""),45831)</f>
        <v/>
      </c>
      <c r="S617" s="44">
        <f>IFERROR(__xludf.DUMMYFUNCTION("""COMPUTED_VALUE"""),45890)</f>
        <v/>
      </c>
      <c r="T617" s="45">
        <f>IFERROR(__xludf.DUMMYFUNCTION("""COMPUTED_VALUE"""),"Mississauga, ON, CA")</f>
        <v/>
      </c>
      <c r="U617" s="45" t="n"/>
      <c r="V617" s="45" t="n"/>
      <c r="W617" s="45" t="n"/>
      <c r="X617" s="45" t="n"/>
      <c r="Y617" s="46">
        <f>IFERROR(__xludf.DUMMYFUNCTION("""COMPUTED_VALUE"""),45838)</f>
        <v/>
      </c>
      <c r="Z617" s="46">
        <f>IFERROR(__xludf.DUMMYFUNCTION("""COMPUTED_VALUE"""),45859)</f>
        <v/>
      </c>
      <c r="AA617" s="46">
        <f>IFERROR(__xludf.DUMMYFUNCTION("""COMPUTED_VALUE"""),45859)</f>
        <v/>
      </c>
      <c r="AB617" s="45">
        <f>IFERROR(__xludf.DUMMYFUNCTION("""COMPUTED_VALUE"""),"3500 Argentia Road")</f>
        <v/>
      </c>
      <c r="AC617" s="45" t="n"/>
      <c r="AD617" s="45">
        <f>IFERROR(__xludf.DUMMYFUNCTION("""COMPUTED_VALUE"""),"OCEAN")</f>
        <v/>
      </c>
      <c r="AE617" s="45">
        <f>IFERROR(__xludf.DUMMYFUNCTION("""COMPUTED_VALUE"""),"N")</f>
        <v/>
      </c>
      <c r="AF617" s="45" t="n"/>
      <c r="AG617" s="49">
        <f>IFERROR(__xludf.DUMMYFUNCTION("IFNA(vlookup(H617,IMPORTRANGE(""1vUGwO1n0QQGx9kKbO0_M5gmuhXZ6-LaxQxgrmJnzgP0"",""'TP# look up'!A:C""),3,0),"""")"),"")</f>
        <v/>
      </c>
      <c r="AH617" s="49">
        <f>LEFT(J617,2)</f>
        <v/>
      </c>
    </row>
    <row r="618" ht="12.75" customHeight="1">
      <c r="A618" s="45">
        <f>IFERROR(__xludf.DUMMYFUNCTION("""COMPUTED_VALUE"""),"Colombo")</f>
        <v/>
      </c>
      <c r="B618" s="45" t="n"/>
      <c r="C618" s="45">
        <f>IFERROR(__xludf.DUMMYFUNCTION("""COMPUTED_VALUE"""),3259512)</f>
        <v/>
      </c>
      <c r="D618" s="45" t="n"/>
      <c r="E618" s="45">
        <f>IFERROR(__xludf.DUMMYFUNCTION("""COMPUTED_VALUE"""),"CFS")</f>
        <v/>
      </c>
      <c r="F618" s="45">
        <f>IFERROR(__xludf.DUMMYFUNCTION("""COMPUTED_VALUE"""),"Bodyline Trading (Private) Limited")</f>
        <v/>
      </c>
      <c r="G618" s="45">
        <f>IFERROR(__xludf.DUMMYFUNCTION("""COMPUTED_VALUE"""),"Bodyline (Private) Limited")</f>
        <v/>
      </c>
      <c r="H618" s="43">
        <f>IFERROR(__xludf.DUMMYFUNCTION("""COMPUTED_VALUE"""),454751025712)</f>
        <v/>
      </c>
      <c r="I618" s="45">
        <f>IFERROR(__xludf.DUMMYFUNCTION("""COMPUTED_VALUE"""),19843895)</f>
        <v/>
      </c>
      <c r="J618" s="45">
        <f>IFERROR(__xludf.DUMMYFUNCTION("""COMPUTED_VALUE"""),"LW1FM7S")</f>
        <v/>
      </c>
      <c r="K618" s="45">
        <f>IFERROR(__xludf.DUMMYFUNCTION("""COMPUTED_VALUE"""),"LW1FM7S-035487")</f>
        <v/>
      </c>
      <c r="L618" s="45">
        <f>IFERROR(__xludf.DUMMYFUNCTION("""COMPUTED_VALUE"""),9)</f>
        <v/>
      </c>
      <c r="M618" s="45">
        <f>IFERROR(__xludf.DUMMYFUNCTION("""COMPUTED_VALUE"""),514)</f>
        <v/>
      </c>
      <c r="N618" s="45">
        <f>IFERROR(__xludf.DUMMYFUNCTION("""COMPUTED_VALUE"""),51.434)</f>
        <v/>
      </c>
      <c r="O618" s="45">
        <f>IFERROR(__xludf.DUMMYFUNCTION("""COMPUTED_VALUE"""),0.395)</f>
        <v/>
      </c>
      <c r="P618" s="45">
        <f>IFERROR(__xludf.DUMMYFUNCTION("""COMPUTED_VALUE"""),"Colombo, LK")</f>
        <v/>
      </c>
      <c r="Q618" s="45">
        <f>IFERROR(__xludf.DUMMYFUNCTION("""COMPUTED_VALUE"""),"New York, NY, US")</f>
        <v/>
      </c>
      <c r="R618" s="44">
        <f>IFERROR(__xludf.DUMMYFUNCTION("""COMPUTED_VALUE"""),45831)</f>
        <v/>
      </c>
      <c r="S618" s="44">
        <f>IFERROR(__xludf.DUMMYFUNCTION("""COMPUTED_VALUE"""),45890)</f>
        <v/>
      </c>
      <c r="T618" s="45">
        <f>IFERROR(__xludf.DUMMYFUNCTION("""COMPUTED_VALUE"""),"Mississauga, ON, CA")</f>
        <v/>
      </c>
      <c r="U618" s="45" t="n"/>
      <c r="V618" s="45" t="n"/>
      <c r="W618" s="45" t="n"/>
      <c r="X618" s="45" t="n"/>
      <c r="Y618" s="46">
        <f>IFERROR(__xludf.DUMMYFUNCTION("""COMPUTED_VALUE"""),45838)</f>
        <v/>
      </c>
      <c r="Z618" s="46">
        <f>IFERROR(__xludf.DUMMYFUNCTION("""COMPUTED_VALUE"""),45859)</f>
        <v/>
      </c>
      <c r="AA618" s="46">
        <f>IFERROR(__xludf.DUMMYFUNCTION("""COMPUTED_VALUE"""),45859)</f>
        <v/>
      </c>
      <c r="AB618" s="45">
        <f>IFERROR(__xludf.DUMMYFUNCTION("""COMPUTED_VALUE"""),"3500 Argentia Road")</f>
        <v/>
      </c>
      <c r="AC618" s="45" t="n"/>
      <c r="AD618" s="45">
        <f>IFERROR(__xludf.DUMMYFUNCTION("""COMPUTED_VALUE"""),"OCEAN")</f>
        <v/>
      </c>
      <c r="AE618" s="45">
        <f>IFERROR(__xludf.DUMMYFUNCTION("""COMPUTED_VALUE"""),"N")</f>
        <v/>
      </c>
      <c r="AF618" s="45" t="n"/>
      <c r="AG618" s="49">
        <f>IFERROR(__xludf.DUMMYFUNCTION("IFNA(vlookup(H618,IMPORTRANGE(""1vUGwO1n0QQGx9kKbO0_M5gmuhXZ6-LaxQxgrmJnzgP0"",""'TP# look up'!A:C""),3,0),"""")"),"")</f>
        <v/>
      </c>
      <c r="AH618" s="49">
        <f>LEFT(J618,2)</f>
        <v/>
      </c>
    </row>
    <row r="619" ht="12.75" customHeight="1">
      <c r="A619" s="45">
        <f>IFERROR(__xludf.DUMMYFUNCTION("""COMPUTED_VALUE"""),"Colombo")</f>
        <v/>
      </c>
      <c r="B619" s="45" t="n"/>
      <c r="C619" s="45">
        <f>IFERROR(__xludf.DUMMYFUNCTION("""COMPUTED_VALUE"""),3259512)</f>
        <v/>
      </c>
      <c r="D619" s="45" t="n"/>
      <c r="E619" s="45">
        <f>IFERROR(__xludf.DUMMYFUNCTION("""COMPUTED_VALUE"""),"CFS")</f>
        <v/>
      </c>
      <c r="F619" s="45">
        <f>IFERROR(__xludf.DUMMYFUNCTION("""COMPUTED_VALUE"""),"Bodyline Trading (Private) Limited")</f>
        <v/>
      </c>
      <c r="G619" s="45">
        <f>IFERROR(__xludf.DUMMYFUNCTION("""COMPUTED_VALUE"""),"Bodyline (Private) Limited")</f>
        <v/>
      </c>
      <c r="H619" s="43">
        <f>IFERROR(__xludf.DUMMYFUNCTION("""COMPUTED_VALUE"""),454753071428)</f>
        <v/>
      </c>
      <c r="I619" s="45">
        <f>IFERROR(__xludf.DUMMYFUNCTION("""COMPUTED_VALUE"""),19878839)</f>
        <v/>
      </c>
      <c r="J619" s="45">
        <f>IFERROR(__xludf.DUMMYFUNCTION("""COMPUTED_VALUE"""),"LW2DTIS")</f>
        <v/>
      </c>
      <c r="K619" s="45">
        <f>IFERROR(__xludf.DUMMYFUNCTION("""COMPUTED_VALUE"""),"LW2DTIS-035486")</f>
        <v/>
      </c>
      <c r="L619" s="45">
        <f>IFERROR(__xludf.DUMMYFUNCTION("""COMPUTED_VALUE"""),9)</f>
        <v/>
      </c>
      <c r="M619" s="45">
        <f>IFERROR(__xludf.DUMMYFUNCTION("""COMPUTED_VALUE"""),663)</f>
        <v/>
      </c>
      <c r="N619" s="45">
        <f>IFERROR(__xludf.DUMMYFUNCTION("""COMPUTED_VALUE"""),78.227)</f>
        <v/>
      </c>
      <c r="O619" s="45">
        <f>IFERROR(__xludf.DUMMYFUNCTION("""COMPUTED_VALUE"""),0.725)</f>
        <v/>
      </c>
      <c r="P619" s="45">
        <f>IFERROR(__xludf.DUMMYFUNCTION("""COMPUTED_VALUE"""),"Colombo, LK")</f>
        <v/>
      </c>
      <c r="Q619" s="45">
        <f>IFERROR(__xludf.DUMMYFUNCTION("""COMPUTED_VALUE"""),"New York, NY, US")</f>
        <v/>
      </c>
      <c r="R619" s="44">
        <f>IFERROR(__xludf.DUMMYFUNCTION("""COMPUTED_VALUE"""),45831)</f>
        <v/>
      </c>
      <c r="S619" s="44">
        <f>IFERROR(__xludf.DUMMYFUNCTION("""COMPUTED_VALUE"""),45890)</f>
        <v/>
      </c>
      <c r="T619" s="45">
        <f>IFERROR(__xludf.DUMMYFUNCTION("""COMPUTED_VALUE"""),"Mississauga, ON, CA")</f>
        <v/>
      </c>
      <c r="U619" s="45" t="n"/>
      <c r="V619" s="45" t="n"/>
      <c r="W619" s="45" t="n"/>
      <c r="X619" s="45" t="n"/>
      <c r="Y619" s="46">
        <f>IFERROR(__xludf.DUMMYFUNCTION("""COMPUTED_VALUE"""),45838)</f>
        <v/>
      </c>
      <c r="Z619" s="46">
        <f>IFERROR(__xludf.DUMMYFUNCTION("""COMPUTED_VALUE"""),45859)</f>
        <v/>
      </c>
      <c r="AA619" s="46">
        <f>IFERROR(__xludf.DUMMYFUNCTION("""COMPUTED_VALUE"""),45859)</f>
        <v/>
      </c>
      <c r="AB619" s="45">
        <f>IFERROR(__xludf.DUMMYFUNCTION("""COMPUTED_VALUE"""),"3500 Argentia Road")</f>
        <v/>
      </c>
      <c r="AC619" s="45" t="n"/>
      <c r="AD619" s="45">
        <f>IFERROR(__xludf.DUMMYFUNCTION("""COMPUTED_VALUE"""),"OCEAN")</f>
        <v/>
      </c>
      <c r="AE619" s="45">
        <f>IFERROR(__xludf.DUMMYFUNCTION("""COMPUTED_VALUE"""),"N")</f>
        <v/>
      </c>
      <c r="AF619" s="45" t="n"/>
      <c r="AG619" s="49">
        <f>IFERROR(__xludf.DUMMYFUNCTION("IFNA(vlookup(H619,IMPORTRANGE(""1vUGwO1n0QQGx9kKbO0_M5gmuhXZ6-LaxQxgrmJnzgP0"",""'TP# look up'!A:C""),3,0),"""")"),"")</f>
        <v/>
      </c>
      <c r="AH619" s="49">
        <f>LEFT(J619,2)</f>
        <v/>
      </c>
    </row>
    <row r="620" ht="12.75" customHeight="1">
      <c r="A620" s="45">
        <f>IFERROR(__xludf.DUMMYFUNCTION("""COMPUTED_VALUE"""),"Colombo")</f>
        <v/>
      </c>
      <c r="B620" s="45" t="n"/>
      <c r="C620" s="45">
        <f>IFERROR(__xludf.DUMMYFUNCTION("""COMPUTED_VALUE"""),3259512)</f>
        <v/>
      </c>
      <c r="D620" s="45" t="n"/>
      <c r="E620" s="45">
        <f>IFERROR(__xludf.DUMMYFUNCTION("""COMPUTED_VALUE"""),"CFS")</f>
        <v/>
      </c>
      <c r="F620" s="45">
        <f>IFERROR(__xludf.DUMMYFUNCTION("""COMPUTED_VALUE"""),"Bodyline Trading (Private) Limited")</f>
        <v/>
      </c>
      <c r="G620" s="45">
        <f>IFERROR(__xludf.DUMMYFUNCTION("""COMPUTED_VALUE"""),"Bodyline (Private) Limited")</f>
        <v/>
      </c>
      <c r="H620" s="43">
        <f>IFERROR(__xludf.DUMMYFUNCTION("""COMPUTED_VALUE"""),454753671812)</f>
        <v/>
      </c>
      <c r="I620" s="45">
        <f>IFERROR(__xludf.DUMMYFUNCTION("""COMPUTED_VALUE"""),19878625)</f>
        <v/>
      </c>
      <c r="J620" s="45">
        <f>IFERROR(__xludf.DUMMYFUNCTION("""COMPUTED_VALUE"""),"LW2DTJS")</f>
        <v/>
      </c>
      <c r="K620" s="45">
        <f>IFERROR(__xludf.DUMMYFUNCTION("""COMPUTED_VALUE"""),"LW2DTJS-035486")</f>
        <v/>
      </c>
      <c r="L620" s="45">
        <f>IFERROR(__xludf.DUMMYFUNCTION("""COMPUTED_VALUE"""),6)</f>
        <v/>
      </c>
      <c r="M620" s="45">
        <f>IFERROR(__xludf.DUMMYFUNCTION("""COMPUTED_VALUE"""),250)</f>
        <v/>
      </c>
      <c r="N620" s="45">
        <f>IFERROR(__xludf.DUMMYFUNCTION("""COMPUTED_VALUE"""),37.663)</f>
        <v/>
      </c>
      <c r="O620" s="45">
        <f>IFERROR(__xludf.DUMMYFUNCTION("""COMPUTED_VALUE"""),0.447)</f>
        <v/>
      </c>
      <c r="P620" s="45">
        <f>IFERROR(__xludf.DUMMYFUNCTION("""COMPUTED_VALUE"""),"Colombo, LK")</f>
        <v/>
      </c>
      <c r="Q620" s="45">
        <f>IFERROR(__xludf.DUMMYFUNCTION("""COMPUTED_VALUE"""),"New York, NY, US")</f>
        <v/>
      </c>
      <c r="R620" s="44">
        <f>IFERROR(__xludf.DUMMYFUNCTION("""COMPUTED_VALUE"""),45831)</f>
        <v/>
      </c>
      <c r="S620" s="44">
        <f>IFERROR(__xludf.DUMMYFUNCTION("""COMPUTED_VALUE"""),45890)</f>
        <v/>
      </c>
      <c r="T620" s="45">
        <f>IFERROR(__xludf.DUMMYFUNCTION("""COMPUTED_VALUE"""),"Mississauga, ON, CA")</f>
        <v/>
      </c>
      <c r="U620" s="45" t="n"/>
      <c r="V620" s="45" t="n"/>
      <c r="W620" s="45" t="n"/>
      <c r="X620" s="45" t="n"/>
      <c r="Y620" s="46">
        <f>IFERROR(__xludf.DUMMYFUNCTION("""COMPUTED_VALUE"""),45838)</f>
        <v/>
      </c>
      <c r="Z620" s="46">
        <f>IFERROR(__xludf.DUMMYFUNCTION("""COMPUTED_VALUE"""),45859)</f>
        <v/>
      </c>
      <c r="AA620" s="46">
        <f>IFERROR(__xludf.DUMMYFUNCTION("""COMPUTED_VALUE"""),45859)</f>
        <v/>
      </c>
      <c r="AB620" s="45">
        <f>IFERROR(__xludf.DUMMYFUNCTION("""COMPUTED_VALUE"""),"3500 Argentia Road")</f>
        <v/>
      </c>
      <c r="AC620" s="45" t="n"/>
      <c r="AD620" s="45">
        <f>IFERROR(__xludf.DUMMYFUNCTION("""COMPUTED_VALUE"""),"OCEAN")</f>
        <v/>
      </c>
      <c r="AE620" s="45">
        <f>IFERROR(__xludf.DUMMYFUNCTION("""COMPUTED_VALUE"""),"N")</f>
        <v/>
      </c>
      <c r="AF620" s="45" t="n"/>
      <c r="AG620" s="49">
        <f>IFERROR(__xludf.DUMMYFUNCTION("IFNA(vlookup(H620,IMPORTRANGE(""1vUGwO1n0QQGx9kKbO0_M5gmuhXZ6-LaxQxgrmJnzgP0"",""'TP# look up'!A:C""),3,0),"""")"),"")</f>
        <v/>
      </c>
      <c r="AH620" s="49">
        <f>LEFT(J620,2)</f>
        <v/>
      </c>
    </row>
    <row r="621" ht="12.75" customHeight="1">
      <c r="A621" s="45">
        <f>IFERROR(__xludf.DUMMYFUNCTION("""COMPUTED_VALUE"""),"Colombo")</f>
        <v/>
      </c>
      <c r="B621" s="45" t="n"/>
      <c r="C621" s="45">
        <f>IFERROR(__xludf.DUMMYFUNCTION("""COMPUTED_VALUE"""),3259512)</f>
        <v/>
      </c>
      <c r="D621" s="45" t="n"/>
      <c r="E621" s="45">
        <f>IFERROR(__xludf.DUMMYFUNCTION("""COMPUTED_VALUE"""),"CFS")</f>
        <v/>
      </c>
      <c r="F621" s="45">
        <f>IFERROR(__xludf.DUMMYFUNCTION("""COMPUTED_VALUE"""),"Bodyline Trading (Private) Limited")</f>
        <v/>
      </c>
      <c r="G621" s="45">
        <f>IFERROR(__xludf.DUMMYFUNCTION("""COMPUTED_VALUE"""),"Bodyline (Private) Limited")</f>
        <v/>
      </c>
      <c r="H621" s="43">
        <f>IFERROR(__xludf.DUMMYFUNCTION("""COMPUTED_VALUE"""),454753767911)</f>
        <v/>
      </c>
      <c r="I621" s="45">
        <f>IFERROR(__xludf.DUMMYFUNCTION("""COMPUTED_VALUE"""),19878673)</f>
        <v/>
      </c>
      <c r="J621" s="45">
        <f>IFERROR(__xludf.DUMMYFUNCTION("""COMPUTED_VALUE"""),"LW2DZVS")</f>
        <v/>
      </c>
      <c r="K621" s="45">
        <f>IFERROR(__xludf.DUMMYFUNCTION("""COMPUTED_VALUE"""),"LW2DZVS-071150")</f>
        <v/>
      </c>
      <c r="L621" s="45">
        <f>IFERROR(__xludf.DUMMYFUNCTION("""COMPUTED_VALUE"""),3)</f>
        <v/>
      </c>
      <c r="M621" s="45">
        <f>IFERROR(__xludf.DUMMYFUNCTION("""COMPUTED_VALUE"""),118)</f>
        <v/>
      </c>
      <c r="N621" s="45">
        <f>IFERROR(__xludf.DUMMYFUNCTION("""COMPUTED_VALUE"""),22.112)</f>
        <v/>
      </c>
      <c r="O621" s="45">
        <f>IFERROR(__xludf.DUMMYFUNCTION("""COMPUTED_VALUE"""),0.242)</f>
        <v/>
      </c>
      <c r="P621" s="45">
        <f>IFERROR(__xludf.DUMMYFUNCTION("""COMPUTED_VALUE"""),"Colombo, LK")</f>
        <v/>
      </c>
      <c r="Q621" s="45">
        <f>IFERROR(__xludf.DUMMYFUNCTION("""COMPUTED_VALUE"""),"New York, NY, US")</f>
        <v/>
      </c>
      <c r="R621" s="44">
        <f>IFERROR(__xludf.DUMMYFUNCTION("""COMPUTED_VALUE"""),45831)</f>
        <v/>
      </c>
      <c r="S621" s="44">
        <f>IFERROR(__xludf.DUMMYFUNCTION("""COMPUTED_VALUE"""),45890)</f>
        <v/>
      </c>
      <c r="T621" s="45">
        <f>IFERROR(__xludf.DUMMYFUNCTION("""COMPUTED_VALUE"""),"Mississauga, ON, CA")</f>
        <v/>
      </c>
      <c r="U621" s="45" t="n"/>
      <c r="V621" s="45" t="n"/>
      <c r="W621" s="45" t="n"/>
      <c r="X621" s="45" t="n"/>
      <c r="Y621" s="46">
        <f>IFERROR(__xludf.DUMMYFUNCTION("""COMPUTED_VALUE"""),45838)</f>
        <v/>
      </c>
      <c r="Z621" s="46">
        <f>IFERROR(__xludf.DUMMYFUNCTION("""COMPUTED_VALUE"""),45859)</f>
        <v/>
      </c>
      <c r="AA621" s="46">
        <f>IFERROR(__xludf.DUMMYFUNCTION("""COMPUTED_VALUE"""),45859)</f>
        <v/>
      </c>
      <c r="AB621" s="45">
        <f>IFERROR(__xludf.DUMMYFUNCTION("""COMPUTED_VALUE"""),"3500 Argentia Road")</f>
        <v/>
      </c>
      <c r="AC621" s="45" t="n"/>
      <c r="AD621" s="45">
        <f>IFERROR(__xludf.DUMMYFUNCTION("""COMPUTED_VALUE"""),"OCEAN")</f>
        <v/>
      </c>
      <c r="AE621" s="45">
        <f>IFERROR(__xludf.DUMMYFUNCTION("""COMPUTED_VALUE"""),"N")</f>
        <v/>
      </c>
      <c r="AF621" s="45" t="n"/>
      <c r="AG621" s="49">
        <f>IFERROR(__xludf.DUMMYFUNCTION("IFNA(vlookup(H621,IMPORTRANGE(""1vUGwO1n0QQGx9kKbO0_M5gmuhXZ6-LaxQxgrmJnzgP0"",""'TP# look up'!A:C""),3,0),"""")"),"")</f>
        <v/>
      </c>
      <c r="AH621" s="49">
        <f>LEFT(J621,2)</f>
        <v/>
      </c>
    </row>
    <row r="622" ht="12.75" customHeight="1">
      <c r="A622" s="45">
        <f>IFERROR(__xludf.DUMMYFUNCTION("""COMPUTED_VALUE"""),"Colombo")</f>
        <v/>
      </c>
      <c r="B622" s="45" t="n"/>
      <c r="C622" s="45">
        <f>IFERROR(__xludf.DUMMYFUNCTION("""COMPUTED_VALUE"""),3259512)</f>
        <v/>
      </c>
      <c r="D622" s="45" t="n"/>
      <c r="E622" s="45">
        <f>IFERROR(__xludf.DUMMYFUNCTION("""COMPUTED_VALUE"""),"CFS")</f>
        <v/>
      </c>
      <c r="F622" s="45">
        <f>IFERROR(__xludf.DUMMYFUNCTION("""COMPUTED_VALUE"""),"Bodyline Trading (Private) Limited")</f>
        <v/>
      </c>
      <c r="G622" s="45">
        <f>IFERROR(__xludf.DUMMYFUNCTION("""COMPUTED_VALUE"""),"Bodyline (Private) Limited")</f>
        <v/>
      </c>
      <c r="H622" s="43">
        <f>IFERROR(__xludf.DUMMYFUNCTION("""COMPUTED_VALUE"""),454753883194)</f>
        <v/>
      </c>
      <c r="I622" s="45">
        <f>IFERROR(__xludf.DUMMYFUNCTION("""COMPUTED_VALUE"""),19843793)</f>
        <v/>
      </c>
      <c r="J622" s="45">
        <f>IFERROR(__xludf.DUMMYFUNCTION("""COMPUTED_VALUE"""),"LW2EB8S")</f>
        <v/>
      </c>
      <c r="K622" s="45">
        <f>IFERROR(__xludf.DUMMYFUNCTION("""COMPUTED_VALUE"""),"LW2EB8S-049106")</f>
        <v/>
      </c>
      <c r="L622" s="45">
        <f>IFERROR(__xludf.DUMMYFUNCTION("""COMPUTED_VALUE"""),5)</f>
        <v/>
      </c>
      <c r="M622" s="45">
        <f>IFERROR(__xludf.DUMMYFUNCTION("""COMPUTED_VALUE"""),258)</f>
        <v/>
      </c>
      <c r="N622" s="45">
        <f>IFERROR(__xludf.DUMMYFUNCTION("""COMPUTED_VALUE"""),38.548)</f>
        <v/>
      </c>
      <c r="O622" s="45">
        <f>IFERROR(__xludf.DUMMYFUNCTION("""COMPUTED_VALUE"""),0.403)</f>
        <v/>
      </c>
      <c r="P622" s="45">
        <f>IFERROR(__xludf.DUMMYFUNCTION("""COMPUTED_VALUE"""),"Colombo, LK")</f>
        <v/>
      </c>
      <c r="Q622" s="45">
        <f>IFERROR(__xludf.DUMMYFUNCTION("""COMPUTED_VALUE"""),"New York, NY, US")</f>
        <v/>
      </c>
      <c r="R622" s="44">
        <f>IFERROR(__xludf.DUMMYFUNCTION("""COMPUTED_VALUE"""),45831)</f>
        <v/>
      </c>
      <c r="S622" s="44">
        <f>IFERROR(__xludf.DUMMYFUNCTION("""COMPUTED_VALUE"""),45890)</f>
        <v/>
      </c>
      <c r="T622" s="45">
        <f>IFERROR(__xludf.DUMMYFUNCTION("""COMPUTED_VALUE"""),"Milton, ON, CA")</f>
        <v/>
      </c>
      <c r="U622" s="45" t="n"/>
      <c r="V622" s="45" t="n"/>
      <c r="W622" s="45" t="n"/>
      <c r="X622" s="45" t="n"/>
      <c r="Y622" s="46">
        <f>IFERROR(__xludf.DUMMYFUNCTION("""COMPUTED_VALUE"""),45838)</f>
        <v/>
      </c>
      <c r="Z622" s="46">
        <f>IFERROR(__xludf.DUMMYFUNCTION("""COMPUTED_VALUE"""),45859)</f>
        <v/>
      </c>
      <c r="AA622" s="46">
        <f>IFERROR(__xludf.DUMMYFUNCTION("""COMPUTED_VALUE"""),45859)</f>
        <v/>
      </c>
      <c r="AB622" s="45">
        <f>IFERROR(__xludf.DUMMYFUNCTION("""COMPUTED_VALUE"""),"7211 Fifth Line")</f>
        <v/>
      </c>
      <c r="AC622" s="45" t="n"/>
      <c r="AD622" s="45">
        <f>IFERROR(__xludf.DUMMYFUNCTION("""COMPUTED_VALUE"""),"OCEAN")</f>
        <v/>
      </c>
      <c r="AE622" s="45">
        <f>IFERROR(__xludf.DUMMYFUNCTION("""COMPUTED_VALUE"""),"N")</f>
        <v/>
      </c>
      <c r="AF622" s="45" t="n"/>
      <c r="AG622" s="49">
        <f>IFERROR(__xludf.DUMMYFUNCTION("IFNA(vlookup(H622,IMPORTRANGE(""1vUGwO1n0QQGx9kKbO0_M5gmuhXZ6-LaxQxgrmJnzgP0"",""'TP# look up'!A:C""),3,0),"""")"),"")</f>
        <v/>
      </c>
      <c r="AH622" s="49">
        <f>LEFT(J622,2)</f>
        <v/>
      </c>
    </row>
    <row r="623" ht="12.75" customHeight="1">
      <c r="A623" s="45">
        <f>IFERROR(__xludf.DUMMYFUNCTION("""COMPUTED_VALUE"""),"Colombo")</f>
        <v/>
      </c>
      <c r="B623" s="45" t="n"/>
      <c r="C623" s="45">
        <f>IFERROR(__xludf.DUMMYFUNCTION("""COMPUTED_VALUE"""),3259512)</f>
        <v/>
      </c>
      <c r="D623" s="45" t="n"/>
      <c r="E623" s="45">
        <f>IFERROR(__xludf.DUMMYFUNCTION("""COMPUTED_VALUE"""),"CFS")</f>
        <v/>
      </c>
      <c r="F623" s="45">
        <f>IFERROR(__xludf.DUMMYFUNCTION("""COMPUTED_VALUE"""),"Bodyline Trading (Private) Limited")</f>
        <v/>
      </c>
      <c r="G623" s="45">
        <f>IFERROR(__xludf.DUMMYFUNCTION("""COMPUTED_VALUE"""),"Bodyline (Private) Limited")</f>
        <v/>
      </c>
      <c r="H623" s="43">
        <f>IFERROR(__xludf.DUMMYFUNCTION("""COMPUTED_VALUE"""),454753927825)</f>
        <v/>
      </c>
      <c r="I623" s="45">
        <f>IFERROR(__xludf.DUMMYFUNCTION("""COMPUTED_VALUE"""),19843792)</f>
        <v/>
      </c>
      <c r="J623" s="45">
        <f>IFERROR(__xludf.DUMMYFUNCTION("""COMPUTED_VALUE"""),"LW2EB8S")</f>
        <v/>
      </c>
      <c r="K623" s="45">
        <f>IFERROR(__xludf.DUMMYFUNCTION("""COMPUTED_VALUE"""),"LW2EB8S-071188")</f>
        <v/>
      </c>
      <c r="L623" s="45">
        <f>IFERROR(__xludf.DUMMYFUNCTION("""COMPUTED_VALUE"""),4)</f>
        <v/>
      </c>
      <c r="M623" s="45">
        <f>IFERROR(__xludf.DUMMYFUNCTION("""COMPUTED_VALUE"""),154)</f>
        <v/>
      </c>
      <c r="N623" s="45">
        <f>IFERROR(__xludf.DUMMYFUNCTION("""COMPUTED_VALUE"""),23.93)</f>
        <v/>
      </c>
      <c r="O623" s="45">
        <f>IFERROR(__xludf.DUMMYFUNCTION("""COMPUTED_VALUE"""),0.285)</f>
        <v/>
      </c>
      <c r="P623" s="45">
        <f>IFERROR(__xludf.DUMMYFUNCTION("""COMPUTED_VALUE"""),"Colombo, LK")</f>
        <v/>
      </c>
      <c r="Q623" s="45">
        <f>IFERROR(__xludf.DUMMYFUNCTION("""COMPUTED_VALUE"""),"New York, NY, US")</f>
        <v/>
      </c>
      <c r="R623" s="44">
        <f>IFERROR(__xludf.DUMMYFUNCTION("""COMPUTED_VALUE"""),45831)</f>
        <v/>
      </c>
      <c r="S623" s="44">
        <f>IFERROR(__xludf.DUMMYFUNCTION("""COMPUTED_VALUE"""),45890)</f>
        <v/>
      </c>
      <c r="T623" s="45">
        <f>IFERROR(__xludf.DUMMYFUNCTION("""COMPUTED_VALUE"""),"Milton, ON, CA")</f>
        <v/>
      </c>
      <c r="U623" s="45" t="n"/>
      <c r="V623" s="45" t="n"/>
      <c r="W623" s="45" t="n"/>
      <c r="X623" s="45" t="n"/>
      <c r="Y623" s="46">
        <f>IFERROR(__xludf.DUMMYFUNCTION("""COMPUTED_VALUE"""),45838)</f>
        <v/>
      </c>
      <c r="Z623" s="46">
        <f>IFERROR(__xludf.DUMMYFUNCTION("""COMPUTED_VALUE"""),45859)</f>
        <v/>
      </c>
      <c r="AA623" s="46">
        <f>IFERROR(__xludf.DUMMYFUNCTION("""COMPUTED_VALUE"""),45859)</f>
        <v/>
      </c>
      <c r="AB623" s="45">
        <f>IFERROR(__xludf.DUMMYFUNCTION("""COMPUTED_VALUE"""),"7211 Fifth Line")</f>
        <v/>
      </c>
      <c r="AC623" s="45" t="n"/>
      <c r="AD623" s="45">
        <f>IFERROR(__xludf.DUMMYFUNCTION("""COMPUTED_VALUE"""),"OCEAN")</f>
        <v/>
      </c>
      <c r="AE623" s="45">
        <f>IFERROR(__xludf.DUMMYFUNCTION("""COMPUTED_VALUE"""),"N")</f>
        <v/>
      </c>
      <c r="AF623" s="45" t="n"/>
      <c r="AG623" s="49">
        <f>IFERROR(__xludf.DUMMYFUNCTION("IFNA(vlookup(H623,IMPORTRANGE(""1vUGwO1n0QQGx9kKbO0_M5gmuhXZ6-LaxQxgrmJnzgP0"",""'TP# look up'!A:C""),3,0),"""")"),"")</f>
        <v/>
      </c>
      <c r="AH623" s="49">
        <f>LEFT(J623,2)</f>
        <v/>
      </c>
    </row>
    <row r="624" ht="12.75" customHeight="1">
      <c r="A624" s="45">
        <f>IFERROR(__xludf.DUMMYFUNCTION("""COMPUTED_VALUE"""),"Colombo")</f>
        <v/>
      </c>
      <c r="B624" s="45" t="n"/>
      <c r="C624" s="45">
        <f>IFERROR(__xludf.DUMMYFUNCTION("""COMPUTED_VALUE"""),3259512)</f>
        <v/>
      </c>
      <c r="D624" s="45" t="n"/>
      <c r="E624" s="45">
        <f>IFERROR(__xludf.DUMMYFUNCTION("""COMPUTED_VALUE"""),"CFS")</f>
        <v/>
      </c>
      <c r="F624" s="45">
        <f>IFERROR(__xludf.DUMMYFUNCTION("""COMPUTED_VALUE"""),"Bodyline Trading (Private) Limited")</f>
        <v/>
      </c>
      <c r="G624" s="45">
        <f>IFERROR(__xludf.DUMMYFUNCTION("""COMPUTED_VALUE"""),"Bodyline (Private) Limited")</f>
        <v/>
      </c>
      <c r="H624" s="43">
        <f>IFERROR(__xludf.DUMMYFUNCTION("""COMPUTED_VALUE"""),454754017781)</f>
        <v/>
      </c>
      <c r="I624" s="45">
        <f>IFERROR(__xludf.DUMMYFUNCTION("""COMPUTED_VALUE"""),19878887)</f>
        <v/>
      </c>
      <c r="J624" s="45">
        <f>IFERROR(__xludf.DUMMYFUNCTION("""COMPUTED_VALUE"""),"LW2DZVS")</f>
        <v/>
      </c>
      <c r="K624" s="45">
        <f>IFERROR(__xludf.DUMMYFUNCTION("""COMPUTED_VALUE"""),"LW2DZVS-071150")</f>
        <v/>
      </c>
      <c r="L624" s="45">
        <f>IFERROR(__xludf.DUMMYFUNCTION("""COMPUTED_VALUE"""),5)</f>
        <v/>
      </c>
      <c r="M624" s="45">
        <f>IFERROR(__xludf.DUMMYFUNCTION("""COMPUTED_VALUE"""),223)</f>
        <v/>
      </c>
      <c r="N624" s="45">
        <f>IFERROR(__xludf.DUMMYFUNCTION("""COMPUTED_VALUE"""),40.897)</f>
        <v/>
      </c>
      <c r="O624" s="45">
        <f>IFERROR(__xludf.DUMMYFUNCTION("""COMPUTED_VALUE"""),0.366)</f>
        <v/>
      </c>
      <c r="P624" s="45">
        <f>IFERROR(__xludf.DUMMYFUNCTION("""COMPUTED_VALUE"""),"Colombo, LK")</f>
        <v/>
      </c>
      <c r="Q624" s="45">
        <f>IFERROR(__xludf.DUMMYFUNCTION("""COMPUTED_VALUE"""),"New York, NY, US")</f>
        <v/>
      </c>
      <c r="R624" s="44">
        <f>IFERROR(__xludf.DUMMYFUNCTION("""COMPUTED_VALUE"""),45831)</f>
        <v/>
      </c>
      <c r="S624" s="44">
        <f>IFERROR(__xludf.DUMMYFUNCTION("""COMPUTED_VALUE"""),45890)</f>
        <v/>
      </c>
      <c r="T624" s="45">
        <f>IFERROR(__xludf.DUMMYFUNCTION("""COMPUTED_VALUE"""),"Mississauga, ON, CA")</f>
        <v/>
      </c>
      <c r="U624" s="45" t="n"/>
      <c r="V624" s="45" t="n"/>
      <c r="W624" s="45" t="n"/>
      <c r="X624" s="45" t="n"/>
      <c r="Y624" s="46">
        <f>IFERROR(__xludf.DUMMYFUNCTION("""COMPUTED_VALUE"""),45838)</f>
        <v/>
      </c>
      <c r="Z624" s="46">
        <f>IFERROR(__xludf.DUMMYFUNCTION("""COMPUTED_VALUE"""),45859)</f>
        <v/>
      </c>
      <c r="AA624" s="46">
        <f>IFERROR(__xludf.DUMMYFUNCTION("""COMPUTED_VALUE"""),45859)</f>
        <v/>
      </c>
      <c r="AB624" s="45">
        <f>IFERROR(__xludf.DUMMYFUNCTION("""COMPUTED_VALUE"""),"3500 Argentia Road")</f>
        <v/>
      </c>
      <c r="AC624" s="45" t="n"/>
      <c r="AD624" s="45">
        <f>IFERROR(__xludf.DUMMYFUNCTION("""COMPUTED_VALUE"""),"OCEAN")</f>
        <v/>
      </c>
      <c r="AE624" s="45">
        <f>IFERROR(__xludf.DUMMYFUNCTION("""COMPUTED_VALUE"""),"N")</f>
        <v/>
      </c>
      <c r="AF624" s="45" t="n"/>
      <c r="AG624" s="49">
        <f>IFERROR(__xludf.DUMMYFUNCTION("IFNA(vlookup(H624,IMPORTRANGE(""1vUGwO1n0QQGx9kKbO0_M5gmuhXZ6-LaxQxgrmJnzgP0"",""'TP# look up'!A:C""),3,0),"""")"),"")</f>
        <v/>
      </c>
      <c r="AH624" s="49">
        <f>LEFT(J624,2)</f>
        <v/>
      </c>
    </row>
    <row r="625" ht="12.75" customHeight="1">
      <c r="A625" s="45">
        <f>IFERROR(__xludf.DUMMYFUNCTION("""COMPUTED_VALUE"""),"Colombo")</f>
        <v/>
      </c>
      <c r="B625" s="45" t="n"/>
      <c r="C625" s="45">
        <f>IFERROR(__xludf.DUMMYFUNCTION("""COMPUTED_VALUE"""),3259512)</f>
        <v/>
      </c>
      <c r="D625" s="45" t="n"/>
      <c r="E625" s="45">
        <f>IFERROR(__xludf.DUMMYFUNCTION("""COMPUTED_VALUE"""),"CFS")</f>
        <v/>
      </c>
      <c r="F625" s="45">
        <f>IFERROR(__xludf.DUMMYFUNCTION("""COMPUTED_VALUE"""),"Bodyline Trading (Private) Limited")</f>
        <v/>
      </c>
      <c r="G625" s="45">
        <f>IFERROR(__xludf.DUMMYFUNCTION("""COMPUTED_VALUE"""),"Bodyline (Private) Limited")</f>
        <v/>
      </c>
      <c r="H625" s="43">
        <f>IFERROR(__xludf.DUMMYFUNCTION("""COMPUTED_VALUE"""),454754894754)</f>
        <v/>
      </c>
      <c r="I625" s="45">
        <f>IFERROR(__xludf.DUMMYFUNCTION("""COMPUTED_VALUE"""),19877556)</f>
        <v/>
      </c>
      <c r="J625" s="45">
        <f>IFERROR(__xludf.DUMMYFUNCTION("""COMPUTED_VALUE"""),"LW2EDQS")</f>
        <v/>
      </c>
      <c r="K625" s="45">
        <f>IFERROR(__xludf.DUMMYFUNCTION("""COMPUTED_VALUE"""),"LW2EDQS-0001")</f>
        <v/>
      </c>
      <c r="L625" s="45">
        <f>IFERROR(__xludf.DUMMYFUNCTION("""COMPUTED_VALUE"""),14)</f>
        <v/>
      </c>
      <c r="M625" s="45">
        <f>IFERROR(__xludf.DUMMYFUNCTION("""COMPUTED_VALUE"""),167)</f>
        <v/>
      </c>
      <c r="N625" s="45">
        <f>IFERROR(__xludf.DUMMYFUNCTION("""COMPUTED_VALUE"""),33.329)</f>
        <v/>
      </c>
      <c r="O625" s="45">
        <f>IFERROR(__xludf.DUMMYFUNCTION("""COMPUTED_VALUE"""),0.615)</f>
        <v/>
      </c>
      <c r="P625" s="45">
        <f>IFERROR(__xludf.DUMMYFUNCTION("""COMPUTED_VALUE"""),"Colombo, LK")</f>
        <v/>
      </c>
      <c r="Q625" s="45">
        <f>IFERROR(__xludf.DUMMYFUNCTION("""COMPUTED_VALUE"""),"New York, NY, US")</f>
        <v/>
      </c>
      <c r="R625" s="44">
        <f>IFERROR(__xludf.DUMMYFUNCTION("""COMPUTED_VALUE"""),45831)</f>
        <v/>
      </c>
      <c r="S625" s="44">
        <f>IFERROR(__xludf.DUMMYFUNCTION("""COMPUTED_VALUE"""),45890)</f>
        <v/>
      </c>
      <c r="T625" s="45">
        <f>IFERROR(__xludf.DUMMYFUNCTION("""COMPUTED_VALUE"""),"Milton, ON, CA")</f>
        <v/>
      </c>
      <c r="U625" s="45" t="n"/>
      <c r="V625" s="45" t="n"/>
      <c r="W625" s="45" t="n"/>
      <c r="X625" s="45" t="n"/>
      <c r="Y625" s="46">
        <f>IFERROR(__xludf.DUMMYFUNCTION("""COMPUTED_VALUE"""),45838)</f>
        <v/>
      </c>
      <c r="Z625" s="46">
        <f>IFERROR(__xludf.DUMMYFUNCTION("""COMPUTED_VALUE"""),45859)</f>
        <v/>
      </c>
      <c r="AA625" s="46">
        <f>IFERROR(__xludf.DUMMYFUNCTION("""COMPUTED_VALUE"""),45859)</f>
        <v/>
      </c>
      <c r="AB625" s="45">
        <f>IFERROR(__xludf.DUMMYFUNCTION("""COMPUTED_VALUE"""),"7211 Fifth Line")</f>
        <v/>
      </c>
      <c r="AC625" s="45" t="n"/>
      <c r="AD625" s="45">
        <f>IFERROR(__xludf.DUMMYFUNCTION("""COMPUTED_VALUE"""),"OCEAN")</f>
        <v/>
      </c>
      <c r="AE625" s="45">
        <f>IFERROR(__xludf.DUMMYFUNCTION("""COMPUTED_VALUE"""),"N")</f>
        <v/>
      </c>
      <c r="AF625" s="45" t="n"/>
      <c r="AG625" s="49">
        <f>IFERROR(__xludf.DUMMYFUNCTION("IFNA(vlookup(H625,IMPORTRANGE(""1vUGwO1n0QQGx9kKbO0_M5gmuhXZ6-LaxQxgrmJnzgP0"",""'TP# look up'!A:C""),3,0),"""")"),"")</f>
        <v/>
      </c>
      <c r="AH625" s="49">
        <f>LEFT(J625,2)</f>
        <v/>
      </c>
    </row>
    <row r="626" ht="12.75" customHeight="1">
      <c r="A626" s="45">
        <f>IFERROR(__xludf.DUMMYFUNCTION("""COMPUTED_VALUE"""),"Colombo")</f>
        <v/>
      </c>
      <c r="B626" s="45" t="n"/>
      <c r="C626" s="45">
        <f>IFERROR(__xludf.DUMMYFUNCTION("""COMPUTED_VALUE"""),3259512)</f>
        <v/>
      </c>
      <c r="D626" s="45" t="n"/>
      <c r="E626" s="45">
        <f>IFERROR(__xludf.DUMMYFUNCTION("""COMPUTED_VALUE"""),"CFS")</f>
        <v/>
      </c>
      <c r="F626" s="45">
        <f>IFERROR(__xludf.DUMMYFUNCTION("""COMPUTED_VALUE"""),"Bodyline Trading (Private) Limited")</f>
        <v/>
      </c>
      <c r="G626" s="45">
        <f>IFERROR(__xludf.DUMMYFUNCTION("""COMPUTED_VALUE"""),"Bodyline (Private) Limited")</f>
        <v/>
      </c>
      <c r="H626" s="43">
        <f>IFERROR(__xludf.DUMMYFUNCTION("""COMPUTED_VALUE"""),454755036084)</f>
        <v/>
      </c>
      <c r="I626" s="45">
        <f>IFERROR(__xludf.DUMMYFUNCTION("""COMPUTED_VALUE"""),19878963)</f>
        <v/>
      </c>
      <c r="J626" s="45">
        <f>IFERROR(__xludf.DUMMYFUNCTION("""COMPUTED_VALUE"""),"LW2ED2S")</f>
        <v/>
      </c>
      <c r="K626" s="45">
        <f>IFERROR(__xludf.DUMMYFUNCTION("""COMPUTED_VALUE"""),"LW2ED2S-0002")</f>
        <v/>
      </c>
      <c r="L626" s="45">
        <f>IFERROR(__xludf.DUMMYFUNCTION("""COMPUTED_VALUE"""),6)</f>
        <v/>
      </c>
      <c r="M626" s="45">
        <f>IFERROR(__xludf.DUMMYFUNCTION("""COMPUTED_VALUE"""),270)</f>
        <v/>
      </c>
      <c r="N626" s="45">
        <f>IFERROR(__xludf.DUMMYFUNCTION("""COMPUTED_VALUE"""),49.261)</f>
        <v/>
      </c>
      <c r="O626" s="45">
        <f>IFERROR(__xludf.DUMMYFUNCTION("""COMPUTED_VALUE"""),0.41)</f>
        <v/>
      </c>
      <c r="P626" s="45">
        <f>IFERROR(__xludf.DUMMYFUNCTION("""COMPUTED_VALUE"""),"Colombo, LK")</f>
        <v/>
      </c>
      <c r="Q626" s="45">
        <f>IFERROR(__xludf.DUMMYFUNCTION("""COMPUTED_VALUE"""),"New York, NY, US")</f>
        <v/>
      </c>
      <c r="R626" s="44">
        <f>IFERROR(__xludf.DUMMYFUNCTION("""COMPUTED_VALUE"""),45831)</f>
        <v/>
      </c>
      <c r="S626" s="44">
        <f>IFERROR(__xludf.DUMMYFUNCTION("""COMPUTED_VALUE"""),45890)</f>
        <v/>
      </c>
      <c r="T626" s="45">
        <f>IFERROR(__xludf.DUMMYFUNCTION("""COMPUTED_VALUE"""),"Mississauga, ON, CA")</f>
        <v/>
      </c>
      <c r="U626" s="45" t="n"/>
      <c r="V626" s="45" t="n"/>
      <c r="W626" s="45" t="n"/>
      <c r="X626" s="45" t="n"/>
      <c r="Y626" s="46">
        <f>IFERROR(__xludf.DUMMYFUNCTION("""COMPUTED_VALUE"""),45838)</f>
        <v/>
      </c>
      <c r="Z626" s="46">
        <f>IFERROR(__xludf.DUMMYFUNCTION("""COMPUTED_VALUE"""),45859)</f>
        <v/>
      </c>
      <c r="AA626" s="46">
        <f>IFERROR(__xludf.DUMMYFUNCTION("""COMPUTED_VALUE"""),45859)</f>
        <v/>
      </c>
      <c r="AB626" s="45">
        <f>IFERROR(__xludf.DUMMYFUNCTION("""COMPUTED_VALUE"""),"3500 Argentia Road")</f>
        <v/>
      </c>
      <c r="AC626" s="45" t="n"/>
      <c r="AD626" s="45">
        <f>IFERROR(__xludf.DUMMYFUNCTION("""COMPUTED_VALUE"""),"OCEAN")</f>
        <v/>
      </c>
      <c r="AE626" s="45">
        <f>IFERROR(__xludf.DUMMYFUNCTION("""COMPUTED_VALUE"""),"N")</f>
        <v/>
      </c>
      <c r="AF626" s="45" t="n"/>
      <c r="AG626" s="49">
        <f>IFERROR(__xludf.DUMMYFUNCTION("IFNA(vlookup(H626,IMPORTRANGE(""1vUGwO1n0QQGx9kKbO0_M5gmuhXZ6-LaxQxgrmJnzgP0"",""'TP# look up'!A:C""),3,0),"""")"),"")</f>
        <v/>
      </c>
      <c r="AH626" s="49">
        <f>LEFT(J626,2)</f>
        <v/>
      </c>
    </row>
    <row r="627" ht="12.75" customHeight="1">
      <c r="A627" s="45">
        <f>IFERROR(__xludf.DUMMYFUNCTION("""COMPUTED_VALUE"""),"Colombo")</f>
        <v/>
      </c>
      <c r="B627" s="45" t="n"/>
      <c r="C627" s="45">
        <f>IFERROR(__xludf.DUMMYFUNCTION("""COMPUTED_VALUE"""),3259512)</f>
        <v/>
      </c>
      <c r="D627" s="45" t="n"/>
      <c r="E627" s="45">
        <f>IFERROR(__xludf.DUMMYFUNCTION("""COMPUTED_VALUE"""),"CFS")</f>
        <v/>
      </c>
      <c r="F627" s="45">
        <f>IFERROR(__xludf.DUMMYFUNCTION("""COMPUTED_VALUE"""),"Bodyline Trading (Private) Limited")</f>
        <v/>
      </c>
      <c r="G627" s="45">
        <f>IFERROR(__xludf.DUMMYFUNCTION("""COMPUTED_VALUE"""),"Bodyline (Private) Limited")</f>
        <v/>
      </c>
      <c r="H627" s="43">
        <f>IFERROR(__xludf.DUMMYFUNCTION("""COMPUTED_VALUE"""),454755156798)</f>
        <v/>
      </c>
      <c r="I627" s="45">
        <f>IFERROR(__xludf.DUMMYFUNCTION("""COMPUTED_VALUE"""),19877572)</f>
        <v/>
      </c>
      <c r="J627" s="45">
        <f>IFERROR(__xludf.DUMMYFUNCTION("""COMPUTED_VALUE"""),"LW2EDQS")</f>
        <v/>
      </c>
      <c r="K627" s="45">
        <f>IFERROR(__xludf.DUMMYFUNCTION("""COMPUTED_VALUE"""),"LW2EDQS-0001")</f>
        <v/>
      </c>
      <c r="L627" s="45">
        <f>IFERROR(__xludf.DUMMYFUNCTION("""COMPUTED_VALUE"""),9)</f>
        <v/>
      </c>
      <c r="M627" s="45">
        <f>IFERROR(__xludf.DUMMYFUNCTION("""COMPUTED_VALUE"""),109)</f>
        <v/>
      </c>
      <c r="N627" s="45">
        <f>IFERROR(__xludf.DUMMYFUNCTION("""COMPUTED_VALUE"""),21.63)</f>
        <v/>
      </c>
      <c r="O627" s="45">
        <f>IFERROR(__xludf.DUMMYFUNCTION("""COMPUTED_VALUE"""),0.395)</f>
        <v/>
      </c>
      <c r="P627" s="45">
        <f>IFERROR(__xludf.DUMMYFUNCTION("""COMPUTED_VALUE"""),"Colombo, LK")</f>
        <v/>
      </c>
      <c r="Q627" s="45">
        <f>IFERROR(__xludf.DUMMYFUNCTION("""COMPUTED_VALUE"""),"New York, NY, US")</f>
        <v/>
      </c>
      <c r="R627" s="44">
        <f>IFERROR(__xludf.DUMMYFUNCTION("""COMPUTED_VALUE"""),45831)</f>
        <v/>
      </c>
      <c r="S627" s="44">
        <f>IFERROR(__xludf.DUMMYFUNCTION("""COMPUTED_VALUE"""),45890)</f>
        <v/>
      </c>
      <c r="T627" s="45">
        <f>IFERROR(__xludf.DUMMYFUNCTION("""COMPUTED_VALUE"""),"Mississauga, ON, CA")</f>
        <v/>
      </c>
      <c r="U627" s="45" t="n"/>
      <c r="V627" s="45" t="n"/>
      <c r="W627" s="45" t="n"/>
      <c r="X627" s="45" t="n"/>
      <c r="Y627" s="46">
        <f>IFERROR(__xludf.DUMMYFUNCTION("""COMPUTED_VALUE"""),45838)</f>
        <v/>
      </c>
      <c r="Z627" s="46">
        <f>IFERROR(__xludf.DUMMYFUNCTION("""COMPUTED_VALUE"""),45859)</f>
        <v/>
      </c>
      <c r="AA627" s="46">
        <f>IFERROR(__xludf.DUMMYFUNCTION("""COMPUTED_VALUE"""),45859)</f>
        <v/>
      </c>
      <c r="AB627" s="45">
        <f>IFERROR(__xludf.DUMMYFUNCTION("""COMPUTED_VALUE"""),"3500 Argentia Road")</f>
        <v/>
      </c>
      <c r="AC627" s="45" t="n"/>
      <c r="AD627" s="45">
        <f>IFERROR(__xludf.DUMMYFUNCTION("""COMPUTED_VALUE"""),"OCEAN")</f>
        <v/>
      </c>
      <c r="AE627" s="45">
        <f>IFERROR(__xludf.DUMMYFUNCTION("""COMPUTED_VALUE"""),"N")</f>
        <v/>
      </c>
      <c r="AF627" s="45" t="n"/>
      <c r="AG627" s="49">
        <f>IFERROR(__xludf.DUMMYFUNCTION("IFNA(vlookup(H627,IMPORTRANGE(""1vUGwO1n0QQGx9kKbO0_M5gmuhXZ6-LaxQxgrmJnzgP0"",""'TP# look up'!A:C""),3,0),"""")"),"")</f>
        <v/>
      </c>
      <c r="AH627" s="49">
        <f>LEFT(J627,2)</f>
        <v/>
      </c>
    </row>
    <row r="628" ht="12.75" customHeight="1">
      <c r="A628" s="45">
        <f>IFERROR(__xludf.DUMMYFUNCTION("""COMPUTED_VALUE"""),"Colombo")</f>
        <v/>
      </c>
      <c r="B628" s="45" t="n"/>
      <c r="C628" s="45">
        <f>IFERROR(__xludf.DUMMYFUNCTION("""COMPUTED_VALUE"""),3259512)</f>
        <v/>
      </c>
      <c r="D628" s="45" t="n"/>
      <c r="E628" s="45">
        <f>IFERROR(__xludf.DUMMYFUNCTION("""COMPUTED_VALUE"""),"CFS")</f>
        <v/>
      </c>
      <c r="F628" s="45">
        <f>IFERROR(__xludf.DUMMYFUNCTION("""COMPUTED_VALUE"""),"Bodyline Trading (Private) Limited")</f>
        <v/>
      </c>
      <c r="G628" s="45">
        <f>IFERROR(__xludf.DUMMYFUNCTION("""COMPUTED_VALUE"""),"Bodyline (Private) Limited")</f>
        <v/>
      </c>
      <c r="H628" s="43">
        <f>IFERROR(__xludf.DUMMYFUNCTION("""COMPUTED_VALUE"""),454755182576)</f>
        <v/>
      </c>
      <c r="I628" s="45">
        <f>IFERROR(__xludf.DUMMYFUNCTION("""COMPUTED_VALUE"""),19877409)</f>
        <v/>
      </c>
      <c r="J628" s="45">
        <f>IFERROR(__xludf.DUMMYFUNCTION("""COMPUTED_VALUE"""),"LW2ED2S")</f>
        <v/>
      </c>
      <c r="K628" s="45">
        <f>IFERROR(__xludf.DUMMYFUNCTION("""COMPUTED_VALUE"""),"LW2ED2S-0002")</f>
        <v/>
      </c>
      <c r="L628" s="45">
        <f>IFERROR(__xludf.DUMMYFUNCTION("""COMPUTED_VALUE"""),2)</f>
        <v/>
      </c>
      <c r="M628" s="45">
        <f>IFERROR(__xludf.DUMMYFUNCTION("""COMPUTED_VALUE"""),62)</f>
        <v/>
      </c>
      <c r="N628" s="45">
        <f>IFERROR(__xludf.DUMMYFUNCTION("""COMPUTED_VALUE"""),11.878)</f>
        <v/>
      </c>
      <c r="O628" s="45">
        <f>IFERROR(__xludf.DUMMYFUNCTION("""COMPUTED_VALUE"""),0.124)</f>
        <v/>
      </c>
      <c r="P628" s="45">
        <f>IFERROR(__xludf.DUMMYFUNCTION("""COMPUTED_VALUE"""),"Colombo, LK")</f>
        <v/>
      </c>
      <c r="Q628" s="45">
        <f>IFERROR(__xludf.DUMMYFUNCTION("""COMPUTED_VALUE"""),"New York, NY, US")</f>
        <v/>
      </c>
      <c r="R628" s="44">
        <f>IFERROR(__xludf.DUMMYFUNCTION("""COMPUTED_VALUE"""),45831)</f>
        <v/>
      </c>
      <c r="S628" s="44">
        <f>IFERROR(__xludf.DUMMYFUNCTION("""COMPUTED_VALUE"""),45890)</f>
        <v/>
      </c>
      <c r="T628" s="45">
        <f>IFERROR(__xludf.DUMMYFUNCTION("""COMPUTED_VALUE"""),"Mississauga, ON, CA")</f>
        <v/>
      </c>
      <c r="U628" s="45" t="n"/>
      <c r="V628" s="45" t="n"/>
      <c r="W628" s="45" t="n"/>
      <c r="X628" s="45" t="n"/>
      <c r="Y628" s="46">
        <f>IFERROR(__xludf.DUMMYFUNCTION("""COMPUTED_VALUE"""),45838)</f>
        <v/>
      </c>
      <c r="Z628" s="46">
        <f>IFERROR(__xludf.DUMMYFUNCTION("""COMPUTED_VALUE"""),45859)</f>
        <v/>
      </c>
      <c r="AA628" s="46">
        <f>IFERROR(__xludf.DUMMYFUNCTION("""COMPUTED_VALUE"""),45859)</f>
        <v/>
      </c>
      <c r="AB628" s="45">
        <f>IFERROR(__xludf.DUMMYFUNCTION("""COMPUTED_VALUE"""),"3500 Argentia Road")</f>
        <v/>
      </c>
      <c r="AC628" s="45" t="n"/>
      <c r="AD628" s="45">
        <f>IFERROR(__xludf.DUMMYFUNCTION("""COMPUTED_VALUE"""),"OCEAN")</f>
        <v/>
      </c>
      <c r="AE628" s="45">
        <f>IFERROR(__xludf.DUMMYFUNCTION("""COMPUTED_VALUE"""),"N")</f>
        <v/>
      </c>
      <c r="AF628" s="45" t="n"/>
      <c r="AG628" s="49">
        <f>IFERROR(__xludf.DUMMYFUNCTION("IFNA(vlookup(H628,IMPORTRANGE(""1vUGwO1n0QQGx9kKbO0_M5gmuhXZ6-LaxQxgrmJnzgP0"",""'TP# look up'!A:C""),3,0),"""")"),"")</f>
        <v/>
      </c>
      <c r="AH628" s="49">
        <f>LEFT(J628,2)</f>
        <v/>
      </c>
    </row>
    <row r="629" ht="12.75" customHeight="1">
      <c r="A629" s="45">
        <f>IFERROR(__xludf.DUMMYFUNCTION("""COMPUTED_VALUE"""),"Colombo")</f>
        <v/>
      </c>
      <c r="B629" s="45" t="n"/>
      <c r="C629" s="45">
        <f>IFERROR(__xludf.DUMMYFUNCTION("""COMPUTED_VALUE"""),3259512)</f>
        <v/>
      </c>
      <c r="D629" s="45" t="n"/>
      <c r="E629" s="45">
        <f>IFERROR(__xludf.DUMMYFUNCTION("""COMPUTED_VALUE"""),"CFS")</f>
        <v/>
      </c>
      <c r="F629" s="45">
        <f>IFERROR(__xludf.DUMMYFUNCTION("""COMPUTED_VALUE"""),"Bodyline Trading (Private) Limited")</f>
        <v/>
      </c>
      <c r="G629" s="45">
        <f>IFERROR(__xludf.DUMMYFUNCTION("""COMPUTED_VALUE"""),"Bodyline (Private) Limited")</f>
        <v/>
      </c>
      <c r="H629" s="43">
        <f>IFERROR(__xludf.DUMMYFUNCTION("""COMPUTED_VALUE"""),454755661346)</f>
        <v/>
      </c>
      <c r="I629" s="45">
        <f>IFERROR(__xludf.DUMMYFUNCTION("""COMPUTED_VALUE"""),19877454)</f>
        <v/>
      </c>
      <c r="J629" s="45">
        <f>IFERROR(__xludf.DUMMYFUNCTION("""COMPUTED_VALUE"""),"LW2EDQS")</f>
        <v/>
      </c>
      <c r="K629" s="45">
        <f>IFERROR(__xludf.DUMMYFUNCTION("""COMPUTED_VALUE"""),"LW2EDQS-0001")</f>
        <v/>
      </c>
      <c r="L629" s="45">
        <f>IFERROR(__xludf.DUMMYFUNCTION("""COMPUTED_VALUE"""),17)</f>
        <v/>
      </c>
      <c r="M629" s="45">
        <f>IFERROR(__xludf.DUMMYFUNCTION("""COMPUTED_VALUE"""),204)</f>
        <v/>
      </c>
      <c r="N629" s="45">
        <f>IFERROR(__xludf.DUMMYFUNCTION("""COMPUTED_VALUE"""),40.634)</f>
        <v/>
      </c>
      <c r="O629" s="45">
        <f>IFERROR(__xludf.DUMMYFUNCTION("""COMPUTED_VALUE"""),0.747)</f>
        <v/>
      </c>
      <c r="P629" s="45">
        <f>IFERROR(__xludf.DUMMYFUNCTION("""COMPUTED_VALUE"""),"Colombo, LK")</f>
        <v/>
      </c>
      <c r="Q629" s="45">
        <f>IFERROR(__xludf.DUMMYFUNCTION("""COMPUTED_VALUE"""),"New York, NY, US")</f>
        <v/>
      </c>
      <c r="R629" s="44">
        <f>IFERROR(__xludf.DUMMYFUNCTION("""COMPUTED_VALUE"""),45831)</f>
        <v/>
      </c>
      <c r="S629" s="44">
        <f>IFERROR(__xludf.DUMMYFUNCTION("""COMPUTED_VALUE"""),45890)</f>
        <v/>
      </c>
      <c r="T629" s="45">
        <f>IFERROR(__xludf.DUMMYFUNCTION("""COMPUTED_VALUE"""),"Mississauga, ON, CA")</f>
        <v/>
      </c>
      <c r="U629" s="45" t="n"/>
      <c r="V629" s="45" t="n"/>
      <c r="W629" s="45" t="n"/>
      <c r="X629" s="45" t="n"/>
      <c r="Y629" s="46">
        <f>IFERROR(__xludf.DUMMYFUNCTION("""COMPUTED_VALUE"""),45838)</f>
        <v/>
      </c>
      <c r="Z629" s="46">
        <f>IFERROR(__xludf.DUMMYFUNCTION("""COMPUTED_VALUE"""),45859)</f>
        <v/>
      </c>
      <c r="AA629" s="46">
        <f>IFERROR(__xludf.DUMMYFUNCTION("""COMPUTED_VALUE"""),45859)</f>
        <v/>
      </c>
      <c r="AB629" s="45">
        <f>IFERROR(__xludf.DUMMYFUNCTION("""COMPUTED_VALUE"""),"3500 Argentia Road")</f>
        <v/>
      </c>
      <c r="AC629" s="45" t="n"/>
      <c r="AD629" s="45">
        <f>IFERROR(__xludf.DUMMYFUNCTION("""COMPUTED_VALUE"""),"OCEAN")</f>
        <v/>
      </c>
      <c r="AE629" s="45">
        <f>IFERROR(__xludf.DUMMYFUNCTION("""COMPUTED_VALUE"""),"N")</f>
        <v/>
      </c>
      <c r="AF629" s="45" t="n"/>
      <c r="AG629" s="49">
        <f>IFERROR(__xludf.DUMMYFUNCTION("IFNA(vlookup(H629,IMPORTRANGE(""1vUGwO1n0QQGx9kKbO0_M5gmuhXZ6-LaxQxgrmJnzgP0"",""'TP# look up'!A:C""),3,0),"""")"),"")</f>
        <v/>
      </c>
      <c r="AH629" s="49">
        <f>LEFT(J629,2)</f>
        <v/>
      </c>
    </row>
    <row r="630" ht="12.75" customHeight="1">
      <c r="A630" s="45">
        <f>IFERROR(__xludf.DUMMYFUNCTION("""COMPUTED_VALUE"""),"Colombo")</f>
        <v/>
      </c>
      <c r="B630" s="45" t="n"/>
      <c r="C630" s="45">
        <f>IFERROR(__xludf.DUMMYFUNCTION("""COMPUTED_VALUE"""),3259512)</f>
        <v/>
      </c>
      <c r="D630" s="45" t="n"/>
      <c r="E630" s="45">
        <f>IFERROR(__xludf.DUMMYFUNCTION("""COMPUTED_VALUE"""),"CFS")</f>
        <v/>
      </c>
      <c r="F630" s="45">
        <f>IFERROR(__xludf.DUMMYFUNCTION("""COMPUTED_VALUE"""),"Bodyline Trading (Private) Limited")</f>
        <v/>
      </c>
      <c r="G630" s="45">
        <f>IFERROR(__xludf.DUMMYFUNCTION("""COMPUTED_VALUE"""),"Bodyline (Private) Limited")</f>
        <v/>
      </c>
      <c r="H630" s="43">
        <f>IFERROR(__xludf.DUMMYFUNCTION("""COMPUTED_VALUE"""),454755747797)</f>
        <v/>
      </c>
      <c r="I630" s="45">
        <f>IFERROR(__xludf.DUMMYFUNCTION("""COMPUTED_VALUE"""),19877448)</f>
        <v/>
      </c>
      <c r="J630" s="45">
        <f>IFERROR(__xludf.DUMMYFUNCTION("""COMPUTED_VALUE"""),"LW2EDPS")</f>
        <v/>
      </c>
      <c r="K630" s="45">
        <f>IFERROR(__xludf.DUMMYFUNCTION("""COMPUTED_VALUE"""),"LW2EDPS-0001")</f>
        <v/>
      </c>
      <c r="L630" s="45">
        <f>IFERROR(__xludf.DUMMYFUNCTION("""COMPUTED_VALUE"""),14)</f>
        <v/>
      </c>
      <c r="M630" s="45">
        <f>IFERROR(__xludf.DUMMYFUNCTION("""COMPUTED_VALUE"""),166)</f>
        <v/>
      </c>
      <c r="N630" s="45">
        <f>IFERROR(__xludf.DUMMYFUNCTION("""COMPUTED_VALUE"""),32.791)</f>
        <v/>
      </c>
      <c r="O630" s="45">
        <f>IFERROR(__xludf.DUMMYFUNCTION("""COMPUTED_VALUE"""),0.615)</f>
        <v/>
      </c>
      <c r="P630" s="45">
        <f>IFERROR(__xludf.DUMMYFUNCTION("""COMPUTED_VALUE"""),"Colombo, LK")</f>
        <v/>
      </c>
      <c r="Q630" s="45">
        <f>IFERROR(__xludf.DUMMYFUNCTION("""COMPUTED_VALUE"""),"New York, NY, US")</f>
        <v/>
      </c>
      <c r="R630" s="44">
        <f>IFERROR(__xludf.DUMMYFUNCTION("""COMPUTED_VALUE"""),45831)</f>
        <v/>
      </c>
      <c r="S630" s="44">
        <f>IFERROR(__xludf.DUMMYFUNCTION("""COMPUTED_VALUE"""),45890)</f>
        <v/>
      </c>
      <c r="T630" s="45">
        <f>IFERROR(__xludf.DUMMYFUNCTION("""COMPUTED_VALUE"""),"Milton, ON, CA")</f>
        <v/>
      </c>
      <c r="U630" s="45" t="n"/>
      <c r="V630" s="45" t="n"/>
      <c r="W630" s="45" t="n"/>
      <c r="X630" s="45" t="n"/>
      <c r="Y630" s="46">
        <f>IFERROR(__xludf.DUMMYFUNCTION("""COMPUTED_VALUE"""),45838)</f>
        <v/>
      </c>
      <c r="Z630" s="46">
        <f>IFERROR(__xludf.DUMMYFUNCTION("""COMPUTED_VALUE"""),45859)</f>
        <v/>
      </c>
      <c r="AA630" s="46">
        <f>IFERROR(__xludf.DUMMYFUNCTION("""COMPUTED_VALUE"""),45859)</f>
        <v/>
      </c>
      <c r="AB630" s="45">
        <f>IFERROR(__xludf.DUMMYFUNCTION("""COMPUTED_VALUE"""),"7211 Fifth Line")</f>
        <v/>
      </c>
      <c r="AC630" s="45" t="n"/>
      <c r="AD630" s="45">
        <f>IFERROR(__xludf.DUMMYFUNCTION("""COMPUTED_VALUE"""),"OCEAN")</f>
        <v/>
      </c>
      <c r="AE630" s="45">
        <f>IFERROR(__xludf.DUMMYFUNCTION("""COMPUTED_VALUE"""),"N")</f>
        <v/>
      </c>
      <c r="AF630" s="45" t="n"/>
      <c r="AG630" s="49">
        <f>IFERROR(__xludf.DUMMYFUNCTION("IFNA(vlookup(H630,IMPORTRANGE(""1vUGwO1n0QQGx9kKbO0_M5gmuhXZ6-LaxQxgrmJnzgP0"",""'TP# look up'!A:C""),3,0),"""")"),"")</f>
        <v/>
      </c>
      <c r="AH630" s="49">
        <f>LEFT(J630,2)</f>
        <v/>
      </c>
    </row>
    <row r="631" ht="12.75" customHeight="1">
      <c r="A631" s="45">
        <f>IFERROR(__xludf.DUMMYFUNCTION("""COMPUTED_VALUE"""),"Colombo")</f>
        <v/>
      </c>
      <c r="B631" s="45" t="n"/>
      <c r="C631" s="45">
        <f>IFERROR(__xludf.DUMMYFUNCTION("""COMPUTED_VALUE"""),3259512)</f>
        <v/>
      </c>
      <c r="D631" s="45" t="n"/>
      <c r="E631" s="45">
        <f>IFERROR(__xludf.DUMMYFUNCTION("""COMPUTED_VALUE"""),"CFS")</f>
        <v/>
      </c>
      <c r="F631" s="45">
        <f>IFERROR(__xludf.DUMMYFUNCTION("""COMPUTED_VALUE"""),"Bodyline Trading (Private) Limited")</f>
        <v/>
      </c>
      <c r="G631" s="45">
        <f>IFERROR(__xludf.DUMMYFUNCTION("""COMPUTED_VALUE"""),"Bodyline (Private) Limited")</f>
        <v/>
      </c>
      <c r="H631" s="43">
        <f>IFERROR(__xludf.DUMMYFUNCTION("""COMPUTED_VALUE"""),454755827242)</f>
        <v/>
      </c>
      <c r="I631" s="45">
        <f>IFERROR(__xludf.DUMMYFUNCTION("""COMPUTED_VALUE"""),19878980)</f>
        <v/>
      </c>
      <c r="J631" s="45">
        <f>IFERROR(__xludf.DUMMYFUNCTION("""COMPUTED_VALUE"""),"LW2EDPS")</f>
        <v/>
      </c>
      <c r="K631" s="45">
        <f>IFERROR(__xludf.DUMMYFUNCTION("""COMPUTED_VALUE"""),"LW2EDPS-0001")</f>
        <v/>
      </c>
      <c r="L631" s="45">
        <f>IFERROR(__xludf.DUMMYFUNCTION("""COMPUTED_VALUE"""),16)</f>
        <v/>
      </c>
      <c r="M631" s="45">
        <f>IFERROR(__xludf.DUMMYFUNCTION("""COMPUTED_VALUE"""),204)</f>
        <v/>
      </c>
      <c r="N631" s="45">
        <f>IFERROR(__xludf.DUMMYFUNCTION("""COMPUTED_VALUE"""),39.209)</f>
        <v/>
      </c>
      <c r="O631" s="45">
        <f>IFERROR(__xludf.DUMMYFUNCTION("""COMPUTED_VALUE"""),0.703)</f>
        <v/>
      </c>
      <c r="P631" s="45">
        <f>IFERROR(__xludf.DUMMYFUNCTION("""COMPUTED_VALUE"""),"Colombo, LK")</f>
        <v/>
      </c>
      <c r="Q631" s="45">
        <f>IFERROR(__xludf.DUMMYFUNCTION("""COMPUTED_VALUE"""),"New York, NY, US")</f>
        <v/>
      </c>
      <c r="R631" s="44">
        <f>IFERROR(__xludf.DUMMYFUNCTION("""COMPUTED_VALUE"""),45831)</f>
        <v/>
      </c>
      <c r="S631" s="44">
        <f>IFERROR(__xludf.DUMMYFUNCTION("""COMPUTED_VALUE"""),45890)</f>
        <v/>
      </c>
      <c r="T631" s="45">
        <f>IFERROR(__xludf.DUMMYFUNCTION("""COMPUTED_VALUE"""),"Mississauga, ON, CA")</f>
        <v/>
      </c>
      <c r="U631" s="45" t="n"/>
      <c r="V631" s="45" t="n"/>
      <c r="W631" s="45" t="n"/>
      <c r="X631" s="45" t="n"/>
      <c r="Y631" s="46">
        <f>IFERROR(__xludf.DUMMYFUNCTION("""COMPUTED_VALUE"""),45838)</f>
        <v/>
      </c>
      <c r="Z631" s="46">
        <f>IFERROR(__xludf.DUMMYFUNCTION("""COMPUTED_VALUE"""),45859)</f>
        <v/>
      </c>
      <c r="AA631" s="46">
        <f>IFERROR(__xludf.DUMMYFUNCTION("""COMPUTED_VALUE"""),45859)</f>
        <v/>
      </c>
      <c r="AB631" s="45">
        <f>IFERROR(__xludf.DUMMYFUNCTION("""COMPUTED_VALUE"""),"3500 Argentia Road")</f>
        <v/>
      </c>
      <c r="AC631" s="45" t="n"/>
      <c r="AD631" s="45">
        <f>IFERROR(__xludf.DUMMYFUNCTION("""COMPUTED_VALUE"""),"OCEAN")</f>
        <v/>
      </c>
      <c r="AE631" s="45">
        <f>IFERROR(__xludf.DUMMYFUNCTION("""COMPUTED_VALUE"""),"N")</f>
        <v/>
      </c>
      <c r="AF631" s="45" t="n"/>
      <c r="AG631" s="49">
        <f>IFERROR(__xludf.DUMMYFUNCTION("IFNA(vlookup(H631,IMPORTRANGE(""1vUGwO1n0QQGx9kKbO0_M5gmuhXZ6-LaxQxgrmJnzgP0"",""'TP# look up'!A:C""),3,0),"""")"),"")</f>
        <v/>
      </c>
      <c r="AH631" s="49">
        <f>LEFT(J631,2)</f>
        <v/>
      </c>
    </row>
    <row r="632" ht="12.75" customHeight="1">
      <c r="A632" s="45">
        <f>IFERROR(__xludf.DUMMYFUNCTION("""COMPUTED_VALUE"""),"Colombo")</f>
        <v/>
      </c>
      <c r="B632" s="45" t="n"/>
      <c r="C632" s="45">
        <f>IFERROR(__xludf.DUMMYFUNCTION("""COMPUTED_VALUE"""),3259512)</f>
        <v/>
      </c>
      <c r="D632" s="45" t="n"/>
      <c r="E632" s="45">
        <f>IFERROR(__xludf.DUMMYFUNCTION("""COMPUTED_VALUE"""),"CFS")</f>
        <v/>
      </c>
      <c r="F632" s="45">
        <f>IFERROR(__xludf.DUMMYFUNCTION("""COMPUTED_VALUE"""),"Bodyline Trading (Private) Limited")</f>
        <v/>
      </c>
      <c r="G632" s="45">
        <f>IFERROR(__xludf.DUMMYFUNCTION("""COMPUTED_VALUE"""),"Bodyline (Private) Limited")</f>
        <v/>
      </c>
      <c r="H632" s="43">
        <f>IFERROR(__xludf.DUMMYFUNCTION("""COMPUTED_VALUE"""),454755874391)</f>
        <v/>
      </c>
      <c r="I632" s="45">
        <f>IFERROR(__xludf.DUMMYFUNCTION("""COMPUTED_VALUE"""),19877468)</f>
        <v/>
      </c>
      <c r="J632" s="45">
        <f>IFERROR(__xludf.DUMMYFUNCTION("""COMPUTED_VALUE"""),"LW2EDPS")</f>
        <v/>
      </c>
      <c r="K632" s="45">
        <f>IFERROR(__xludf.DUMMYFUNCTION("""COMPUTED_VALUE"""),"LW2EDPS-0001")</f>
        <v/>
      </c>
      <c r="L632" s="45">
        <f>IFERROR(__xludf.DUMMYFUNCTION("""COMPUTED_VALUE"""),9)</f>
        <v/>
      </c>
      <c r="M632" s="45">
        <f>IFERROR(__xludf.DUMMYFUNCTION("""COMPUTED_VALUE"""),108)</f>
        <v/>
      </c>
      <c r="N632" s="45">
        <f>IFERROR(__xludf.DUMMYFUNCTION("""COMPUTED_VALUE"""),21.235)</f>
        <v/>
      </c>
      <c r="O632" s="45">
        <f>IFERROR(__xludf.DUMMYFUNCTION("""COMPUTED_VALUE"""),0.395)</f>
        <v/>
      </c>
      <c r="P632" s="45">
        <f>IFERROR(__xludf.DUMMYFUNCTION("""COMPUTED_VALUE"""),"Colombo, LK")</f>
        <v/>
      </c>
      <c r="Q632" s="45">
        <f>IFERROR(__xludf.DUMMYFUNCTION("""COMPUTED_VALUE"""),"New York, NY, US")</f>
        <v/>
      </c>
      <c r="R632" s="44">
        <f>IFERROR(__xludf.DUMMYFUNCTION("""COMPUTED_VALUE"""),45831)</f>
        <v/>
      </c>
      <c r="S632" s="44">
        <f>IFERROR(__xludf.DUMMYFUNCTION("""COMPUTED_VALUE"""),45890)</f>
        <v/>
      </c>
      <c r="T632" s="45">
        <f>IFERROR(__xludf.DUMMYFUNCTION("""COMPUTED_VALUE"""),"Mississauga, ON, CA")</f>
        <v/>
      </c>
      <c r="U632" s="45" t="n"/>
      <c r="V632" s="45" t="n"/>
      <c r="W632" s="45" t="n"/>
      <c r="X632" s="45" t="n"/>
      <c r="Y632" s="46">
        <f>IFERROR(__xludf.DUMMYFUNCTION("""COMPUTED_VALUE"""),45838)</f>
        <v/>
      </c>
      <c r="Z632" s="46">
        <f>IFERROR(__xludf.DUMMYFUNCTION("""COMPUTED_VALUE"""),45859)</f>
        <v/>
      </c>
      <c r="AA632" s="46">
        <f>IFERROR(__xludf.DUMMYFUNCTION("""COMPUTED_VALUE"""),45859)</f>
        <v/>
      </c>
      <c r="AB632" s="45">
        <f>IFERROR(__xludf.DUMMYFUNCTION("""COMPUTED_VALUE"""),"3500 Argentia Road")</f>
        <v/>
      </c>
      <c r="AC632" s="45" t="n"/>
      <c r="AD632" s="45">
        <f>IFERROR(__xludf.DUMMYFUNCTION("""COMPUTED_VALUE"""),"OCEAN")</f>
        <v/>
      </c>
      <c r="AE632" s="45">
        <f>IFERROR(__xludf.DUMMYFUNCTION("""COMPUTED_VALUE"""),"N")</f>
        <v/>
      </c>
      <c r="AF632" s="45" t="n"/>
      <c r="AG632" s="49">
        <f>IFERROR(__xludf.DUMMYFUNCTION("IFNA(vlookup(H632,IMPORTRANGE(""1vUGwO1n0QQGx9kKbO0_M5gmuhXZ6-LaxQxgrmJnzgP0"",""'TP# look up'!A:C""),3,0),"""")"),"")</f>
        <v/>
      </c>
      <c r="AH632" s="49">
        <f>LEFT(J632,2)</f>
        <v/>
      </c>
    </row>
    <row r="633" ht="12.75" customHeight="1">
      <c r="A633" s="45">
        <f>IFERROR(__xludf.DUMMYFUNCTION("""COMPUTED_VALUE"""),"Colombo")</f>
        <v/>
      </c>
      <c r="B633" s="45" t="n"/>
      <c r="C633" s="45">
        <f>IFERROR(__xludf.DUMMYFUNCTION("""COMPUTED_VALUE"""),3259512)</f>
        <v/>
      </c>
      <c r="D633" s="45" t="n"/>
      <c r="E633" s="45">
        <f>IFERROR(__xludf.DUMMYFUNCTION("""COMPUTED_VALUE"""),"CFS")</f>
        <v/>
      </c>
      <c r="F633" s="45">
        <f>IFERROR(__xludf.DUMMYFUNCTION("""COMPUTED_VALUE"""),"Bodyline Trading (Private) Limited")</f>
        <v/>
      </c>
      <c r="G633" s="45">
        <f>IFERROR(__xludf.DUMMYFUNCTION("""COMPUTED_VALUE"""),"Bodyline (Private) Limited")</f>
        <v/>
      </c>
      <c r="H633" s="43">
        <f>IFERROR(__xludf.DUMMYFUNCTION("""COMPUTED_VALUE"""),454756629875)</f>
        <v/>
      </c>
      <c r="I633" s="45">
        <f>IFERROR(__xludf.DUMMYFUNCTION("""COMPUTED_VALUE"""),19877778)</f>
        <v/>
      </c>
      <c r="J633" s="45">
        <f>IFERROR(__xludf.DUMMYFUNCTION("""COMPUTED_VALUE"""),"LW2EHIS")</f>
        <v/>
      </c>
      <c r="K633" s="45">
        <f>IFERROR(__xludf.DUMMYFUNCTION("""COMPUTED_VALUE"""),"LW2EHIS-035486")</f>
        <v/>
      </c>
      <c r="L633" s="45">
        <f>IFERROR(__xludf.DUMMYFUNCTION("""COMPUTED_VALUE"""),17)</f>
        <v/>
      </c>
      <c r="M633" s="45">
        <f>IFERROR(__xludf.DUMMYFUNCTION("""COMPUTED_VALUE"""),211)</f>
        <v/>
      </c>
      <c r="N633" s="45">
        <f>IFERROR(__xludf.DUMMYFUNCTION("""COMPUTED_VALUE"""),42.822)</f>
        <v/>
      </c>
      <c r="O633" s="45">
        <f>IFERROR(__xludf.DUMMYFUNCTION("""COMPUTED_VALUE"""),0.747)</f>
        <v/>
      </c>
      <c r="P633" s="45">
        <f>IFERROR(__xludf.DUMMYFUNCTION("""COMPUTED_VALUE"""),"Colombo, LK")</f>
        <v/>
      </c>
      <c r="Q633" s="45">
        <f>IFERROR(__xludf.DUMMYFUNCTION("""COMPUTED_VALUE"""),"New York, NY, US")</f>
        <v/>
      </c>
      <c r="R633" s="44">
        <f>IFERROR(__xludf.DUMMYFUNCTION("""COMPUTED_VALUE"""),45831)</f>
        <v/>
      </c>
      <c r="S633" s="44">
        <f>IFERROR(__xludf.DUMMYFUNCTION("""COMPUTED_VALUE"""),45890)</f>
        <v/>
      </c>
      <c r="T633" s="45">
        <f>IFERROR(__xludf.DUMMYFUNCTION("""COMPUTED_VALUE"""),"Milton, ON, CA")</f>
        <v/>
      </c>
      <c r="U633" s="45" t="n"/>
      <c r="V633" s="45" t="n"/>
      <c r="W633" s="45" t="n"/>
      <c r="X633" s="45" t="n"/>
      <c r="Y633" s="46">
        <f>IFERROR(__xludf.DUMMYFUNCTION("""COMPUTED_VALUE"""),45838)</f>
        <v/>
      </c>
      <c r="Z633" s="46">
        <f>IFERROR(__xludf.DUMMYFUNCTION("""COMPUTED_VALUE"""),45859)</f>
        <v/>
      </c>
      <c r="AA633" s="46">
        <f>IFERROR(__xludf.DUMMYFUNCTION("""COMPUTED_VALUE"""),45859)</f>
        <v/>
      </c>
      <c r="AB633" s="45">
        <f>IFERROR(__xludf.DUMMYFUNCTION("""COMPUTED_VALUE"""),"7211 Fifth Line")</f>
        <v/>
      </c>
      <c r="AC633" s="45" t="n"/>
      <c r="AD633" s="45">
        <f>IFERROR(__xludf.DUMMYFUNCTION("""COMPUTED_VALUE"""),"OCEAN")</f>
        <v/>
      </c>
      <c r="AE633" s="45">
        <f>IFERROR(__xludf.DUMMYFUNCTION("""COMPUTED_VALUE"""),"N")</f>
        <v/>
      </c>
      <c r="AF633" s="45" t="n"/>
      <c r="AG633" s="49">
        <f>IFERROR(__xludf.DUMMYFUNCTION("IFNA(vlookup(H633,IMPORTRANGE(""1vUGwO1n0QQGx9kKbO0_M5gmuhXZ6-LaxQxgrmJnzgP0"",""'TP# look up'!A:C""),3,0),"""")"),"")</f>
        <v/>
      </c>
      <c r="AH633" s="49">
        <f>LEFT(J633,2)</f>
        <v/>
      </c>
    </row>
    <row r="634" ht="12.75" customHeight="1">
      <c r="A634" s="45">
        <f>IFERROR(__xludf.DUMMYFUNCTION("""COMPUTED_VALUE"""),"Colombo")</f>
        <v/>
      </c>
      <c r="B634" s="45" t="n"/>
      <c r="C634" s="45">
        <f>IFERROR(__xludf.DUMMYFUNCTION("""COMPUTED_VALUE"""),3259512)</f>
        <v/>
      </c>
      <c r="D634" s="45" t="n"/>
      <c r="E634" s="45">
        <f>IFERROR(__xludf.DUMMYFUNCTION("""COMPUTED_VALUE"""),"CFS")</f>
        <v/>
      </c>
      <c r="F634" s="45">
        <f>IFERROR(__xludf.DUMMYFUNCTION("""COMPUTED_VALUE"""),"Bodyline Trading (Private) Limited")</f>
        <v/>
      </c>
      <c r="G634" s="45">
        <f>IFERROR(__xludf.DUMMYFUNCTION("""COMPUTED_VALUE"""),"Bodyline (Private) Limited")</f>
        <v/>
      </c>
      <c r="H634" s="43">
        <f>IFERROR(__xludf.DUMMYFUNCTION("""COMPUTED_VALUE"""),454757204257)</f>
        <v/>
      </c>
      <c r="I634" s="45">
        <f>IFERROR(__xludf.DUMMYFUNCTION("""COMPUTED_VALUE"""),19877771)</f>
        <v/>
      </c>
      <c r="J634" s="45">
        <f>IFERROR(__xludf.DUMMYFUNCTION("""COMPUTED_VALUE"""),"LW2EHJS")</f>
        <v/>
      </c>
      <c r="K634" s="45">
        <f>IFERROR(__xludf.DUMMYFUNCTION("""COMPUTED_VALUE"""),"LW2EHJS-0002")</f>
        <v/>
      </c>
      <c r="L634" s="45">
        <f>IFERROR(__xludf.DUMMYFUNCTION("""COMPUTED_VALUE"""),12)</f>
        <v/>
      </c>
      <c r="M634" s="45">
        <f>IFERROR(__xludf.DUMMYFUNCTION("""COMPUTED_VALUE"""),145)</f>
        <v/>
      </c>
      <c r="N634" s="45">
        <f>IFERROR(__xludf.DUMMYFUNCTION("""COMPUTED_VALUE"""),28.029)</f>
        <v/>
      </c>
      <c r="O634" s="45">
        <f>IFERROR(__xludf.DUMMYFUNCTION("""COMPUTED_VALUE"""),0.527)</f>
        <v/>
      </c>
      <c r="P634" s="45">
        <f>IFERROR(__xludf.DUMMYFUNCTION("""COMPUTED_VALUE"""),"Colombo, LK")</f>
        <v/>
      </c>
      <c r="Q634" s="45">
        <f>IFERROR(__xludf.DUMMYFUNCTION("""COMPUTED_VALUE"""),"New York, NY, US")</f>
        <v/>
      </c>
      <c r="R634" s="44">
        <f>IFERROR(__xludf.DUMMYFUNCTION("""COMPUTED_VALUE"""),45831)</f>
        <v/>
      </c>
      <c r="S634" s="44">
        <f>IFERROR(__xludf.DUMMYFUNCTION("""COMPUTED_VALUE"""),45890)</f>
        <v/>
      </c>
      <c r="T634" s="45">
        <f>IFERROR(__xludf.DUMMYFUNCTION("""COMPUTED_VALUE"""),"Mississauga, ON, CA")</f>
        <v/>
      </c>
      <c r="U634" s="45" t="n"/>
      <c r="V634" s="45" t="n"/>
      <c r="W634" s="45" t="n"/>
      <c r="X634" s="45" t="n"/>
      <c r="Y634" s="46">
        <f>IFERROR(__xludf.DUMMYFUNCTION("""COMPUTED_VALUE"""),45838)</f>
        <v/>
      </c>
      <c r="Z634" s="46">
        <f>IFERROR(__xludf.DUMMYFUNCTION("""COMPUTED_VALUE"""),45859)</f>
        <v/>
      </c>
      <c r="AA634" s="46">
        <f>IFERROR(__xludf.DUMMYFUNCTION("""COMPUTED_VALUE"""),45859)</f>
        <v/>
      </c>
      <c r="AB634" s="45">
        <f>IFERROR(__xludf.DUMMYFUNCTION("""COMPUTED_VALUE"""),"3500 Argentia Road")</f>
        <v/>
      </c>
      <c r="AC634" s="45" t="n"/>
      <c r="AD634" s="45">
        <f>IFERROR(__xludf.DUMMYFUNCTION("""COMPUTED_VALUE"""),"OCEAN")</f>
        <v/>
      </c>
      <c r="AE634" s="45">
        <f>IFERROR(__xludf.DUMMYFUNCTION("""COMPUTED_VALUE"""),"N")</f>
        <v/>
      </c>
      <c r="AF634" s="45" t="n"/>
      <c r="AG634" s="49">
        <f>IFERROR(__xludf.DUMMYFUNCTION("IFNA(vlookup(H634,IMPORTRANGE(""1vUGwO1n0QQGx9kKbO0_M5gmuhXZ6-LaxQxgrmJnzgP0"",""'TP# look up'!A:C""),3,0),"""")"),"")</f>
        <v/>
      </c>
      <c r="AH634" s="49">
        <f>LEFT(J634,2)</f>
        <v/>
      </c>
    </row>
    <row r="635" ht="12.75" customHeight="1">
      <c r="A635" s="45">
        <f>IFERROR(__xludf.DUMMYFUNCTION("""COMPUTED_VALUE"""),"Colombo")</f>
        <v/>
      </c>
      <c r="B635" s="45" t="n"/>
      <c r="C635" s="45">
        <f>IFERROR(__xludf.DUMMYFUNCTION("""COMPUTED_VALUE"""),3259512)</f>
        <v/>
      </c>
      <c r="D635" s="45" t="n"/>
      <c r="E635" s="45">
        <f>IFERROR(__xludf.DUMMYFUNCTION("""COMPUTED_VALUE"""),"CFS")</f>
        <v/>
      </c>
      <c r="F635" s="45">
        <f>IFERROR(__xludf.DUMMYFUNCTION("""COMPUTED_VALUE"""),"Bodyline Trading (Private) Limited")</f>
        <v/>
      </c>
      <c r="G635" s="45">
        <f>IFERROR(__xludf.DUMMYFUNCTION("""COMPUTED_VALUE"""),"Bodyline (Private) Limited")</f>
        <v/>
      </c>
      <c r="H635" s="43">
        <f>IFERROR(__xludf.DUMMYFUNCTION("""COMPUTED_VALUE"""),454757236836)</f>
        <v/>
      </c>
      <c r="I635" s="45">
        <f>IFERROR(__xludf.DUMMYFUNCTION("""COMPUTED_VALUE"""),19877717)</f>
        <v/>
      </c>
      <c r="J635" s="45">
        <f>IFERROR(__xludf.DUMMYFUNCTION("""COMPUTED_VALUE"""),"LW2EHIS")</f>
        <v/>
      </c>
      <c r="K635" s="45">
        <f>IFERROR(__xludf.DUMMYFUNCTION("""COMPUTED_VALUE"""),"LW2EHIS-0002")</f>
        <v/>
      </c>
      <c r="L635" s="45">
        <f>IFERROR(__xludf.DUMMYFUNCTION("""COMPUTED_VALUE"""),13)</f>
        <v/>
      </c>
      <c r="M635" s="45">
        <f>IFERROR(__xludf.DUMMYFUNCTION("""COMPUTED_VALUE"""),145)</f>
        <v/>
      </c>
      <c r="N635" s="45">
        <f>IFERROR(__xludf.DUMMYFUNCTION("""COMPUTED_VALUE"""),29.844)</f>
        <v/>
      </c>
      <c r="O635" s="45">
        <f>IFERROR(__xludf.DUMMYFUNCTION("""COMPUTED_VALUE"""),0.571)</f>
        <v/>
      </c>
      <c r="P635" s="45">
        <f>IFERROR(__xludf.DUMMYFUNCTION("""COMPUTED_VALUE"""),"Colombo, LK")</f>
        <v/>
      </c>
      <c r="Q635" s="45">
        <f>IFERROR(__xludf.DUMMYFUNCTION("""COMPUTED_VALUE"""),"New York, NY, US")</f>
        <v/>
      </c>
      <c r="R635" s="44">
        <f>IFERROR(__xludf.DUMMYFUNCTION("""COMPUTED_VALUE"""),45831)</f>
        <v/>
      </c>
      <c r="S635" s="44">
        <f>IFERROR(__xludf.DUMMYFUNCTION("""COMPUTED_VALUE"""),45890)</f>
        <v/>
      </c>
      <c r="T635" s="45">
        <f>IFERROR(__xludf.DUMMYFUNCTION("""COMPUTED_VALUE"""),"Mississauga, ON, CA")</f>
        <v/>
      </c>
      <c r="U635" s="45" t="n"/>
      <c r="V635" s="45" t="n"/>
      <c r="W635" s="45" t="n"/>
      <c r="X635" s="45" t="n"/>
      <c r="Y635" s="46">
        <f>IFERROR(__xludf.DUMMYFUNCTION("""COMPUTED_VALUE"""),45838)</f>
        <v/>
      </c>
      <c r="Z635" s="46">
        <f>IFERROR(__xludf.DUMMYFUNCTION("""COMPUTED_VALUE"""),45859)</f>
        <v/>
      </c>
      <c r="AA635" s="46">
        <f>IFERROR(__xludf.DUMMYFUNCTION("""COMPUTED_VALUE"""),45859)</f>
        <v/>
      </c>
      <c r="AB635" s="45">
        <f>IFERROR(__xludf.DUMMYFUNCTION("""COMPUTED_VALUE"""),"3500 Argentia Road")</f>
        <v/>
      </c>
      <c r="AC635" s="45" t="n"/>
      <c r="AD635" s="45">
        <f>IFERROR(__xludf.DUMMYFUNCTION("""COMPUTED_VALUE"""),"OCEAN")</f>
        <v/>
      </c>
      <c r="AE635" s="45">
        <f>IFERROR(__xludf.DUMMYFUNCTION("""COMPUTED_VALUE"""),"N")</f>
        <v/>
      </c>
      <c r="AF635" s="45" t="n"/>
      <c r="AG635" s="49">
        <f>IFERROR(__xludf.DUMMYFUNCTION("IFNA(vlookup(H635,IMPORTRANGE(""1vUGwO1n0QQGx9kKbO0_M5gmuhXZ6-LaxQxgrmJnzgP0"",""'TP# look up'!A:C""),3,0),"""")"),"")</f>
        <v/>
      </c>
      <c r="AH635" s="49">
        <f>LEFT(J635,2)</f>
        <v/>
      </c>
    </row>
    <row r="636" ht="12.75" customHeight="1">
      <c r="A636" s="45">
        <f>IFERROR(__xludf.DUMMYFUNCTION("""COMPUTED_VALUE"""),"Colombo")</f>
        <v/>
      </c>
      <c r="B636" s="45" t="n"/>
      <c r="C636" s="45">
        <f>IFERROR(__xludf.DUMMYFUNCTION("""COMPUTED_VALUE"""),3259512)</f>
        <v/>
      </c>
      <c r="D636" s="45" t="n"/>
      <c r="E636" s="45">
        <f>IFERROR(__xludf.DUMMYFUNCTION("""COMPUTED_VALUE"""),"CFS")</f>
        <v/>
      </c>
      <c r="F636" s="45">
        <f>IFERROR(__xludf.DUMMYFUNCTION("""COMPUTED_VALUE"""),"Bodyline Trading (Private) Limited")</f>
        <v/>
      </c>
      <c r="G636" s="45">
        <f>IFERROR(__xludf.DUMMYFUNCTION("""COMPUTED_VALUE"""),"Bodyline (Private) Limited")</f>
        <v/>
      </c>
      <c r="H636" s="43">
        <f>IFERROR(__xludf.DUMMYFUNCTION("""COMPUTED_VALUE"""),454757246405)</f>
        <v/>
      </c>
      <c r="I636" s="45">
        <f>IFERROR(__xludf.DUMMYFUNCTION("""COMPUTED_VALUE"""),19877795)</f>
        <v/>
      </c>
      <c r="J636" s="45">
        <f>IFERROR(__xludf.DUMMYFUNCTION("""COMPUTED_VALUE"""),"LW2EHJS")</f>
        <v/>
      </c>
      <c r="K636" s="45">
        <f>IFERROR(__xludf.DUMMYFUNCTION("""COMPUTED_VALUE"""),"LW2EHJS-0002")</f>
        <v/>
      </c>
      <c r="L636" s="45">
        <f>IFERROR(__xludf.DUMMYFUNCTION("""COMPUTED_VALUE"""),7)</f>
        <v/>
      </c>
      <c r="M636" s="45">
        <f>IFERROR(__xludf.DUMMYFUNCTION("""COMPUTED_VALUE"""),77)</f>
        <v/>
      </c>
      <c r="N636" s="45">
        <f>IFERROR(__xludf.DUMMYFUNCTION("""COMPUTED_VALUE"""),15.475)</f>
        <v/>
      </c>
      <c r="O636" s="45">
        <f>IFERROR(__xludf.DUMMYFUNCTION("""COMPUTED_VALUE"""),0.307)</f>
        <v/>
      </c>
      <c r="P636" s="45">
        <f>IFERROR(__xludf.DUMMYFUNCTION("""COMPUTED_VALUE"""),"Colombo, LK")</f>
        <v/>
      </c>
      <c r="Q636" s="45">
        <f>IFERROR(__xludf.DUMMYFUNCTION("""COMPUTED_VALUE"""),"New York, NY, US")</f>
        <v/>
      </c>
      <c r="R636" s="44">
        <f>IFERROR(__xludf.DUMMYFUNCTION("""COMPUTED_VALUE"""),45831)</f>
        <v/>
      </c>
      <c r="S636" s="44">
        <f>IFERROR(__xludf.DUMMYFUNCTION("""COMPUTED_VALUE"""),45890)</f>
        <v/>
      </c>
      <c r="T636" s="45">
        <f>IFERROR(__xludf.DUMMYFUNCTION("""COMPUTED_VALUE"""),"Mississauga, ON, CA")</f>
        <v/>
      </c>
      <c r="U636" s="45" t="n"/>
      <c r="V636" s="45" t="n"/>
      <c r="W636" s="45" t="n"/>
      <c r="X636" s="45" t="n"/>
      <c r="Y636" s="46">
        <f>IFERROR(__xludf.DUMMYFUNCTION("""COMPUTED_VALUE"""),45838)</f>
        <v/>
      </c>
      <c r="Z636" s="46">
        <f>IFERROR(__xludf.DUMMYFUNCTION("""COMPUTED_VALUE"""),45859)</f>
        <v/>
      </c>
      <c r="AA636" s="46">
        <f>IFERROR(__xludf.DUMMYFUNCTION("""COMPUTED_VALUE"""),45859)</f>
        <v/>
      </c>
      <c r="AB636" s="45">
        <f>IFERROR(__xludf.DUMMYFUNCTION("""COMPUTED_VALUE"""),"3500 Argentia Road")</f>
        <v/>
      </c>
      <c r="AC636" s="45" t="n"/>
      <c r="AD636" s="45">
        <f>IFERROR(__xludf.DUMMYFUNCTION("""COMPUTED_VALUE"""),"OCEAN")</f>
        <v/>
      </c>
      <c r="AE636" s="45">
        <f>IFERROR(__xludf.DUMMYFUNCTION("""COMPUTED_VALUE"""),"N")</f>
        <v/>
      </c>
      <c r="AF636" s="45" t="n"/>
      <c r="AG636" s="49">
        <f>IFERROR(__xludf.DUMMYFUNCTION("IFNA(vlookup(H636,IMPORTRANGE(""1vUGwO1n0QQGx9kKbO0_M5gmuhXZ6-LaxQxgrmJnzgP0"",""'TP# look up'!A:C""),3,0),"""")"),"")</f>
        <v/>
      </c>
      <c r="AH636" s="49">
        <f>LEFT(J636,2)</f>
        <v/>
      </c>
    </row>
    <row r="637" ht="12.75" customHeight="1">
      <c r="A637" s="45">
        <f>IFERROR(__xludf.DUMMYFUNCTION("""COMPUTED_VALUE"""),"Colombo")</f>
        <v/>
      </c>
      <c r="B637" s="45" t="n"/>
      <c r="C637" s="45">
        <f>IFERROR(__xludf.DUMMYFUNCTION("""COMPUTED_VALUE"""),3259512)</f>
        <v/>
      </c>
      <c r="D637" s="45" t="n"/>
      <c r="E637" s="45">
        <f>IFERROR(__xludf.DUMMYFUNCTION("""COMPUTED_VALUE"""),"CFS")</f>
        <v/>
      </c>
      <c r="F637" s="45">
        <f>IFERROR(__xludf.DUMMYFUNCTION("""COMPUTED_VALUE"""),"Bodyline Trading (Private) Limited")</f>
        <v/>
      </c>
      <c r="G637" s="45">
        <f>IFERROR(__xludf.DUMMYFUNCTION("""COMPUTED_VALUE"""),"Bodyline (Private) Limited")</f>
        <v/>
      </c>
      <c r="H637" s="43">
        <f>IFERROR(__xludf.DUMMYFUNCTION("""COMPUTED_VALUE"""),454757248143)</f>
        <v/>
      </c>
      <c r="I637" s="45">
        <f>IFERROR(__xludf.DUMMYFUNCTION("""COMPUTED_VALUE"""),19877461)</f>
        <v/>
      </c>
      <c r="J637" s="45">
        <f>IFERROR(__xludf.DUMMYFUNCTION("""COMPUTED_VALUE"""),"LW9DC3S")</f>
        <v/>
      </c>
      <c r="K637" s="45">
        <f>IFERROR(__xludf.DUMMYFUNCTION("""COMPUTED_VALUE"""),"LW9DC3S-068971")</f>
        <v/>
      </c>
      <c r="L637" s="45">
        <f>IFERROR(__xludf.DUMMYFUNCTION("""COMPUTED_VALUE"""),3)</f>
        <v/>
      </c>
      <c r="M637" s="45">
        <f>IFERROR(__xludf.DUMMYFUNCTION("""COMPUTED_VALUE"""),112)</f>
        <v/>
      </c>
      <c r="N637" s="45">
        <f>IFERROR(__xludf.DUMMYFUNCTION("""COMPUTED_VALUE"""),9.494)</f>
        <v/>
      </c>
      <c r="O637" s="45">
        <f>IFERROR(__xludf.DUMMYFUNCTION("""COMPUTED_VALUE"""),0.132)</f>
        <v/>
      </c>
      <c r="P637" s="45">
        <f>IFERROR(__xludf.DUMMYFUNCTION("""COMPUTED_VALUE"""),"Colombo, LK")</f>
        <v/>
      </c>
      <c r="Q637" s="45">
        <f>IFERROR(__xludf.DUMMYFUNCTION("""COMPUTED_VALUE"""),"New York, NY, US")</f>
        <v/>
      </c>
      <c r="R637" s="44">
        <f>IFERROR(__xludf.DUMMYFUNCTION("""COMPUTED_VALUE"""),45831)</f>
        <v/>
      </c>
      <c r="S637" s="44">
        <f>IFERROR(__xludf.DUMMYFUNCTION("""COMPUTED_VALUE"""),45890)</f>
        <v/>
      </c>
      <c r="T637" s="45">
        <f>IFERROR(__xludf.DUMMYFUNCTION("""COMPUTED_VALUE"""),"Mississauga, ON, CA")</f>
        <v/>
      </c>
      <c r="U637" s="45" t="n"/>
      <c r="V637" s="45" t="n"/>
      <c r="W637" s="45" t="n"/>
      <c r="X637" s="45" t="n"/>
      <c r="Y637" s="46">
        <f>IFERROR(__xludf.DUMMYFUNCTION("""COMPUTED_VALUE"""),45838)</f>
        <v/>
      </c>
      <c r="Z637" s="46">
        <f>IFERROR(__xludf.DUMMYFUNCTION("""COMPUTED_VALUE"""),45859)</f>
        <v/>
      </c>
      <c r="AA637" s="46">
        <f>IFERROR(__xludf.DUMMYFUNCTION("""COMPUTED_VALUE"""),45859)</f>
        <v/>
      </c>
      <c r="AB637" s="45">
        <f>IFERROR(__xludf.DUMMYFUNCTION("""COMPUTED_VALUE"""),"3500 Argentia Road")</f>
        <v/>
      </c>
      <c r="AC637" s="45" t="n"/>
      <c r="AD637" s="45">
        <f>IFERROR(__xludf.DUMMYFUNCTION("""COMPUTED_VALUE"""),"OCEAN")</f>
        <v/>
      </c>
      <c r="AE637" s="45">
        <f>IFERROR(__xludf.DUMMYFUNCTION("""COMPUTED_VALUE"""),"N")</f>
        <v/>
      </c>
      <c r="AF637" s="45" t="n"/>
      <c r="AG637" s="49">
        <f>IFERROR(__xludf.DUMMYFUNCTION("IFNA(vlookup(H637,IMPORTRANGE(""1vUGwO1n0QQGx9kKbO0_M5gmuhXZ6-LaxQxgrmJnzgP0"",""'TP# look up'!A:C""),3,0),"""")"),"")</f>
        <v/>
      </c>
      <c r="AH637" s="49">
        <f>LEFT(J637,2)</f>
        <v/>
      </c>
    </row>
    <row r="638" ht="12.75" customHeight="1">
      <c r="A638" s="45">
        <f>IFERROR(__xludf.DUMMYFUNCTION("""COMPUTED_VALUE"""),"Colombo")</f>
        <v/>
      </c>
      <c r="B638" s="45" t="n"/>
      <c r="C638" s="45">
        <f>IFERROR(__xludf.DUMMYFUNCTION("""COMPUTED_VALUE"""),3259512)</f>
        <v/>
      </c>
      <c r="D638" s="45" t="n"/>
      <c r="E638" s="45">
        <f>IFERROR(__xludf.DUMMYFUNCTION("""COMPUTED_VALUE"""),"CFS")</f>
        <v/>
      </c>
      <c r="F638" s="45">
        <f>IFERROR(__xludf.DUMMYFUNCTION("""COMPUTED_VALUE"""),"Bodyline Trading (Private) Limited")</f>
        <v/>
      </c>
      <c r="G638" s="45">
        <f>IFERROR(__xludf.DUMMYFUNCTION("""COMPUTED_VALUE"""),"Bodyline (Private) Limited")</f>
        <v/>
      </c>
      <c r="H638" s="43">
        <f>IFERROR(__xludf.DUMMYFUNCTION("""COMPUTED_VALUE"""),454757485442)</f>
        <v/>
      </c>
      <c r="I638" s="45">
        <f>IFERROR(__xludf.DUMMYFUNCTION("""COMPUTED_VALUE"""),19877751)</f>
        <v/>
      </c>
      <c r="J638" s="45">
        <f>IFERROR(__xludf.DUMMYFUNCTION("""COMPUTED_VALUE"""),"LW2EHIS")</f>
        <v/>
      </c>
      <c r="K638" s="45">
        <f>IFERROR(__xludf.DUMMYFUNCTION("""COMPUTED_VALUE"""),"LW2EHIS-0002")</f>
        <v/>
      </c>
      <c r="L638" s="45">
        <f>IFERROR(__xludf.DUMMYFUNCTION("""COMPUTED_VALUE"""),9)</f>
        <v/>
      </c>
      <c r="M638" s="45">
        <f>IFERROR(__xludf.DUMMYFUNCTION("""COMPUTED_VALUE"""),76)</f>
        <v/>
      </c>
      <c r="N638" s="45">
        <f>IFERROR(__xludf.DUMMYFUNCTION("""COMPUTED_VALUE"""),17.637)</f>
        <v/>
      </c>
      <c r="O638" s="45">
        <f>IFERROR(__xludf.DUMMYFUNCTION("""COMPUTED_VALUE"""),0.395)</f>
        <v/>
      </c>
      <c r="P638" s="45">
        <f>IFERROR(__xludf.DUMMYFUNCTION("""COMPUTED_VALUE"""),"Colombo, LK")</f>
        <v/>
      </c>
      <c r="Q638" s="45">
        <f>IFERROR(__xludf.DUMMYFUNCTION("""COMPUTED_VALUE"""),"New York, NY, US")</f>
        <v/>
      </c>
      <c r="R638" s="44">
        <f>IFERROR(__xludf.DUMMYFUNCTION("""COMPUTED_VALUE"""),45831)</f>
        <v/>
      </c>
      <c r="S638" s="44">
        <f>IFERROR(__xludf.DUMMYFUNCTION("""COMPUTED_VALUE"""),45890)</f>
        <v/>
      </c>
      <c r="T638" s="45">
        <f>IFERROR(__xludf.DUMMYFUNCTION("""COMPUTED_VALUE"""),"Mississauga, ON, CA")</f>
        <v/>
      </c>
      <c r="U638" s="45" t="n"/>
      <c r="V638" s="45" t="n"/>
      <c r="W638" s="45" t="n"/>
      <c r="X638" s="45" t="n"/>
      <c r="Y638" s="46">
        <f>IFERROR(__xludf.DUMMYFUNCTION("""COMPUTED_VALUE"""),45838)</f>
        <v/>
      </c>
      <c r="Z638" s="46">
        <f>IFERROR(__xludf.DUMMYFUNCTION("""COMPUTED_VALUE"""),45859)</f>
        <v/>
      </c>
      <c r="AA638" s="46">
        <f>IFERROR(__xludf.DUMMYFUNCTION("""COMPUTED_VALUE"""),45859)</f>
        <v/>
      </c>
      <c r="AB638" s="45">
        <f>IFERROR(__xludf.DUMMYFUNCTION("""COMPUTED_VALUE"""),"3500 Argentia Road")</f>
        <v/>
      </c>
      <c r="AC638" s="45" t="n"/>
      <c r="AD638" s="45">
        <f>IFERROR(__xludf.DUMMYFUNCTION("""COMPUTED_VALUE"""),"OCEAN")</f>
        <v/>
      </c>
      <c r="AE638" s="45">
        <f>IFERROR(__xludf.DUMMYFUNCTION("""COMPUTED_VALUE"""),"N")</f>
        <v/>
      </c>
      <c r="AF638" s="45" t="n"/>
      <c r="AG638" s="49">
        <f>IFERROR(__xludf.DUMMYFUNCTION("IFNA(vlookup(H638,IMPORTRANGE(""1vUGwO1n0QQGx9kKbO0_M5gmuhXZ6-LaxQxgrmJnzgP0"",""'TP# look up'!A:C""),3,0),"""")"),"")</f>
        <v/>
      </c>
      <c r="AH638" s="49">
        <f>LEFT(J638,2)</f>
        <v/>
      </c>
    </row>
    <row r="639" ht="12.75" customHeight="1">
      <c r="A639" s="45">
        <f>IFERROR(__xludf.DUMMYFUNCTION("""COMPUTED_VALUE"""),"Colombo")</f>
        <v/>
      </c>
      <c r="B639" s="45" t="n"/>
      <c r="C639" s="45">
        <f>IFERROR(__xludf.DUMMYFUNCTION("""COMPUTED_VALUE"""),3259512)</f>
        <v/>
      </c>
      <c r="D639" s="45" t="n"/>
      <c r="E639" s="45">
        <f>IFERROR(__xludf.DUMMYFUNCTION("""COMPUTED_VALUE"""),"CFS")</f>
        <v/>
      </c>
      <c r="F639" s="45">
        <f>IFERROR(__xludf.DUMMYFUNCTION("""COMPUTED_VALUE"""),"Bodyline Trading (Private) Limited")</f>
        <v/>
      </c>
      <c r="G639" s="45">
        <f>IFERROR(__xludf.DUMMYFUNCTION("""COMPUTED_VALUE"""),"Bodyline (Private) Limited")</f>
        <v/>
      </c>
      <c r="H639" s="43">
        <f>IFERROR(__xludf.DUMMYFUNCTION("""COMPUTED_VALUE"""),454757856820)</f>
        <v/>
      </c>
      <c r="I639" s="45">
        <f>IFERROR(__xludf.DUMMYFUNCTION("""COMPUTED_VALUE"""),19877787)</f>
        <v/>
      </c>
      <c r="J639" s="45">
        <f>IFERROR(__xludf.DUMMYFUNCTION("""COMPUTED_VALUE"""),"LW2EHJS")</f>
        <v/>
      </c>
      <c r="K639" s="45">
        <f>IFERROR(__xludf.DUMMYFUNCTION("""COMPUTED_VALUE"""),"LW2EHJS-035486")</f>
        <v/>
      </c>
      <c r="L639" s="45">
        <f>IFERROR(__xludf.DUMMYFUNCTION("""COMPUTED_VALUE"""),16)</f>
        <v/>
      </c>
      <c r="M639" s="45">
        <f>IFERROR(__xludf.DUMMYFUNCTION("""COMPUTED_VALUE"""),194)</f>
        <v/>
      </c>
      <c r="N639" s="45">
        <f>IFERROR(__xludf.DUMMYFUNCTION("""COMPUTED_VALUE"""),37.429)</f>
        <v/>
      </c>
      <c r="O639" s="45">
        <f>IFERROR(__xludf.DUMMYFUNCTION("""COMPUTED_VALUE"""),0.703)</f>
        <v/>
      </c>
      <c r="P639" s="45">
        <f>IFERROR(__xludf.DUMMYFUNCTION("""COMPUTED_VALUE"""),"Colombo, LK")</f>
        <v/>
      </c>
      <c r="Q639" s="45">
        <f>IFERROR(__xludf.DUMMYFUNCTION("""COMPUTED_VALUE"""),"New York, NY, US")</f>
        <v/>
      </c>
      <c r="R639" s="44">
        <f>IFERROR(__xludf.DUMMYFUNCTION("""COMPUTED_VALUE"""),45831)</f>
        <v/>
      </c>
      <c r="S639" s="44">
        <f>IFERROR(__xludf.DUMMYFUNCTION("""COMPUTED_VALUE"""),45890)</f>
        <v/>
      </c>
      <c r="T639" s="45">
        <f>IFERROR(__xludf.DUMMYFUNCTION("""COMPUTED_VALUE"""),"Mississauga, ON, CA")</f>
        <v/>
      </c>
      <c r="U639" s="45" t="n"/>
      <c r="V639" s="45" t="n"/>
      <c r="W639" s="45" t="n"/>
      <c r="X639" s="45" t="n"/>
      <c r="Y639" s="46">
        <f>IFERROR(__xludf.DUMMYFUNCTION("""COMPUTED_VALUE"""),45838)</f>
        <v/>
      </c>
      <c r="Z639" s="46">
        <f>IFERROR(__xludf.DUMMYFUNCTION("""COMPUTED_VALUE"""),45859)</f>
        <v/>
      </c>
      <c r="AA639" s="46">
        <f>IFERROR(__xludf.DUMMYFUNCTION("""COMPUTED_VALUE"""),45859)</f>
        <v/>
      </c>
      <c r="AB639" s="45">
        <f>IFERROR(__xludf.DUMMYFUNCTION("""COMPUTED_VALUE"""),"3500 Argentia Road")</f>
        <v/>
      </c>
      <c r="AC639" s="45" t="n"/>
      <c r="AD639" s="45">
        <f>IFERROR(__xludf.DUMMYFUNCTION("""COMPUTED_VALUE"""),"OCEAN")</f>
        <v/>
      </c>
      <c r="AE639" s="45">
        <f>IFERROR(__xludf.DUMMYFUNCTION("""COMPUTED_VALUE"""),"N")</f>
        <v/>
      </c>
      <c r="AF639" s="45" t="n"/>
      <c r="AG639" s="49">
        <f>IFERROR(__xludf.DUMMYFUNCTION("IFNA(vlookup(H639,IMPORTRANGE(""1vUGwO1n0QQGx9kKbO0_M5gmuhXZ6-LaxQxgrmJnzgP0"",""'TP# look up'!A:C""),3,0),"""")"),"")</f>
        <v/>
      </c>
      <c r="AH639" s="49">
        <f>LEFT(J639,2)</f>
        <v/>
      </c>
    </row>
    <row r="640" ht="12.75" customHeight="1">
      <c r="A640" s="45">
        <f>IFERROR(__xludf.DUMMYFUNCTION("""COMPUTED_VALUE"""),"Colombo")</f>
        <v/>
      </c>
      <c r="B640" s="45" t="n"/>
      <c r="C640" s="45">
        <f>IFERROR(__xludf.DUMMYFUNCTION("""COMPUTED_VALUE"""),3259512)</f>
        <v/>
      </c>
      <c r="D640" s="45" t="n"/>
      <c r="E640" s="45">
        <f>IFERROR(__xludf.DUMMYFUNCTION("""COMPUTED_VALUE"""),"CFS")</f>
        <v/>
      </c>
      <c r="F640" s="45">
        <f>IFERROR(__xludf.DUMMYFUNCTION("""COMPUTED_VALUE"""),"Bodyline Trading (Private) Limited")</f>
        <v/>
      </c>
      <c r="G640" s="45">
        <f>IFERROR(__xludf.DUMMYFUNCTION("""COMPUTED_VALUE"""),"Bodyline (Private) Limited")</f>
        <v/>
      </c>
      <c r="H640" s="43">
        <f>IFERROR(__xludf.DUMMYFUNCTION("""COMPUTED_VALUE"""),454757991386)</f>
        <v/>
      </c>
      <c r="I640" s="45">
        <f>IFERROR(__xludf.DUMMYFUNCTION("""COMPUTED_VALUE"""),19843779)</f>
        <v/>
      </c>
      <c r="J640" s="45">
        <f>IFERROR(__xludf.DUMMYFUNCTION("""COMPUTED_VALUE"""),"LW1FM7S")</f>
        <v/>
      </c>
      <c r="K640" s="45">
        <f>IFERROR(__xludf.DUMMYFUNCTION("""COMPUTED_VALUE"""),"LW1FM7S-070108")</f>
        <v/>
      </c>
      <c r="L640" s="45">
        <f>IFERROR(__xludf.DUMMYFUNCTION("""COMPUTED_VALUE"""),4)</f>
        <v/>
      </c>
      <c r="M640" s="45">
        <f>IFERROR(__xludf.DUMMYFUNCTION("""COMPUTED_VALUE"""),218)</f>
        <v/>
      </c>
      <c r="N640" s="45">
        <f>IFERROR(__xludf.DUMMYFUNCTION("""COMPUTED_VALUE"""),21.993)</f>
        <v/>
      </c>
      <c r="O640" s="45">
        <f>IFERROR(__xludf.DUMMYFUNCTION("""COMPUTED_VALUE"""),0.176)</f>
        <v/>
      </c>
      <c r="P640" s="45">
        <f>IFERROR(__xludf.DUMMYFUNCTION("""COMPUTED_VALUE"""),"Colombo, LK")</f>
        <v/>
      </c>
      <c r="Q640" s="45">
        <f>IFERROR(__xludf.DUMMYFUNCTION("""COMPUTED_VALUE"""),"New York, NY, US")</f>
        <v/>
      </c>
      <c r="R640" s="44">
        <f>IFERROR(__xludf.DUMMYFUNCTION("""COMPUTED_VALUE"""),45831)</f>
        <v/>
      </c>
      <c r="S640" s="44">
        <f>IFERROR(__xludf.DUMMYFUNCTION("""COMPUTED_VALUE"""),45890)</f>
        <v/>
      </c>
      <c r="T640" s="45">
        <f>IFERROR(__xludf.DUMMYFUNCTION("""COMPUTED_VALUE"""),"Mississauga, ON, CA")</f>
        <v/>
      </c>
      <c r="U640" s="45" t="n"/>
      <c r="V640" s="45" t="n"/>
      <c r="W640" s="45" t="n"/>
      <c r="X640" s="45" t="n"/>
      <c r="Y640" s="46">
        <f>IFERROR(__xludf.DUMMYFUNCTION("""COMPUTED_VALUE"""),45838)</f>
        <v/>
      </c>
      <c r="Z640" s="46">
        <f>IFERROR(__xludf.DUMMYFUNCTION("""COMPUTED_VALUE"""),45859)</f>
        <v/>
      </c>
      <c r="AA640" s="46">
        <f>IFERROR(__xludf.DUMMYFUNCTION("""COMPUTED_VALUE"""),45859)</f>
        <v/>
      </c>
      <c r="AB640" s="45">
        <f>IFERROR(__xludf.DUMMYFUNCTION("""COMPUTED_VALUE"""),"3500 Argentia Road")</f>
        <v/>
      </c>
      <c r="AC640" s="45" t="n"/>
      <c r="AD640" s="45">
        <f>IFERROR(__xludf.DUMMYFUNCTION("""COMPUTED_VALUE"""),"OCEAN")</f>
        <v/>
      </c>
      <c r="AE640" s="45">
        <f>IFERROR(__xludf.DUMMYFUNCTION("""COMPUTED_VALUE"""),"N")</f>
        <v/>
      </c>
      <c r="AF640" s="45" t="n"/>
      <c r="AG640" s="49">
        <f>IFERROR(__xludf.DUMMYFUNCTION("IFNA(vlookup(H640,IMPORTRANGE(""1vUGwO1n0QQGx9kKbO0_M5gmuhXZ6-LaxQxgrmJnzgP0"",""'TP# look up'!A:C""),3,0),"""")"),"")</f>
        <v/>
      </c>
      <c r="AH640" s="49">
        <f>LEFT(J640,2)</f>
        <v/>
      </c>
    </row>
    <row r="641" ht="12.75" customHeight="1">
      <c r="A641" s="45">
        <f>IFERROR(__xludf.DUMMYFUNCTION("""COMPUTED_VALUE"""),"Colombo")</f>
        <v/>
      </c>
      <c r="B641" s="45" t="n"/>
      <c r="C641" s="45">
        <f>IFERROR(__xludf.DUMMYFUNCTION("""COMPUTED_VALUE"""),3259512)</f>
        <v/>
      </c>
      <c r="D641" s="45" t="n"/>
      <c r="E641" s="45">
        <f>IFERROR(__xludf.DUMMYFUNCTION("""COMPUTED_VALUE"""),"CFS")</f>
        <v/>
      </c>
      <c r="F641" s="45">
        <f>IFERROR(__xludf.DUMMYFUNCTION("""COMPUTED_VALUE"""),"Bodyline Trading (Private) Limited")</f>
        <v/>
      </c>
      <c r="G641" s="45">
        <f>IFERROR(__xludf.DUMMYFUNCTION("""COMPUTED_VALUE"""),"Bodyline (Private) Limited")</f>
        <v/>
      </c>
      <c r="H641" s="43">
        <f>IFERROR(__xludf.DUMMYFUNCTION("""COMPUTED_VALUE"""),454758119736)</f>
        <v/>
      </c>
      <c r="I641" s="45">
        <f>IFERROR(__xludf.DUMMYFUNCTION("""COMPUTED_VALUE"""),19843776)</f>
        <v/>
      </c>
      <c r="J641" s="45">
        <f>IFERROR(__xludf.DUMMYFUNCTION("""COMPUTED_VALUE"""),"LW1FM7S")</f>
        <v/>
      </c>
      <c r="K641" s="45">
        <f>IFERROR(__xludf.DUMMYFUNCTION("""COMPUTED_VALUE"""),"LW1FM7S-070108")</f>
        <v/>
      </c>
      <c r="L641" s="45">
        <f>IFERROR(__xludf.DUMMYFUNCTION("""COMPUTED_VALUE"""),1)</f>
        <v/>
      </c>
      <c r="M641" s="45">
        <f>IFERROR(__xludf.DUMMYFUNCTION("""COMPUTED_VALUE"""),15)</f>
        <v/>
      </c>
      <c r="N641" s="45">
        <f>IFERROR(__xludf.DUMMYFUNCTION("""COMPUTED_VALUE"""),2.209)</f>
        <v/>
      </c>
      <c r="O641" s="45">
        <f>IFERROR(__xludf.DUMMYFUNCTION("""COMPUTED_VALUE"""),0.044)</f>
        <v/>
      </c>
      <c r="P641" s="45">
        <f>IFERROR(__xludf.DUMMYFUNCTION("""COMPUTED_VALUE"""),"Colombo, LK")</f>
        <v/>
      </c>
      <c r="Q641" s="45">
        <f>IFERROR(__xludf.DUMMYFUNCTION("""COMPUTED_VALUE"""),"New York, NY, US")</f>
        <v/>
      </c>
      <c r="R641" s="44">
        <f>IFERROR(__xludf.DUMMYFUNCTION("""COMPUTED_VALUE"""),45831)</f>
        <v/>
      </c>
      <c r="S641" s="44">
        <f>IFERROR(__xludf.DUMMYFUNCTION("""COMPUTED_VALUE"""),45890)</f>
        <v/>
      </c>
      <c r="T641" s="45">
        <f>IFERROR(__xludf.DUMMYFUNCTION("""COMPUTED_VALUE"""),"Milton, ON, CA")</f>
        <v/>
      </c>
      <c r="U641" s="45" t="n"/>
      <c r="V641" s="45" t="n"/>
      <c r="W641" s="45" t="n"/>
      <c r="X641" s="45" t="n"/>
      <c r="Y641" s="46">
        <f>IFERROR(__xludf.DUMMYFUNCTION("""COMPUTED_VALUE"""),45838)</f>
        <v/>
      </c>
      <c r="Z641" s="46">
        <f>IFERROR(__xludf.DUMMYFUNCTION("""COMPUTED_VALUE"""),45859)</f>
        <v/>
      </c>
      <c r="AA641" s="46">
        <f>IFERROR(__xludf.DUMMYFUNCTION("""COMPUTED_VALUE"""),45859)</f>
        <v/>
      </c>
      <c r="AB641" s="45">
        <f>IFERROR(__xludf.DUMMYFUNCTION("""COMPUTED_VALUE"""),"7211 Fifth Line")</f>
        <v/>
      </c>
      <c r="AC641" s="45" t="n"/>
      <c r="AD641" s="45">
        <f>IFERROR(__xludf.DUMMYFUNCTION("""COMPUTED_VALUE"""),"OCEAN")</f>
        <v/>
      </c>
      <c r="AE641" s="45">
        <f>IFERROR(__xludf.DUMMYFUNCTION("""COMPUTED_VALUE"""),"N")</f>
        <v/>
      </c>
      <c r="AF641" s="45" t="n"/>
      <c r="AG641" s="49">
        <f>IFERROR(__xludf.DUMMYFUNCTION("IFNA(vlookup(H641,IMPORTRANGE(""1vUGwO1n0QQGx9kKbO0_M5gmuhXZ6-LaxQxgrmJnzgP0"",""'TP# look up'!A:C""),3,0),"""")"),"")</f>
        <v/>
      </c>
      <c r="AH641" s="49">
        <f>LEFT(J641,2)</f>
        <v/>
      </c>
    </row>
    <row r="642" ht="12.75" customHeight="1">
      <c r="A642" s="45">
        <f>IFERROR(__xludf.DUMMYFUNCTION("""COMPUTED_VALUE"""),"Colombo")</f>
        <v/>
      </c>
      <c r="B642" s="45" t="n"/>
      <c r="C642" s="45">
        <f>IFERROR(__xludf.DUMMYFUNCTION("""COMPUTED_VALUE"""),3259512)</f>
        <v/>
      </c>
      <c r="D642" s="45" t="n"/>
      <c r="E642" s="45">
        <f>IFERROR(__xludf.DUMMYFUNCTION("""COMPUTED_VALUE"""),"CFS")</f>
        <v/>
      </c>
      <c r="F642" s="45">
        <f>IFERROR(__xludf.DUMMYFUNCTION("""COMPUTED_VALUE"""),"Bodyline Trading (Private) Limited")</f>
        <v/>
      </c>
      <c r="G642" s="45">
        <f>IFERROR(__xludf.DUMMYFUNCTION("""COMPUTED_VALUE"""),"Bodyline (Private) Limited")</f>
        <v/>
      </c>
      <c r="H642" s="43">
        <f>IFERROR(__xludf.DUMMYFUNCTION("""COMPUTED_VALUE"""),454758273743)</f>
        <v/>
      </c>
      <c r="I642" s="45">
        <f>IFERROR(__xludf.DUMMYFUNCTION("""COMPUTED_VALUE"""),19877395)</f>
        <v/>
      </c>
      <c r="J642" s="45">
        <f>IFERROR(__xludf.DUMMYFUNCTION("""COMPUTED_VALUE"""),"LW9DC3S")</f>
        <v/>
      </c>
      <c r="K642" s="45">
        <f>IFERROR(__xludf.DUMMYFUNCTION("""COMPUTED_VALUE"""),"LW9DC3S-073330")</f>
        <v/>
      </c>
      <c r="L642" s="45">
        <f>IFERROR(__xludf.DUMMYFUNCTION("""COMPUTED_VALUE"""),7)</f>
        <v/>
      </c>
      <c r="M642" s="45">
        <f>IFERROR(__xludf.DUMMYFUNCTION("""COMPUTED_VALUE"""),421)</f>
        <v/>
      </c>
      <c r="N642" s="45">
        <f>IFERROR(__xludf.DUMMYFUNCTION("""COMPUTED_VALUE"""),31.427)</f>
        <v/>
      </c>
      <c r="O642" s="45">
        <f>IFERROR(__xludf.DUMMYFUNCTION("""COMPUTED_VALUE"""),0.307)</f>
        <v/>
      </c>
      <c r="P642" s="45">
        <f>IFERROR(__xludf.DUMMYFUNCTION("""COMPUTED_VALUE"""),"Colombo, LK")</f>
        <v/>
      </c>
      <c r="Q642" s="45">
        <f>IFERROR(__xludf.DUMMYFUNCTION("""COMPUTED_VALUE"""),"New York, NY, US")</f>
        <v/>
      </c>
      <c r="R642" s="44">
        <f>IFERROR(__xludf.DUMMYFUNCTION("""COMPUTED_VALUE"""),45831)</f>
        <v/>
      </c>
      <c r="S642" s="44">
        <f>IFERROR(__xludf.DUMMYFUNCTION("""COMPUTED_VALUE"""),45890)</f>
        <v/>
      </c>
      <c r="T642" s="45">
        <f>IFERROR(__xludf.DUMMYFUNCTION("""COMPUTED_VALUE"""),"Milton, ON, CA")</f>
        <v/>
      </c>
      <c r="U642" s="45" t="n"/>
      <c r="V642" s="45" t="n"/>
      <c r="W642" s="45" t="n"/>
      <c r="X642" s="45" t="n"/>
      <c r="Y642" s="46">
        <f>IFERROR(__xludf.DUMMYFUNCTION("""COMPUTED_VALUE"""),45838)</f>
        <v/>
      </c>
      <c r="Z642" s="46">
        <f>IFERROR(__xludf.DUMMYFUNCTION("""COMPUTED_VALUE"""),45859)</f>
        <v/>
      </c>
      <c r="AA642" s="46">
        <f>IFERROR(__xludf.DUMMYFUNCTION("""COMPUTED_VALUE"""),45859)</f>
        <v/>
      </c>
      <c r="AB642" s="45">
        <f>IFERROR(__xludf.DUMMYFUNCTION("""COMPUTED_VALUE"""),"7211 Fifth Line")</f>
        <v/>
      </c>
      <c r="AC642" s="45" t="n"/>
      <c r="AD642" s="45">
        <f>IFERROR(__xludf.DUMMYFUNCTION("""COMPUTED_VALUE"""),"OCEAN")</f>
        <v/>
      </c>
      <c r="AE642" s="45">
        <f>IFERROR(__xludf.DUMMYFUNCTION("""COMPUTED_VALUE"""),"N")</f>
        <v/>
      </c>
      <c r="AF642" s="45" t="n"/>
      <c r="AG642" s="49">
        <f>IFERROR(__xludf.DUMMYFUNCTION("IFNA(vlookup(H642,IMPORTRANGE(""1vUGwO1n0QQGx9kKbO0_M5gmuhXZ6-LaxQxgrmJnzgP0"",""'TP# look up'!A:C""),3,0),"""")"),"")</f>
        <v/>
      </c>
      <c r="AH642" s="49">
        <f>LEFT(J642,2)</f>
        <v/>
      </c>
    </row>
    <row r="643" ht="12.75" customHeight="1">
      <c r="A643" s="45">
        <f>IFERROR(__xludf.DUMMYFUNCTION("""COMPUTED_VALUE"""),"Colombo")</f>
        <v/>
      </c>
      <c r="B643" s="45" t="n"/>
      <c r="C643" s="45">
        <f>IFERROR(__xludf.DUMMYFUNCTION("""COMPUTED_VALUE"""),3259512)</f>
        <v/>
      </c>
      <c r="D643" s="45" t="n"/>
      <c r="E643" s="45">
        <f>IFERROR(__xludf.DUMMYFUNCTION("""COMPUTED_VALUE"""),"CFS")</f>
        <v/>
      </c>
      <c r="F643" s="45">
        <f>IFERROR(__xludf.DUMMYFUNCTION("""COMPUTED_VALUE"""),"Bodyline Trading (Private) Limited")</f>
        <v/>
      </c>
      <c r="G643" s="45">
        <f>IFERROR(__xludf.DUMMYFUNCTION("""COMPUTED_VALUE"""),"Bodyline (Private) Limited")</f>
        <v/>
      </c>
      <c r="H643" s="43">
        <f>IFERROR(__xludf.DUMMYFUNCTION("""COMPUTED_VALUE"""),454759049957)</f>
        <v/>
      </c>
      <c r="I643" s="45">
        <f>IFERROR(__xludf.DUMMYFUNCTION("""COMPUTED_VALUE"""),19877437)</f>
        <v/>
      </c>
      <c r="J643" s="45">
        <f>IFERROR(__xludf.DUMMYFUNCTION("""COMPUTED_VALUE"""),"LW9DC3S")</f>
        <v/>
      </c>
      <c r="K643" s="45">
        <f>IFERROR(__xludf.DUMMYFUNCTION("""COMPUTED_VALUE"""),"LW9DC3S-068971")</f>
        <v/>
      </c>
      <c r="L643" s="45">
        <f>IFERROR(__xludf.DUMMYFUNCTION("""COMPUTED_VALUE"""),6)</f>
        <v/>
      </c>
      <c r="M643" s="45">
        <f>IFERROR(__xludf.DUMMYFUNCTION("""COMPUTED_VALUE"""),374)</f>
        <v/>
      </c>
      <c r="N643" s="45">
        <f>IFERROR(__xludf.DUMMYFUNCTION("""COMPUTED_VALUE"""),27.728)</f>
        <v/>
      </c>
      <c r="O643" s="45">
        <f>IFERROR(__xludf.DUMMYFUNCTION("""COMPUTED_VALUE"""),0.264)</f>
        <v/>
      </c>
      <c r="P643" s="45">
        <f>IFERROR(__xludf.DUMMYFUNCTION("""COMPUTED_VALUE"""),"Colombo, LK")</f>
        <v/>
      </c>
      <c r="Q643" s="45">
        <f>IFERROR(__xludf.DUMMYFUNCTION("""COMPUTED_VALUE"""),"New York, NY, US")</f>
        <v/>
      </c>
      <c r="R643" s="44">
        <f>IFERROR(__xludf.DUMMYFUNCTION("""COMPUTED_VALUE"""),45831)</f>
        <v/>
      </c>
      <c r="S643" s="44">
        <f>IFERROR(__xludf.DUMMYFUNCTION("""COMPUTED_VALUE"""),45890)</f>
        <v/>
      </c>
      <c r="T643" s="45">
        <f>IFERROR(__xludf.DUMMYFUNCTION("""COMPUTED_VALUE"""),"Milton, ON, CA")</f>
        <v/>
      </c>
      <c r="U643" s="45" t="n"/>
      <c r="V643" s="45" t="n"/>
      <c r="W643" s="45" t="n"/>
      <c r="X643" s="45" t="n"/>
      <c r="Y643" s="46">
        <f>IFERROR(__xludf.DUMMYFUNCTION("""COMPUTED_VALUE"""),45838)</f>
        <v/>
      </c>
      <c r="Z643" s="46">
        <f>IFERROR(__xludf.DUMMYFUNCTION("""COMPUTED_VALUE"""),45859)</f>
        <v/>
      </c>
      <c r="AA643" s="46">
        <f>IFERROR(__xludf.DUMMYFUNCTION("""COMPUTED_VALUE"""),45859)</f>
        <v/>
      </c>
      <c r="AB643" s="45">
        <f>IFERROR(__xludf.DUMMYFUNCTION("""COMPUTED_VALUE"""),"7211 Fifth Line")</f>
        <v/>
      </c>
      <c r="AC643" s="45" t="n"/>
      <c r="AD643" s="45">
        <f>IFERROR(__xludf.DUMMYFUNCTION("""COMPUTED_VALUE"""),"OCEAN")</f>
        <v/>
      </c>
      <c r="AE643" s="45">
        <f>IFERROR(__xludf.DUMMYFUNCTION("""COMPUTED_VALUE"""),"N")</f>
        <v/>
      </c>
      <c r="AF643" s="45" t="n"/>
      <c r="AG643" s="49">
        <f>IFERROR(__xludf.DUMMYFUNCTION("IFNA(vlookup(H643,IMPORTRANGE(""1vUGwO1n0QQGx9kKbO0_M5gmuhXZ6-LaxQxgrmJnzgP0"",""'TP# look up'!A:C""),3,0),"""")"),"")</f>
        <v/>
      </c>
      <c r="AH643" s="49">
        <f>LEFT(J643,2)</f>
        <v/>
      </c>
    </row>
    <row r="644" ht="12.75" customHeight="1">
      <c r="A644" s="45">
        <f>IFERROR(__xludf.DUMMYFUNCTION("""COMPUTED_VALUE"""),"Colombo")</f>
        <v/>
      </c>
      <c r="B644" s="45" t="n"/>
      <c r="C644" s="45">
        <f>IFERROR(__xludf.DUMMYFUNCTION("""COMPUTED_VALUE"""),3259512)</f>
        <v/>
      </c>
      <c r="D644" s="45" t="n"/>
      <c r="E644" s="45">
        <f>IFERROR(__xludf.DUMMYFUNCTION("""COMPUTED_VALUE"""),"CFS")</f>
        <v/>
      </c>
      <c r="F644" s="45">
        <f>IFERROR(__xludf.DUMMYFUNCTION("""COMPUTED_VALUE"""),"Bodyline Trading (Private) Limited")</f>
        <v/>
      </c>
      <c r="G644" s="45">
        <f>IFERROR(__xludf.DUMMYFUNCTION("""COMPUTED_VALUE"""),"Bodyline (Private) Limited")</f>
        <v/>
      </c>
      <c r="H644" s="43">
        <f>IFERROR(__xludf.DUMMYFUNCTION("""COMPUTED_VALUE"""),454759050147)</f>
        <v/>
      </c>
      <c r="I644" s="45">
        <f>IFERROR(__xludf.DUMMYFUNCTION("""COMPUTED_VALUE"""),19877423)</f>
        <v/>
      </c>
      <c r="J644" s="45">
        <f>IFERROR(__xludf.DUMMYFUNCTION("""COMPUTED_VALUE"""),"LW9DC3S")</f>
        <v/>
      </c>
      <c r="K644" s="45">
        <f>IFERROR(__xludf.DUMMYFUNCTION("""COMPUTED_VALUE"""),"LW9DC3S-073330")</f>
        <v/>
      </c>
      <c r="L644" s="45">
        <f>IFERROR(__xludf.DUMMYFUNCTION("""COMPUTED_VALUE"""),3)</f>
        <v/>
      </c>
      <c r="M644" s="45">
        <f>IFERROR(__xludf.DUMMYFUNCTION("""COMPUTED_VALUE"""),120)</f>
        <v/>
      </c>
      <c r="N644" s="45">
        <f>IFERROR(__xludf.DUMMYFUNCTION("""COMPUTED_VALUE"""),9.988)</f>
        <v/>
      </c>
      <c r="O644" s="45">
        <f>IFERROR(__xludf.DUMMYFUNCTION("""COMPUTED_VALUE"""),0.132)</f>
        <v/>
      </c>
      <c r="P644" s="45">
        <f>IFERROR(__xludf.DUMMYFUNCTION("""COMPUTED_VALUE"""),"Colombo, LK")</f>
        <v/>
      </c>
      <c r="Q644" s="45">
        <f>IFERROR(__xludf.DUMMYFUNCTION("""COMPUTED_VALUE"""),"New York, NY, US")</f>
        <v/>
      </c>
      <c r="R644" s="44">
        <f>IFERROR(__xludf.DUMMYFUNCTION("""COMPUTED_VALUE"""),45831)</f>
        <v/>
      </c>
      <c r="S644" s="44">
        <f>IFERROR(__xludf.DUMMYFUNCTION("""COMPUTED_VALUE"""),45890)</f>
        <v/>
      </c>
      <c r="T644" s="45">
        <f>IFERROR(__xludf.DUMMYFUNCTION("""COMPUTED_VALUE"""),"Mississauga, ON, CA")</f>
        <v/>
      </c>
      <c r="U644" s="45" t="n"/>
      <c r="V644" s="45" t="n"/>
      <c r="W644" s="45" t="n"/>
      <c r="X644" s="45" t="n"/>
      <c r="Y644" s="46">
        <f>IFERROR(__xludf.DUMMYFUNCTION("""COMPUTED_VALUE"""),45838)</f>
        <v/>
      </c>
      <c r="Z644" s="46">
        <f>IFERROR(__xludf.DUMMYFUNCTION("""COMPUTED_VALUE"""),45859)</f>
        <v/>
      </c>
      <c r="AA644" s="46">
        <f>IFERROR(__xludf.DUMMYFUNCTION("""COMPUTED_VALUE"""),45859)</f>
        <v/>
      </c>
      <c r="AB644" s="45">
        <f>IFERROR(__xludf.DUMMYFUNCTION("""COMPUTED_VALUE"""),"3500 Argentia Road")</f>
        <v/>
      </c>
      <c r="AC644" s="45" t="n"/>
      <c r="AD644" s="45">
        <f>IFERROR(__xludf.DUMMYFUNCTION("""COMPUTED_VALUE"""),"OCEAN")</f>
        <v/>
      </c>
      <c r="AE644" s="45">
        <f>IFERROR(__xludf.DUMMYFUNCTION("""COMPUTED_VALUE"""),"N")</f>
        <v/>
      </c>
      <c r="AF644" s="45" t="n"/>
      <c r="AG644" s="49">
        <f>IFERROR(__xludf.DUMMYFUNCTION("IFNA(vlookup(H644,IMPORTRANGE(""1vUGwO1n0QQGx9kKbO0_M5gmuhXZ6-LaxQxgrmJnzgP0"",""'TP# look up'!A:C""),3,0),"""")"),"")</f>
        <v/>
      </c>
      <c r="AH644" s="49">
        <f>LEFT(J644,2)</f>
        <v/>
      </c>
    </row>
    <row r="645" ht="12.75" customHeight="1">
      <c r="A645" s="45">
        <f>IFERROR(__xludf.DUMMYFUNCTION("""COMPUTED_VALUE"""),"Colombo")</f>
        <v/>
      </c>
      <c r="B645" s="45" t="n"/>
      <c r="C645" s="45">
        <f>IFERROR(__xludf.DUMMYFUNCTION("""COMPUTED_VALUE"""),3259512)</f>
        <v/>
      </c>
      <c r="D645" s="45" t="n"/>
      <c r="E645" s="45">
        <f>IFERROR(__xludf.DUMMYFUNCTION("""COMPUTED_VALUE"""),"CFS")</f>
        <v/>
      </c>
      <c r="F645" s="45">
        <f>IFERROR(__xludf.DUMMYFUNCTION("""COMPUTED_VALUE"""),"Bodyline Trading (Private) Limited")</f>
        <v/>
      </c>
      <c r="G645" s="45">
        <f>IFERROR(__xludf.DUMMYFUNCTION("""COMPUTED_VALUE"""),"Bodyline (Private) Limited")</f>
        <v/>
      </c>
      <c r="H645" s="43">
        <f>IFERROR(__xludf.DUMMYFUNCTION("""COMPUTED_VALUE"""),454759075036)</f>
        <v/>
      </c>
      <c r="I645" s="45">
        <f>IFERROR(__xludf.DUMMYFUNCTION("""COMPUTED_VALUE"""),19877726)</f>
        <v/>
      </c>
      <c r="J645" s="45">
        <f>IFERROR(__xludf.DUMMYFUNCTION("""COMPUTED_VALUE"""),"LW9DC3S")</f>
        <v/>
      </c>
      <c r="K645" s="45">
        <f>IFERROR(__xludf.DUMMYFUNCTION("""COMPUTED_VALUE"""),"LW9DC3S-068971")</f>
        <v/>
      </c>
      <c r="L645" s="45">
        <f>IFERROR(__xludf.DUMMYFUNCTION("""COMPUTED_VALUE"""),6)</f>
        <v/>
      </c>
      <c r="M645" s="45">
        <f>IFERROR(__xludf.DUMMYFUNCTION("""COMPUTED_VALUE"""),325)</f>
        <v/>
      </c>
      <c r="N645" s="45">
        <f>IFERROR(__xludf.DUMMYFUNCTION("""COMPUTED_VALUE"""),24.843)</f>
        <v/>
      </c>
      <c r="O645" s="45">
        <f>IFERROR(__xludf.DUMMYFUNCTION("""COMPUTED_VALUE"""),0.264)</f>
        <v/>
      </c>
      <c r="P645" s="45">
        <f>IFERROR(__xludf.DUMMYFUNCTION("""COMPUTED_VALUE"""),"Colombo, LK")</f>
        <v/>
      </c>
      <c r="Q645" s="45">
        <f>IFERROR(__xludf.DUMMYFUNCTION("""COMPUTED_VALUE"""),"New York, NY, US")</f>
        <v/>
      </c>
      <c r="R645" s="44">
        <f>IFERROR(__xludf.DUMMYFUNCTION("""COMPUTED_VALUE"""),45831)</f>
        <v/>
      </c>
      <c r="S645" s="44">
        <f>IFERROR(__xludf.DUMMYFUNCTION("""COMPUTED_VALUE"""),45890)</f>
        <v/>
      </c>
      <c r="T645" s="45">
        <f>IFERROR(__xludf.DUMMYFUNCTION("""COMPUTED_VALUE"""),"Mississauga, ON, CA")</f>
        <v/>
      </c>
      <c r="U645" s="45" t="n"/>
      <c r="V645" s="45" t="n"/>
      <c r="W645" s="45" t="n"/>
      <c r="X645" s="45" t="n"/>
      <c r="Y645" s="46">
        <f>IFERROR(__xludf.DUMMYFUNCTION("""COMPUTED_VALUE"""),45838)</f>
        <v/>
      </c>
      <c r="Z645" s="46">
        <f>IFERROR(__xludf.DUMMYFUNCTION("""COMPUTED_VALUE"""),45859)</f>
        <v/>
      </c>
      <c r="AA645" s="46">
        <f>IFERROR(__xludf.DUMMYFUNCTION("""COMPUTED_VALUE"""),45859)</f>
        <v/>
      </c>
      <c r="AB645" s="45">
        <f>IFERROR(__xludf.DUMMYFUNCTION("""COMPUTED_VALUE"""),"3500 Argentia Road")</f>
        <v/>
      </c>
      <c r="AC645" s="45" t="n"/>
      <c r="AD645" s="45">
        <f>IFERROR(__xludf.DUMMYFUNCTION("""COMPUTED_VALUE"""),"OCEAN")</f>
        <v/>
      </c>
      <c r="AE645" s="45">
        <f>IFERROR(__xludf.DUMMYFUNCTION("""COMPUTED_VALUE"""),"N")</f>
        <v/>
      </c>
      <c r="AF645" s="45" t="n"/>
      <c r="AG645" s="49">
        <f>IFERROR(__xludf.DUMMYFUNCTION("IFNA(vlookup(H645,IMPORTRANGE(""1vUGwO1n0QQGx9kKbO0_M5gmuhXZ6-LaxQxgrmJnzgP0"",""'TP# look up'!A:C""),3,0),"""")"),"")</f>
        <v/>
      </c>
      <c r="AH645" s="49">
        <f>LEFT(J645,2)</f>
        <v/>
      </c>
    </row>
    <row r="646" ht="12.75" customHeight="1">
      <c r="A646" s="45">
        <f>IFERROR(__xludf.DUMMYFUNCTION("""COMPUTED_VALUE"""),"Colombo")</f>
        <v/>
      </c>
      <c r="B646" s="45" t="n"/>
      <c r="C646" s="45">
        <f>IFERROR(__xludf.DUMMYFUNCTION("""COMPUTED_VALUE"""),3259512)</f>
        <v/>
      </c>
      <c r="D646" s="45" t="n"/>
      <c r="E646" s="45">
        <f>IFERROR(__xludf.DUMMYFUNCTION("""COMPUTED_VALUE"""),"CFS")</f>
        <v/>
      </c>
      <c r="F646" s="45">
        <f>IFERROR(__xludf.DUMMYFUNCTION("""COMPUTED_VALUE"""),"Bodyline Trading (Private) Limited")</f>
        <v/>
      </c>
      <c r="G646" s="45">
        <f>IFERROR(__xludf.DUMMYFUNCTION("""COMPUTED_VALUE"""),"Bodyline (Private) Limited")</f>
        <v/>
      </c>
      <c r="H646" s="43">
        <f>IFERROR(__xludf.DUMMYFUNCTION("""COMPUTED_VALUE"""),454759594454)</f>
        <v/>
      </c>
      <c r="I646" s="45">
        <f>IFERROR(__xludf.DUMMYFUNCTION("""COMPUTED_VALUE"""),19877495)</f>
        <v/>
      </c>
      <c r="J646" s="45">
        <f>IFERROR(__xludf.DUMMYFUNCTION("""COMPUTED_VALUE"""),"LW9DC4S")</f>
        <v/>
      </c>
      <c r="K646" s="45">
        <f>IFERROR(__xludf.DUMMYFUNCTION("""COMPUTED_VALUE"""),"LW9DC4S-068971")</f>
        <v/>
      </c>
      <c r="L646" s="45">
        <f>IFERROR(__xludf.DUMMYFUNCTION("""COMPUTED_VALUE"""),3)</f>
        <v/>
      </c>
      <c r="M646" s="45">
        <f>IFERROR(__xludf.DUMMYFUNCTION("""COMPUTED_VALUE"""),125)</f>
        <v/>
      </c>
      <c r="N646" s="45">
        <f>IFERROR(__xludf.DUMMYFUNCTION("""COMPUTED_VALUE"""),12.625)</f>
        <v/>
      </c>
      <c r="O646" s="45">
        <f>IFERROR(__xludf.DUMMYFUNCTION("""COMPUTED_VALUE"""),0.132)</f>
        <v/>
      </c>
      <c r="P646" s="45">
        <f>IFERROR(__xludf.DUMMYFUNCTION("""COMPUTED_VALUE"""),"Colombo, LK")</f>
        <v/>
      </c>
      <c r="Q646" s="45">
        <f>IFERROR(__xludf.DUMMYFUNCTION("""COMPUTED_VALUE"""),"New York, NY, US")</f>
        <v/>
      </c>
      <c r="R646" s="44">
        <f>IFERROR(__xludf.DUMMYFUNCTION("""COMPUTED_VALUE"""),45831)</f>
        <v/>
      </c>
      <c r="S646" s="44">
        <f>IFERROR(__xludf.DUMMYFUNCTION("""COMPUTED_VALUE"""),45890)</f>
        <v/>
      </c>
      <c r="T646" s="45">
        <f>IFERROR(__xludf.DUMMYFUNCTION("""COMPUTED_VALUE"""),"Mississauga, ON, CA")</f>
        <v/>
      </c>
      <c r="U646" s="45" t="n"/>
      <c r="V646" s="45" t="n"/>
      <c r="W646" s="45" t="n"/>
      <c r="X646" s="45" t="n"/>
      <c r="Y646" s="46">
        <f>IFERROR(__xludf.DUMMYFUNCTION("""COMPUTED_VALUE"""),45838)</f>
        <v/>
      </c>
      <c r="Z646" s="46">
        <f>IFERROR(__xludf.DUMMYFUNCTION("""COMPUTED_VALUE"""),45859)</f>
        <v/>
      </c>
      <c r="AA646" s="46">
        <f>IFERROR(__xludf.DUMMYFUNCTION("""COMPUTED_VALUE"""),45859)</f>
        <v/>
      </c>
      <c r="AB646" s="45">
        <f>IFERROR(__xludf.DUMMYFUNCTION("""COMPUTED_VALUE"""),"3500 Argentia Road")</f>
        <v/>
      </c>
      <c r="AC646" s="45" t="n"/>
      <c r="AD646" s="45">
        <f>IFERROR(__xludf.DUMMYFUNCTION("""COMPUTED_VALUE"""),"OCEAN")</f>
        <v/>
      </c>
      <c r="AE646" s="45">
        <f>IFERROR(__xludf.DUMMYFUNCTION("""COMPUTED_VALUE"""),"N")</f>
        <v/>
      </c>
      <c r="AF646" s="45" t="n"/>
      <c r="AG646" s="49">
        <f>IFERROR(__xludf.DUMMYFUNCTION("IFNA(vlookup(H646,IMPORTRANGE(""1vUGwO1n0QQGx9kKbO0_M5gmuhXZ6-LaxQxgrmJnzgP0"",""'TP# look up'!A:C""),3,0),"""")"),"")</f>
        <v/>
      </c>
      <c r="AH646" s="49">
        <f>LEFT(J646,2)</f>
        <v/>
      </c>
    </row>
    <row r="647" ht="12.75" customHeight="1">
      <c r="A647" s="45">
        <f>IFERROR(__xludf.DUMMYFUNCTION("""COMPUTED_VALUE"""),"Colombo")</f>
        <v/>
      </c>
      <c r="B647" s="45" t="n"/>
      <c r="C647" s="45">
        <f>IFERROR(__xludf.DUMMYFUNCTION("""COMPUTED_VALUE"""),3259512)</f>
        <v/>
      </c>
      <c r="D647" s="45" t="n"/>
      <c r="E647" s="45">
        <f>IFERROR(__xludf.DUMMYFUNCTION("""COMPUTED_VALUE"""),"CFS")</f>
        <v/>
      </c>
      <c r="F647" s="45">
        <f>IFERROR(__xludf.DUMMYFUNCTION("""COMPUTED_VALUE"""),"Bodyline Trading (Private) Limited")</f>
        <v/>
      </c>
      <c r="G647" s="45">
        <f>IFERROR(__xludf.DUMMYFUNCTION("""COMPUTED_VALUE"""),"Bodyline (Private) Limited")</f>
        <v/>
      </c>
      <c r="H647" s="43">
        <f>IFERROR(__xludf.DUMMYFUNCTION("""COMPUTED_VALUE"""),454759638136)</f>
        <v/>
      </c>
      <c r="I647" s="45">
        <f>IFERROR(__xludf.DUMMYFUNCTION("""COMPUTED_VALUE"""),19877485)</f>
        <v/>
      </c>
      <c r="J647" s="45">
        <f>IFERROR(__xludf.DUMMYFUNCTION("""COMPUTED_VALUE"""),"LW9DC4S")</f>
        <v/>
      </c>
      <c r="K647" s="45">
        <f>IFERROR(__xludf.DUMMYFUNCTION("""COMPUTED_VALUE"""),"LW9DC4S-068971")</f>
        <v/>
      </c>
      <c r="L647" s="45">
        <f>IFERROR(__xludf.DUMMYFUNCTION("""COMPUTED_VALUE"""),7)</f>
        <v/>
      </c>
      <c r="M647" s="45">
        <f>IFERROR(__xludf.DUMMYFUNCTION("""COMPUTED_VALUE"""),371)</f>
        <v/>
      </c>
      <c r="N647" s="45">
        <f>IFERROR(__xludf.DUMMYFUNCTION("""COMPUTED_VALUE"""),35.62)</f>
        <v/>
      </c>
      <c r="O647" s="45">
        <f>IFERROR(__xludf.DUMMYFUNCTION("""COMPUTED_VALUE"""),0.307)</f>
        <v/>
      </c>
      <c r="P647" s="45">
        <f>IFERROR(__xludf.DUMMYFUNCTION("""COMPUTED_VALUE"""),"Colombo, LK")</f>
        <v/>
      </c>
      <c r="Q647" s="45">
        <f>IFERROR(__xludf.DUMMYFUNCTION("""COMPUTED_VALUE"""),"New York, NY, US")</f>
        <v/>
      </c>
      <c r="R647" s="44">
        <f>IFERROR(__xludf.DUMMYFUNCTION("""COMPUTED_VALUE"""),45831)</f>
        <v/>
      </c>
      <c r="S647" s="44">
        <f>IFERROR(__xludf.DUMMYFUNCTION("""COMPUTED_VALUE"""),45890)</f>
        <v/>
      </c>
      <c r="T647" s="45">
        <f>IFERROR(__xludf.DUMMYFUNCTION("""COMPUTED_VALUE"""),"Milton, ON, CA")</f>
        <v/>
      </c>
      <c r="U647" s="45" t="n"/>
      <c r="V647" s="45" t="n"/>
      <c r="W647" s="45" t="n"/>
      <c r="X647" s="45" t="n"/>
      <c r="Y647" s="46">
        <f>IFERROR(__xludf.DUMMYFUNCTION("""COMPUTED_VALUE"""),45838)</f>
        <v/>
      </c>
      <c r="Z647" s="46">
        <f>IFERROR(__xludf.DUMMYFUNCTION("""COMPUTED_VALUE"""),45859)</f>
        <v/>
      </c>
      <c r="AA647" s="46">
        <f>IFERROR(__xludf.DUMMYFUNCTION("""COMPUTED_VALUE"""),45859)</f>
        <v/>
      </c>
      <c r="AB647" s="45">
        <f>IFERROR(__xludf.DUMMYFUNCTION("""COMPUTED_VALUE"""),"7211 Fifth Line")</f>
        <v/>
      </c>
      <c r="AC647" s="45" t="n"/>
      <c r="AD647" s="45">
        <f>IFERROR(__xludf.DUMMYFUNCTION("""COMPUTED_VALUE"""),"OCEAN")</f>
        <v/>
      </c>
      <c r="AE647" s="45">
        <f>IFERROR(__xludf.DUMMYFUNCTION("""COMPUTED_VALUE"""),"N")</f>
        <v/>
      </c>
      <c r="AF647" s="45" t="n"/>
      <c r="AG647" s="49">
        <f>IFERROR(__xludf.DUMMYFUNCTION("IFNA(vlookup(H647,IMPORTRANGE(""1vUGwO1n0QQGx9kKbO0_M5gmuhXZ6-LaxQxgrmJnzgP0"",""'TP# look up'!A:C""),3,0),"""")"),"")</f>
        <v/>
      </c>
      <c r="AH647" s="49">
        <f>LEFT(J647,2)</f>
        <v/>
      </c>
    </row>
    <row r="648" ht="12.75" customHeight="1">
      <c r="A648" s="45">
        <f>IFERROR(__xludf.DUMMYFUNCTION("""COMPUTED_VALUE"""),"Colombo")</f>
        <v/>
      </c>
      <c r="B648" s="45" t="n"/>
      <c r="C648" s="45">
        <f>IFERROR(__xludf.DUMMYFUNCTION("""COMPUTED_VALUE"""),3259512)</f>
        <v/>
      </c>
      <c r="D648" s="45" t="n"/>
      <c r="E648" s="45">
        <f>IFERROR(__xludf.DUMMYFUNCTION("""COMPUTED_VALUE"""),"CFS")</f>
        <v/>
      </c>
      <c r="F648" s="45">
        <f>IFERROR(__xludf.DUMMYFUNCTION("""COMPUTED_VALUE"""),"Bodyline Trading (Private) Limited")</f>
        <v/>
      </c>
      <c r="G648" s="45">
        <f>IFERROR(__xludf.DUMMYFUNCTION("""COMPUTED_VALUE"""),"Bodyline (Private) Limited")</f>
        <v/>
      </c>
      <c r="H648" s="43">
        <f>IFERROR(__xludf.DUMMYFUNCTION("""COMPUTED_VALUE"""),454759638257)</f>
        <v/>
      </c>
      <c r="I648" s="45">
        <f>IFERROR(__xludf.DUMMYFUNCTION("""COMPUTED_VALUE"""),19877754)</f>
        <v/>
      </c>
      <c r="J648" s="45">
        <f>IFERROR(__xludf.DUMMYFUNCTION("""COMPUTED_VALUE"""),"LW9DC4S")</f>
        <v/>
      </c>
      <c r="K648" s="45">
        <f>IFERROR(__xludf.DUMMYFUNCTION("""COMPUTED_VALUE"""),"LW9DC4S-068971")</f>
        <v/>
      </c>
      <c r="L648" s="45">
        <f>IFERROR(__xludf.DUMMYFUNCTION("""COMPUTED_VALUE"""),7)</f>
        <v/>
      </c>
      <c r="M648" s="45">
        <f>IFERROR(__xludf.DUMMYFUNCTION("""COMPUTED_VALUE"""),364)</f>
        <v/>
      </c>
      <c r="N648" s="45">
        <f>IFERROR(__xludf.DUMMYFUNCTION("""COMPUTED_VALUE"""),34.746)</f>
        <v/>
      </c>
      <c r="O648" s="45">
        <f>IFERROR(__xludf.DUMMYFUNCTION("""COMPUTED_VALUE"""),0.307)</f>
        <v/>
      </c>
      <c r="P648" s="45">
        <f>IFERROR(__xludf.DUMMYFUNCTION("""COMPUTED_VALUE"""),"Colombo, LK")</f>
        <v/>
      </c>
      <c r="Q648" s="45">
        <f>IFERROR(__xludf.DUMMYFUNCTION("""COMPUTED_VALUE"""),"New York, NY, US")</f>
        <v/>
      </c>
      <c r="R648" s="44">
        <f>IFERROR(__xludf.DUMMYFUNCTION("""COMPUTED_VALUE"""),45831)</f>
        <v/>
      </c>
      <c r="S648" s="44">
        <f>IFERROR(__xludf.DUMMYFUNCTION("""COMPUTED_VALUE"""),45890)</f>
        <v/>
      </c>
      <c r="T648" s="45">
        <f>IFERROR(__xludf.DUMMYFUNCTION("""COMPUTED_VALUE"""),"Mississauga, ON, CA")</f>
        <v/>
      </c>
      <c r="U648" s="45" t="n"/>
      <c r="V648" s="45" t="n"/>
      <c r="W648" s="45" t="n"/>
      <c r="X648" s="45" t="n"/>
      <c r="Y648" s="46">
        <f>IFERROR(__xludf.DUMMYFUNCTION("""COMPUTED_VALUE"""),45838)</f>
        <v/>
      </c>
      <c r="Z648" s="46">
        <f>IFERROR(__xludf.DUMMYFUNCTION("""COMPUTED_VALUE"""),45859)</f>
        <v/>
      </c>
      <c r="AA648" s="46">
        <f>IFERROR(__xludf.DUMMYFUNCTION("""COMPUTED_VALUE"""),45859)</f>
        <v/>
      </c>
      <c r="AB648" s="45">
        <f>IFERROR(__xludf.DUMMYFUNCTION("""COMPUTED_VALUE"""),"3500 Argentia Road")</f>
        <v/>
      </c>
      <c r="AC648" s="45" t="n"/>
      <c r="AD648" s="45">
        <f>IFERROR(__xludf.DUMMYFUNCTION("""COMPUTED_VALUE"""),"OCEAN")</f>
        <v/>
      </c>
      <c r="AE648" s="45">
        <f>IFERROR(__xludf.DUMMYFUNCTION("""COMPUTED_VALUE"""),"N")</f>
        <v/>
      </c>
      <c r="AF648" s="45" t="n"/>
      <c r="AG648" s="49">
        <f>IFERROR(__xludf.DUMMYFUNCTION("IFNA(vlookup(H648,IMPORTRANGE(""1vUGwO1n0QQGx9kKbO0_M5gmuhXZ6-LaxQxgrmJnzgP0"",""'TP# look up'!A:C""),3,0),"""")"),"")</f>
        <v/>
      </c>
      <c r="AH648" s="49">
        <f>LEFT(J648,2)</f>
        <v/>
      </c>
    </row>
    <row r="649" ht="12.75" customHeight="1">
      <c r="A649" s="45">
        <f>IFERROR(__xludf.DUMMYFUNCTION("""COMPUTED_VALUE"""),"Colombo")</f>
        <v/>
      </c>
      <c r="B649" s="45" t="n"/>
      <c r="C649" s="45">
        <f>IFERROR(__xludf.DUMMYFUNCTION("""COMPUTED_VALUE"""),3259512)</f>
        <v/>
      </c>
      <c r="D649" s="45" t="n"/>
      <c r="E649" s="45">
        <f>IFERROR(__xludf.DUMMYFUNCTION("""COMPUTED_VALUE"""),"CFS")</f>
        <v/>
      </c>
      <c r="F649" s="45">
        <f>IFERROR(__xludf.DUMMYFUNCTION("""COMPUTED_VALUE"""),"Bodyline Trading (Private) Limited")</f>
        <v/>
      </c>
      <c r="G649" s="45">
        <f>IFERROR(__xludf.DUMMYFUNCTION("""COMPUTED_VALUE"""),"Bodyline (Private) Limited")</f>
        <v/>
      </c>
      <c r="H649" s="43">
        <f>IFERROR(__xludf.DUMMYFUNCTION("""COMPUTED_VALUE"""),454759638353)</f>
        <v/>
      </c>
      <c r="I649" s="45">
        <f>IFERROR(__xludf.DUMMYFUNCTION("""COMPUTED_VALUE"""),19877670)</f>
        <v/>
      </c>
      <c r="J649" s="45">
        <f>IFERROR(__xludf.DUMMYFUNCTION("""COMPUTED_VALUE"""),"LW9DEAS")</f>
        <v/>
      </c>
      <c r="K649" s="45">
        <f>IFERROR(__xludf.DUMMYFUNCTION("""COMPUTED_VALUE"""),"LW9DEAS-070623")</f>
        <v/>
      </c>
      <c r="L649" s="45">
        <f>IFERROR(__xludf.DUMMYFUNCTION("""COMPUTED_VALUE"""),5)</f>
        <v/>
      </c>
      <c r="M649" s="45">
        <f>IFERROR(__xludf.DUMMYFUNCTION("""COMPUTED_VALUE"""),136)</f>
        <v/>
      </c>
      <c r="N649" s="45">
        <f>IFERROR(__xludf.DUMMYFUNCTION("""COMPUTED_VALUE"""),17.276)</f>
        <v/>
      </c>
      <c r="O649" s="45">
        <f>IFERROR(__xludf.DUMMYFUNCTION("""COMPUTED_VALUE"""),0.22)</f>
        <v/>
      </c>
      <c r="P649" s="45">
        <f>IFERROR(__xludf.DUMMYFUNCTION("""COMPUTED_VALUE"""),"Colombo, LK")</f>
        <v/>
      </c>
      <c r="Q649" s="45">
        <f>IFERROR(__xludf.DUMMYFUNCTION("""COMPUTED_VALUE"""),"New York, NY, US")</f>
        <v/>
      </c>
      <c r="R649" s="44">
        <f>IFERROR(__xludf.DUMMYFUNCTION("""COMPUTED_VALUE"""),45831)</f>
        <v/>
      </c>
      <c r="S649" s="44">
        <f>IFERROR(__xludf.DUMMYFUNCTION("""COMPUTED_VALUE"""),45890)</f>
        <v/>
      </c>
      <c r="T649" s="45">
        <f>IFERROR(__xludf.DUMMYFUNCTION("""COMPUTED_VALUE"""),"Mississauga, ON, CA")</f>
        <v/>
      </c>
      <c r="U649" s="45" t="n"/>
      <c r="V649" s="45" t="n"/>
      <c r="W649" s="45" t="n"/>
      <c r="X649" s="45" t="n"/>
      <c r="Y649" s="46">
        <f>IFERROR(__xludf.DUMMYFUNCTION("""COMPUTED_VALUE"""),45838)</f>
        <v/>
      </c>
      <c r="Z649" s="46">
        <f>IFERROR(__xludf.DUMMYFUNCTION("""COMPUTED_VALUE"""),45859)</f>
        <v/>
      </c>
      <c r="AA649" s="46">
        <f>IFERROR(__xludf.DUMMYFUNCTION("""COMPUTED_VALUE"""),45859)</f>
        <v/>
      </c>
      <c r="AB649" s="45">
        <f>IFERROR(__xludf.DUMMYFUNCTION("""COMPUTED_VALUE"""),"3500 Argentia Road")</f>
        <v/>
      </c>
      <c r="AC649" s="45" t="n"/>
      <c r="AD649" s="45">
        <f>IFERROR(__xludf.DUMMYFUNCTION("""COMPUTED_VALUE"""),"OCEAN")</f>
        <v/>
      </c>
      <c r="AE649" s="45">
        <f>IFERROR(__xludf.DUMMYFUNCTION("""COMPUTED_VALUE"""),"N")</f>
        <v/>
      </c>
      <c r="AF649" s="45" t="n"/>
      <c r="AG649" s="49">
        <f>IFERROR(__xludf.DUMMYFUNCTION("IFNA(vlookup(H649,IMPORTRANGE(""1vUGwO1n0QQGx9kKbO0_M5gmuhXZ6-LaxQxgrmJnzgP0"",""'TP# look up'!A:C""),3,0),"""")"),"")</f>
        <v/>
      </c>
      <c r="AH649" s="49">
        <f>LEFT(J649,2)</f>
        <v/>
      </c>
    </row>
    <row r="650" ht="12.75" customHeight="1">
      <c r="A650" s="45">
        <f>IFERROR(__xludf.DUMMYFUNCTION("""COMPUTED_VALUE"""),"Colombo")</f>
        <v/>
      </c>
      <c r="B650" s="45" t="n"/>
      <c r="C650" s="45">
        <f>IFERROR(__xludf.DUMMYFUNCTION("""COMPUTED_VALUE"""),3259512)</f>
        <v/>
      </c>
      <c r="D650" s="45" t="n"/>
      <c r="E650" s="45">
        <f>IFERROR(__xludf.DUMMYFUNCTION("""COMPUTED_VALUE"""),"CFS")</f>
        <v/>
      </c>
      <c r="F650" s="45">
        <f>IFERROR(__xludf.DUMMYFUNCTION("""COMPUTED_VALUE"""),"Bodyline Trading (Private) Limited")</f>
        <v/>
      </c>
      <c r="G650" s="45">
        <f>IFERROR(__xludf.DUMMYFUNCTION("""COMPUTED_VALUE"""),"Bodyline (Private) Limited")</f>
        <v/>
      </c>
      <c r="H650" s="43">
        <f>IFERROR(__xludf.DUMMYFUNCTION("""COMPUTED_VALUE"""),454759694315)</f>
        <v/>
      </c>
      <c r="I650" s="45">
        <f>IFERROR(__xludf.DUMMYFUNCTION("""COMPUTED_VALUE"""),19877696)</f>
        <v/>
      </c>
      <c r="J650" s="45">
        <f>IFERROR(__xludf.DUMMYFUNCTION("""COMPUTED_VALUE"""),"LW9DC3S")</f>
        <v/>
      </c>
      <c r="K650" s="45">
        <f>IFERROR(__xludf.DUMMYFUNCTION("""COMPUTED_VALUE"""),"LW9DC3S-073330")</f>
        <v/>
      </c>
      <c r="L650" s="45">
        <f>IFERROR(__xludf.DUMMYFUNCTION("""COMPUTED_VALUE"""),4)</f>
        <v/>
      </c>
      <c r="M650" s="45">
        <f>IFERROR(__xludf.DUMMYFUNCTION("""COMPUTED_VALUE"""),234)</f>
        <v/>
      </c>
      <c r="N650" s="45">
        <f>IFERROR(__xludf.DUMMYFUNCTION("""COMPUTED_VALUE"""),17.622)</f>
        <v/>
      </c>
      <c r="O650" s="45">
        <f>IFERROR(__xludf.DUMMYFUNCTION("""COMPUTED_VALUE"""),0.176)</f>
        <v/>
      </c>
      <c r="P650" s="45">
        <f>IFERROR(__xludf.DUMMYFUNCTION("""COMPUTED_VALUE"""),"Colombo, LK")</f>
        <v/>
      </c>
      <c r="Q650" s="45">
        <f>IFERROR(__xludf.DUMMYFUNCTION("""COMPUTED_VALUE"""),"New York, NY, US")</f>
        <v/>
      </c>
      <c r="R650" s="44">
        <f>IFERROR(__xludf.DUMMYFUNCTION("""COMPUTED_VALUE"""),45831)</f>
        <v/>
      </c>
      <c r="S650" s="44">
        <f>IFERROR(__xludf.DUMMYFUNCTION("""COMPUTED_VALUE"""),45890)</f>
        <v/>
      </c>
      <c r="T650" s="45">
        <f>IFERROR(__xludf.DUMMYFUNCTION("""COMPUTED_VALUE"""),"Mississauga, ON, CA")</f>
        <v/>
      </c>
      <c r="U650" s="45" t="n"/>
      <c r="V650" s="45" t="n"/>
      <c r="W650" s="45" t="n"/>
      <c r="X650" s="45" t="n"/>
      <c r="Y650" s="46">
        <f>IFERROR(__xludf.DUMMYFUNCTION("""COMPUTED_VALUE"""),45838)</f>
        <v/>
      </c>
      <c r="Z650" s="46">
        <f>IFERROR(__xludf.DUMMYFUNCTION("""COMPUTED_VALUE"""),45859)</f>
        <v/>
      </c>
      <c r="AA650" s="46">
        <f>IFERROR(__xludf.DUMMYFUNCTION("""COMPUTED_VALUE"""),45859)</f>
        <v/>
      </c>
      <c r="AB650" s="45">
        <f>IFERROR(__xludf.DUMMYFUNCTION("""COMPUTED_VALUE"""),"3500 Argentia Road")</f>
        <v/>
      </c>
      <c r="AC650" s="45" t="n"/>
      <c r="AD650" s="45">
        <f>IFERROR(__xludf.DUMMYFUNCTION("""COMPUTED_VALUE"""),"OCEAN")</f>
        <v/>
      </c>
      <c r="AE650" s="45">
        <f>IFERROR(__xludf.DUMMYFUNCTION("""COMPUTED_VALUE"""),"N")</f>
        <v/>
      </c>
      <c r="AF650" s="45" t="n"/>
      <c r="AG650" s="49">
        <f>IFERROR(__xludf.DUMMYFUNCTION("IFNA(vlookup(H650,IMPORTRANGE(""1vUGwO1n0QQGx9kKbO0_M5gmuhXZ6-LaxQxgrmJnzgP0"",""'TP# look up'!A:C""),3,0),"""")"),"")</f>
        <v/>
      </c>
      <c r="AH650" s="49">
        <f>LEFT(J650,2)</f>
        <v/>
      </c>
    </row>
    <row r="651" ht="12.75" customHeight="1">
      <c r="A651" s="45">
        <f>IFERROR(__xludf.DUMMYFUNCTION("""COMPUTED_VALUE"""),"Colombo")</f>
        <v/>
      </c>
      <c r="B651" s="45" t="n"/>
      <c r="C651" s="45">
        <f>IFERROR(__xludf.DUMMYFUNCTION("""COMPUTED_VALUE"""),3259512)</f>
        <v/>
      </c>
      <c r="D651" s="45" t="n"/>
      <c r="E651" s="45">
        <f>IFERROR(__xludf.DUMMYFUNCTION("""COMPUTED_VALUE"""),"CFS")</f>
        <v/>
      </c>
      <c r="F651" s="45">
        <f>IFERROR(__xludf.DUMMYFUNCTION("""COMPUTED_VALUE"""),"Bodyline Trading (Private) Limited")</f>
        <v/>
      </c>
      <c r="G651" s="45">
        <f>IFERROR(__xludf.DUMMYFUNCTION("""COMPUTED_VALUE"""),"Bodyline (Private) Limited")</f>
        <v/>
      </c>
      <c r="H651" s="43">
        <f>IFERROR(__xludf.DUMMYFUNCTION("""COMPUTED_VALUE"""),454760341500)</f>
        <v/>
      </c>
      <c r="I651" s="45">
        <f>IFERROR(__xludf.DUMMYFUNCTION("""COMPUTED_VALUE"""),19878417)</f>
        <v/>
      </c>
      <c r="J651" s="45">
        <f>IFERROR(__xludf.DUMMYFUNCTION("""COMPUTED_VALUE"""),"LW9DEOS")</f>
        <v/>
      </c>
      <c r="K651" s="45">
        <f>IFERROR(__xludf.DUMMYFUNCTION("""COMPUTED_VALUE"""),"LW9DEOS-070623")</f>
        <v/>
      </c>
      <c r="L651" s="45">
        <f>IFERROR(__xludf.DUMMYFUNCTION("""COMPUTED_VALUE"""),14)</f>
        <v/>
      </c>
      <c r="M651" s="45">
        <f>IFERROR(__xludf.DUMMYFUNCTION("""COMPUTED_VALUE"""),437)</f>
        <v/>
      </c>
      <c r="N651" s="45">
        <f>IFERROR(__xludf.DUMMYFUNCTION("""COMPUTED_VALUE"""),69.913)</f>
        <v/>
      </c>
      <c r="O651" s="45">
        <f>IFERROR(__xludf.DUMMYFUNCTION("""COMPUTED_VALUE"""),0.615)</f>
        <v/>
      </c>
      <c r="P651" s="45">
        <f>IFERROR(__xludf.DUMMYFUNCTION("""COMPUTED_VALUE"""),"Colombo, LK")</f>
        <v/>
      </c>
      <c r="Q651" s="45">
        <f>IFERROR(__xludf.DUMMYFUNCTION("""COMPUTED_VALUE"""),"New York, NY, US")</f>
        <v/>
      </c>
      <c r="R651" s="44">
        <f>IFERROR(__xludf.DUMMYFUNCTION("""COMPUTED_VALUE"""),45831)</f>
        <v/>
      </c>
      <c r="S651" s="44">
        <f>IFERROR(__xludf.DUMMYFUNCTION("""COMPUTED_VALUE"""),45890)</f>
        <v/>
      </c>
      <c r="T651" s="45">
        <f>IFERROR(__xludf.DUMMYFUNCTION("""COMPUTED_VALUE"""),"Mississauga, ON, CA")</f>
        <v/>
      </c>
      <c r="U651" s="45" t="n"/>
      <c r="V651" s="45" t="n"/>
      <c r="W651" s="45" t="n"/>
      <c r="X651" s="45" t="n"/>
      <c r="Y651" s="46">
        <f>IFERROR(__xludf.DUMMYFUNCTION("""COMPUTED_VALUE"""),45838)</f>
        <v/>
      </c>
      <c r="Z651" s="46">
        <f>IFERROR(__xludf.DUMMYFUNCTION("""COMPUTED_VALUE"""),45859)</f>
        <v/>
      </c>
      <c r="AA651" s="46">
        <f>IFERROR(__xludf.DUMMYFUNCTION("""COMPUTED_VALUE"""),45859)</f>
        <v/>
      </c>
      <c r="AB651" s="45">
        <f>IFERROR(__xludf.DUMMYFUNCTION("""COMPUTED_VALUE"""),"3500 Argentia Road")</f>
        <v/>
      </c>
      <c r="AC651" s="45" t="n"/>
      <c r="AD651" s="45">
        <f>IFERROR(__xludf.DUMMYFUNCTION("""COMPUTED_VALUE"""),"OCEAN")</f>
        <v/>
      </c>
      <c r="AE651" s="45">
        <f>IFERROR(__xludf.DUMMYFUNCTION("""COMPUTED_VALUE"""),"N")</f>
        <v/>
      </c>
      <c r="AF651" s="45" t="n"/>
      <c r="AG651" s="49">
        <f>IFERROR(__xludf.DUMMYFUNCTION("IFNA(vlookup(H651,IMPORTRANGE(""1vUGwO1n0QQGx9kKbO0_M5gmuhXZ6-LaxQxgrmJnzgP0"",""'TP# look up'!A:C""),3,0),"""")"),"")</f>
        <v/>
      </c>
      <c r="AH651" s="49">
        <f>LEFT(J651,2)</f>
        <v/>
      </c>
    </row>
    <row r="652" ht="12.75" customHeight="1">
      <c r="A652" s="45">
        <f>IFERROR(__xludf.DUMMYFUNCTION("""COMPUTED_VALUE"""),"Colombo")</f>
        <v/>
      </c>
      <c r="B652" s="45" t="n"/>
      <c r="C652" s="45">
        <f>IFERROR(__xludf.DUMMYFUNCTION("""COMPUTED_VALUE"""),3259512)</f>
        <v/>
      </c>
      <c r="D652" s="45" t="n"/>
      <c r="E652" s="45">
        <f>IFERROR(__xludf.DUMMYFUNCTION("""COMPUTED_VALUE"""),"CFS")</f>
        <v/>
      </c>
      <c r="F652" s="45">
        <f>IFERROR(__xludf.DUMMYFUNCTION("""COMPUTED_VALUE"""),"Bodyline Trading (Private) Limited")</f>
        <v/>
      </c>
      <c r="G652" s="45">
        <f>IFERROR(__xludf.DUMMYFUNCTION("""COMPUTED_VALUE"""),"Bodyline (Private) Limited")</f>
        <v/>
      </c>
      <c r="H652" s="43">
        <f>IFERROR(__xludf.DUMMYFUNCTION("""COMPUTED_VALUE"""),454760371830)</f>
        <v/>
      </c>
      <c r="I652" s="45">
        <f>IFERROR(__xludf.DUMMYFUNCTION("""COMPUTED_VALUE"""),19878377)</f>
        <v/>
      </c>
      <c r="J652" s="45">
        <f>IFERROR(__xludf.DUMMYFUNCTION("""COMPUTED_VALUE"""),"LW9DEAS")</f>
        <v/>
      </c>
      <c r="K652" s="45">
        <f>IFERROR(__xludf.DUMMYFUNCTION("""COMPUTED_VALUE"""),"LW9DEAS-070623")</f>
        <v/>
      </c>
      <c r="L652" s="45">
        <f>IFERROR(__xludf.DUMMYFUNCTION("""COMPUTED_VALUE"""),9)</f>
        <v/>
      </c>
      <c r="M652" s="45">
        <f>IFERROR(__xludf.DUMMYFUNCTION("""COMPUTED_VALUE"""),296)</f>
        <v/>
      </c>
      <c r="N652" s="45">
        <f>IFERROR(__xludf.DUMMYFUNCTION("""COMPUTED_VALUE"""),35.48)</f>
        <v/>
      </c>
      <c r="O652" s="45">
        <f>IFERROR(__xludf.DUMMYFUNCTION("""COMPUTED_VALUE"""),0.395)</f>
        <v/>
      </c>
      <c r="P652" s="45">
        <f>IFERROR(__xludf.DUMMYFUNCTION("""COMPUTED_VALUE"""),"Colombo, LK")</f>
        <v/>
      </c>
      <c r="Q652" s="45">
        <f>IFERROR(__xludf.DUMMYFUNCTION("""COMPUTED_VALUE"""),"New York, NY, US")</f>
        <v/>
      </c>
      <c r="R652" s="44">
        <f>IFERROR(__xludf.DUMMYFUNCTION("""COMPUTED_VALUE"""),45831)</f>
        <v/>
      </c>
      <c r="S652" s="44">
        <f>IFERROR(__xludf.DUMMYFUNCTION("""COMPUTED_VALUE"""),45890)</f>
        <v/>
      </c>
      <c r="T652" s="45">
        <f>IFERROR(__xludf.DUMMYFUNCTION("""COMPUTED_VALUE"""),"Mississauga, ON, CA")</f>
        <v/>
      </c>
      <c r="U652" s="45" t="n"/>
      <c r="V652" s="45" t="n"/>
      <c r="W652" s="45" t="n"/>
      <c r="X652" s="45" t="n"/>
      <c r="Y652" s="46">
        <f>IFERROR(__xludf.DUMMYFUNCTION("""COMPUTED_VALUE"""),45838)</f>
        <v/>
      </c>
      <c r="Z652" s="46">
        <f>IFERROR(__xludf.DUMMYFUNCTION("""COMPUTED_VALUE"""),45859)</f>
        <v/>
      </c>
      <c r="AA652" s="46">
        <f>IFERROR(__xludf.DUMMYFUNCTION("""COMPUTED_VALUE"""),45859)</f>
        <v/>
      </c>
      <c r="AB652" s="45">
        <f>IFERROR(__xludf.DUMMYFUNCTION("""COMPUTED_VALUE"""),"3500 Argentia Road")</f>
        <v/>
      </c>
      <c r="AC652" s="45" t="n"/>
      <c r="AD652" s="45">
        <f>IFERROR(__xludf.DUMMYFUNCTION("""COMPUTED_VALUE"""),"OCEAN")</f>
        <v/>
      </c>
      <c r="AE652" s="45">
        <f>IFERROR(__xludf.DUMMYFUNCTION("""COMPUTED_VALUE"""),"N")</f>
        <v/>
      </c>
      <c r="AF652" s="45" t="n"/>
      <c r="AG652" s="49">
        <f>IFERROR(__xludf.DUMMYFUNCTION("IFNA(vlookup(H652,IMPORTRANGE(""1vUGwO1n0QQGx9kKbO0_M5gmuhXZ6-LaxQxgrmJnzgP0"",""'TP# look up'!A:C""),3,0),"""")"),"")</f>
        <v/>
      </c>
      <c r="AH652" s="49">
        <f>LEFT(J652,2)</f>
        <v/>
      </c>
    </row>
    <row r="653" ht="12.75" customHeight="1">
      <c r="A653" s="45">
        <f>IFERROR(__xludf.DUMMYFUNCTION("""COMPUTED_VALUE"""),"Colombo")</f>
        <v/>
      </c>
      <c r="B653" s="45" t="n"/>
      <c r="C653" s="45">
        <f>IFERROR(__xludf.DUMMYFUNCTION("""COMPUTED_VALUE"""),3259512)</f>
        <v/>
      </c>
      <c r="D653" s="45" t="n"/>
      <c r="E653" s="45">
        <f>IFERROR(__xludf.DUMMYFUNCTION("""COMPUTED_VALUE"""),"CFS")</f>
        <v/>
      </c>
      <c r="F653" s="45">
        <f>IFERROR(__xludf.DUMMYFUNCTION("""COMPUTED_VALUE"""),"Bodyline Trading (Private) Limited")</f>
        <v/>
      </c>
      <c r="G653" s="45">
        <f>IFERROR(__xludf.DUMMYFUNCTION("""COMPUTED_VALUE"""),"Bodyline (Private) Limited")</f>
        <v/>
      </c>
      <c r="H653" s="43">
        <f>IFERROR(__xludf.DUMMYFUNCTION("""COMPUTED_VALUE"""),454760463847)</f>
        <v/>
      </c>
      <c r="I653" s="45">
        <f>IFERROR(__xludf.DUMMYFUNCTION("""COMPUTED_VALUE"""),19877708)</f>
        <v/>
      </c>
      <c r="J653" s="45">
        <f>IFERROR(__xludf.DUMMYFUNCTION("""COMPUTED_VALUE"""),"LW9DEOS")</f>
        <v/>
      </c>
      <c r="K653" s="45">
        <f>IFERROR(__xludf.DUMMYFUNCTION("""COMPUTED_VALUE"""),"LW9DEOS-070623")</f>
        <v/>
      </c>
      <c r="L653" s="45">
        <f>IFERROR(__xludf.DUMMYFUNCTION("""COMPUTED_VALUE"""),7)</f>
        <v/>
      </c>
      <c r="M653" s="45">
        <f>IFERROR(__xludf.DUMMYFUNCTION("""COMPUTED_VALUE"""),205)</f>
        <v/>
      </c>
      <c r="N653" s="45">
        <f>IFERROR(__xludf.DUMMYFUNCTION("""COMPUTED_VALUE"""),33.645)</f>
        <v/>
      </c>
      <c r="O653" s="45">
        <f>IFERROR(__xludf.DUMMYFUNCTION("""COMPUTED_VALUE"""),0.307)</f>
        <v/>
      </c>
      <c r="P653" s="45">
        <f>IFERROR(__xludf.DUMMYFUNCTION("""COMPUTED_VALUE"""),"Colombo, LK")</f>
        <v/>
      </c>
      <c r="Q653" s="45">
        <f>IFERROR(__xludf.DUMMYFUNCTION("""COMPUTED_VALUE"""),"New York, NY, US")</f>
        <v/>
      </c>
      <c r="R653" s="44">
        <f>IFERROR(__xludf.DUMMYFUNCTION("""COMPUTED_VALUE"""),45831)</f>
        <v/>
      </c>
      <c r="S653" s="44">
        <f>IFERROR(__xludf.DUMMYFUNCTION("""COMPUTED_VALUE"""),45890)</f>
        <v/>
      </c>
      <c r="T653" s="45">
        <f>IFERROR(__xludf.DUMMYFUNCTION("""COMPUTED_VALUE"""),"Mississauga, ON, CA")</f>
        <v/>
      </c>
      <c r="U653" s="45" t="n"/>
      <c r="V653" s="45" t="n"/>
      <c r="W653" s="45" t="n"/>
      <c r="X653" s="45" t="n"/>
      <c r="Y653" s="46">
        <f>IFERROR(__xludf.DUMMYFUNCTION("""COMPUTED_VALUE"""),45838)</f>
        <v/>
      </c>
      <c r="Z653" s="46">
        <f>IFERROR(__xludf.DUMMYFUNCTION("""COMPUTED_VALUE"""),45859)</f>
        <v/>
      </c>
      <c r="AA653" s="46">
        <f>IFERROR(__xludf.DUMMYFUNCTION("""COMPUTED_VALUE"""),45859)</f>
        <v/>
      </c>
      <c r="AB653" s="45">
        <f>IFERROR(__xludf.DUMMYFUNCTION("""COMPUTED_VALUE"""),"3500 Argentia Road")</f>
        <v/>
      </c>
      <c r="AC653" s="45" t="n"/>
      <c r="AD653" s="45">
        <f>IFERROR(__xludf.DUMMYFUNCTION("""COMPUTED_VALUE"""),"OCEAN")</f>
        <v/>
      </c>
      <c r="AE653" s="45">
        <f>IFERROR(__xludf.DUMMYFUNCTION("""COMPUTED_VALUE"""),"N")</f>
        <v/>
      </c>
      <c r="AF653" s="45" t="n"/>
      <c r="AG653" s="49">
        <f>IFERROR(__xludf.DUMMYFUNCTION("IFNA(vlookup(H653,IMPORTRANGE(""1vUGwO1n0QQGx9kKbO0_M5gmuhXZ6-LaxQxgrmJnzgP0"",""'TP# look up'!A:C""),3,0),"""")"),"")</f>
        <v/>
      </c>
      <c r="AH653" s="49">
        <f>LEFT(J653,2)</f>
        <v/>
      </c>
    </row>
    <row r="654" ht="12.75" customHeight="1">
      <c r="A654" s="45">
        <f>IFERROR(__xludf.DUMMYFUNCTION("""COMPUTED_VALUE"""),"Colombo")</f>
        <v/>
      </c>
      <c r="B654" s="45" t="n"/>
      <c r="C654" s="45">
        <f>IFERROR(__xludf.DUMMYFUNCTION("""COMPUTED_VALUE"""),3259512)</f>
        <v/>
      </c>
      <c r="D654" s="45" t="n"/>
      <c r="E654" s="45">
        <f>IFERROR(__xludf.DUMMYFUNCTION("""COMPUTED_VALUE"""),"CFS")</f>
        <v/>
      </c>
      <c r="F654" s="45">
        <f>IFERROR(__xludf.DUMMYFUNCTION("""COMPUTED_VALUE"""),"Bodyline Trading (Private) Limited")</f>
        <v/>
      </c>
      <c r="G654" s="45">
        <f>IFERROR(__xludf.DUMMYFUNCTION("""COMPUTED_VALUE"""),"Bodyline (Private) Limited")</f>
        <v/>
      </c>
      <c r="H654" s="43">
        <f>IFERROR(__xludf.DUMMYFUNCTION("""COMPUTED_VALUE"""),454775081439)</f>
        <v/>
      </c>
      <c r="I654" s="45">
        <f>IFERROR(__xludf.DUMMYFUNCTION("""COMPUTED_VALUE"""),19497747)</f>
        <v/>
      </c>
      <c r="J654" s="45">
        <f>IFERROR(__xludf.DUMMYFUNCTION("""COMPUTED_VALUE"""),"LW2EB8S")</f>
        <v/>
      </c>
      <c r="K654" s="45">
        <f>IFERROR(__xludf.DUMMYFUNCTION("""COMPUTED_VALUE"""),"LW2EB8S-031382")</f>
        <v/>
      </c>
      <c r="L654" s="45">
        <f>IFERROR(__xludf.DUMMYFUNCTION("""COMPUTED_VALUE"""),31)</f>
        <v/>
      </c>
      <c r="M654" s="45">
        <f>IFERROR(__xludf.DUMMYFUNCTION("""COMPUTED_VALUE"""),1810)</f>
        <v/>
      </c>
      <c r="N654" s="45">
        <f>IFERROR(__xludf.DUMMYFUNCTION("""COMPUTED_VALUE"""),272.358)</f>
        <v/>
      </c>
      <c r="O654" s="45">
        <f>IFERROR(__xludf.DUMMYFUNCTION("""COMPUTED_VALUE"""),2.386)</f>
        <v/>
      </c>
      <c r="P654" s="45">
        <f>IFERROR(__xludf.DUMMYFUNCTION("""COMPUTED_VALUE"""),"Colombo, LK")</f>
        <v/>
      </c>
      <c r="Q654" s="45">
        <f>IFERROR(__xludf.DUMMYFUNCTION("""COMPUTED_VALUE"""),"New York, NY, US")</f>
        <v/>
      </c>
      <c r="R654" s="44">
        <f>IFERROR(__xludf.DUMMYFUNCTION("""COMPUTED_VALUE"""),45831)</f>
        <v/>
      </c>
      <c r="S654" s="44">
        <f>IFERROR(__xludf.DUMMYFUNCTION("""COMPUTED_VALUE"""),45890)</f>
        <v/>
      </c>
      <c r="T654" s="45">
        <f>IFERROR(__xludf.DUMMYFUNCTION("""COMPUTED_VALUE"""),"Mississauga, ON, CA")</f>
        <v/>
      </c>
      <c r="U654" s="45" t="n"/>
      <c r="V654" s="45" t="n"/>
      <c r="W654" s="45" t="n"/>
      <c r="X654" s="45" t="n"/>
      <c r="Y654" s="46">
        <f>IFERROR(__xludf.DUMMYFUNCTION("""COMPUTED_VALUE"""),45838)</f>
        <v/>
      </c>
      <c r="Z654" s="46">
        <f>IFERROR(__xludf.DUMMYFUNCTION("""COMPUTED_VALUE"""),45859)</f>
        <v/>
      </c>
      <c r="AA654" s="46">
        <f>IFERROR(__xludf.DUMMYFUNCTION("""COMPUTED_VALUE"""),45859)</f>
        <v/>
      </c>
      <c r="AB654" s="45">
        <f>IFERROR(__xludf.DUMMYFUNCTION("""COMPUTED_VALUE"""),"3500 Argentia Road")</f>
        <v/>
      </c>
      <c r="AC654" s="45" t="n"/>
      <c r="AD654" s="45">
        <f>IFERROR(__xludf.DUMMYFUNCTION("""COMPUTED_VALUE"""),"OCEAN")</f>
        <v/>
      </c>
      <c r="AE654" s="45">
        <f>IFERROR(__xludf.DUMMYFUNCTION("""COMPUTED_VALUE"""),"N")</f>
        <v/>
      </c>
      <c r="AF654" s="45" t="n"/>
      <c r="AG654" s="49">
        <f>IFERROR(__xludf.DUMMYFUNCTION("IFNA(vlookup(H654,IMPORTRANGE(""1vUGwO1n0QQGx9kKbO0_M5gmuhXZ6-LaxQxgrmJnzgP0"",""'TP# look up'!A:C""),3,0),"""")"),"")</f>
        <v/>
      </c>
      <c r="AH654" s="49">
        <f>LEFT(J654,2)</f>
        <v/>
      </c>
    </row>
    <row r="655" ht="12.75" customHeight="1">
      <c r="A655" s="45">
        <f>IFERROR(__xludf.DUMMYFUNCTION("""COMPUTED_VALUE"""),"Colombo")</f>
        <v/>
      </c>
      <c r="B655" s="45" t="n"/>
      <c r="C655" s="45">
        <f>IFERROR(__xludf.DUMMYFUNCTION("""COMPUTED_VALUE"""),3259512)</f>
        <v/>
      </c>
      <c r="D655" s="45" t="n"/>
      <c r="E655" s="45">
        <f>IFERROR(__xludf.DUMMYFUNCTION("""COMPUTED_VALUE"""),"CFS")</f>
        <v/>
      </c>
      <c r="F655" s="45">
        <f>IFERROR(__xludf.DUMMYFUNCTION("""COMPUTED_VALUE"""),"Inqube Global (PVT) Ltd")</f>
        <v/>
      </c>
      <c r="G655" s="45">
        <f>IFERROR(__xludf.DUMMYFUNCTION("""COMPUTED_VALUE"""),"BRANDIX APPAREL SOLUTION LTD - GIRITALE")</f>
        <v/>
      </c>
      <c r="H655" s="43">
        <f>IFERROR(__xludf.DUMMYFUNCTION("""COMPUTED_VALUE"""),454302243726)</f>
        <v/>
      </c>
      <c r="I655" s="45">
        <f>IFERROR(__xludf.DUMMYFUNCTION("""COMPUTED_VALUE"""),19855604)</f>
        <v/>
      </c>
      <c r="J655" s="45">
        <f>IFERROR(__xludf.DUMMYFUNCTION("""COMPUTED_VALUE"""),"LM5AO1S")</f>
        <v/>
      </c>
      <c r="K655" s="45">
        <f>IFERROR(__xludf.DUMMYFUNCTION("""COMPUTED_VALUE"""),"LM5AO1S-038426")</f>
        <v/>
      </c>
      <c r="L655" s="45">
        <f>IFERROR(__xludf.DUMMYFUNCTION("""COMPUTED_VALUE"""),4)</f>
        <v/>
      </c>
      <c r="M655" s="45">
        <f>IFERROR(__xludf.DUMMYFUNCTION("""COMPUTED_VALUE"""),74)</f>
        <v/>
      </c>
      <c r="N655" s="45">
        <f>IFERROR(__xludf.DUMMYFUNCTION("""COMPUTED_VALUE"""),35.71)</f>
        <v/>
      </c>
      <c r="O655" s="45">
        <f>IFERROR(__xludf.DUMMYFUNCTION("""COMPUTED_VALUE"""),0.21)</f>
        <v/>
      </c>
      <c r="P655" s="45">
        <f>IFERROR(__xludf.DUMMYFUNCTION("""COMPUTED_VALUE"""),"Colombo, LK")</f>
        <v/>
      </c>
      <c r="Q655" s="45">
        <f>IFERROR(__xludf.DUMMYFUNCTION("""COMPUTED_VALUE"""),"New York, NY, US")</f>
        <v/>
      </c>
      <c r="R655" s="44">
        <f>IFERROR(__xludf.DUMMYFUNCTION("""COMPUTED_VALUE"""),45831)</f>
        <v/>
      </c>
      <c r="S655" s="44">
        <f>IFERROR(__xludf.DUMMYFUNCTION("""COMPUTED_VALUE"""),45890)</f>
        <v/>
      </c>
      <c r="T655" s="45">
        <f>IFERROR(__xludf.DUMMYFUNCTION("""COMPUTED_VALUE"""),"Mississauga, ON, CA")</f>
        <v/>
      </c>
      <c r="U655" s="45" t="n"/>
      <c r="V655" s="45" t="n"/>
      <c r="W655" s="45" t="n"/>
      <c r="X655" s="45" t="n"/>
      <c r="Y655" s="46">
        <f>IFERROR(__xludf.DUMMYFUNCTION("""COMPUTED_VALUE"""),45838)</f>
        <v/>
      </c>
      <c r="Z655" s="46">
        <f>IFERROR(__xludf.DUMMYFUNCTION("""COMPUTED_VALUE"""),45859)</f>
        <v/>
      </c>
      <c r="AA655" s="46">
        <f>IFERROR(__xludf.DUMMYFUNCTION("""COMPUTED_VALUE"""),45859)</f>
        <v/>
      </c>
      <c r="AB655" s="45">
        <f>IFERROR(__xludf.DUMMYFUNCTION("""COMPUTED_VALUE"""),"3500 Argentia Road")</f>
        <v/>
      </c>
      <c r="AC655" s="45" t="n"/>
      <c r="AD655" s="45">
        <f>IFERROR(__xludf.DUMMYFUNCTION("""COMPUTED_VALUE"""),"OCEAN")</f>
        <v/>
      </c>
      <c r="AE655" s="45">
        <f>IFERROR(__xludf.DUMMYFUNCTION("""COMPUTED_VALUE"""),"N")</f>
        <v/>
      </c>
      <c r="AF655" s="45" t="n"/>
      <c r="AG655" s="49">
        <f>IFERROR(__xludf.DUMMYFUNCTION("IFNA(vlookup(H655,IMPORTRANGE(""1vUGwO1n0QQGx9kKbO0_M5gmuhXZ6-LaxQxgrmJnzgP0"",""'TP# look up'!A:C""),3,0),"""")"),"")</f>
        <v/>
      </c>
      <c r="AH655" s="49">
        <f>LEFT(J655,2)</f>
        <v/>
      </c>
    </row>
    <row r="656" ht="12.75" customHeight="1">
      <c r="A656" s="45">
        <f>IFERROR(__xludf.DUMMYFUNCTION("""COMPUTED_VALUE"""),"Colombo")</f>
        <v/>
      </c>
      <c r="B656" s="45" t="n"/>
      <c r="C656" s="45">
        <f>IFERROR(__xludf.DUMMYFUNCTION("""COMPUTED_VALUE"""),3259512)</f>
        <v/>
      </c>
      <c r="D656" s="45" t="n"/>
      <c r="E656" s="45">
        <f>IFERROR(__xludf.DUMMYFUNCTION("""COMPUTED_VALUE"""),"CFS")</f>
        <v/>
      </c>
      <c r="F656" s="45">
        <f>IFERROR(__xludf.DUMMYFUNCTION("""COMPUTED_VALUE"""),"Inqube Global (PVT) Ltd")</f>
        <v/>
      </c>
      <c r="G656" s="45">
        <f>IFERROR(__xludf.DUMMYFUNCTION("""COMPUTED_VALUE"""),"BRANDIX APPAREL SOLUTION LTD - GIRITALE")</f>
        <v/>
      </c>
      <c r="H656" s="43">
        <f>IFERROR(__xludf.DUMMYFUNCTION("""COMPUTED_VALUE"""),454302478843)</f>
        <v/>
      </c>
      <c r="I656" s="45">
        <f>IFERROR(__xludf.DUMMYFUNCTION("""COMPUTED_VALUE"""),19855674)</f>
        <v/>
      </c>
      <c r="J656" s="45">
        <f>IFERROR(__xludf.DUMMYFUNCTION("""COMPUTED_VALUE"""),"LM5AQXS")</f>
        <v/>
      </c>
      <c r="K656" s="45">
        <f>IFERROR(__xludf.DUMMYFUNCTION("""COMPUTED_VALUE"""),"LM5AQXS-031382")</f>
        <v/>
      </c>
      <c r="L656" s="45">
        <f>IFERROR(__xludf.DUMMYFUNCTION("""COMPUTED_VALUE"""),1)</f>
        <v/>
      </c>
      <c r="M656" s="45">
        <f>IFERROR(__xludf.DUMMYFUNCTION("""COMPUTED_VALUE"""),25)</f>
        <v/>
      </c>
      <c r="N656" s="45">
        <f>IFERROR(__xludf.DUMMYFUNCTION("""COMPUTED_VALUE"""),9.65)</f>
        <v/>
      </c>
      <c r="O656" s="45">
        <f>IFERROR(__xludf.DUMMYFUNCTION("""COMPUTED_VALUE"""),0.083)</f>
        <v/>
      </c>
      <c r="P656" s="45">
        <f>IFERROR(__xludf.DUMMYFUNCTION("""COMPUTED_VALUE"""),"Colombo, LK")</f>
        <v/>
      </c>
      <c r="Q656" s="45">
        <f>IFERROR(__xludf.DUMMYFUNCTION("""COMPUTED_VALUE"""),"New York, NY, US")</f>
        <v/>
      </c>
      <c r="R656" s="44">
        <f>IFERROR(__xludf.DUMMYFUNCTION("""COMPUTED_VALUE"""),45831)</f>
        <v/>
      </c>
      <c r="S656" s="44">
        <f>IFERROR(__xludf.DUMMYFUNCTION("""COMPUTED_VALUE"""),45890)</f>
        <v/>
      </c>
      <c r="T656" s="45">
        <f>IFERROR(__xludf.DUMMYFUNCTION("""COMPUTED_VALUE"""),"Mississauga, ON, CA")</f>
        <v/>
      </c>
      <c r="U656" s="45" t="n"/>
      <c r="V656" s="45" t="n"/>
      <c r="W656" s="45" t="n"/>
      <c r="X656" s="45" t="n"/>
      <c r="Y656" s="46">
        <f>IFERROR(__xludf.DUMMYFUNCTION("""COMPUTED_VALUE"""),45838)</f>
        <v/>
      </c>
      <c r="Z656" s="46">
        <f>IFERROR(__xludf.DUMMYFUNCTION("""COMPUTED_VALUE"""),45859)</f>
        <v/>
      </c>
      <c r="AA656" s="46">
        <f>IFERROR(__xludf.DUMMYFUNCTION("""COMPUTED_VALUE"""),45859)</f>
        <v/>
      </c>
      <c r="AB656" s="45">
        <f>IFERROR(__xludf.DUMMYFUNCTION("""COMPUTED_VALUE"""),"3500 Argentia Road")</f>
        <v/>
      </c>
      <c r="AC656" s="45" t="n"/>
      <c r="AD656" s="45">
        <f>IFERROR(__xludf.DUMMYFUNCTION("""COMPUTED_VALUE"""),"OCEAN")</f>
        <v/>
      </c>
      <c r="AE656" s="45">
        <f>IFERROR(__xludf.DUMMYFUNCTION("""COMPUTED_VALUE"""),"N")</f>
        <v/>
      </c>
      <c r="AF656" s="45" t="n"/>
      <c r="AG656" s="49">
        <f>IFERROR(__xludf.DUMMYFUNCTION("IFNA(vlookup(H656,IMPORTRANGE(""1vUGwO1n0QQGx9kKbO0_M5gmuhXZ6-LaxQxgrmJnzgP0"",""'TP# look up'!A:C""),3,0),"""")"),"")</f>
        <v/>
      </c>
      <c r="AH656" s="49">
        <f>LEFT(J656,2)</f>
        <v/>
      </c>
    </row>
    <row r="657" ht="12.75" customHeight="1">
      <c r="A657" s="45">
        <f>IFERROR(__xludf.DUMMYFUNCTION("""COMPUTED_VALUE"""),"Colombo")</f>
        <v/>
      </c>
      <c r="B657" s="45" t="n"/>
      <c r="C657" s="45">
        <f>IFERROR(__xludf.DUMMYFUNCTION("""COMPUTED_VALUE"""),3259512)</f>
        <v/>
      </c>
      <c r="D657" s="45" t="n"/>
      <c r="E657" s="45">
        <f>IFERROR(__xludf.DUMMYFUNCTION("""COMPUTED_VALUE"""),"CFS")</f>
        <v/>
      </c>
      <c r="F657" s="45">
        <f>IFERROR(__xludf.DUMMYFUNCTION("""COMPUTED_VALUE"""),"Inqube Global (PVT) Ltd")</f>
        <v/>
      </c>
      <c r="G657" s="45">
        <f>IFERROR(__xludf.DUMMYFUNCTION("""COMPUTED_VALUE"""),"BRANDIX APPAREL SOLUTION LTD - GIRITALE")</f>
        <v/>
      </c>
      <c r="H657" s="43">
        <f>IFERROR(__xludf.DUMMYFUNCTION("""COMPUTED_VALUE"""),454302513370)</f>
        <v/>
      </c>
      <c r="I657" s="45">
        <f>IFERROR(__xludf.DUMMYFUNCTION("""COMPUTED_VALUE"""),19855664)</f>
        <v/>
      </c>
      <c r="J657" s="45">
        <f>IFERROR(__xludf.DUMMYFUNCTION("""COMPUTED_VALUE"""),"LM5AQXS")</f>
        <v/>
      </c>
      <c r="K657" s="45">
        <f>IFERROR(__xludf.DUMMYFUNCTION("""COMPUTED_VALUE"""),"LM5AQXS-0001")</f>
        <v/>
      </c>
      <c r="L657" s="45">
        <f>IFERROR(__xludf.DUMMYFUNCTION("""COMPUTED_VALUE"""),3)</f>
        <v/>
      </c>
      <c r="M657" s="45">
        <f>IFERROR(__xludf.DUMMYFUNCTION("""COMPUTED_VALUE"""),86)</f>
        <v/>
      </c>
      <c r="N657" s="45">
        <f>IFERROR(__xludf.DUMMYFUNCTION("""COMPUTED_VALUE"""),32.93)</f>
        <v/>
      </c>
      <c r="O657" s="45">
        <f>IFERROR(__xludf.DUMMYFUNCTION("""COMPUTED_VALUE"""),0.208)</f>
        <v/>
      </c>
      <c r="P657" s="45">
        <f>IFERROR(__xludf.DUMMYFUNCTION("""COMPUTED_VALUE"""),"Colombo, LK")</f>
        <v/>
      </c>
      <c r="Q657" s="45">
        <f>IFERROR(__xludf.DUMMYFUNCTION("""COMPUTED_VALUE"""),"New York, NY, US")</f>
        <v/>
      </c>
      <c r="R657" s="44">
        <f>IFERROR(__xludf.DUMMYFUNCTION("""COMPUTED_VALUE"""),45831)</f>
        <v/>
      </c>
      <c r="S657" s="44">
        <f>IFERROR(__xludf.DUMMYFUNCTION("""COMPUTED_VALUE"""),45890)</f>
        <v/>
      </c>
      <c r="T657" s="45">
        <f>IFERROR(__xludf.DUMMYFUNCTION("""COMPUTED_VALUE"""),"Mississauga, ON, CA")</f>
        <v/>
      </c>
      <c r="U657" s="45" t="n"/>
      <c r="V657" s="45" t="n"/>
      <c r="W657" s="45" t="n"/>
      <c r="X657" s="45" t="n"/>
      <c r="Y657" s="46">
        <f>IFERROR(__xludf.DUMMYFUNCTION("""COMPUTED_VALUE"""),45838)</f>
        <v/>
      </c>
      <c r="Z657" s="46">
        <f>IFERROR(__xludf.DUMMYFUNCTION("""COMPUTED_VALUE"""),45859)</f>
        <v/>
      </c>
      <c r="AA657" s="46">
        <f>IFERROR(__xludf.DUMMYFUNCTION("""COMPUTED_VALUE"""),45859)</f>
        <v/>
      </c>
      <c r="AB657" s="45">
        <f>IFERROR(__xludf.DUMMYFUNCTION("""COMPUTED_VALUE"""),"3500 Argentia Road")</f>
        <v/>
      </c>
      <c r="AC657" s="45" t="n"/>
      <c r="AD657" s="45">
        <f>IFERROR(__xludf.DUMMYFUNCTION("""COMPUTED_VALUE"""),"OCEAN")</f>
        <v/>
      </c>
      <c r="AE657" s="45">
        <f>IFERROR(__xludf.DUMMYFUNCTION("""COMPUTED_VALUE"""),"N")</f>
        <v/>
      </c>
      <c r="AF657" s="45" t="n"/>
      <c r="AG657" s="49">
        <f>IFERROR(__xludf.DUMMYFUNCTION("IFNA(vlookup(H657,IMPORTRANGE(""1vUGwO1n0QQGx9kKbO0_M5gmuhXZ6-LaxQxgrmJnzgP0"",""'TP# look up'!A:C""),3,0),"""")"),"")</f>
        <v/>
      </c>
      <c r="AH657" s="49">
        <f>LEFT(J657,2)</f>
        <v/>
      </c>
    </row>
    <row r="658" ht="12.75" customHeight="1">
      <c r="A658" s="45">
        <f>IFERROR(__xludf.DUMMYFUNCTION("""COMPUTED_VALUE"""),"Colombo")</f>
        <v/>
      </c>
      <c r="B658" s="45" t="n"/>
      <c r="C658" s="45">
        <f>IFERROR(__xludf.DUMMYFUNCTION("""COMPUTED_VALUE"""),3259512)</f>
        <v/>
      </c>
      <c r="D658" s="45" t="n"/>
      <c r="E658" s="45">
        <f>IFERROR(__xludf.DUMMYFUNCTION("""COMPUTED_VALUE"""),"CFS")</f>
        <v/>
      </c>
      <c r="F658" s="45">
        <f>IFERROR(__xludf.DUMMYFUNCTION("""COMPUTED_VALUE"""),"Inqube Global (PVT) Ltd")</f>
        <v/>
      </c>
      <c r="G658" s="45">
        <f>IFERROR(__xludf.DUMMYFUNCTION("""COMPUTED_VALUE"""),"BRANDIX APPAREL SOLUTION LTD - GIRITALE")</f>
        <v/>
      </c>
      <c r="H658" s="43">
        <f>IFERROR(__xludf.DUMMYFUNCTION("""COMPUTED_VALUE"""),454302515583)</f>
        <v/>
      </c>
      <c r="I658" s="45">
        <f>IFERROR(__xludf.DUMMYFUNCTION("""COMPUTED_VALUE"""),19855728)</f>
        <v/>
      </c>
      <c r="J658" s="45">
        <f>IFERROR(__xludf.DUMMYFUNCTION("""COMPUTED_VALUE"""),"LM5AR0T")</f>
        <v/>
      </c>
      <c r="K658" s="45">
        <f>IFERROR(__xludf.DUMMYFUNCTION("""COMPUTED_VALUE"""),"LM5AR0T-031382")</f>
        <v/>
      </c>
      <c r="L658" s="45">
        <f>IFERROR(__xludf.DUMMYFUNCTION("""COMPUTED_VALUE"""),4)</f>
        <v/>
      </c>
      <c r="M658" s="45">
        <f>IFERROR(__xludf.DUMMYFUNCTION("""COMPUTED_VALUE"""),68)</f>
        <v/>
      </c>
      <c r="N658" s="45">
        <f>IFERROR(__xludf.DUMMYFUNCTION("""COMPUTED_VALUE"""),34.81)</f>
        <v/>
      </c>
      <c r="O658" s="45">
        <f>IFERROR(__xludf.DUMMYFUNCTION("""COMPUTED_VALUE"""),0.21)</f>
        <v/>
      </c>
      <c r="P658" s="45">
        <f>IFERROR(__xludf.DUMMYFUNCTION("""COMPUTED_VALUE"""),"Colombo, LK")</f>
        <v/>
      </c>
      <c r="Q658" s="45">
        <f>IFERROR(__xludf.DUMMYFUNCTION("""COMPUTED_VALUE"""),"New York, NY, US")</f>
        <v/>
      </c>
      <c r="R658" s="44">
        <f>IFERROR(__xludf.DUMMYFUNCTION("""COMPUTED_VALUE"""),45831)</f>
        <v/>
      </c>
      <c r="S658" s="44">
        <f>IFERROR(__xludf.DUMMYFUNCTION("""COMPUTED_VALUE"""),45890)</f>
        <v/>
      </c>
      <c r="T658" s="45">
        <f>IFERROR(__xludf.DUMMYFUNCTION("""COMPUTED_VALUE"""),"Mississauga, ON, CA")</f>
        <v/>
      </c>
      <c r="U658" s="45" t="n"/>
      <c r="V658" s="45" t="n"/>
      <c r="W658" s="45" t="n"/>
      <c r="X658" s="45" t="n"/>
      <c r="Y658" s="46">
        <f>IFERROR(__xludf.DUMMYFUNCTION("""COMPUTED_VALUE"""),45838)</f>
        <v/>
      </c>
      <c r="Z658" s="46">
        <f>IFERROR(__xludf.DUMMYFUNCTION("""COMPUTED_VALUE"""),45859)</f>
        <v/>
      </c>
      <c r="AA658" s="46">
        <f>IFERROR(__xludf.DUMMYFUNCTION("""COMPUTED_VALUE"""),45859)</f>
        <v/>
      </c>
      <c r="AB658" s="45">
        <f>IFERROR(__xludf.DUMMYFUNCTION("""COMPUTED_VALUE"""),"3500 Argentia Road")</f>
        <v/>
      </c>
      <c r="AC658" s="45" t="n"/>
      <c r="AD658" s="45">
        <f>IFERROR(__xludf.DUMMYFUNCTION("""COMPUTED_VALUE"""),"OCEAN")</f>
        <v/>
      </c>
      <c r="AE658" s="45">
        <f>IFERROR(__xludf.DUMMYFUNCTION("""COMPUTED_VALUE"""),"N")</f>
        <v/>
      </c>
      <c r="AF658" s="45" t="n"/>
      <c r="AG658" s="49">
        <f>IFERROR(__xludf.DUMMYFUNCTION("IFNA(vlookup(H658,IMPORTRANGE(""1vUGwO1n0QQGx9kKbO0_M5gmuhXZ6-LaxQxgrmJnzgP0"",""'TP# look up'!A:C""),3,0),"""")"),"")</f>
        <v/>
      </c>
      <c r="AH658" s="49">
        <f>LEFT(J658,2)</f>
        <v/>
      </c>
    </row>
    <row r="659" ht="12.75" customHeight="1">
      <c r="A659" s="45">
        <f>IFERROR(__xludf.DUMMYFUNCTION("""COMPUTED_VALUE"""),"Colombo")</f>
        <v/>
      </c>
      <c r="B659" s="45" t="n"/>
      <c r="C659" s="45">
        <f>IFERROR(__xludf.DUMMYFUNCTION("""COMPUTED_VALUE"""),3259512)</f>
        <v/>
      </c>
      <c r="D659" s="45" t="n"/>
      <c r="E659" s="45">
        <f>IFERROR(__xludf.DUMMYFUNCTION("""COMPUTED_VALUE"""),"CFS")</f>
        <v/>
      </c>
      <c r="F659" s="45">
        <f>IFERROR(__xludf.DUMMYFUNCTION("""COMPUTED_VALUE"""),"Inqube Global (PVT) Ltd")</f>
        <v/>
      </c>
      <c r="G659" s="45">
        <f>IFERROR(__xludf.DUMMYFUNCTION("""COMPUTED_VALUE"""),"BRANDIX APPAREL SOLUTION LTD - GIRITALE")</f>
        <v/>
      </c>
      <c r="H659" s="43">
        <f>IFERROR(__xludf.DUMMYFUNCTION("""COMPUTED_VALUE"""),454302613681)</f>
        <v/>
      </c>
      <c r="I659" s="45">
        <f>IFERROR(__xludf.DUMMYFUNCTION("""COMPUTED_VALUE"""),19855720)</f>
        <v/>
      </c>
      <c r="J659" s="45">
        <f>IFERROR(__xludf.DUMMYFUNCTION("""COMPUTED_VALUE"""),"LM5AR0T")</f>
        <v/>
      </c>
      <c r="K659" s="45">
        <f>IFERROR(__xludf.DUMMYFUNCTION("""COMPUTED_VALUE"""),"LM5AR0T-0001")</f>
        <v/>
      </c>
      <c r="L659" s="45">
        <f>IFERROR(__xludf.DUMMYFUNCTION("""COMPUTED_VALUE"""),4)</f>
        <v/>
      </c>
      <c r="M659" s="45">
        <f>IFERROR(__xludf.DUMMYFUNCTION("""COMPUTED_VALUE"""),74)</f>
        <v/>
      </c>
      <c r="N659" s="45">
        <f>IFERROR(__xludf.DUMMYFUNCTION("""COMPUTED_VALUE"""),37.96)</f>
        <v/>
      </c>
      <c r="O659" s="45">
        <f>IFERROR(__xludf.DUMMYFUNCTION("""COMPUTED_VALUE"""),0.21)</f>
        <v/>
      </c>
      <c r="P659" s="45">
        <f>IFERROR(__xludf.DUMMYFUNCTION("""COMPUTED_VALUE"""),"Colombo, LK")</f>
        <v/>
      </c>
      <c r="Q659" s="45">
        <f>IFERROR(__xludf.DUMMYFUNCTION("""COMPUTED_VALUE"""),"New York, NY, US")</f>
        <v/>
      </c>
      <c r="R659" s="44">
        <f>IFERROR(__xludf.DUMMYFUNCTION("""COMPUTED_VALUE"""),45831)</f>
        <v/>
      </c>
      <c r="S659" s="44">
        <f>IFERROR(__xludf.DUMMYFUNCTION("""COMPUTED_VALUE"""),45890)</f>
        <v/>
      </c>
      <c r="T659" s="45">
        <f>IFERROR(__xludf.DUMMYFUNCTION("""COMPUTED_VALUE"""),"Mississauga, ON, CA")</f>
        <v/>
      </c>
      <c r="U659" s="45" t="n"/>
      <c r="V659" s="45" t="n"/>
      <c r="W659" s="45" t="n"/>
      <c r="X659" s="45" t="n"/>
      <c r="Y659" s="46">
        <f>IFERROR(__xludf.DUMMYFUNCTION("""COMPUTED_VALUE"""),45838)</f>
        <v/>
      </c>
      <c r="Z659" s="46">
        <f>IFERROR(__xludf.DUMMYFUNCTION("""COMPUTED_VALUE"""),45859)</f>
        <v/>
      </c>
      <c r="AA659" s="46">
        <f>IFERROR(__xludf.DUMMYFUNCTION("""COMPUTED_VALUE"""),45859)</f>
        <v/>
      </c>
      <c r="AB659" s="45">
        <f>IFERROR(__xludf.DUMMYFUNCTION("""COMPUTED_VALUE"""),"3500 Argentia Road")</f>
        <v/>
      </c>
      <c r="AC659" s="45" t="n"/>
      <c r="AD659" s="45">
        <f>IFERROR(__xludf.DUMMYFUNCTION("""COMPUTED_VALUE"""),"OCEAN")</f>
        <v/>
      </c>
      <c r="AE659" s="45">
        <f>IFERROR(__xludf.DUMMYFUNCTION("""COMPUTED_VALUE"""),"N")</f>
        <v/>
      </c>
      <c r="AF659" s="45" t="n"/>
      <c r="AG659" s="49">
        <f>IFERROR(__xludf.DUMMYFUNCTION("IFNA(vlookup(H659,IMPORTRANGE(""1vUGwO1n0QQGx9kKbO0_M5gmuhXZ6-LaxQxgrmJnzgP0"",""'TP# look up'!A:C""),3,0),"""")"),"")</f>
        <v/>
      </c>
      <c r="AH659" s="49">
        <f>LEFT(J659,2)</f>
        <v/>
      </c>
    </row>
    <row r="660" ht="12.75" customHeight="1">
      <c r="A660" s="45">
        <f>IFERROR(__xludf.DUMMYFUNCTION("""COMPUTED_VALUE"""),"Colombo")</f>
        <v/>
      </c>
      <c r="B660" s="45" t="n"/>
      <c r="C660" s="45">
        <f>IFERROR(__xludf.DUMMYFUNCTION("""COMPUTED_VALUE"""),3259512)</f>
        <v/>
      </c>
      <c r="D660" s="45" t="n"/>
      <c r="E660" s="45">
        <f>IFERROR(__xludf.DUMMYFUNCTION("""COMPUTED_VALUE"""),"CFS")</f>
        <v/>
      </c>
      <c r="F660" s="45">
        <f>IFERROR(__xludf.DUMMYFUNCTION("""COMPUTED_VALUE"""),"Inqube Global (PVT) Ltd")</f>
        <v/>
      </c>
      <c r="G660" s="45">
        <f>IFERROR(__xludf.DUMMYFUNCTION("""COMPUTED_VALUE"""),"BRANDIX APPAREL SOLUTION LTD - GIRITALE")</f>
        <v/>
      </c>
      <c r="H660" s="43">
        <f>IFERROR(__xludf.DUMMYFUNCTION("""COMPUTED_VALUE"""),454302988741)</f>
        <v/>
      </c>
      <c r="I660" s="45">
        <f>IFERROR(__xludf.DUMMYFUNCTION("""COMPUTED_VALUE"""),19856075)</f>
        <v/>
      </c>
      <c r="J660" s="45">
        <f>IFERROR(__xludf.DUMMYFUNCTION("""COMPUTED_VALUE"""),"LM5AQXS")</f>
        <v/>
      </c>
      <c r="K660" s="45">
        <f>IFERROR(__xludf.DUMMYFUNCTION("""COMPUTED_VALUE"""),"LM5AQXS-0001")</f>
        <v/>
      </c>
      <c r="L660" s="45">
        <f>IFERROR(__xludf.DUMMYFUNCTION("""COMPUTED_VALUE"""),11)</f>
        <v/>
      </c>
      <c r="M660" s="45">
        <f>IFERROR(__xludf.DUMMYFUNCTION("""COMPUTED_VALUE"""),400)</f>
        <v/>
      </c>
      <c r="N660" s="45">
        <f>IFERROR(__xludf.DUMMYFUNCTION("""COMPUTED_VALUE"""),155.14)</f>
        <v/>
      </c>
      <c r="O660" s="45">
        <f>IFERROR(__xludf.DUMMYFUNCTION("""COMPUTED_VALUE"""),0.868)</f>
        <v/>
      </c>
      <c r="P660" s="45">
        <f>IFERROR(__xludf.DUMMYFUNCTION("""COMPUTED_VALUE"""),"Colombo, LK")</f>
        <v/>
      </c>
      <c r="Q660" s="45">
        <f>IFERROR(__xludf.DUMMYFUNCTION("""COMPUTED_VALUE"""),"New York, NY, US")</f>
        <v/>
      </c>
      <c r="R660" s="44">
        <f>IFERROR(__xludf.DUMMYFUNCTION("""COMPUTED_VALUE"""),45831)</f>
        <v/>
      </c>
      <c r="S660" s="44">
        <f>IFERROR(__xludf.DUMMYFUNCTION("""COMPUTED_VALUE"""),45890)</f>
        <v/>
      </c>
      <c r="T660" s="45">
        <f>IFERROR(__xludf.DUMMYFUNCTION("""COMPUTED_VALUE"""),"Mississauga, ON, CA")</f>
        <v/>
      </c>
      <c r="U660" s="45" t="n"/>
      <c r="V660" s="45" t="n"/>
      <c r="W660" s="45" t="n"/>
      <c r="X660" s="45" t="n"/>
      <c r="Y660" s="46">
        <f>IFERROR(__xludf.DUMMYFUNCTION("""COMPUTED_VALUE"""),45838)</f>
        <v/>
      </c>
      <c r="Z660" s="46">
        <f>IFERROR(__xludf.DUMMYFUNCTION("""COMPUTED_VALUE"""),45859)</f>
        <v/>
      </c>
      <c r="AA660" s="46">
        <f>IFERROR(__xludf.DUMMYFUNCTION("""COMPUTED_VALUE"""),45859)</f>
        <v/>
      </c>
      <c r="AB660" s="45">
        <f>IFERROR(__xludf.DUMMYFUNCTION("""COMPUTED_VALUE"""),"3500 Argentia Road")</f>
        <v/>
      </c>
      <c r="AC660" s="45" t="n"/>
      <c r="AD660" s="45">
        <f>IFERROR(__xludf.DUMMYFUNCTION("""COMPUTED_VALUE"""),"OCEAN")</f>
        <v/>
      </c>
      <c r="AE660" s="45">
        <f>IFERROR(__xludf.DUMMYFUNCTION("""COMPUTED_VALUE"""),"N")</f>
        <v/>
      </c>
      <c r="AF660" s="45" t="n"/>
      <c r="AG660" s="49">
        <f>IFERROR(__xludf.DUMMYFUNCTION("IFNA(vlookup(H660,IMPORTRANGE(""1vUGwO1n0QQGx9kKbO0_M5gmuhXZ6-LaxQxgrmJnzgP0"",""'TP# look up'!A:C""),3,0),"""")"),"")</f>
        <v/>
      </c>
      <c r="AH660" s="49">
        <f>LEFT(J660,2)</f>
        <v/>
      </c>
    </row>
    <row r="661" ht="12.75" customHeight="1">
      <c r="A661" s="45">
        <f>IFERROR(__xludf.DUMMYFUNCTION("""COMPUTED_VALUE"""),"Colombo")</f>
        <v/>
      </c>
      <c r="B661" s="45" t="n"/>
      <c r="C661" s="45">
        <f>IFERROR(__xludf.DUMMYFUNCTION("""COMPUTED_VALUE"""),3259512)</f>
        <v/>
      </c>
      <c r="D661" s="45" t="n"/>
      <c r="E661" s="45">
        <f>IFERROR(__xludf.DUMMYFUNCTION("""COMPUTED_VALUE"""),"CFS")</f>
        <v/>
      </c>
      <c r="F661" s="45">
        <f>IFERROR(__xludf.DUMMYFUNCTION("""COMPUTED_VALUE"""),"Inqube Global (PVT) Ltd")</f>
        <v/>
      </c>
      <c r="G661" s="45">
        <f>IFERROR(__xludf.DUMMYFUNCTION("""COMPUTED_VALUE"""),"BRANDIX APPAREL SOLUTION LTD - GIRITALE")</f>
        <v/>
      </c>
      <c r="H661" s="43">
        <f>IFERROR(__xludf.DUMMYFUNCTION("""COMPUTED_VALUE"""),454303062530)</f>
        <v/>
      </c>
      <c r="I661" s="45">
        <f>IFERROR(__xludf.DUMMYFUNCTION("""COMPUTED_VALUE"""),19856031)</f>
        <v/>
      </c>
      <c r="J661" s="45">
        <f>IFERROR(__xludf.DUMMYFUNCTION("""COMPUTED_VALUE"""),"LM5AQHS")</f>
        <v/>
      </c>
      <c r="K661" s="45">
        <f>IFERROR(__xludf.DUMMYFUNCTION("""COMPUTED_VALUE"""),"LM5AQHS-038426")</f>
        <v/>
      </c>
      <c r="L661" s="45">
        <f>IFERROR(__xludf.DUMMYFUNCTION("""COMPUTED_VALUE"""),9)</f>
        <v/>
      </c>
      <c r="M661" s="45">
        <f>IFERROR(__xludf.DUMMYFUNCTION("""COMPUTED_VALUE"""),252)</f>
        <v/>
      </c>
      <c r="N661" s="45">
        <f>IFERROR(__xludf.DUMMYFUNCTION("""COMPUTED_VALUE"""),114.09)</f>
        <v/>
      </c>
      <c r="O661" s="45">
        <f>IFERROR(__xludf.DUMMYFUNCTION("""COMPUTED_VALUE"""),0.663)</f>
        <v/>
      </c>
      <c r="P661" s="45">
        <f>IFERROR(__xludf.DUMMYFUNCTION("""COMPUTED_VALUE"""),"Colombo, LK")</f>
        <v/>
      </c>
      <c r="Q661" s="45">
        <f>IFERROR(__xludf.DUMMYFUNCTION("""COMPUTED_VALUE"""),"New York, NY, US")</f>
        <v/>
      </c>
      <c r="R661" s="44">
        <f>IFERROR(__xludf.DUMMYFUNCTION("""COMPUTED_VALUE"""),45831)</f>
        <v/>
      </c>
      <c r="S661" s="44">
        <f>IFERROR(__xludf.DUMMYFUNCTION("""COMPUTED_VALUE"""),45890)</f>
        <v/>
      </c>
      <c r="T661" s="45">
        <f>IFERROR(__xludf.DUMMYFUNCTION("""COMPUTED_VALUE"""),"Mississauga, ON, CA")</f>
        <v/>
      </c>
      <c r="U661" s="45" t="n"/>
      <c r="V661" s="45" t="n"/>
      <c r="W661" s="45" t="n"/>
      <c r="X661" s="45" t="n"/>
      <c r="Y661" s="46">
        <f>IFERROR(__xludf.DUMMYFUNCTION("""COMPUTED_VALUE"""),45838)</f>
        <v/>
      </c>
      <c r="Z661" s="46">
        <f>IFERROR(__xludf.DUMMYFUNCTION("""COMPUTED_VALUE"""),45859)</f>
        <v/>
      </c>
      <c r="AA661" s="46">
        <f>IFERROR(__xludf.DUMMYFUNCTION("""COMPUTED_VALUE"""),45859)</f>
        <v/>
      </c>
      <c r="AB661" s="45">
        <f>IFERROR(__xludf.DUMMYFUNCTION("""COMPUTED_VALUE"""),"3500 Argentia Road")</f>
        <v/>
      </c>
      <c r="AC661" s="45" t="n"/>
      <c r="AD661" s="45">
        <f>IFERROR(__xludf.DUMMYFUNCTION("""COMPUTED_VALUE"""),"OCEAN")</f>
        <v/>
      </c>
      <c r="AE661" s="45">
        <f>IFERROR(__xludf.DUMMYFUNCTION("""COMPUTED_VALUE"""),"N")</f>
        <v/>
      </c>
      <c r="AF661" s="45" t="n"/>
      <c r="AG661" s="49">
        <f>IFERROR(__xludf.DUMMYFUNCTION("IFNA(vlookup(H661,IMPORTRANGE(""1vUGwO1n0QQGx9kKbO0_M5gmuhXZ6-LaxQxgrmJnzgP0"",""'TP# look up'!A:C""),3,0),"""")"),"")</f>
        <v/>
      </c>
      <c r="AH661" s="49">
        <f>LEFT(J661,2)</f>
        <v/>
      </c>
    </row>
    <row r="662" ht="12.75" customHeight="1">
      <c r="A662" s="45">
        <f>IFERROR(__xludf.DUMMYFUNCTION("""COMPUTED_VALUE"""),"Colombo")</f>
        <v/>
      </c>
      <c r="B662" s="45" t="n"/>
      <c r="C662" s="45">
        <f>IFERROR(__xludf.DUMMYFUNCTION("""COMPUTED_VALUE"""),3259512)</f>
        <v/>
      </c>
      <c r="D662" s="45" t="n"/>
      <c r="E662" s="45">
        <f>IFERROR(__xludf.DUMMYFUNCTION("""COMPUTED_VALUE"""),"CFS")</f>
        <v/>
      </c>
      <c r="F662" s="45">
        <f>IFERROR(__xludf.DUMMYFUNCTION("""COMPUTED_VALUE"""),"Inqube Global (PVT) Ltd")</f>
        <v/>
      </c>
      <c r="G662" s="45">
        <f>IFERROR(__xludf.DUMMYFUNCTION("""COMPUTED_VALUE"""),"BRANDIX APPAREL SOLUTION LTD - GIRITALE")</f>
        <v/>
      </c>
      <c r="H662" s="43">
        <f>IFERROR(__xludf.DUMMYFUNCTION("""COMPUTED_VALUE"""),454304138146)</f>
        <v/>
      </c>
      <c r="I662" s="45">
        <f>IFERROR(__xludf.DUMMYFUNCTION("""COMPUTED_VALUE"""),19856227)</f>
        <v/>
      </c>
      <c r="J662" s="45">
        <f>IFERROR(__xludf.DUMMYFUNCTION("""COMPUTED_VALUE"""),"LM5AR0T")</f>
        <v/>
      </c>
      <c r="K662" s="45">
        <f>IFERROR(__xludf.DUMMYFUNCTION("""COMPUTED_VALUE"""),"LM5AR0T-0001")</f>
        <v/>
      </c>
      <c r="L662" s="45">
        <f>IFERROR(__xludf.DUMMYFUNCTION("""COMPUTED_VALUE"""),6)</f>
        <v/>
      </c>
      <c r="M662" s="45">
        <f>IFERROR(__xludf.DUMMYFUNCTION("""COMPUTED_VALUE"""),140)</f>
        <v/>
      </c>
      <c r="N662" s="45">
        <f>IFERROR(__xludf.DUMMYFUNCTION("""COMPUTED_VALUE"""),70.71)</f>
        <v/>
      </c>
      <c r="O662" s="45">
        <f>IFERROR(__xludf.DUMMYFUNCTION("""COMPUTED_VALUE"""),0.375)</f>
        <v/>
      </c>
      <c r="P662" s="45">
        <f>IFERROR(__xludf.DUMMYFUNCTION("""COMPUTED_VALUE"""),"Colombo, LK")</f>
        <v/>
      </c>
      <c r="Q662" s="45">
        <f>IFERROR(__xludf.DUMMYFUNCTION("""COMPUTED_VALUE"""),"New York, NY, US")</f>
        <v/>
      </c>
      <c r="R662" s="44">
        <f>IFERROR(__xludf.DUMMYFUNCTION("""COMPUTED_VALUE"""),45831)</f>
        <v/>
      </c>
      <c r="S662" s="44">
        <f>IFERROR(__xludf.DUMMYFUNCTION("""COMPUTED_VALUE"""),45890)</f>
        <v/>
      </c>
      <c r="T662" s="45">
        <f>IFERROR(__xludf.DUMMYFUNCTION("""COMPUTED_VALUE"""),"Mississauga, ON, CA")</f>
        <v/>
      </c>
      <c r="U662" s="45" t="n"/>
      <c r="V662" s="45" t="n"/>
      <c r="W662" s="45" t="n"/>
      <c r="X662" s="45" t="n"/>
      <c r="Y662" s="46">
        <f>IFERROR(__xludf.DUMMYFUNCTION("""COMPUTED_VALUE"""),45838)</f>
        <v/>
      </c>
      <c r="Z662" s="46">
        <f>IFERROR(__xludf.DUMMYFUNCTION("""COMPUTED_VALUE"""),45859)</f>
        <v/>
      </c>
      <c r="AA662" s="46">
        <f>IFERROR(__xludf.DUMMYFUNCTION("""COMPUTED_VALUE"""),45859)</f>
        <v/>
      </c>
      <c r="AB662" s="45">
        <f>IFERROR(__xludf.DUMMYFUNCTION("""COMPUTED_VALUE"""),"3500 Argentia Road")</f>
        <v/>
      </c>
      <c r="AC662" s="45" t="n"/>
      <c r="AD662" s="45">
        <f>IFERROR(__xludf.DUMMYFUNCTION("""COMPUTED_VALUE"""),"OCEAN")</f>
        <v/>
      </c>
      <c r="AE662" s="45">
        <f>IFERROR(__xludf.DUMMYFUNCTION("""COMPUTED_VALUE"""),"N")</f>
        <v/>
      </c>
      <c r="AF662" s="45" t="n"/>
      <c r="AG662" s="49">
        <f>IFERROR(__xludf.DUMMYFUNCTION("IFNA(vlookup(H662,IMPORTRANGE(""1vUGwO1n0QQGx9kKbO0_M5gmuhXZ6-LaxQxgrmJnzgP0"",""'TP# look up'!A:C""),3,0),"""")"),"")</f>
        <v/>
      </c>
      <c r="AH662" s="49">
        <f>LEFT(J662,2)</f>
        <v/>
      </c>
    </row>
    <row r="663" ht="12.75" customHeight="1">
      <c r="A663" s="45">
        <f>IFERROR(__xludf.DUMMYFUNCTION("""COMPUTED_VALUE"""),"Colombo")</f>
        <v/>
      </c>
      <c r="B663" s="45" t="n"/>
      <c r="C663" s="45">
        <f>IFERROR(__xludf.DUMMYFUNCTION("""COMPUTED_VALUE"""),3259512)</f>
        <v/>
      </c>
      <c r="D663" s="45" t="n"/>
      <c r="E663" s="45">
        <f>IFERROR(__xludf.DUMMYFUNCTION("""COMPUTED_VALUE"""),"CFS")</f>
        <v/>
      </c>
      <c r="F663" s="45">
        <f>IFERROR(__xludf.DUMMYFUNCTION("""COMPUTED_VALUE"""),"Inqube Global (PVT) Ltd")</f>
        <v/>
      </c>
      <c r="G663" s="45">
        <f>IFERROR(__xludf.DUMMYFUNCTION("""COMPUTED_VALUE"""),"BRANDIX APPAREL SOLUTION LTD - GIRITALE")</f>
        <v/>
      </c>
      <c r="H663" s="43">
        <f>IFERROR(__xludf.DUMMYFUNCTION("""COMPUTED_VALUE"""),454304185325)</f>
        <v/>
      </c>
      <c r="I663" s="45">
        <f>IFERROR(__xludf.DUMMYFUNCTION("""COMPUTED_VALUE"""),19856271)</f>
        <v/>
      </c>
      <c r="J663" s="45">
        <f>IFERROR(__xludf.DUMMYFUNCTION("""COMPUTED_VALUE"""),"LM5AR0T")</f>
        <v/>
      </c>
      <c r="K663" s="45">
        <f>IFERROR(__xludf.DUMMYFUNCTION("""COMPUTED_VALUE"""),"LM5AR0T-031382")</f>
        <v/>
      </c>
      <c r="L663" s="45">
        <f>IFERROR(__xludf.DUMMYFUNCTION("""COMPUTED_VALUE"""),5)</f>
        <v/>
      </c>
      <c r="M663" s="45">
        <f>IFERROR(__xludf.DUMMYFUNCTION("""COMPUTED_VALUE"""),106)</f>
        <v/>
      </c>
      <c r="N663" s="45">
        <f>IFERROR(__xludf.DUMMYFUNCTION("""COMPUTED_VALUE"""),53.41)</f>
        <v/>
      </c>
      <c r="O663" s="45">
        <f>IFERROR(__xludf.DUMMYFUNCTION("""COMPUTED_VALUE"""),0.253)</f>
        <v/>
      </c>
      <c r="P663" s="45">
        <f>IFERROR(__xludf.DUMMYFUNCTION("""COMPUTED_VALUE"""),"Colombo, LK")</f>
        <v/>
      </c>
      <c r="Q663" s="45">
        <f>IFERROR(__xludf.DUMMYFUNCTION("""COMPUTED_VALUE"""),"New York, NY, US")</f>
        <v/>
      </c>
      <c r="R663" s="44">
        <f>IFERROR(__xludf.DUMMYFUNCTION("""COMPUTED_VALUE"""),45831)</f>
        <v/>
      </c>
      <c r="S663" s="44">
        <f>IFERROR(__xludf.DUMMYFUNCTION("""COMPUTED_VALUE"""),45890)</f>
        <v/>
      </c>
      <c r="T663" s="45">
        <f>IFERROR(__xludf.DUMMYFUNCTION("""COMPUTED_VALUE"""),"Mississauga, ON, CA")</f>
        <v/>
      </c>
      <c r="U663" s="45" t="n"/>
      <c r="V663" s="45" t="n"/>
      <c r="W663" s="45" t="n"/>
      <c r="X663" s="45" t="n"/>
      <c r="Y663" s="46">
        <f>IFERROR(__xludf.DUMMYFUNCTION("""COMPUTED_VALUE"""),45838)</f>
        <v/>
      </c>
      <c r="Z663" s="46">
        <f>IFERROR(__xludf.DUMMYFUNCTION("""COMPUTED_VALUE"""),45859)</f>
        <v/>
      </c>
      <c r="AA663" s="46">
        <f>IFERROR(__xludf.DUMMYFUNCTION("""COMPUTED_VALUE"""),45859)</f>
        <v/>
      </c>
      <c r="AB663" s="45">
        <f>IFERROR(__xludf.DUMMYFUNCTION("""COMPUTED_VALUE"""),"3500 Argentia Road")</f>
        <v/>
      </c>
      <c r="AC663" s="45" t="n"/>
      <c r="AD663" s="45">
        <f>IFERROR(__xludf.DUMMYFUNCTION("""COMPUTED_VALUE"""),"OCEAN")</f>
        <v/>
      </c>
      <c r="AE663" s="45">
        <f>IFERROR(__xludf.DUMMYFUNCTION("""COMPUTED_VALUE"""),"N")</f>
        <v/>
      </c>
      <c r="AF663" s="45" t="n"/>
      <c r="AG663" s="49">
        <f>IFERROR(__xludf.DUMMYFUNCTION("IFNA(vlookup(H663,IMPORTRANGE(""1vUGwO1n0QQGx9kKbO0_M5gmuhXZ6-LaxQxgrmJnzgP0"",""'TP# look up'!A:C""),3,0),"""")"),"")</f>
        <v/>
      </c>
      <c r="AH663" s="49">
        <f>LEFT(J663,2)</f>
        <v/>
      </c>
    </row>
    <row r="664" ht="12.75" customHeight="1">
      <c r="A664" s="45">
        <f>IFERROR(__xludf.DUMMYFUNCTION("""COMPUTED_VALUE"""),"Colombo")</f>
        <v/>
      </c>
      <c r="B664" s="45" t="n"/>
      <c r="C664" s="45">
        <f>IFERROR(__xludf.DUMMYFUNCTION("""COMPUTED_VALUE"""),3259512)</f>
        <v/>
      </c>
      <c r="D664" s="45" t="n"/>
      <c r="E664" s="45">
        <f>IFERROR(__xludf.DUMMYFUNCTION("""COMPUTED_VALUE"""),"CFS")</f>
        <v/>
      </c>
      <c r="F664" s="45">
        <f>IFERROR(__xludf.DUMMYFUNCTION("""COMPUTED_VALUE"""),"Inqube Global (PVT) Ltd")</f>
        <v/>
      </c>
      <c r="G664" s="45">
        <f>IFERROR(__xludf.DUMMYFUNCTION("""COMPUTED_VALUE"""),"BRANDIX APPAREL SOLUTION LTD - GIRITALE")</f>
        <v/>
      </c>
      <c r="H664" s="43">
        <f>IFERROR(__xludf.DUMMYFUNCTION("""COMPUTED_VALUE"""),454712198384)</f>
        <v/>
      </c>
      <c r="I664" s="45">
        <f>IFERROR(__xludf.DUMMYFUNCTION("""COMPUTED_VALUE"""),19855709)</f>
        <v/>
      </c>
      <c r="J664" s="45">
        <f>IFERROR(__xludf.DUMMYFUNCTION("""COMPUTED_VALUE"""),"LM5AQZS")</f>
        <v/>
      </c>
      <c r="K664" s="45">
        <f>IFERROR(__xludf.DUMMYFUNCTION("""COMPUTED_VALUE"""),"LM5AQZS-019222")</f>
        <v/>
      </c>
      <c r="L664" s="45">
        <f>IFERROR(__xludf.DUMMYFUNCTION("""COMPUTED_VALUE"""),2)</f>
        <v/>
      </c>
      <c r="M664" s="45">
        <f>IFERROR(__xludf.DUMMYFUNCTION("""COMPUTED_VALUE"""),48)</f>
        <v/>
      </c>
      <c r="N664" s="45">
        <f>IFERROR(__xludf.DUMMYFUNCTION("""COMPUTED_VALUE"""),22.67)</f>
        <v/>
      </c>
      <c r="O664" s="45">
        <f>IFERROR(__xludf.DUMMYFUNCTION("""COMPUTED_VALUE"""),0.125)</f>
        <v/>
      </c>
      <c r="P664" s="45">
        <f>IFERROR(__xludf.DUMMYFUNCTION("""COMPUTED_VALUE"""),"Colombo, LK")</f>
        <v/>
      </c>
      <c r="Q664" s="45">
        <f>IFERROR(__xludf.DUMMYFUNCTION("""COMPUTED_VALUE"""),"New York, NY, US")</f>
        <v/>
      </c>
      <c r="R664" s="44">
        <f>IFERROR(__xludf.DUMMYFUNCTION("""COMPUTED_VALUE"""),45831)</f>
        <v/>
      </c>
      <c r="S664" s="44">
        <f>IFERROR(__xludf.DUMMYFUNCTION("""COMPUTED_VALUE"""),45890)</f>
        <v/>
      </c>
      <c r="T664" s="45">
        <f>IFERROR(__xludf.DUMMYFUNCTION("""COMPUTED_VALUE"""),"Milton, ON, CA")</f>
        <v/>
      </c>
      <c r="U664" s="45" t="n"/>
      <c r="V664" s="45" t="n"/>
      <c r="W664" s="45" t="n"/>
      <c r="X664" s="45" t="n"/>
      <c r="Y664" s="46">
        <f>IFERROR(__xludf.DUMMYFUNCTION("""COMPUTED_VALUE"""),45838)</f>
        <v/>
      </c>
      <c r="Z664" s="46">
        <f>IFERROR(__xludf.DUMMYFUNCTION("""COMPUTED_VALUE"""),45859)</f>
        <v/>
      </c>
      <c r="AA664" s="46">
        <f>IFERROR(__xludf.DUMMYFUNCTION("""COMPUTED_VALUE"""),45859)</f>
        <v/>
      </c>
      <c r="AB664" s="45">
        <f>IFERROR(__xludf.DUMMYFUNCTION("""COMPUTED_VALUE"""),"7211 Fifth Line")</f>
        <v/>
      </c>
      <c r="AC664" s="45" t="n"/>
      <c r="AD664" s="45">
        <f>IFERROR(__xludf.DUMMYFUNCTION("""COMPUTED_VALUE"""),"OCEAN")</f>
        <v/>
      </c>
      <c r="AE664" s="45">
        <f>IFERROR(__xludf.DUMMYFUNCTION("""COMPUTED_VALUE"""),"N")</f>
        <v/>
      </c>
      <c r="AF664" s="45" t="n"/>
      <c r="AG664" s="49">
        <f>IFERROR(__xludf.DUMMYFUNCTION("IFNA(vlookup(H664,IMPORTRANGE(""1vUGwO1n0QQGx9kKbO0_M5gmuhXZ6-LaxQxgrmJnzgP0"",""'TP# look up'!A:C""),3,0),"""")"),"")</f>
        <v/>
      </c>
      <c r="AH664" s="49">
        <f>LEFT(J664,2)</f>
        <v/>
      </c>
    </row>
    <row r="665" ht="12.75" customHeight="1">
      <c r="A665" s="45">
        <f>IFERROR(__xludf.DUMMYFUNCTION("""COMPUTED_VALUE"""),"Colombo")</f>
        <v/>
      </c>
      <c r="B665" s="45" t="n"/>
      <c r="C665" s="45">
        <f>IFERROR(__xludf.DUMMYFUNCTION("""COMPUTED_VALUE"""),3259512)</f>
        <v/>
      </c>
      <c r="D665" s="45" t="n"/>
      <c r="E665" s="45">
        <f>IFERROR(__xludf.DUMMYFUNCTION("""COMPUTED_VALUE"""),"CFS")</f>
        <v/>
      </c>
      <c r="F665" s="45">
        <f>IFERROR(__xludf.DUMMYFUNCTION("""COMPUTED_VALUE"""),"Inqube Global (PVT) Ltd")</f>
        <v/>
      </c>
      <c r="G665" s="45">
        <f>IFERROR(__xludf.DUMMYFUNCTION("""COMPUTED_VALUE"""),"BRANDIX APPAREL SOLUTION LTD - GIRITALE")</f>
        <v/>
      </c>
      <c r="H665" s="43">
        <f>IFERROR(__xludf.DUMMYFUNCTION("""COMPUTED_VALUE"""),454712670681)</f>
        <v/>
      </c>
      <c r="I665" s="45">
        <f>IFERROR(__xludf.DUMMYFUNCTION("""COMPUTED_VALUE"""),19855826)</f>
        <v/>
      </c>
      <c r="J665" s="45">
        <f>IFERROR(__xludf.DUMMYFUNCTION("""COMPUTED_VALUE"""),"LM5BL3S")</f>
        <v/>
      </c>
      <c r="K665" s="45">
        <f>IFERROR(__xludf.DUMMYFUNCTION("""COMPUTED_VALUE"""),"LM5BL3S-0001")</f>
        <v/>
      </c>
      <c r="L665" s="45">
        <f>IFERROR(__xludf.DUMMYFUNCTION("""COMPUTED_VALUE"""),11)</f>
        <v/>
      </c>
      <c r="M665" s="45">
        <f>IFERROR(__xludf.DUMMYFUNCTION("""COMPUTED_VALUE"""),337)</f>
        <v/>
      </c>
      <c r="N665" s="45">
        <f>IFERROR(__xludf.DUMMYFUNCTION("""COMPUTED_VALUE"""),136.35)</f>
        <v/>
      </c>
      <c r="O665" s="45">
        <f>IFERROR(__xludf.DUMMYFUNCTION("""COMPUTED_VALUE"""),0.908)</f>
        <v/>
      </c>
      <c r="P665" s="45">
        <f>IFERROR(__xludf.DUMMYFUNCTION("""COMPUTED_VALUE"""),"Colombo, LK")</f>
        <v/>
      </c>
      <c r="Q665" s="45">
        <f>IFERROR(__xludf.DUMMYFUNCTION("""COMPUTED_VALUE"""),"New York, NY, US")</f>
        <v/>
      </c>
      <c r="R665" s="44">
        <f>IFERROR(__xludf.DUMMYFUNCTION("""COMPUTED_VALUE"""),45831)</f>
        <v/>
      </c>
      <c r="S665" s="44">
        <f>IFERROR(__xludf.DUMMYFUNCTION("""COMPUTED_VALUE"""),45890)</f>
        <v/>
      </c>
      <c r="T665" s="45">
        <f>IFERROR(__xludf.DUMMYFUNCTION("""COMPUTED_VALUE"""),"Milton, ON, CA")</f>
        <v/>
      </c>
      <c r="U665" s="45" t="n"/>
      <c r="V665" s="45" t="n"/>
      <c r="W665" s="45" t="n"/>
      <c r="X665" s="45" t="n"/>
      <c r="Y665" s="46">
        <f>IFERROR(__xludf.DUMMYFUNCTION("""COMPUTED_VALUE"""),45831)</f>
        <v/>
      </c>
      <c r="Z665" s="46">
        <f>IFERROR(__xludf.DUMMYFUNCTION("""COMPUTED_VALUE"""),45859)</f>
        <v/>
      </c>
      <c r="AA665" s="46">
        <f>IFERROR(__xludf.DUMMYFUNCTION("""COMPUTED_VALUE"""),45859)</f>
        <v/>
      </c>
      <c r="AB665" s="45">
        <f>IFERROR(__xludf.DUMMYFUNCTION("""COMPUTED_VALUE"""),"7211 Fifth Line")</f>
        <v/>
      </c>
      <c r="AC665" s="45" t="n"/>
      <c r="AD665" s="45">
        <f>IFERROR(__xludf.DUMMYFUNCTION("""COMPUTED_VALUE"""),"OCEAN")</f>
        <v/>
      </c>
      <c r="AE665" s="45">
        <f>IFERROR(__xludf.DUMMYFUNCTION("""COMPUTED_VALUE"""),"N")</f>
        <v/>
      </c>
      <c r="AF665" s="45" t="n"/>
      <c r="AG665" s="49">
        <f>IFERROR(__xludf.DUMMYFUNCTION("IFNA(vlookup(H665,IMPORTRANGE(""1vUGwO1n0QQGx9kKbO0_M5gmuhXZ6-LaxQxgrmJnzgP0"",""'TP# look up'!A:C""),3,0),"""")"),"")</f>
        <v/>
      </c>
      <c r="AH665" s="49">
        <f>LEFT(J665,2)</f>
        <v/>
      </c>
    </row>
    <row r="666" ht="12.75" customHeight="1">
      <c r="A666" s="45">
        <f>IFERROR(__xludf.DUMMYFUNCTION("""COMPUTED_VALUE"""),"Colombo")</f>
        <v/>
      </c>
      <c r="B666" s="45" t="n"/>
      <c r="C666" s="45">
        <f>IFERROR(__xludf.DUMMYFUNCTION("""COMPUTED_VALUE"""),3259512)</f>
        <v/>
      </c>
      <c r="D666" s="45" t="n"/>
      <c r="E666" s="45">
        <f>IFERROR(__xludf.DUMMYFUNCTION("""COMPUTED_VALUE"""),"CFS")</f>
        <v/>
      </c>
      <c r="F666" s="45">
        <f>IFERROR(__xludf.DUMMYFUNCTION("""COMPUTED_VALUE"""),"Inqube Global (PVT) Ltd")</f>
        <v/>
      </c>
      <c r="G666" s="45">
        <f>IFERROR(__xludf.DUMMYFUNCTION("""COMPUTED_VALUE"""),"BRANDIX APPAREL SOLUTION LTD - GIRITALE")</f>
        <v/>
      </c>
      <c r="H666" s="43">
        <f>IFERROR(__xludf.DUMMYFUNCTION("""COMPUTED_VALUE"""),454712697738)</f>
        <v/>
      </c>
      <c r="I666" s="45">
        <f>IFERROR(__xludf.DUMMYFUNCTION("""COMPUTED_VALUE"""),19855824)</f>
        <v/>
      </c>
      <c r="J666" s="45">
        <f>IFERROR(__xludf.DUMMYFUNCTION("""COMPUTED_VALUE"""),"LM5BKOS")</f>
        <v/>
      </c>
      <c r="K666" s="45">
        <f>IFERROR(__xludf.DUMMYFUNCTION("""COMPUTED_VALUE"""),"LM5BKOS-032476")</f>
        <v/>
      </c>
      <c r="L666" s="45">
        <f>IFERROR(__xludf.DUMMYFUNCTION("""COMPUTED_VALUE"""),10)</f>
        <v/>
      </c>
      <c r="M666" s="45">
        <f>IFERROR(__xludf.DUMMYFUNCTION("""COMPUTED_VALUE"""),361)</f>
        <v/>
      </c>
      <c r="N666" s="45">
        <f>IFERROR(__xludf.DUMMYFUNCTION("""COMPUTED_VALUE"""),146.87)</f>
        <v/>
      </c>
      <c r="O666" s="45">
        <f>IFERROR(__xludf.DUMMYFUNCTION("""COMPUTED_VALUE"""),0.785)</f>
        <v/>
      </c>
      <c r="P666" s="45">
        <f>IFERROR(__xludf.DUMMYFUNCTION("""COMPUTED_VALUE"""),"Colombo, LK")</f>
        <v/>
      </c>
      <c r="Q666" s="45">
        <f>IFERROR(__xludf.DUMMYFUNCTION("""COMPUTED_VALUE"""),"New York, NY, US")</f>
        <v/>
      </c>
      <c r="R666" s="44">
        <f>IFERROR(__xludf.DUMMYFUNCTION("""COMPUTED_VALUE"""),45831)</f>
        <v/>
      </c>
      <c r="S666" s="44">
        <f>IFERROR(__xludf.DUMMYFUNCTION("""COMPUTED_VALUE"""),45890)</f>
        <v/>
      </c>
      <c r="T666" s="45">
        <f>IFERROR(__xludf.DUMMYFUNCTION("""COMPUTED_VALUE"""),"Milton, ON, CA")</f>
        <v/>
      </c>
      <c r="U666" s="45" t="n"/>
      <c r="V666" s="45" t="n"/>
      <c r="W666" s="45" t="n"/>
      <c r="X666" s="45" t="n"/>
      <c r="Y666" s="46">
        <f>IFERROR(__xludf.DUMMYFUNCTION("""COMPUTED_VALUE"""),45838)</f>
        <v/>
      </c>
      <c r="Z666" s="46">
        <f>IFERROR(__xludf.DUMMYFUNCTION("""COMPUTED_VALUE"""),45859)</f>
        <v/>
      </c>
      <c r="AA666" s="46">
        <f>IFERROR(__xludf.DUMMYFUNCTION("""COMPUTED_VALUE"""),45859)</f>
        <v/>
      </c>
      <c r="AB666" s="45">
        <f>IFERROR(__xludf.DUMMYFUNCTION("""COMPUTED_VALUE"""),"7211 Fifth Line")</f>
        <v/>
      </c>
      <c r="AC666" s="45" t="n"/>
      <c r="AD666" s="45">
        <f>IFERROR(__xludf.DUMMYFUNCTION("""COMPUTED_VALUE"""),"OCEAN")</f>
        <v/>
      </c>
      <c r="AE666" s="45">
        <f>IFERROR(__xludf.DUMMYFUNCTION("""COMPUTED_VALUE"""),"N")</f>
        <v/>
      </c>
      <c r="AF666" s="45" t="n"/>
      <c r="AG666" s="49">
        <f>IFERROR(__xludf.DUMMYFUNCTION("IFNA(vlookup(H666,IMPORTRANGE(""1vUGwO1n0QQGx9kKbO0_M5gmuhXZ6-LaxQxgrmJnzgP0"",""'TP# look up'!A:C""),3,0),"""")"),"")</f>
        <v/>
      </c>
      <c r="AH666" s="49">
        <f>LEFT(J666,2)</f>
        <v/>
      </c>
    </row>
    <row r="667" ht="12.75" customHeight="1">
      <c r="A667" s="45">
        <f>IFERROR(__xludf.DUMMYFUNCTION("""COMPUTED_VALUE"""),"Colombo")</f>
        <v/>
      </c>
      <c r="B667" s="45" t="n"/>
      <c r="C667" s="45">
        <f>IFERROR(__xludf.DUMMYFUNCTION("""COMPUTED_VALUE"""),3259512)</f>
        <v/>
      </c>
      <c r="D667" s="45" t="n"/>
      <c r="E667" s="45">
        <f>IFERROR(__xludf.DUMMYFUNCTION("""COMPUTED_VALUE"""),"CFS")</f>
        <v/>
      </c>
      <c r="F667" s="45">
        <f>IFERROR(__xludf.DUMMYFUNCTION("""COMPUTED_VALUE"""),"Inqube Global (PVT) Ltd")</f>
        <v/>
      </c>
      <c r="G667" s="45">
        <f>IFERROR(__xludf.DUMMYFUNCTION("""COMPUTED_VALUE"""),"BRANDIX APPAREL SOLUTION LTD - GIRITALE")</f>
        <v/>
      </c>
      <c r="H667" s="43">
        <f>IFERROR(__xludf.DUMMYFUNCTION("""COMPUTED_VALUE"""),454712742478)</f>
        <v/>
      </c>
      <c r="I667" s="45">
        <f>IFERROR(__xludf.DUMMYFUNCTION("""COMPUTED_VALUE"""),19855827)</f>
        <v/>
      </c>
      <c r="J667" s="45">
        <f>IFERROR(__xludf.DUMMYFUNCTION("""COMPUTED_VALUE"""),"LM5BL3S")</f>
        <v/>
      </c>
      <c r="K667" s="45">
        <f>IFERROR(__xludf.DUMMYFUNCTION("""COMPUTED_VALUE"""),"LM5BL3S-0001")</f>
        <v/>
      </c>
      <c r="L667" s="45">
        <f>IFERROR(__xludf.DUMMYFUNCTION("""COMPUTED_VALUE"""),7)</f>
        <v/>
      </c>
      <c r="M667" s="45">
        <f>IFERROR(__xludf.DUMMYFUNCTION("""COMPUTED_VALUE"""),208)</f>
        <v/>
      </c>
      <c r="N667" s="45">
        <f>IFERROR(__xludf.DUMMYFUNCTION("""COMPUTED_VALUE"""),83.95)</f>
        <v/>
      </c>
      <c r="O667" s="45">
        <f>IFERROR(__xludf.DUMMYFUNCTION("""COMPUTED_VALUE"""),0.578)</f>
        <v/>
      </c>
      <c r="P667" s="45">
        <f>IFERROR(__xludf.DUMMYFUNCTION("""COMPUTED_VALUE"""),"Colombo, LK")</f>
        <v/>
      </c>
      <c r="Q667" s="45">
        <f>IFERROR(__xludf.DUMMYFUNCTION("""COMPUTED_VALUE"""),"New York, NY, US")</f>
        <v/>
      </c>
      <c r="R667" s="44">
        <f>IFERROR(__xludf.DUMMYFUNCTION("""COMPUTED_VALUE"""),45831)</f>
        <v/>
      </c>
      <c r="S667" s="44">
        <f>IFERROR(__xludf.DUMMYFUNCTION("""COMPUTED_VALUE"""),45890)</f>
        <v/>
      </c>
      <c r="T667" s="45">
        <f>IFERROR(__xludf.DUMMYFUNCTION("""COMPUTED_VALUE"""),"Milton, ON, CA")</f>
        <v/>
      </c>
      <c r="U667" s="45" t="n"/>
      <c r="V667" s="45" t="n"/>
      <c r="W667" s="45" t="n"/>
      <c r="X667" s="45" t="n"/>
      <c r="Y667" s="46">
        <f>IFERROR(__xludf.DUMMYFUNCTION("""COMPUTED_VALUE"""),45831)</f>
        <v/>
      </c>
      <c r="Z667" s="46">
        <f>IFERROR(__xludf.DUMMYFUNCTION("""COMPUTED_VALUE"""),45859)</f>
        <v/>
      </c>
      <c r="AA667" s="46">
        <f>IFERROR(__xludf.DUMMYFUNCTION("""COMPUTED_VALUE"""),45859)</f>
        <v/>
      </c>
      <c r="AB667" s="45">
        <f>IFERROR(__xludf.DUMMYFUNCTION("""COMPUTED_VALUE"""),"7211 Fifth Line")</f>
        <v/>
      </c>
      <c r="AC667" s="45" t="n"/>
      <c r="AD667" s="45">
        <f>IFERROR(__xludf.DUMMYFUNCTION("""COMPUTED_VALUE"""),"OCEAN")</f>
        <v/>
      </c>
      <c r="AE667" s="45">
        <f>IFERROR(__xludf.DUMMYFUNCTION("""COMPUTED_VALUE"""),"N")</f>
        <v/>
      </c>
      <c r="AF667" s="45" t="n"/>
      <c r="AG667" s="49">
        <f>IFERROR(__xludf.DUMMYFUNCTION("IFNA(vlookup(H667,IMPORTRANGE(""1vUGwO1n0QQGx9kKbO0_M5gmuhXZ6-LaxQxgrmJnzgP0"",""'TP# look up'!A:C""),3,0),"""")"),"")</f>
        <v/>
      </c>
      <c r="AH667" s="49">
        <f>LEFT(J667,2)</f>
        <v/>
      </c>
    </row>
    <row r="668" ht="12.75" customHeight="1">
      <c r="A668" s="45">
        <f>IFERROR(__xludf.DUMMYFUNCTION("""COMPUTED_VALUE"""),"Colombo")</f>
        <v/>
      </c>
      <c r="B668" s="45" t="n"/>
      <c r="C668" s="45">
        <f>IFERROR(__xludf.DUMMYFUNCTION("""COMPUTED_VALUE"""),3259512)</f>
        <v/>
      </c>
      <c r="D668" s="45" t="n"/>
      <c r="E668" s="45">
        <f>IFERROR(__xludf.DUMMYFUNCTION("""COMPUTED_VALUE"""),"CFS")</f>
        <v/>
      </c>
      <c r="F668" s="45">
        <f>IFERROR(__xludf.DUMMYFUNCTION("""COMPUTED_VALUE"""),"Inqube Global (PVT) Ltd")</f>
        <v/>
      </c>
      <c r="G668" s="45">
        <f>IFERROR(__xludf.DUMMYFUNCTION("""COMPUTED_VALUE"""),"BRANDIX APPAREL SOLUTION LTD - GIRITALE")</f>
        <v/>
      </c>
      <c r="H668" s="43">
        <f>IFERROR(__xludf.DUMMYFUNCTION("""COMPUTED_VALUE"""),454712999187)</f>
        <v/>
      </c>
      <c r="I668" s="45">
        <f>IFERROR(__xludf.DUMMYFUNCTION("""COMPUTED_VALUE"""),19855850)</f>
        <v/>
      </c>
      <c r="J668" s="45">
        <f>IFERROR(__xludf.DUMMYFUNCTION("""COMPUTED_VALUE"""),"LM5BL3S")</f>
        <v/>
      </c>
      <c r="K668" s="45">
        <f>IFERROR(__xludf.DUMMYFUNCTION("""COMPUTED_VALUE"""),"LM5BL3S-070108")</f>
        <v/>
      </c>
      <c r="L668" s="45">
        <f>IFERROR(__xludf.DUMMYFUNCTION("""COMPUTED_VALUE"""),11)</f>
        <v/>
      </c>
      <c r="M668" s="45">
        <f>IFERROR(__xludf.DUMMYFUNCTION("""COMPUTED_VALUE"""),338)</f>
        <v/>
      </c>
      <c r="N668" s="45">
        <f>IFERROR(__xludf.DUMMYFUNCTION("""COMPUTED_VALUE"""),135.92)</f>
        <v/>
      </c>
      <c r="O668" s="45">
        <f>IFERROR(__xludf.DUMMYFUNCTION("""COMPUTED_VALUE"""),0.788)</f>
        <v/>
      </c>
      <c r="P668" s="45">
        <f>IFERROR(__xludf.DUMMYFUNCTION("""COMPUTED_VALUE"""),"Colombo, LK")</f>
        <v/>
      </c>
      <c r="Q668" s="45">
        <f>IFERROR(__xludf.DUMMYFUNCTION("""COMPUTED_VALUE"""),"New York, NY, US")</f>
        <v/>
      </c>
      <c r="R668" s="44">
        <f>IFERROR(__xludf.DUMMYFUNCTION("""COMPUTED_VALUE"""),45831)</f>
        <v/>
      </c>
      <c r="S668" s="44">
        <f>IFERROR(__xludf.DUMMYFUNCTION("""COMPUTED_VALUE"""),45890)</f>
        <v/>
      </c>
      <c r="T668" s="45">
        <f>IFERROR(__xludf.DUMMYFUNCTION("""COMPUTED_VALUE"""),"Milton, ON, CA")</f>
        <v/>
      </c>
      <c r="U668" s="45" t="n"/>
      <c r="V668" s="45" t="n"/>
      <c r="W668" s="45" t="n"/>
      <c r="X668" s="45" t="n"/>
      <c r="Y668" s="46">
        <f>IFERROR(__xludf.DUMMYFUNCTION("""COMPUTED_VALUE"""),45838)</f>
        <v/>
      </c>
      <c r="Z668" s="46">
        <f>IFERROR(__xludf.DUMMYFUNCTION("""COMPUTED_VALUE"""),45859)</f>
        <v/>
      </c>
      <c r="AA668" s="46">
        <f>IFERROR(__xludf.DUMMYFUNCTION("""COMPUTED_VALUE"""),45859)</f>
        <v/>
      </c>
      <c r="AB668" s="45">
        <f>IFERROR(__xludf.DUMMYFUNCTION("""COMPUTED_VALUE"""),"7211 Fifth Line")</f>
        <v/>
      </c>
      <c r="AC668" s="45" t="n"/>
      <c r="AD668" s="45">
        <f>IFERROR(__xludf.DUMMYFUNCTION("""COMPUTED_VALUE"""),"OCEAN")</f>
        <v/>
      </c>
      <c r="AE668" s="45">
        <f>IFERROR(__xludf.DUMMYFUNCTION("""COMPUTED_VALUE"""),"N")</f>
        <v/>
      </c>
      <c r="AF668" s="45" t="n"/>
      <c r="AG668" s="49">
        <f>IFERROR(__xludf.DUMMYFUNCTION("IFNA(vlookup(H668,IMPORTRANGE(""1vUGwO1n0QQGx9kKbO0_M5gmuhXZ6-LaxQxgrmJnzgP0"",""'TP# look up'!A:C""),3,0),"""")"),"")</f>
        <v/>
      </c>
      <c r="AH668" s="49">
        <f>LEFT(J668,2)</f>
        <v/>
      </c>
    </row>
    <row r="669" ht="12.75" customHeight="1">
      <c r="A669" s="45">
        <f>IFERROR(__xludf.DUMMYFUNCTION("""COMPUTED_VALUE"""),"Colombo")</f>
        <v/>
      </c>
      <c r="B669" s="45" t="n"/>
      <c r="C669" s="45">
        <f>IFERROR(__xludf.DUMMYFUNCTION("""COMPUTED_VALUE"""),3259512)</f>
        <v/>
      </c>
      <c r="D669" s="45" t="n"/>
      <c r="E669" s="45">
        <f>IFERROR(__xludf.DUMMYFUNCTION("""COMPUTED_VALUE"""),"CFS")</f>
        <v/>
      </c>
      <c r="F669" s="45">
        <f>IFERROR(__xludf.DUMMYFUNCTION("""COMPUTED_VALUE"""),"Inqube Global (PVT) Ltd")</f>
        <v/>
      </c>
      <c r="G669" s="45">
        <f>IFERROR(__xludf.DUMMYFUNCTION("""COMPUTED_VALUE"""),"BRANDIX APPAREL SOLUTION LTD - GIRITALE")</f>
        <v/>
      </c>
      <c r="H669" s="43">
        <f>IFERROR(__xludf.DUMMYFUNCTION("""COMPUTED_VALUE"""),454713965865)</f>
        <v/>
      </c>
      <c r="I669" s="45">
        <f>IFERROR(__xludf.DUMMYFUNCTION("""COMPUTED_VALUE"""),19855596)</f>
        <v/>
      </c>
      <c r="J669" s="45">
        <f>IFERROR(__xludf.DUMMYFUNCTION("""COMPUTED_VALUE"""),"LW4CGVS")</f>
        <v/>
      </c>
      <c r="K669" s="45">
        <f>IFERROR(__xludf.DUMMYFUNCTION("""COMPUTED_VALUE"""),"LW4CGVS-067412")</f>
        <v/>
      </c>
      <c r="L669" s="45">
        <f>IFERROR(__xludf.DUMMYFUNCTION("""COMPUTED_VALUE"""),8)</f>
        <v/>
      </c>
      <c r="M669" s="45">
        <f>IFERROR(__xludf.DUMMYFUNCTION("""COMPUTED_VALUE"""),106)</f>
        <v/>
      </c>
      <c r="N669" s="45">
        <f>IFERROR(__xludf.DUMMYFUNCTION("""COMPUTED_VALUE"""),73.8)</f>
        <v/>
      </c>
      <c r="O669" s="45">
        <f>IFERROR(__xludf.DUMMYFUNCTION("""COMPUTED_VALUE"""),0.66)</f>
        <v/>
      </c>
      <c r="P669" s="45">
        <f>IFERROR(__xludf.DUMMYFUNCTION("""COMPUTED_VALUE"""),"Colombo, LK")</f>
        <v/>
      </c>
      <c r="Q669" s="45">
        <f>IFERROR(__xludf.DUMMYFUNCTION("""COMPUTED_VALUE"""),"New York, NY, US")</f>
        <v/>
      </c>
      <c r="R669" s="44">
        <f>IFERROR(__xludf.DUMMYFUNCTION("""COMPUTED_VALUE"""),45831)</f>
        <v/>
      </c>
      <c r="S669" s="44">
        <f>IFERROR(__xludf.DUMMYFUNCTION("""COMPUTED_VALUE"""),45890)</f>
        <v/>
      </c>
      <c r="T669" s="45">
        <f>IFERROR(__xludf.DUMMYFUNCTION("""COMPUTED_VALUE"""),"Milton, ON, CA")</f>
        <v/>
      </c>
      <c r="U669" s="45" t="n"/>
      <c r="V669" s="45" t="n"/>
      <c r="W669" s="45" t="n"/>
      <c r="X669" s="45" t="n"/>
      <c r="Y669" s="46">
        <f>IFERROR(__xludf.DUMMYFUNCTION("""COMPUTED_VALUE"""),45838)</f>
        <v/>
      </c>
      <c r="Z669" s="46">
        <f>IFERROR(__xludf.DUMMYFUNCTION("""COMPUTED_VALUE"""),45859)</f>
        <v/>
      </c>
      <c r="AA669" s="46">
        <f>IFERROR(__xludf.DUMMYFUNCTION("""COMPUTED_VALUE"""),45859)</f>
        <v/>
      </c>
      <c r="AB669" s="45">
        <f>IFERROR(__xludf.DUMMYFUNCTION("""COMPUTED_VALUE"""),"7211 Fifth Line")</f>
        <v/>
      </c>
      <c r="AC669" s="45" t="n"/>
      <c r="AD669" s="45">
        <f>IFERROR(__xludf.DUMMYFUNCTION("""COMPUTED_VALUE"""),"OCEAN")</f>
        <v/>
      </c>
      <c r="AE669" s="45">
        <f>IFERROR(__xludf.DUMMYFUNCTION("""COMPUTED_VALUE"""),"N")</f>
        <v/>
      </c>
      <c r="AF669" s="45" t="n"/>
      <c r="AG669" s="49">
        <f>IFERROR(__xludf.DUMMYFUNCTION("IFNA(vlookup(H669,IMPORTRANGE(""1vUGwO1n0QQGx9kKbO0_M5gmuhXZ6-LaxQxgrmJnzgP0"",""'TP# look up'!A:C""),3,0),"""")"),"")</f>
        <v/>
      </c>
      <c r="AH669" s="49">
        <f>LEFT(J669,2)</f>
        <v/>
      </c>
    </row>
    <row r="670" ht="12.75" customHeight="1">
      <c r="A670" s="45">
        <f>IFERROR(__xludf.DUMMYFUNCTION("""COMPUTED_VALUE"""),"Colombo")</f>
        <v/>
      </c>
      <c r="B670" s="45" t="n"/>
      <c r="C670" s="45">
        <f>IFERROR(__xludf.DUMMYFUNCTION("""COMPUTED_VALUE"""),3259512)</f>
        <v/>
      </c>
      <c r="D670" s="45" t="n"/>
      <c r="E670" s="45">
        <f>IFERROR(__xludf.DUMMYFUNCTION("""COMPUTED_VALUE"""),"CFS")</f>
        <v/>
      </c>
      <c r="F670" s="45">
        <f>IFERROR(__xludf.DUMMYFUNCTION("""COMPUTED_VALUE"""),"Inqube Global (PVT) Ltd")</f>
        <v/>
      </c>
      <c r="G670" s="45">
        <f>IFERROR(__xludf.DUMMYFUNCTION("""COMPUTED_VALUE"""),"BRANDIX APPAREL SOLUTION LTD - GIRITALE")</f>
        <v/>
      </c>
      <c r="H670" s="43">
        <f>IFERROR(__xludf.DUMMYFUNCTION("""COMPUTED_VALUE"""),454713966879)</f>
        <v/>
      </c>
      <c r="I670" s="45">
        <f>IFERROR(__xludf.DUMMYFUNCTION("""COMPUTED_VALUE"""),19855971)</f>
        <v/>
      </c>
      <c r="J670" s="45">
        <f>IFERROR(__xludf.DUMMYFUNCTION("""COMPUTED_VALUE"""),"LM5AQ9S")</f>
        <v/>
      </c>
      <c r="K670" s="45">
        <f>IFERROR(__xludf.DUMMYFUNCTION("""COMPUTED_VALUE"""),"LM5AQ9S-038426")</f>
        <v/>
      </c>
      <c r="L670" s="45">
        <f>IFERROR(__xludf.DUMMYFUNCTION("""COMPUTED_VALUE"""),9)</f>
        <v/>
      </c>
      <c r="M670" s="45">
        <f>IFERROR(__xludf.DUMMYFUNCTION("""COMPUTED_VALUE"""),238)</f>
        <v/>
      </c>
      <c r="N670" s="45">
        <f>IFERROR(__xludf.DUMMYFUNCTION("""COMPUTED_VALUE"""),120.92)</f>
        <v/>
      </c>
      <c r="O670" s="45">
        <f>IFERROR(__xludf.DUMMYFUNCTION("""COMPUTED_VALUE"""),0.623)</f>
        <v/>
      </c>
      <c r="P670" s="45">
        <f>IFERROR(__xludf.DUMMYFUNCTION("""COMPUTED_VALUE"""),"Colombo, LK")</f>
        <v/>
      </c>
      <c r="Q670" s="45">
        <f>IFERROR(__xludf.DUMMYFUNCTION("""COMPUTED_VALUE"""),"New York, NY, US")</f>
        <v/>
      </c>
      <c r="R670" s="44">
        <f>IFERROR(__xludf.DUMMYFUNCTION("""COMPUTED_VALUE"""),45831)</f>
        <v/>
      </c>
      <c r="S670" s="44">
        <f>IFERROR(__xludf.DUMMYFUNCTION("""COMPUTED_VALUE"""),45890)</f>
        <v/>
      </c>
      <c r="T670" s="45">
        <f>IFERROR(__xludf.DUMMYFUNCTION("""COMPUTED_VALUE"""),"Mississauga, ON, CA")</f>
        <v/>
      </c>
      <c r="U670" s="45" t="n"/>
      <c r="V670" s="45" t="n"/>
      <c r="W670" s="45" t="n"/>
      <c r="X670" s="45" t="n"/>
      <c r="Y670" s="46">
        <f>IFERROR(__xludf.DUMMYFUNCTION("""COMPUTED_VALUE"""),45838)</f>
        <v/>
      </c>
      <c r="Z670" s="46">
        <f>IFERROR(__xludf.DUMMYFUNCTION("""COMPUTED_VALUE"""),45859)</f>
        <v/>
      </c>
      <c r="AA670" s="46">
        <f>IFERROR(__xludf.DUMMYFUNCTION("""COMPUTED_VALUE"""),45859)</f>
        <v/>
      </c>
      <c r="AB670" s="45">
        <f>IFERROR(__xludf.DUMMYFUNCTION("""COMPUTED_VALUE"""),"3500 Argentia Road")</f>
        <v/>
      </c>
      <c r="AC670" s="45" t="n"/>
      <c r="AD670" s="45">
        <f>IFERROR(__xludf.DUMMYFUNCTION("""COMPUTED_VALUE"""),"OCEAN")</f>
        <v/>
      </c>
      <c r="AE670" s="45">
        <f>IFERROR(__xludf.DUMMYFUNCTION("""COMPUTED_VALUE"""),"N")</f>
        <v/>
      </c>
      <c r="AF670" s="45" t="n"/>
      <c r="AG670" s="49">
        <f>IFERROR(__xludf.DUMMYFUNCTION("IFNA(vlookup(H670,IMPORTRANGE(""1vUGwO1n0QQGx9kKbO0_M5gmuhXZ6-LaxQxgrmJnzgP0"",""'TP# look up'!A:C""),3,0),"""")"),"")</f>
        <v/>
      </c>
      <c r="AH670" s="49">
        <f>LEFT(J670,2)</f>
        <v/>
      </c>
    </row>
    <row r="671" ht="12.75" customHeight="1">
      <c r="A671" s="45">
        <f>IFERROR(__xludf.DUMMYFUNCTION("""COMPUTED_VALUE"""),"Colombo")</f>
        <v/>
      </c>
      <c r="B671" s="45" t="n"/>
      <c r="C671" s="45">
        <f>IFERROR(__xludf.DUMMYFUNCTION("""COMPUTED_VALUE"""),3259512)</f>
        <v/>
      </c>
      <c r="D671" s="45" t="n"/>
      <c r="E671" s="45">
        <f>IFERROR(__xludf.DUMMYFUNCTION("""COMPUTED_VALUE"""),"CFS")</f>
        <v/>
      </c>
      <c r="F671" s="45">
        <f>IFERROR(__xludf.DUMMYFUNCTION("""COMPUTED_VALUE"""),"Inqube Global (PVT) Ltd")</f>
        <v/>
      </c>
      <c r="G671" s="45">
        <f>IFERROR(__xludf.DUMMYFUNCTION("""COMPUTED_VALUE"""),"BRANDIX APPAREL SOLUTION LTD - GIRITALE")</f>
        <v/>
      </c>
      <c r="H671" s="43">
        <f>IFERROR(__xludf.DUMMYFUNCTION("""COMPUTED_VALUE"""),454714620760)</f>
        <v/>
      </c>
      <c r="I671" s="45">
        <f>IFERROR(__xludf.DUMMYFUNCTION("""COMPUTED_VALUE"""),19855832)</f>
        <v/>
      </c>
      <c r="J671" s="45">
        <f>IFERROR(__xludf.DUMMYFUNCTION("""COMPUTED_VALUE"""),"LM5BL3S")</f>
        <v/>
      </c>
      <c r="K671" s="45">
        <f>IFERROR(__xludf.DUMMYFUNCTION("""COMPUTED_VALUE"""),"LM5BL3S-0001")</f>
        <v/>
      </c>
      <c r="L671" s="45">
        <f>IFERROR(__xludf.DUMMYFUNCTION("""COMPUTED_VALUE"""),4)</f>
        <v/>
      </c>
      <c r="M671" s="45">
        <f>IFERROR(__xludf.DUMMYFUNCTION("""COMPUTED_VALUE"""),66)</f>
        <v/>
      </c>
      <c r="N671" s="45">
        <f>IFERROR(__xludf.DUMMYFUNCTION("""COMPUTED_VALUE"""),27.51)</f>
        <v/>
      </c>
      <c r="O671" s="45">
        <f>IFERROR(__xludf.DUMMYFUNCTION("""COMPUTED_VALUE"""),0.21)</f>
        <v/>
      </c>
      <c r="P671" s="45">
        <f>IFERROR(__xludf.DUMMYFUNCTION("""COMPUTED_VALUE"""),"Colombo, LK")</f>
        <v/>
      </c>
      <c r="Q671" s="45">
        <f>IFERROR(__xludf.DUMMYFUNCTION("""COMPUTED_VALUE"""),"New York, NY, US")</f>
        <v/>
      </c>
      <c r="R671" s="44">
        <f>IFERROR(__xludf.DUMMYFUNCTION("""COMPUTED_VALUE"""),45831)</f>
        <v/>
      </c>
      <c r="S671" s="44">
        <f>IFERROR(__xludf.DUMMYFUNCTION("""COMPUTED_VALUE"""),45890)</f>
        <v/>
      </c>
      <c r="T671" s="45">
        <f>IFERROR(__xludf.DUMMYFUNCTION("""COMPUTED_VALUE"""),"Mississauga, ON, CA")</f>
        <v/>
      </c>
      <c r="U671" s="45" t="n"/>
      <c r="V671" s="45" t="n"/>
      <c r="W671" s="45" t="n"/>
      <c r="X671" s="45" t="n"/>
      <c r="Y671" s="46">
        <f>IFERROR(__xludf.DUMMYFUNCTION("""COMPUTED_VALUE"""),45838)</f>
        <v/>
      </c>
      <c r="Z671" s="46">
        <f>IFERROR(__xludf.DUMMYFUNCTION("""COMPUTED_VALUE"""),45859)</f>
        <v/>
      </c>
      <c r="AA671" s="46">
        <f>IFERROR(__xludf.DUMMYFUNCTION("""COMPUTED_VALUE"""),45859)</f>
        <v/>
      </c>
      <c r="AB671" s="45">
        <f>IFERROR(__xludf.DUMMYFUNCTION("""COMPUTED_VALUE"""),"3500 Argentia Road")</f>
        <v/>
      </c>
      <c r="AC671" s="45" t="n"/>
      <c r="AD671" s="45">
        <f>IFERROR(__xludf.DUMMYFUNCTION("""COMPUTED_VALUE"""),"OCEAN")</f>
        <v/>
      </c>
      <c r="AE671" s="45">
        <f>IFERROR(__xludf.DUMMYFUNCTION("""COMPUTED_VALUE"""),"N")</f>
        <v/>
      </c>
      <c r="AF671" s="45" t="n"/>
      <c r="AG671" s="49">
        <f>IFERROR(__xludf.DUMMYFUNCTION("IFNA(vlookup(H671,IMPORTRANGE(""1vUGwO1n0QQGx9kKbO0_M5gmuhXZ6-LaxQxgrmJnzgP0"",""'TP# look up'!A:C""),3,0),"""")"),"")</f>
        <v/>
      </c>
      <c r="AH671" s="49">
        <f>LEFT(J671,2)</f>
        <v/>
      </c>
    </row>
    <row r="672" ht="12.75" customHeight="1">
      <c r="A672" s="45">
        <f>IFERROR(__xludf.DUMMYFUNCTION("""COMPUTED_VALUE"""),"Colombo")</f>
        <v/>
      </c>
      <c r="B672" s="45" t="n"/>
      <c r="C672" s="45">
        <f>IFERROR(__xludf.DUMMYFUNCTION("""COMPUTED_VALUE"""),3259512)</f>
        <v/>
      </c>
      <c r="D672" s="45" t="n"/>
      <c r="E672" s="45">
        <f>IFERROR(__xludf.DUMMYFUNCTION("""COMPUTED_VALUE"""),"CFS")</f>
        <v/>
      </c>
      <c r="F672" s="45">
        <f>IFERROR(__xludf.DUMMYFUNCTION("""COMPUTED_VALUE"""),"Inqube Global (PVT) Ltd")</f>
        <v/>
      </c>
      <c r="G672" s="45">
        <f>IFERROR(__xludf.DUMMYFUNCTION("""COMPUTED_VALUE"""),"BRANDIX APPAREL SOLUTION LTD - GIRITALE")</f>
        <v/>
      </c>
      <c r="H672" s="43">
        <f>IFERROR(__xludf.DUMMYFUNCTION("""COMPUTED_VALUE"""),454714621098)</f>
        <v/>
      </c>
      <c r="I672" s="45">
        <f>IFERROR(__xludf.DUMMYFUNCTION("""COMPUTED_VALUE"""),19855847)</f>
        <v/>
      </c>
      <c r="J672" s="45">
        <f>IFERROR(__xludf.DUMMYFUNCTION("""COMPUTED_VALUE"""),"LM5BL3S")</f>
        <v/>
      </c>
      <c r="K672" s="45">
        <f>IFERROR(__xludf.DUMMYFUNCTION("""COMPUTED_VALUE"""),"LM5BL3S-070108")</f>
        <v/>
      </c>
      <c r="L672" s="45">
        <f>IFERROR(__xludf.DUMMYFUNCTION("""COMPUTED_VALUE"""),4)</f>
        <v/>
      </c>
      <c r="M672" s="45">
        <f>IFERROR(__xludf.DUMMYFUNCTION("""COMPUTED_VALUE"""),71)</f>
        <v/>
      </c>
      <c r="N672" s="45">
        <f>IFERROR(__xludf.DUMMYFUNCTION("""COMPUTED_VALUE"""),29.98)</f>
        <v/>
      </c>
      <c r="O672" s="45">
        <f>IFERROR(__xludf.DUMMYFUNCTION("""COMPUTED_VALUE"""),0.33)</f>
        <v/>
      </c>
      <c r="P672" s="45">
        <f>IFERROR(__xludf.DUMMYFUNCTION("""COMPUTED_VALUE"""),"Colombo, LK")</f>
        <v/>
      </c>
      <c r="Q672" s="45">
        <f>IFERROR(__xludf.DUMMYFUNCTION("""COMPUTED_VALUE"""),"New York, NY, US")</f>
        <v/>
      </c>
      <c r="R672" s="44">
        <f>IFERROR(__xludf.DUMMYFUNCTION("""COMPUTED_VALUE"""),45831)</f>
        <v/>
      </c>
      <c r="S672" s="44">
        <f>IFERROR(__xludf.DUMMYFUNCTION("""COMPUTED_VALUE"""),45890)</f>
        <v/>
      </c>
      <c r="T672" s="45">
        <f>IFERROR(__xludf.DUMMYFUNCTION("""COMPUTED_VALUE"""),"Mississauga, ON, CA")</f>
        <v/>
      </c>
      <c r="U672" s="45" t="n"/>
      <c r="V672" s="45" t="n"/>
      <c r="W672" s="45" t="n"/>
      <c r="X672" s="45" t="n"/>
      <c r="Y672" s="46">
        <f>IFERROR(__xludf.DUMMYFUNCTION("""COMPUTED_VALUE"""),45838)</f>
        <v/>
      </c>
      <c r="Z672" s="46">
        <f>IFERROR(__xludf.DUMMYFUNCTION("""COMPUTED_VALUE"""),45859)</f>
        <v/>
      </c>
      <c r="AA672" s="46">
        <f>IFERROR(__xludf.DUMMYFUNCTION("""COMPUTED_VALUE"""),45859)</f>
        <v/>
      </c>
      <c r="AB672" s="45">
        <f>IFERROR(__xludf.DUMMYFUNCTION("""COMPUTED_VALUE"""),"3500 Argentia Road")</f>
        <v/>
      </c>
      <c r="AC672" s="45" t="n"/>
      <c r="AD672" s="45">
        <f>IFERROR(__xludf.DUMMYFUNCTION("""COMPUTED_VALUE"""),"OCEAN")</f>
        <v/>
      </c>
      <c r="AE672" s="45">
        <f>IFERROR(__xludf.DUMMYFUNCTION("""COMPUTED_VALUE"""),"N")</f>
        <v/>
      </c>
      <c r="AF672" s="45" t="n"/>
      <c r="AG672" s="49">
        <f>IFERROR(__xludf.DUMMYFUNCTION("IFNA(vlookup(H672,IMPORTRANGE(""1vUGwO1n0QQGx9kKbO0_M5gmuhXZ6-LaxQxgrmJnzgP0"",""'TP# look up'!A:C""),3,0),"""")"),"")</f>
        <v/>
      </c>
      <c r="AH672" s="49">
        <f>LEFT(J672,2)</f>
        <v/>
      </c>
    </row>
    <row r="673" ht="12.75" customHeight="1">
      <c r="A673" s="45">
        <f>IFERROR(__xludf.DUMMYFUNCTION("""COMPUTED_VALUE"""),"Colombo")</f>
        <v/>
      </c>
      <c r="B673" s="45" t="n"/>
      <c r="C673" s="45">
        <f>IFERROR(__xludf.DUMMYFUNCTION("""COMPUTED_VALUE"""),3259512)</f>
        <v/>
      </c>
      <c r="D673" s="45" t="n"/>
      <c r="E673" s="45">
        <f>IFERROR(__xludf.DUMMYFUNCTION("""COMPUTED_VALUE"""),"CFS")</f>
        <v/>
      </c>
      <c r="F673" s="45">
        <f>IFERROR(__xludf.DUMMYFUNCTION("""COMPUTED_VALUE"""),"Inqube Global (PVT) Ltd")</f>
        <v/>
      </c>
      <c r="G673" s="45">
        <f>IFERROR(__xludf.DUMMYFUNCTION("""COMPUTED_VALUE"""),"BRANDIX APPAREL SOLUTION LTD - GIRITALE")</f>
        <v/>
      </c>
      <c r="H673" s="43">
        <f>IFERROR(__xludf.DUMMYFUNCTION("""COMPUTED_VALUE"""),454714621212)</f>
        <v/>
      </c>
      <c r="I673" s="45">
        <f>IFERROR(__xludf.DUMMYFUNCTION("""COMPUTED_VALUE"""),19855879)</f>
        <v/>
      </c>
      <c r="J673" s="45">
        <f>IFERROR(__xludf.DUMMYFUNCTION("""COMPUTED_VALUE"""),"LM5AO1S")</f>
        <v/>
      </c>
      <c r="K673" s="45">
        <f>IFERROR(__xludf.DUMMYFUNCTION("""COMPUTED_VALUE"""),"LM5AO1S-038426")</f>
        <v/>
      </c>
      <c r="L673" s="45">
        <f>IFERROR(__xludf.DUMMYFUNCTION("""COMPUTED_VALUE"""),11)</f>
        <v/>
      </c>
      <c r="M673" s="45">
        <f>IFERROR(__xludf.DUMMYFUNCTION("""COMPUTED_VALUE"""),328)</f>
        <v/>
      </c>
      <c r="N673" s="45">
        <f>IFERROR(__xludf.DUMMYFUNCTION("""COMPUTED_VALUE"""),154.08)</f>
        <v/>
      </c>
      <c r="O673" s="45">
        <f>IFERROR(__xludf.DUMMYFUNCTION("""COMPUTED_VALUE"""),0.788)</f>
        <v/>
      </c>
      <c r="P673" s="45">
        <f>IFERROR(__xludf.DUMMYFUNCTION("""COMPUTED_VALUE"""),"Colombo, LK")</f>
        <v/>
      </c>
      <c r="Q673" s="45">
        <f>IFERROR(__xludf.DUMMYFUNCTION("""COMPUTED_VALUE"""),"New York, NY, US")</f>
        <v/>
      </c>
      <c r="R673" s="44">
        <f>IFERROR(__xludf.DUMMYFUNCTION("""COMPUTED_VALUE"""),45831)</f>
        <v/>
      </c>
      <c r="S673" s="44">
        <f>IFERROR(__xludf.DUMMYFUNCTION("""COMPUTED_VALUE"""),45890)</f>
        <v/>
      </c>
      <c r="T673" s="45">
        <f>IFERROR(__xludf.DUMMYFUNCTION("""COMPUTED_VALUE"""),"Mississauga, ON, CA")</f>
        <v/>
      </c>
      <c r="U673" s="45" t="n"/>
      <c r="V673" s="45" t="n"/>
      <c r="W673" s="45" t="n"/>
      <c r="X673" s="45" t="n"/>
      <c r="Y673" s="46">
        <f>IFERROR(__xludf.DUMMYFUNCTION("""COMPUTED_VALUE"""),45838)</f>
        <v/>
      </c>
      <c r="Z673" s="46">
        <f>IFERROR(__xludf.DUMMYFUNCTION("""COMPUTED_VALUE"""),45859)</f>
        <v/>
      </c>
      <c r="AA673" s="46">
        <f>IFERROR(__xludf.DUMMYFUNCTION("""COMPUTED_VALUE"""),45859)</f>
        <v/>
      </c>
      <c r="AB673" s="45">
        <f>IFERROR(__xludf.DUMMYFUNCTION("""COMPUTED_VALUE"""),"3500 Argentia Road")</f>
        <v/>
      </c>
      <c r="AC673" s="45" t="n"/>
      <c r="AD673" s="45">
        <f>IFERROR(__xludf.DUMMYFUNCTION("""COMPUTED_VALUE"""),"OCEAN")</f>
        <v/>
      </c>
      <c r="AE673" s="45">
        <f>IFERROR(__xludf.DUMMYFUNCTION("""COMPUTED_VALUE"""),"N")</f>
        <v/>
      </c>
      <c r="AF673" s="45" t="n"/>
      <c r="AG673" s="49">
        <f>IFERROR(__xludf.DUMMYFUNCTION("IFNA(vlookup(H673,IMPORTRANGE(""1vUGwO1n0QQGx9kKbO0_M5gmuhXZ6-LaxQxgrmJnzgP0"",""'TP# look up'!A:C""),3,0),"""")"),"")</f>
        <v/>
      </c>
      <c r="AH673" s="49">
        <f>LEFT(J673,2)</f>
        <v/>
      </c>
    </row>
    <row r="674" ht="12.75" customHeight="1">
      <c r="A674" s="45">
        <f>IFERROR(__xludf.DUMMYFUNCTION("""COMPUTED_VALUE"""),"Colombo")</f>
        <v/>
      </c>
      <c r="B674" s="45" t="n"/>
      <c r="C674" s="45">
        <f>IFERROR(__xludf.DUMMYFUNCTION("""COMPUTED_VALUE"""),3259512)</f>
        <v/>
      </c>
      <c r="D674" s="45" t="n"/>
      <c r="E674" s="45">
        <f>IFERROR(__xludf.DUMMYFUNCTION("""COMPUTED_VALUE"""),"CFS")</f>
        <v/>
      </c>
      <c r="F674" s="45">
        <f>IFERROR(__xludf.DUMMYFUNCTION("""COMPUTED_VALUE"""),"Inqube Global (PVT) Ltd")</f>
        <v/>
      </c>
      <c r="G674" s="45">
        <f>IFERROR(__xludf.DUMMYFUNCTION("""COMPUTED_VALUE"""),"BRANDIX APPAREL SOLUTION LTD - GIRITALE")</f>
        <v/>
      </c>
      <c r="H674" s="43">
        <f>IFERROR(__xludf.DUMMYFUNCTION("""COMPUTED_VALUE"""),454714652569)</f>
        <v/>
      </c>
      <c r="I674" s="45">
        <f>IFERROR(__xludf.DUMMYFUNCTION("""COMPUTED_VALUE"""),19855833)</f>
        <v/>
      </c>
      <c r="J674" s="45">
        <f>IFERROR(__xludf.DUMMYFUNCTION("""COMPUTED_VALUE"""),"LM5BL3S")</f>
        <v/>
      </c>
      <c r="K674" s="45">
        <f>IFERROR(__xludf.DUMMYFUNCTION("""COMPUTED_VALUE"""),"LM5BL3S-0001")</f>
        <v/>
      </c>
      <c r="L674" s="45">
        <f>IFERROR(__xludf.DUMMYFUNCTION("""COMPUTED_VALUE"""),5)</f>
        <v/>
      </c>
      <c r="M674" s="45">
        <f>IFERROR(__xludf.DUMMYFUNCTION("""COMPUTED_VALUE"""),103)</f>
        <v/>
      </c>
      <c r="N674" s="45">
        <f>IFERROR(__xludf.DUMMYFUNCTION("""COMPUTED_VALUE"""),42.02)</f>
        <v/>
      </c>
      <c r="O674" s="45">
        <f>IFERROR(__xludf.DUMMYFUNCTION("""COMPUTED_VALUE"""),0.293)</f>
        <v/>
      </c>
      <c r="P674" s="45">
        <f>IFERROR(__xludf.DUMMYFUNCTION("""COMPUTED_VALUE"""),"Colombo, LK")</f>
        <v/>
      </c>
      <c r="Q674" s="45">
        <f>IFERROR(__xludf.DUMMYFUNCTION("""COMPUTED_VALUE"""),"New York, NY, US")</f>
        <v/>
      </c>
      <c r="R674" s="44">
        <f>IFERROR(__xludf.DUMMYFUNCTION("""COMPUTED_VALUE"""),45831)</f>
        <v/>
      </c>
      <c r="S674" s="44">
        <f>IFERROR(__xludf.DUMMYFUNCTION("""COMPUTED_VALUE"""),45890)</f>
        <v/>
      </c>
      <c r="T674" s="45">
        <f>IFERROR(__xludf.DUMMYFUNCTION("""COMPUTED_VALUE"""),"Mississauga, ON, CA")</f>
        <v/>
      </c>
      <c r="U674" s="45" t="n"/>
      <c r="V674" s="45" t="n"/>
      <c r="W674" s="45" t="n"/>
      <c r="X674" s="45" t="n"/>
      <c r="Y674" s="46">
        <f>IFERROR(__xludf.DUMMYFUNCTION("""COMPUTED_VALUE"""),45838)</f>
        <v/>
      </c>
      <c r="Z674" s="46">
        <f>IFERROR(__xludf.DUMMYFUNCTION("""COMPUTED_VALUE"""),45859)</f>
        <v/>
      </c>
      <c r="AA674" s="46">
        <f>IFERROR(__xludf.DUMMYFUNCTION("""COMPUTED_VALUE"""),45859)</f>
        <v/>
      </c>
      <c r="AB674" s="45">
        <f>IFERROR(__xludf.DUMMYFUNCTION("""COMPUTED_VALUE"""),"3500 Argentia Road")</f>
        <v/>
      </c>
      <c r="AC674" s="45" t="n"/>
      <c r="AD674" s="45">
        <f>IFERROR(__xludf.DUMMYFUNCTION("""COMPUTED_VALUE"""),"OCEAN")</f>
        <v/>
      </c>
      <c r="AE674" s="45">
        <f>IFERROR(__xludf.DUMMYFUNCTION("""COMPUTED_VALUE"""),"N")</f>
        <v/>
      </c>
      <c r="AF674" s="45" t="n"/>
      <c r="AG674" s="49">
        <f>IFERROR(__xludf.DUMMYFUNCTION("IFNA(vlookup(H674,IMPORTRANGE(""1vUGwO1n0QQGx9kKbO0_M5gmuhXZ6-LaxQxgrmJnzgP0"",""'TP# look up'!A:C""),3,0),"""")"),"")</f>
        <v/>
      </c>
      <c r="AH674" s="49">
        <f>LEFT(J674,2)</f>
        <v/>
      </c>
    </row>
    <row r="675" ht="12.75" customHeight="1">
      <c r="A675" s="45">
        <f>IFERROR(__xludf.DUMMYFUNCTION("""COMPUTED_VALUE"""),"Colombo")</f>
        <v/>
      </c>
      <c r="B675" s="45" t="n"/>
      <c r="C675" s="45">
        <f>IFERROR(__xludf.DUMMYFUNCTION("""COMPUTED_VALUE"""),3259512)</f>
        <v/>
      </c>
      <c r="D675" s="45" t="n"/>
      <c r="E675" s="45">
        <f>IFERROR(__xludf.DUMMYFUNCTION("""COMPUTED_VALUE"""),"CFS")</f>
        <v/>
      </c>
      <c r="F675" s="45">
        <f>IFERROR(__xludf.DUMMYFUNCTION("""COMPUTED_VALUE"""),"Inqube Global (PVT) Ltd")</f>
        <v/>
      </c>
      <c r="G675" s="45">
        <f>IFERROR(__xludf.DUMMYFUNCTION("""COMPUTED_VALUE"""),"BRANDIX APPAREL SOLUTION LTD - GIRITALE")</f>
        <v/>
      </c>
      <c r="H675" s="43">
        <f>IFERROR(__xludf.DUMMYFUNCTION("""COMPUTED_VALUE"""),454714966550)</f>
        <v/>
      </c>
      <c r="I675" s="45">
        <f>IFERROR(__xludf.DUMMYFUNCTION("""COMPUTED_VALUE"""),19856111)</f>
        <v/>
      </c>
      <c r="J675" s="45">
        <f>IFERROR(__xludf.DUMMYFUNCTION("""COMPUTED_VALUE"""),"LM5AQXS")</f>
        <v/>
      </c>
      <c r="K675" s="45">
        <f>IFERROR(__xludf.DUMMYFUNCTION("""COMPUTED_VALUE"""),"LM5AQXS-031382")</f>
        <v/>
      </c>
      <c r="L675" s="45">
        <f>IFERROR(__xludf.DUMMYFUNCTION("""COMPUTED_VALUE"""),9)</f>
        <v/>
      </c>
      <c r="M675" s="45">
        <f>IFERROR(__xludf.DUMMYFUNCTION("""COMPUTED_VALUE"""),354)</f>
        <v/>
      </c>
      <c r="N675" s="45">
        <f>IFERROR(__xludf.DUMMYFUNCTION("""COMPUTED_VALUE"""),132.71)</f>
        <v/>
      </c>
      <c r="O675" s="45">
        <f>IFERROR(__xludf.DUMMYFUNCTION("""COMPUTED_VALUE"""),0.743)</f>
        <v/>
      </c>
      <c r="P675" s="45">
        <f>IFERROR(__xludf.DUMMYFUNCTION("""COMPUTED_VALUE"""),"Colombo, LK")</f>
        <v/>
      </c>
      <c r="Q675" s="45">
        <f>IFERROR(__xludf.DUMMYFUNCTION("""COMPUTED_VALUE"""),"New York, NY, US")</f>
        <v/>
      </c>
      <c r="R675" s="44">
        <f>IFERROR(__xludf.DUMMYFUNCTION("""COMPUTED_VALUE"""),45831)</f>
        <v/>
      </c>
      <c r="S675" s="44">
        <f>IFERROR(__xludf.DUMMYFUNCTION("""COMPUTED_VALUE"""),45890)</f>
        <v/>
      </c>
      <c r="T675" s="45">
        <f>IFERROR(__xludf.DUMMYFUNCTION("""COMPUTED_VALUE"""),"Mississauga, ON, CA")</f>
        <v/>
      </c>
      <c r="U675" s="45" t="n"/>
      <c r="V675" s="45" t="n"/>
      <c r="W675" s="45" t="n"/>
      <c r="X675" s="45" t="n"/>
      <c r="Y675" s="46">
        <f>IFERROR(__xludf.DUMMYFUNCTION("""COMPUTED_VALUE"""),45838)</f>
        <v/>
      </c>
      <c r="Z675" s="46">
        <f>IFERROR(__xludf.DUMMYFUNCTION("""COMPUTED_VALUE"""),45859)</f>
        <v/>
      </c>
      <c r="AA675" s="46">
        <f>IFERROR(__xludf.DUMMYFUNCTION("""COMPUTED_VALUE"""),45859)</f>
        <v/>
      </c>
      <c r="AB675" s="45">
        <f>IFERROR(__xludf.DUMMYFUNCTION("""COMPUTED_VALUE"""),"3500 Argentia Road")</f>
        <v/>
      </c>
      <c r="AC675" s="45" t="n"/>
      <c r="AD675" s="45">
        <f>IFERROR(__xludf.DUMMYFUNCTION("""COMPUTED_VALUE"""),"OCEAN")</f>
        <v/>
      </c>
      <c r="AE675" s="45">
        <f>IFERROR(__xludf.DUMMYFUNCTION("""COMPUTED_VALUE"""),"N")</f>
        <v/>
      </c>
      <c r="AF675" s="45" t="n"/>
      <c r="AG675" s="49">
        <f>IFERROR(__xludf.DUMMYFUNCTION("IFNA(vlookup(H675,IMPORTRANGE(""1vUGwO1n0QQGx9kKbO0_M5gmuhXZ6-LaxQxgrmJnzgP0"",""'TP# look up'!A:C""),3,0),"""")"),"")</f>
        <v/>
      </c>
      <c r="AH675" s="49">
        <f>LEFT(J675,2)</f>
        <v/>
      </c>
    </row>
    <row r="676" ht="12.75" customHeight="1">
      <c r="A676" s="45">
        <f>IFERROR(__xludf.DUMMYFUNCTION("""COMPUTED_VALUE"""),"Colombo")</f>
        <v/>
      </c>
      <c r="B676" s="45" t="n"/>
      <c r="C676" s="45">
        <f>IFERROR(__xludf.DUMMYFUNCTION("""COMPUTED_VALUE"""),3259512)</f>
        <v/>
      </c>
      <c r="D676" s="45" t="n"/>
      <c r="E676" s="45">
        <f>IFERROR(__xludf.DUMMYFUNCTION("""COMPUTED_VALUE"""),"CFS")</f>
        <v/>
      </c>
      <c r="F676" s="45">
        <f>IFERROR(__xludf.DUMMYFUNCTION("""COMPUTED_VALUE"""),"Inqube Global (PVT) Ltd")</f>
        <v/>
      </c>
      <c r="G676" s="45">
        <f>IFERROR(__xludf.DUMMYFUNCTION("""COMPUTED_VALUE"""),"BRANDIX APPAREL SOLUTION LTD - GIRITALE")</f>
        <v/>
      </c>
      <c r="H676" s="43">
        <f>IFERROR(__xludf.DUMMYFUNCTION("""COMPUTED_VALUE"""),454714967216)</f>
        <v/>
      </c>
      <c r="I676" s="45">
        <f>IFERROR(__xludf.DUMMYFUNCTION("""COMPUTED_VALUE"""),19856215)</f>
        <v/>
      </c>
      <c r="J676" s="45">
        <f>IFERROR(__xludf.DUMMYFUNCTION("""COMPUTED_VALUE"""),"LM5AQZS")</f>
        <v/>
      </c>
      <c r="K676" s="45">
        <f>IFERROR(__xludf.DUMMYFUNCTION("""COMPUTED_VALUE"""),"LM5AQZS-019222")</f>
        <v/>
      </c>
      <c r="L676" s="45">
        <f>IFERROR(__xludf.DUMMYFUNCTION("""COMPUTED_VALUE"""),22)</f>
        <v/>
      </c>
      <c r="M676" s="45">
        <f>IFERROR(__xludf.DUMMYFUNCTION("""COMPUTED_VALUE"""),758)</f>
        <v/>
      </c>
      <c r="N676" s="45">
        <f>IFERROR(__xludf.DUMMYFUNCTION("""COMPUTED_VALUE"""),351.75)</f>
        <v/>
      </c>
      <c r="O676" s="45">
        <f>IFERROR(__xludf.DUMMYFUNCTION("""COMPUTED_VALUE"""),1.616)</f>
        <v/>
      </c>
      <c r="P676" s="45">
        <f>IFERROR(__xludf.DUMMYFUNCTION("""COMPUTED_VALUE"""),"Colombo, LK")</f>
        <v/>
      </c>
      <c r="Q676" s="45">
        <f>IFERROR(__xludf.DUMMYFUNCTION("""COMPUTED_VALUE"""),"New York, NY, US")</f>
        <v/>
      </c>
      <c r="R676" s="44">
        <f>IFERROR(__xludf.DUMMYFUNCTION("""COMPUTED_VALUE"""),45831)</f>
        <v/>
      </c>
      <c r="S676" s="44">
        <f>IFERROR(__xludf.DUMMYFUNCTION("""COMPUTED_VALUE"""),45890)</f>
        <v/>
      </c>
      <c r="T676" s="45">
        <f>IFERROR(__xludf.DUMMYFUNCTION("""COMPUTED_VALUE"""),"Mississauga, ON, CA")</f>
        <v/>
      </c>
      <c r="U676" s="45" t="n"/>
      <c r="V676" s="45" t="n"/>
      <c r="W676" s="45" t="n"/>
      <c r="X676" s="45" t="n"/>
      <c r="Y676" s="46">
        <f>IFERROR(__xludf.DUMMYFUNCTION("""COMPUTED_VALUE"""),45838)</f>
        <v/>
      </c>
      <c r="Z676" s="46">
        <f>IFERROR(__xludf.DUMMYFUNCTION("""COMPUTED_VALUE"""),45859)</f>
        <v/>
      </c>
      <c r="AA676" s="46">
        <f>IFERROR(__xludf.DUMMYFUNCTION("""COMPUTED_VALUE"""),45859)</f>
        <v/>
      </c>
      <c r="AB676" s="45">
        <f>IFERROR(__xludf.DUMMYFUNCTION("""COMPUTED_VALUE"""),"3500 Argentia Road")</f>
        <v/>
      </c>
      <c r="AC676" s="45" t="n"/>
      <c r="AD676" s="45">
        <f>IFERROR(__xludf.DUMMYFUNCTION("""COMPUTED_VALUE"""),"OCEAN")</f>
        <v/>
      </c>
      <c r="AE676" s="45">
        <f>IFERROR(__xludf.DUMMYFUNCTION("""COMPUTED_VALUE"""),"N")</f>
        <v/>
      </c>
      <c r="AF676" s="45" t="n"/>
      <c r="AG676" s="49">
        <f>IFERROR(__xludf.DUMMYFUNCTION("IFNA(vlookup(H676,IMPORTRANGE(""1vUGwO1n0QQGx9kKbO0_M5gmuhXZ6-LaxQxgrmJnzgP0"",""'TP# look up'!A:C""),3,0),"""")"),"")</f>
        <v/>
      </c>
      <c r="AH676" s="49">
        <f>LEFT(J676,2)</f>
        <v/>
      </c>
    </row>
    <row r="677" ht="12.75" customHeight="1">
      <c r="A677" s="45">
        <f>IFERROR(__xludf.DUMMYFUNCTION("""COMPUTED_VALUE"""),"Colombo")</f>
        <v/>
      </c>
      <c r="B677" s="45" t="n"/>
      <c r="C677" s="45">
        <f>IFERROR(__xludf.DUMMYFUNCTION("""COMPUTED_VALUE"""),3259512)</f>
        <v/>
      </c>
      <c r="D677" s="45" t="n"/>
      <c r="E677" s="45">
        <f>IFERROR(__xludf.DUMMYFUNCTION("""COMPUTED_VALUE"""),"CFS")</f>
        <v/>
      </c>
      <c r="F677" s="45">
        <f>IFERROR(__xludf.DUMMYFUNCTION("""COMPUTED_VALUE"""),"Inqube Global (PVT) Ltd")</f>
        <v/>
      </c>
      <c r="G677" s="45">
        <f>IFERROR(__xludf.DUMMYFUNCTION("""COMPUTED_VALUE"""),"BRANDIX APPAREL SOLUTION LTD - GIRITALE")</f>
        <v/>
      </c>
      <c r="H677" s="43">
        <f>IFERROR(__xludf.DUMMYFUNCTION("""COMPUTED_VALUE"""),454715577915)</f>
        <v/>
      </c>
      <c r="I677" s="45">
        <f>IFERROR(__xludf.DUMMYFUNCTION("""COMPUTED_VALUE"""),19856561)</f>
        <v/>
      </c>
      <c r="J677" s="45">
        <f>IFERROR(__xludf.DUMMYFUNCTION("""COMPUTED_VALUE"""),"LM5BL3S")</f>
        <v/>
      </c>
      <c r="K677" s="45">
        <f>IFERROR(__xludf.DUMMYFUNCTION("""COMPUTED_VALUE"""),"LM5BL3S-0001")</f>
        <v/>
      </c>
      <c r="L677" s="45">
        <f>IFERROR(__xludf.DUMMYFUNCTION("""COMPUTED_VALUE"""),10)</f>
        <v/>
      </c>
      <c r="M677" s="45">
        <f>IFERROR(__xludf.DUMMYFUNCTION("""COMPUTED_VALUE"""),295)</f>
        <v/>
      </c>
      <c r="N677" s="45">
        <f>IFERROR(__xludf.DUMMYFUNCTION("""COMPUTED_VALUE"""),117.04)</f>
        <v/>
      </c>
      <c r="O677" s="45">
        <f>IFERROR(__xludf.DUMMYFUNCTION("""COMPUTED_VALUE"""),0.745)</f>
        <v/>
      </c>
      <c r="P677" s="45">
        <f>IFERROR(__xludf.DUMMYFUNCTION("""COMPUTED_VALUE"""),"Colombo, LK")</f>
        <v/>
      </c>
      <c r="Q677" s="45">
        <f>IFERROR(__xludf.DUMMYFUNCTION("""COMPUTED_VALUE"""),"New York, NY, US")</f>
        <v/>
      </c>
      <c r="R677" s="44">
        <f>IFERROR(__xludf.DUMMYFUNCTION("""COMPUTED_VALUE"""),45831)</f>
        <v/>
      </c>
      <c r="S677" s="44">
        <f>IFERROR(__xludf.DUMMYFUNCTION("""COMPUTED_VALUE"""),45890)</f>
        <v/>
      </c>
      <c r="T677" s="45">
        <f>IFERROR(__xludf.DUMMYFUNCTION("""COMPUTED_VALUE"""),"Mississauga, ON, CA")</f>
        <v/>
      </c>
      <c r="U677" s="45" t="n"/>
      <c r="V677" s="45" t="n"/>
      <c r="W677" s="45" t="n"/>
      <c r="X677" s="45" t="n"/>
      <c r="Y677" s="46">
        <f>IFERROR(__xludf.DUMMYFUNCTION("""COMPUTED_VALUE"""),45838)</f>
        <v/>
      </c>
      <c r="Z677" s="46">
        <f>IFERROR(__xludf.DUMMYFUNCTION("""COMPUTED_VALUE"""),45859)</f>
        <v/>
      </c>
      <c r="AA677" s="46">
        <f>IFERROR(__xludf.DUMMYFUNCTION("""COMPUTED_VALUE"""),45859)</f>
        <v/>
      </c>
      <c r="AB677" s="45">
        <f>IFERROR(__xludf.DUMMYFUNCTION("""COMPUTED_VALUE"""),"3500 Argentia Road")</f>
        <v/>
      </c>
      <c r="AC677" s="45" t="n"/>
      <c r="AD677" s="45">
        <f>IFERROR(__xludf.DUMMYFUNCTION("""COMPUTED_VALUE"""),"OCEAN")</f>
        <v/>
      </c>
      <c r="AE677" s="45">
        <f>IFERROR(__xludf.DUMMYFUNCTION("""COMPUTED_VALUE"""),"N")</f>
        <v/>
      </c>
      <c r="AF677" s="45" t="n"/>
      <c r="AG677" s="49">
        <f>IFERROR(__xludf.DUMMYFUNCTION("IFNA(vlookup(H677,IMPORTRANGE(""1vUGwO1n0QQGx9kKbO0_M5gmuhXZ6-LaxQxgrmJnzgP0"",""'TP# look up'!A:C""),3,0),"""")"),"")</f>
        <v/>
      </c>
      <c r="AH677" s="49">
        <f>LEFT(J677,2)</f>
        <v/>
      </c>
    </row>
    <row r="678" ht="12.75" customHeight="1">
      <c r="A678" s="45">
        <f>IFERROR(__xludf.DUMMYFUNCTION("""COMPUTED_VALUE"""),"Colombo")</f>
        <v/>
      </c>
      <c r="B678" s="45" t="n"/>
      <c r="C678" s="45">
        <f>IFERROR(__xludf.DUMMYFUNCTION("""COMPUTED_VALUE"""),3259512)</f>
        <v/>
      </c>
      <c r="D678" s="45" t="n"/>
      <c r="E678" s="45">
        <f>IFERROR(__xludf.DUMMYFUNCTION("""COMPUTED_VALUE"""),"CFS")</f>
        <v/>
      </c>
      <c r="F678" s="45">
        <f>IFERROR(__xludf.DUMMYFUNCTION("""COMPUTED_VALUE"""),"Inqube Global (PVT) Ltd")</f>
        <v/>
      </c>
      <c r="G678" s="45">
        <f>IFERROR(__xludf.DUMMYFUNCTION("""COMPUTED_VALUE"""),"BRANDIX APPAREL SOLUTION LTD - GIRITALE")</f>
        <v/>
      </c>
      <c r="H678" s="43">
        <f>IFERROR(__xludf.DUMMYFUNCTION("""COMPUTED_VALUE"""),454715578092)</f>
        <v/>
      </c>
      <c r="I678" s="45">
        <f>IFERROR(__xludf.DUMMYFUNCTION("""COMPUTED_VALUE"""),19856565)</f>
        <v/>
      </c>
      <c r="J678" s="45">
        <f>IFERROR(__xludf.DUMMYFUNCTION("""COMPUTED_VALUE"""),"LM5BL3S")</f>
        <v/>
      </c>
      <c r="K678" s="45">
        <f>IFERROR(__xludf.DUMMYFUNCTION("""COMPUTED_VALUE"""),"LM5BL3S-0001")</f>
        <v/>
      </c>
      <c r="L678" s="45">
        <f>IFERROR(__xludf.DUMMYFUNCTION("""COMPUTED_VALUE"""),10)</f>
        <v/>
      </c>
      <c r="M678" s="45">
        <f>IFERROR(__xludf.DUMMYFUNCTION("""COMPUTED_VALUE"""),286)</f>
        <v/>
      </c>
      <c r="N678" s="45">
        <f>IFERROR(__xludf.DUMMYFUNCTION("""COMPUTED_VALUE"""),113.92)</f>
        <v/>
      </c>
      <c r="O678" s="45">
        <f>IFERROR(__xludf.DUMMYFUNCTION("""COMPUTED_VALUE"""),0.745)</f>
        <v/>
      </c>
      <c r="P678" s="45">
        <f>IFERROR(__xludf.DUMMYFUNCTION("""COMPUTED_VALUE"""),"Colombo, LK")</f>
        <v/>
      </c>
      <c r="Q678" s="45">
        <f>IFERROR(__xludf.DUMMYFUNCTION("""COMPUTED_VALUE"""),"New York, NY, US")</f>
        <v/>
      </c>
      <c r="R678" s="44">
        <f>IFERROR(__xludf.DUMMYFUNCTION("""COMPUTED_VALUE"""),45831)</f>
        <v/>
      </c>
      <c r="S678" s="44">
        <f>IFERROR(__xludf.DUMMYFUNCTION("""COMPUTED_VALUE"""),45890)</f>
        <v/>
      </c>
      <c r="T678" s="45">
        <f>IFERROR(__xludf.DUMMYFUNCTION("""COMPUTED_VALUE"""),"Mississauga, ON, CA")</f>
        <v/>
      </c>
      <c r="U678" s="45" t="n"/>
      <c r="V678" s="45" t="n"/>
      <c r="W678" s="45" t="n"/>
      <c r="X678" s="45" t="n"/>
      <c r="Y678" s="46">
        <f>IFERROR(__xludf.DUMMYFUNCTION("""COMPUTED_VALUE"""),45838)</f>
        <v/>
      </c>
      <c r="Z678" s="46">
        <f>IFERROR(__xludf.DUMMYFUNCTION("""COMPUTED_VALUE"""),45859)</f>
        <v/>
      </c>
      <c r="AA678" s="46">
        <f>IFERROR(__xludf.DUMMYFUNCTION("""COMPUTED_VALUE"""),45859)</f>
        <v/>
      </c>
      <c r="AB678" s="45">
        <f>IFERROR(__xludf.DUMMYFUNCTION("""COMPUTED_VALUE"""),"3500 Argentia Road")</f>
        <v/>
      </c>
      <c r="AC678" s="45" t="n"/>
      <c r="AD678" s="45">
        <f>IFERROR(__xludf.DUMMYFUNCTION("""COMPUTED_VALUE"""),"OCEAN")</f>
        <v/>
      </c>
      <c r="AE678" s="45">
        <f>IFERROR(__xludf.DUMMYFUNCTION("""COMPUTED_VALUE"""),"N")</f>
        <v/>
      </c>
      <c r="AF678" s="45" t="n"/>
      <c r="AG678" s="49">
        <f>IFERROR(__xludf.DUMMYFUNCTION("IFNA(vlookup(H678,IMPORTRANGE(""1vUGwO1n0QQGx9kKbO0_M5gmuhXZ6-LaxQxgrmJnzgP0"",""'TP# look up'!A:C""),3,0),"""")"),"")</f>
        <v/>
      </c>
      <c r="AH678" s="49">
        <f>LEFT(J678,2)</f>
        <v/>
      </c>
    </row>
    <row r="679" ht="12.75" customHeight="1">
      <c r="A679" s="45">
        <f>IFERROR(__xludf.DUMMYFUNCTION("""COMPUTED_VALUE"""),"Colombo")</f>
        <v/>
      </c>
      <c r="B679" s="45" t="n"/>
      <c r="C679" s="45">
        <f>IFERROR(__xludf.DUMMYFUNCTION("""COMPUTED_VALUE"""),3259512)</f>
        <v/>
      </c>
      <c r="D679" s="45" t="n"/>
      <c r="E679" s="45">
        <f>IFERROR(__xludf.DUMMYFUNCTION("""COMPUTED_VALUE"""),"CFS")</f>
        <v/>
      </c>
      <c r="F679" s="45">
        <f>IFERROR(__xludf.DUMMYFUNCTION("""COMPUTED_VALUE"""),"Inqube Global (PVT) Ltd")</f>
        <v/>
      </c>
      <c r="G679" s="45">
        <f>IFERROR(__xludf.DUMMYFUNCTION("""COMPUTED_VALUE"""),"BRANDIX APPAREL SOLUTION LTD - GIRITALE")</f>
        <v/>
      </c>
      <c r="H679" s="43">
        <f>IFERROR(__xludf.DUMMYFUNCTION("""COMPUTED_VALUE"""),454715945310)</f>
        <v/>
      </c>
      <c r="I679" s="45">
        <f>IFERROR(__xludf.DUMMYFUNCTION("""COMPUTED_VALUE"""),19856228)</f>
        <v/>
      </c>
      <c r="J679" s="45">
        <f>IFERROR(__xludf.DUMMYFUNCTION("""COMPUTED_VALUE"""),"LM5AR0T")</f>
        <v/>
      </c>
      <c r="K679" s="45">
        <f>IFERROR(__xludf.DUMMYFUNCTION("""COMPUTED_VALUE"""),"LM5AR0T-0001")</f>
        <v/>
      </c>
      <c r="L679" s="45">
        <f>IFERROR(__xludf.DUMMYFUNCTION("""COMPUTED_VALUE"""),6)</f>
        <v/>
      </c>
      <c r="M679" s="45">
        <f>IFERROR(__xludf.DUMMYFUNCTION("""COMPUTED_VALUE"""),149)</f>
        <v/>
      </c>
      <c r="N679" s="45">
        <f>IFERROR(__xludf.DUMMYFUNCTION("""COMPUTED_VALUE"""),74.99)</f>
        <v/>
      </c>
      <c r="O679" s="45">
        <f>IFERROR(__xludf.DUMMYFUNCTION("""COMPUTED_VALUE"""),0.375)</f>
        <v/>
      </c>
      <c r="P679" s="45">
        <f>IFERROR(__xludf.DUMMYFUNCTION("""COMPUTED_VALUE"""),"Colombo, LK")</f>
        <v/>
      </c>
      <c r="Q679" s="45">
        <f>IFERROR(__xludf.DUMMYFUNCTION("""COMPUTED_VALUE"""),"New York, NY, US")</f>
        <v/>
      </c>
      <c r="R679" s="44">
        <f>IFERROR(__xludf.DUMMYFUNCTION("""COMPUTED_VALUE"""),45831)</f>
        <v/>
      </c>
      <c r="S679" s="44">
        <f>IFERROR(__xludf.DUMMYFUNCTION("""COMPUTED_VALUE"""),45890)</f>
        <v/>
      </c>
      <c r="T679" s="45">
        <f>IFERROR(__xludf.DUMMYFUNCTION("""COMPUTED_VALUE"""),"Mississauga, ON, CA")</f>
        <v/>
      </c>
      <c r="U679" s="45" t="n"/>
      <c r="V679" s="45" t="n"/>
      <c r="W679" s="45" t="n"/>
      <c r="X679" s="45" t="n"/>
      <c r="Y679" s="46">
        <f>IFERROR(__xludf.DUMMYFUNCTION("""COMPUTED_VALUE"""),45838)</f>
        <v/>
      </c>
      <c r="Z679" s="46">
        <f>IFERROR(__xludf.DUMMYFUNCTION("""COMPUTED_VALUE"""),45859)</f>
        <v/>
      </c>
      <c r="AA679" s="46">
        <f>IFERROR(__xludf.DUMMYFUNCTION("""COMPUTED_VALUE"""),45859)</f>
        <v/>
      </c>
      <c r="AB679" s="45">
        <f>IFERROR(__xludf.DUMMYFUNCTION("""COMPUTED_VALUE"""),"3500 Argentia Road")</f>
        <v/>
      </c>
      <c r="AC679" s="45" t="n"/>
      <c r="AD679" s="45">
        <f>IFERROR(__xludf.DUMMYFUNCTION("""COMPUTED_VALUE"""),"OCEAN")</f>
        <v/>
      </c>
      <c r="AE679" s="45">
        <f>IFERROR(__xludf.DUMMYFUNCTION("""COMPUTED_VALUE"""),"N")</f>
        <v/>
      </c>
      <c r="AF679" s="45" t="n"/>
      <c r="AG679" s="49">
        <f>IFERROR(__xludf.DUMMYFUNCTION("IFNA(vlookup(H679,IMPORTRANGE(""1vUGwO1n0QQGx9kKbO0_M5gmuhXZ6-LaxQxgrmJnzgP0"",""'TP# look up'!A:C""),3,0),"""")"),"")</f>
        <v/>
      </c>
      <c r="AH679" s="49">
        <f>LEFT(J679,2)</f>
        <v/>
      </c>
    </row>
    <row r="680" ht="12.75" customHeight="1">
      <c r="A680" s="45">
        <f>IFERROR(__xludf.DUMMYFUNCTION("""COMPUTED_VALUE"""),"Colombo")</f>
        <v/>
      </c>
      <c r="B680" s="45" t="n"/>
      <c r="C680" s="45">
        <f>IFERROR(__xludf.DUMMYFUNCTION("""COMPUTED_VALUE"""),3259512)</f>
        <v/>
      </c>
      <c r="D680" s="45" t="n"/>
      <c r="E680" s="45">
        <f>IFERROR(__xludf.DUMMYFUNCTION("""COMPUTED_VALUE"""),"CFS")</f>
        <v/>
      </c>
      <c r="F680" s="45">
        <f>IFERROR(__xludf.DUMMYFUNCTION("""COMPUTED_VALUE"""),"Inqube Global (PVT) Ltd")</f>
        <v/>
      </c>
      <c r="G680" s="45">
        <f>IFERROR(__xludf.DUMMYFUNCTION("""COMPUTED_VALUE"""),"BRANDIX APPAREL SOLUTION LTD - GIRITALE")</f>
        <v/>
      </c>
      <c r="H680" s="43">
        <f>IFERROR(__xludf.DUMMYFUNCTION("""COMPUTED_VALUE"""),454716220724)</f>
        <v/>
      </c>
      <c r="I680" s="45">
        <f>IFERROR(__xludf.DUMMYFUNCTION("""COMPUTED_VALUE"""),19856283)</f>
        <v/>
      </c>
      <c r="J680" s="45">
        <f>IFERROR(__xludf.DUMMYFUNCTION("""COMPUTED_VALUE"""),"LM5AR0T")</f>
        <v/>
      </c>
      <c r="K680" s="45">
        <f>IFERROR(__xludf.DUMMYFUNCTION("""COMPUTED_VALUE"""),"LM5AR0T-019222")</f>
        <v/>
      </c>
      <c r="L680" s="45">
        <f>IFERROR(__xludf.DUMMYFUNCTION("""COMPUTED_VALUE"""),5)</f>
        <v/>
      </c>
      <c r="M680" s="45">
        <f>IFERROR(__xludf.DUMMYFUNCTION("""COMPUTED_VALUE"""),96)</f>
        <v/>
      </c>
      <c r="N680" s="45">
        <f>IFERROR(__xludf.DUMMYFUNCTION("""COMPUTED_VALUE"""),48.57)</f>
        <v/>
      </c>
      <c r="O680" s="45">
        <f>IFERROR(__xludf.DUMMYFUNCTION("""COMPUTED_VALUE"""),0.253)</f>
        <v/>
      </c>
      <c r="P680" s="45">
        <f>IFERROR(__xludf.DUMMYFUNCTION("""COMPUTED_VALUE"""),"Colombo, LK")</f>
        <v/>
      </c>
      <c r="Q680" s="45">
        <f>IFERROR(__xludf.DUMMYFUNCTION("""COMPUTED_VALUE"""),"New York, NY, US")</f>
        <v/>
      </c>
      <c r="R680" s="44">
        <f>IFERROR(__xludf.DUMMYFUNCTION("""COMPUTED_VALUE"""),45831)</f>
        <v/>
      </c>
      <c r="S680" s="44">
        <f>IFERROR(__xludf.DUMMYFUNCTION("""COMPUTED_VALUE"""),45890)</f>
        <v/>
      </c>
      <c r="T680" s="45">
        <f>IFERROR(__xludf.DUMMYFUNCTION("""COMPUTED_VALUE"""),"Mississauga, ON, CA")</f>
        <v/>
      </c>
      <c r="U680" s="45" t="n"/>
      <c r="V680" s="45" t="n"/>
      <c r="W680" s="45" t="n"/>
      <c r="X680" s="45" t="n"/>
      <c r="Y680" s="46">
        <f>IFERROR(__xludf.DUMMYFUNCTION("""COMPUTED_VALUE"""),45838)</f>
        <v/>
      </c>
      <c r="Z680" s="46">
        <f>IFERROR(__xludf.DUMMYFUNCTION("""COMPUTED_VALUE"""),45859)</f>
        <v/>
      </c>
      <c r="AA680" s="46">
        <f>IFERROR(__xludf.DUMMYFUNCTION("""COMPUTED_VALUE"""),45859)</f>
        <v/>
      </c>
      <c r="AB680" s="45">
        <f>IFERROR(__xludf.DUMMYFUNCTION("""COMPUTED_VALUE"""),"3500 Argentia Road")</f>
        <v/>
      </c>
      <c r="AC680" s="45" t="n"/>
      <c r="AD680" s="45">
        <f>IFERROR(__xludf.DUMMYFUNCTION("""COMPUTED_VALUE"""),"OCEAN")</f>
        <v/>
      </c>
      <c r="AE680" s="45">
        <f>IFERROR(__xludf.DUMMYFUNCTION("""COMPUTED_VALUE"""),"N")</f>
        <v/>
      </c>
      <c r="AF680" s="45" t="n"/>
      <c r="AG680" s="49">
        <f>IFERROR(__xludf.DUMMYFUNCTION("IFNA(vlookup(H680,IMPORTRANGE(""1vUGwO1n0QQGx9kKbO0_M5gmuhXZ6-LaxQxgrmJnzgP0"",""'TP# look up'!A:C""),3,0),"""")"),"")</f>
        <v/>
      </c>
      <c r="AH680" s="49">
        <f>LEFT(J680,2)</f>
        <v/>
      </c>
    </row>
    <row r="681" ht="12.75" customHeight="1">
      <c r="A681" s="45">
        <f>IFERROR(__xludf.DUMMYFUNCTION("""COMPUTED_VALUE"""),"Colombo")</f>
        <v/>
      </c>
      <c r="B681" s="45" t="n"/>
      <c r="C681" s="45">
        <f>IFERROR(__xludf.DUMMYFUNCTION("""COMPUTED_VALUE"""),3259512)</f>
        <v/>
      </c>
      <c r="D681" s="45" t="n"/>
      <c r="E681" s="45">
        <f>IFERROR(__xludf.DUMMYFUNCTION("""COMPUTED_VALUE"""),"CFS")</f>
        <v/>
      </c>
      <c r="F681" s="45">
        <f>IFERROR(__xludf.DUMMYFUNCTION("""COMPUTED_VALUE"""),"Inqube Global (PVT) Ltd")</f>
        <v/>
      </c>
      <c r="G681" s="45">
        <f>IFERROR(__xludf.DUMMYFUNCTION("""COMPUTED_VALUE"""),"BRANDIX APPAREL SOLUTION LTD - GIRITALE")</f>
        <v/>
      </c>
      <c r="H681" s="43">
        <f>IFERROR(__xludf.DUMMYFUNCTION("""COMPUTED_VALUE"""),454716245259)</f>
        <v/>
      </c>
      <c r="I681" s="45">
        <f>IFERROR(__xludf.DUMMYFUNCTION("""COMPUTED_VALUE"""),19856279)</f>
        <v/>
      </c>
      <c r="J681" s="45">
        <f>IFERROR(__xludf.DUMMYFUNCTION("""COMPUTED_VALUE"""),"LM5AR0T")</f>
        <v/>
      </c>
      <c r="K681" s="45">
        <f>IFERROR(__xludf.DUMMYFUNCTION("""COMPUTED_VALUE"""),"LM5AR0T-019222")</f>
        <v/>
      </c>
      <c r="L681" s="45">
        <f>IFERROR(__xludf.DUMMYFUNCTION("""COMPUTED_VALUE"""),10)</f>
        <v/>
      </c>
      <c r="M681" s="45">
        <f>IFERROR(__xludf.DUMMYFUNCTION("""COMPUTED_VALUE"""),315)</f>
        <v/>
      </c>
      <c r="N681" s="45">
        <f>IFERROR(__xludf.DUMMYFUNCTION("""COMPUTED_VALUE"""),155.21)</f>
        <v/>
      </c>
      <c r="O681" s="45">
        <f>IFERROR(__xludf.DUMMYFUNCTION("""COMPUTED_VALUE"""),0.705)</f>
        <v/>
      </c>
      <c r="P681" s="45">
        <f>IFERROR(__xludf.DUMMYFUNCTION("""COMPUTED_VALUE"""),"Colombo, LK")</f>
        <v/>
      </c>
      <c r="Q681" s="45">
        <f>IFERROR(__xludf.DUMMYFUNCTION("""COMPUTED_VALUE"""),"New York, NY, US")</f>
        <v/>
      </c>
      <c r="R681" s="44">
        <f>IFERROR(__xludf.DUMMYFUNCTION("""COMPUTED_VALUE"""),45831)</f>
        <v/>
      </c>
      <c r="S681" s="44">
        <f>IFERROR(__xludf.DUMMYFUNCTION("""COMPUTED_VALUE"""),45890)</f>
        <v/>
      </c>
      <c r="T681" s="45">
        <f>IFERROR(__xludf.DUMMYFUNCTION("""COMPUTED_VALUE"""),"Mississauga, ON, CA")</f>
        <v/>
      </c>
      <c r="U681" s="45" t="n"/>
      <c r="V681" s="45" t="n"/>
      <c r="W681" s="45" t="n"/>
      <c r="X681" s="45" t="n"/>
      <c r="Y681" s="46">
        <f>IFERROR(__xludf.DUMMYFUNCTION("""COMPUTED_VALUE"""),45831)</f>
        <v/>
      </c>
      <c r="Z681" s="46">
        <f>IFERROR(__xludf.DUMMYFUNCTION("""COMPUTED_VALUE"""),45859)</f>
        <v/>
      </c>
      <c r="AA681" s="46">
        <f>IFERROR(__xludf.DUMMYFUNCTION("""COMPUTED_VALUE"""),45859)</f>
        <v/>
      </c>
      <c r="AB681" s="45">
        <f>IFERROR(__xludf.DUMMYFUNCTION("""COMPUTED_VALUE"""),"3500 Argentia Road")</f>
        <v/>
      </c>
      <c r="AC681" s="45" t="n"/>
      <c r="AD681" s="45">
        <f>IFERROR(__xludf.DUMMYFUNCTION("""COMPUTED_VALUE"""),"OCEAN")</f>
        <v/>
      </c>
      <c r="AE681" s="45">
        <f>IFERROR(__xludf.DUMMYFUNCTION("""COMPUTED_VALUE"""),"N")</f>
        <v/>
      </c>
      <c r="AF681" s="45" t="n"/>
      <c r="AG681" s="49">
        <f>IFERROR(__xludf.DUMMYFUNCTION("IFNA(vlookup(H681,IMPORTRANGE(""1vUGwO1n0QQGx9kKbO0_M5gmuhXZ6-LaxQxgrmJnzgP0"",""'TP# look up'!A:C""),3,0),"""")"),"")</f>
        <v/>
      </c>
      <c r="AH681" s="49">
        <f>LEFT(J681,2)</f>
        <v/>
      </c>
    </row>
    <row r="682" ht="12.75" customHeight="1">
      <c r="A682" s="45">
        <f>IFERROR(__xludf.DUMMYFUNCTION("""COMPUTED_VALUE"""),"Colombo")</f>
        <v/>
      </c>
      <c r="B682" s="45" t="n"/>
      <c r="C682" s="45">
        <f>IFERROR(__xludf.DUMMYFUNCTION("""COMPUTED_VALUE"""),3259512)</f>
        <v/>
      </c>
      <c r="D682" s="45" t="n"/>
      <c r="E682" s="45">
        <f>IFERROR(__xludf.DUMMYFUNCTION("""COMPUTED_VALUE"""),"CFS")</f>
        <v/>
      </c>
      <c r="F682" s="45">
        <f>IFERROR(__xludf.DUMMYFUNCTION("""COMPUTED_VALUE"""),"Inqube Global (PVT) Ltd")</f>
        <v/>
      </c>
      <c r="G682" s="45">
        <f>IFERROR(__xludf.DUMMYFUNCTION("""COMPUTED_VALUE"""),"BRANDIX APPAREL SOLUTION LTD - GIRITALE")</f>
        <v/>
      </c>
      <c r="H682" s="43">
        <f>IFERROR(__xludf.DUMMYFUNCTION("""COMPUTED_VALUE"""),454716473391)</f>
        <v/>
      </c>
      <c r="I682" s="45">
        <f>IFERROR(__xludf.DUMMYFUNCTION("""COMPUTED_VALUE"""),19856267)</f>
        <v/>
      </c>
      <c r="J682" s="45">
        <f>IFERROR(__xludf.DUMMYFUNCTION("""COMPUTED_VALUE"""),"LM5AR0T")</f>
        <v/>
      </c>
      <c r="K682" s="45">
        <f>IFERROR(__xludf.DUMMYFUNCTION("""COMPUTED_VALUE"""),"LM5AR0T-031382")</f>
        <v/>
      </c>
      <c r="L682" s="45">
        <f>IFERROR(__xludf.DUMMYFUNCTION("""COMPUTED_VALUE"""),6)</f>
        <v/>
      </c>
      <c r="M682" s="45">
        <f>IFERROR(__xludf.DUMMYFUNCTION("""COMPUTED_VALUE"""),122)</f>
        <v/>
      </c>
      <c r="N682" s="45">
        <f>IFERROR(__xludf.DUMMYFUNCTION("""COMPUTED_VALUE"""),61.05)</f>
        <v/>
      </c>
      <c r="O682" s="45">
        <f>IFERROR(__xludf.DUMMYFUNCTION("""COMPUTED_VALUE"""),0.295)</f>
        <v/>
      </c>
      <c r="P682" s="45">
        <f>IFERROR(__xludf.DUMMYFUNCTION("""COMPUTED_VALUE"""),"Colombo, LK")</f>
        <v/>
      </c>
      <c r="Q682" s="45">
        <f>IFERROR(__xludf.DUMMYFUNCTION("""COMPUTED_VALUE"""),"New York, NY, US")</f>
        <v/>
      </c>
      <c r="R682" s="44">
        <f>IFERROR(__xludf.DUMMYFUNCTION("""COMPUTED_VALUE"""),45831)</f>
        <v/>
      </c>
      <c r="S682" s="44">
        <f>IFERROR(__xludf.DUMMYFUNCTION("""COMPUTED_VALUE"""),45890)</f>
        <v/>
      </c>
      <c r="T682" s="45">
        <f>IFERROR(__xludf.DUMMYFUNCTION("""COMPUTED_VALUE"""),"Mississauga, ON, CA")</f>
        <v/>
      </c>
      <c r="U682" s="45" t="n"/>
      <c r="V682" s="45" t="n"/>
      <c r="W682" s="45" t="n"/>
      <c r="X682" s="45" t="n"/>
      <c r="Y682" s="46">
        <f>IFERROR(__xludf.DUMMYFUNCTION("""COMPUTED_VALUE"""),45838)</f>
        <v/>
      </c>
      <c r="Z682" s="46">
        <f>IFERROR(__xludf.DUMMYFUNCTION("""COMPUTED_VALUE"""),45859)</f>
        <v/>
      </c>
      <c r="AA682" s="46">
        <f>IFERROR(__xludf.DUMMYFUNCTION("""COMPUTED_VALUE"""),45859)</f>
        <v/>
      </c>
      <c r="AB682" s="45">
        <f>IFERROR(__xludf.DUMMYFUNCTION("""COMPUTED_VALUE"""),"3500 Argentia Road")</f>
        <v/>
      </c>
      <c r="AC682" s="45" t="n"/>
      <c r="AD682" s="45">
        <f>IFERROR(__xludf.DUMMYFUNCTION("""COMPUTED_VALUE"""),"OCEAN")</f>
        <v/>
      </c>
      <c r="AE682" s="45">
        <f>IFERROR(__xludf.DUMMYFUNCTION("""COMPUTED_VALUE"""),"N")</f>
        <v/>
      </c>
      <c r="AF682" s="45" t="n"/>
      <c r="AG682" s="49">
        <f>IFERROR(__xludf.DUMMYFUNCTION("IFNA(vlookup(H682,IMPORTRANGE(""1vUGwO1n0QQGx9kKbO0_M5gmuhXZ6-LaxQxgrmJnzgP0"",""'TP# look up'!A:C""),3,0),"""")"),"")</f>
        <v/>
      </c>
      <c r="AH682" s="49">
        <f>LEFT(J682,2)</f>
        <v/>
      </c>
    </row>
    <row r="683" ht="12.75" customHeight="1">
      <c r="A683" s="45">
        <f>IFERROR(__xludf.DUMMYFUNCTION("""COMPUTED_VALUE"""),"Colombo")</f>
        <v/>
      </c>
      <c r="B683" s="45" t="n"/>
      <c r="C683" s="45">
        <f>IFERROR(__xludf.DUMMYFUNCTION("""COMPUTED_VALUE"""),3259512)</f>
        <v/>
      </c>
      <c r="D683" s="45" t="n"/>
      <c r="E683" s="45">
        <f>IFERROR(__xludf.DUMMYFUNCTION("""COMPUTED_VALUE"""),"CFS")</f>
        <v/>
      </c>
      <c r="F683" s="45">
        <f>IFERROR(__xludf.DUMMYFUNCTION("""COMPUTED_VALUE"""),"Inqube Global (PVT) Ltd")</f>
        <v/>
      </c>
      <c r="G683" s="45">
        <f>IFERROR(__xludf.DUMMYFUNCTION("""COMPUTED_VALUE"""),"BRANDIX APPAREL SOLUTION LTD - GIRITALE")</f>
        <v/>
      </c>
      <c r="H683" s="43">
        <f>IFERROR(__xludf.DUMMYFUNCTION("""COMPUTED_VALUE"""),454716613580)</f>
        <v/>
      </c>
      <c r="I683" s="45">
        <f>IFERROR(__xludf.DUMMYFUNCTION("""COMPUTED_VALUE"""),19856595)</f>
        <v/>
      </c>
      <c r="J683" s="45">
        <f>IFERROR(__xludf.DUMMYFUNCTION("""COMPUTED_VALUE"""),"LM5BL3S")</f>
        <v/>
      </c>
      <c r="K683" s="45">
        <f>IFERROR(__xludf.DUMMYFUNCTION("""COMPUTED_VALUE"""),"LM5BL3S-070108")</f>
        <v/>
      </c>
      <c r="L683" s="45">
        <f>IFERROR(__xludf.DUMMYFUNCTION("""COMPUTED_VALUE"""),8)</f>
        <v/>
      </c>
      <c r="M683" s="45">
        <f>IFERROR(__xludf.DUMMYFUNCTION("""COMPUTED_VALUE"""),200)</f>
        <v/>
      </c>
      <c r="N683" s="45">
        <f>IFERROR(__xludf.DUMMYFUNCTION("""COMPUTED_VALUE"""),81.2)</f>
        <v/>
      </c>
      <c r="O683" s="45">
        <f>IFERROR(__xludf.DUMMYFUNCTION("""COMPUTED_VALUE"""),0.66)</f>
        <v/>
      </c>
      <c r="P683" s="45">
        <f>IFERROR(__xludf.DUMMYFUNCTION("""COMPUTED_VALUE"""),"Colombo, LK")</f>
        <v/>
      </c>
      <c r="Q683" s="45">
        <f>IFERROR(__xludf.DUMMYFUNCTION("""COMPUTED_VALUE"""),"New York, NY, US")</f>
        <v/>
      </c>
      <c r="R683" s="44">
        <f>IFERROR(__xludf.DUMMYFUNCTION("""COMPUTED_VALUE"""),45831)</f>
        <v/>
      </c>
      <c r="S683" s="44">
        <f>IFERROR(__xludf.DUMMYFUNCTION("""COMPUTED_VALUE"""),45890)</f>
        <v/>
      </c>
      <c r="T683" s="45">
        <f>IFERROR(__xludf.DUMMYFUNCTION("""COMPUTED_VALUE"""),"Mississauga, ON, CA")</f>
        <v/>
      </c>
      <c r="U683" s="45" t="n"/>
      <c r="V683" s="45" t="n"/>
      <c r="W683" s="45" t="n"/>
      <c r="X683" s="45" t="n"/>
      <c r="Y683" s="46">
        <f>IFERROR(__xludf.DUMMYFUNCTION("""COMPUTED_VALUE"""),45831)</f>
        <v/>
      </c>
      <c r="Z683" s="46">
        <f>IFERROR(__xludf.DUMMYFUNCTION("""COMPUTED_VALUE"""),45859)</f>
        <v/>
      </c>
      <c r="AA683" s="46">
        <f>IFERROR(__xludf.DUMMYFUNCTION("""COMPUTED_VALUE"""),45859)</f>
        <v/>
      </c>
      <c r="AB683" s="45">
        <f>IFERROR(__xludf.DUMMYFUNCTION("""COMPUTED_VALUE"""),"3500 Argentia Road")</f>
        <v/>
      </c>
      <c r="AC683" s="45" t="n"/>
      <c r="AD683" s="45">
        <f>IFERROR(__xludf.DUMMYFUNCTION("""COMPUTED_VALUE"""),"OCEAN")</f>
        <v/>
      </c>
      <c r="AE683" s="45">
        <f>IFERROR(__xludf.DUMMYFUNCTION("""COMPUTED_VALUE"""),"N")</f>
        <v/>
      </c>
      <c r="AF683" s="45" t="n"/>
      <c r="AG683" s="49">
        <f>IFERROR(__xludf.DUMMYFUNCTION("IFNA(vlookup(H683,IMPORTRANGE(""1vUGwO1n0QQGx9kKbO0_M5gmuhXZ6-LaxQxgrmJnzgP0"",""'TP# look up'!A:C""),3,0),"""")"),"")</f>
        <v/>
      </c>
      <c r="AH683" s="49">
        <f>LEFT(J683,2)</f>
        <v/>
      </c>
    </row>
    <row r="684" ht="12.75" customHeight="1">
      <c r="A684" s="45">
        <f>IFERROR(__xludf.DUMMYFUNCTION("""COMPUTED_VALUE"""),"Colombo")</f>
        <v/>
      </c>
      <c r="B684" s="45" t="n"/>
      <c r="C684" s="45">
        <f>IFERROR(__xludf.DUMMYFUNCTION("""COMPUTED_VALUE"""),3259512)</f>
        <v/>
      </c>
      <c r="D684" s="45" t="n"/>
      <c r="E684" s="45">
        <f>IFERROR(__xludf.DUMMYFUNCTION("""COMPUTED_VALUE"""),"CFS")</f>
        <v/>
      </c>
      <c r="F684" s="45">
        <f>IFERROR(__xludf.DUMMYFUNCTION("""COMPUTED_VALUE"""),"Inqube Global (PVT) Ltd")</f>
        <v/>
      </c>
      <c r="G684" s="45">
        <f>IFERROR(__xludf.DUMMYFUNCTION("""COMPUTED_VALUE"""),"BRANDIX APPAREL SOLUTION LTD - GIRITALE")</f>
        <v/>
      </c>
      <c r="H684" s="43">
        <f>IFERROR(__xludf.DUMMYFUNCTION("""COMPUTED_VALUE"""),454716613733)</f>
        <v/>
      </c>
      <c r="I684" s="45">
        <f>IFERROR(__xludf.DUMMYFUNCTION("""COMPUTED_VALUE"""),19856620)</f>
        <v/>
      </c>
      <c r="J684" s="45">
        <f>IFERROR(__xludf.DUMMYFUNCTION("""COMPUTED_VALUE"""),"LM7BSOS")</f>
        <v/>
      </c>
      <c r="K684" s="45">
        <f>IFERROR(__xludf.DUMMYFUNCTION("""COMPUTED_VALUE"""),"LM7BSOS-0001")</f>
        <v/>
      </c>
      <c r="L684" s="45">
        <f>IFERROR(__xludf.DUMMYFUNCTION("""COMPUTED_VALUE"""),4)</f>
        <v/>
      </c>
      <c r="M684" s="45">
        <f>IFERROR(__xludf.DUMMYFUNCTION("""COMPUTED_VALUE"""),94)</f>
        <v/>
      </c>
      <c r="N684" s="45">
        <f>IFERROR(__xludf.DUMMYFUNCTION("""COMPUTED_VALUE"""),36.4)</f>
        <v/>
      </c>
      <c r="O684" s="45">
        <f>IFERROR(__xludf.DUMMYFUNCTION("""COMPUTED_VALUE"""),0.25)</f>
        <v/>
      </c>
      <c r="P684" s="45">
        <f>IFERROR(__xludf.DUMMYFUNCTION("""COMPUTED_VALUE"""),"Colombo, LK")</f>
        <v/>
      </c>
      <c r="Q684" s="45">
        <f>IFERROR(__xludf.DUMMYFUNCTION("""COMPUTED_VALUE"""),"New York, NY, US")</f>
        <v/>
      </c>
      <c r="R684" s="44">
        <f>IFERROR(__xludf.DUMMYFUNCTION("""COMPUTED_VALUE"""),45831)</f>
        <v/>
      </c>
      <c r="S684" s="44">
        <f>IFERROR(__xludf.DUMMYFUNCTION("""COMPUTED_VALUE"""),45890)</f>
        <v/>
      </c>
      <c r="T684" s="45">
        <f>IFERROR(__xludf.DUMMYFUNCTION("""COMPUTED_VALUE"""),"Mississauga, ON, CA")</f>
        <v/>
      </c>
      <c r="U684" s="45" t="n"/>
      <c r="V684" s="45" t="n"/>
      <c r="W684" s="45" t="n"/>
      <c r="X684" s="45" t="n"/>
      <c r="Y684" s="46">
        <f>IFERROR(__xludf.DUMMYFUNCTION("""COMPUTED_VALUE"""),45838)</f>
        <v/>
      </c>
      <c r="Z684" s="46">
        <f>IFERROR(__xludf.DUMMYFUNCTION("""COMPUTED_VALUE"""),45859)</f>
        <v/>
      </c>
      <c r="AA684" s="46">
        <f>IFERROR(__xludf.DUMMYFUNCTION("""COMPUTED_VALUE"""),45859)</f>
        <v/>
      </c>
      <c r="AB684" s="45">
        <f>IFERROR(__xludf.DUMMYFUNCTION("""COMPUTED_VALUE"""),"3500 Argentia Road")</f>
        <v/>
      </c>
      <c r="AC684" s="45" t="n"/>
      <c r="AD684" s="45">
        <f>IFERROR(__xludf.DUMMYFUNCTION("""COMPUTED_VALUE"""),"OCEAN")</f>
        <v/>
      </c>
      <c r="AE684" s="45">
        <f>IFERROR(__xludf.DUMMYFUNCTION("""COMPUTED_VALUE"""),"N")</f>
        <v/>
      </c>
      <c r="AF684" s="45" t="n"/>
      <c r="AG684" s="49">
        <f>IFERROR(__xludf.DUMMYFUNCTION("IFNA(vlookup(H684,IMPORTRANGE(""1vUGwO1n0QQGx9kKbO0_M5gmuhXZ6-LaxQxgrmJnzgP0"",""'TP# look up'!A:C""),3,0),"""")"),"")</f>
        <v/>
      </c>
      <c r="AH684" s="49">
        <f>LEFT(J684,2)</f>
        <v/>
      </c>
    </row>
    <row r="685" ht="12.75" customHeight="1">
      <c r="A685" s="45">
        <f>IFERROR(__xludf.DUMMYFUNCTION("""COMPUTED_VALUE"""),"Colombo")</f>
        <v/>
      </c>
      <c r="B685" s="45" t="n"/>
      <c r="C685" s="45">
        <f>IFERROR(__xludf.DUMMYFUNCTION("""COMPUTED_VALUE"""),3259512)</f>
        <v/>
      </c>
      <c r="D685" s="45" t="n"/>
      <c r="E685" s="45">
        <f>IFERROR(__xludf.DUMMYFUNCTION("""COMPUTED_VALUE"""),"CFS")</f>
        <v/>
      </c>
      <c r="F685" s="45">
        <f>IFERROR(__xludf.DUMMYFUNCTION("""COMPUTED_VALUE"""),"Inqube Global (PVT) Ltd")</f>
        <v/>
      </c>
      <c r="G685" s="45">
        <f>IFERROR(__xludf.DUMMYFUNCTION("""COMPUTED_VALUE"""),"BRANDIX APPAREL SOLUTION LTD - GIRITALE")</f>
        <v/>
      </c>
      <c r="H685" s="43">
        <f>IFERROR(__xludf.DUMMYFUNCTION("""COMPUTED_VALUE"""),454716846167)</f>
        <v/>
      </c>
      <c r="I685" s="45">
        <f>IFERROR(__xludf.DUMMYFUNCTION("""COMPUTED_VALUE"""),19856628)</f>
        <v/>
      </c>
      <c r="J685" s="45">
        <f>IFERROR(__xludf.DUMMYFUNCTION("""COMPUTED_VALUE"""),"LM7BSOS")</f>
        <v/>
      </c>
      <c r="K685" s="45">
        <f>IFERROR(__xludf.DUMMYFUNCTION("""COMPUTED_VALUE"""),"LM7BSOS-070108")</f>
        <v/>
      </c>
      <c r="L685" s="45">
        <f>IFERROR(__xludf.DUMMYFUNCTION("""COMPUTED_VALUE"""),5)</f>
        <v/>
      </c>
      <c r="M685" s="45">
        <f>IFERROR(__xludf.DUMMYFUNCTION("""COMPUTED_VALUE"""),81)</f>
        <v/>
      </c>
      <c r="N685" s="45">
        <f>IFERROR(__xludf.DUMMYFUNCTION("""COMPUTED_VALUE"""),32.16)</f>
        <v/>
      </c>
      <c r="O685" s="45">
        <f>IFERROR(__xludf.DUMMYFUNCTION("""COMPUTED_VALUE"""),0.213)</f>
        <v/>
      </c>
      <c r="P685" s="45">
        <f>IFERROR(__xludf.DUMMYFUNCTION("""COMPUTED_VALUE"""),"Colombo, LK")</f>
        <v/>
      </c>
      <c r="Q685" s="45">
        <f>IFERROR(__xludf.DUMMYFUNCTION("""COMPUTED_VALUE"""),"New York, NY, US")</f>
        <v/>
      </c>
      <c r="R685" s="44">
        <f>IFERROR(__xludf.DUMMYFUNCTION("""COMPUTED_VALUE"""),45831)</f>
        <v/>
      </c>
      <c r="S685" s="44">
        <f>IFERROR(__xludf.DUMMYFUNCTION("""COMPUTED_VALUE"""),45890)</f>
        <v/>
      </c>
      <c r="T685" s="45">
        <f>IFERROR(__xludf.DUMMYFUNCTION("""COMPUTED_VALUE"""),"Mississauga, ON, CA")</f>
        <v/>
      </c>
      <c r="U685" s="45" t="n"/>
      <c r="V685" s="45" t="n"/>
      <c r="W685" s="45" t="n"/>
      <c r="X685" s="45" t="n"/>
      <c r="Y685" s="46">
        <f>IFERROR(__xludf.DUMMYFUNCTION("""COMPUTED_VALUE"""),45838)</f>
        <v/>
      </c>
      <c r="Z685" s="46">
        <f>IFERROR(__xludf.DUMMYFUNCTION("""COMPUTED_VALUE"""),45859)</f>
        <v/>
      </c>
      <c r="AA685" s="46">
        <f>IFERROR(__xludf.DUMMYFUNCTION("""COMPUTED_VALUE"""),45859)</f>
        <v/>
      </c>
      <c r="AB685" s="45">
        <f>IFERROR(__xludf.DUMMYFUNCTION("""COMPUTED_VALUE"""),"3500 Argentia Road")</f>
        <v/>
      </c>
      <c r="AC685" s="45" t="n"/>
      <c r="AD685" s="45">
        <f>IFERROR(__xludf.DUMMYFUNCTION("""COMPUTED_VALUE"""),"OCEAN")</f>
        <v/>
      </c>
      <c r="AE685" s="45">
        <f>IFERROR(__xludf.DUMMYFUNCTION("""COMPUTED_VALUE"""),"N")</f>
        <v/>
      </c>
      <c r="AF685" s="45" t="n"/>
      <c r="AG685" s="49">
        <f>IFERROR(__xludf.DUMMYFUNCTION("IFNA(vlookup(H685,IMPORTRANGE(""1vUGwO1n0QQGx9kKbO0_M5gmuhXZ6-LaxQxgrmJnzgP0"",""'TP# look up'!A:C""),3,0),"""")"),"")</f>
        <v/>
      </c>
      <c r="AH685" s="49">
        <f>LEFT(J685,2)</f>
        <v/>
      </c>
    </row>
    <row r="686" ht="12.75" customHeight="1">
      <c r="A686" s="45">
        <f>IFERROR(__xludf.DUMMYFUNCTION("""COMPUTED_VALUE"""),"Colombo")</f>
        <v/>
      </c>
      <c r="B686" s="45" t="n"/>
      <c r="C686" s="45">
        <f>IFERROR(__xludf.DUMMYFUNCTION("""COMPUTED_VALUE"""),3259512)</f>
        <v/>
      </c>
      <c r="D686" s="45" t="n"/>
      <c r="E686" s="45">
        <f>IFERROR(__xludf.DUMMYFUNCTION("""COMPUTED_VALUE"""),"CFS")</f>
        <v/>
      </c>
      <c r="F686" s="45">
        <f>IFERROR(__xludf.DUMMYFUNCTION("""COMPUTED_VALUE"""),"Inqube Global (PVT) Ltd")</f>
        <v/>
      </c>
      <c r="G686" s="45">
        <f>IFERROR(__xludf.DUMMYFUNCTION("""COMPUTED_VALUE"""),"Brandix Apparel Solutions Limited - Minuwangoda")</f>
        <v/>
      </c>
      <c r="H686" s="43">
        <f>IFERROR(__xludf.DUMMYFUNCTION("""COMPUTED_VALUE"""),454521338803)</f>
        <v/>
      </c>
      <c r="I686" s="45">
        <f>IFERROR(__xludf.DUMMYFUNCTION("""COMPUTED_VALUE"""),19855048)</f>
        <v/>
      </c>
      <c r="J686" s="45">
        <f>IFERROR(__xludf.DUMMYFUNCTION("""COMPUTED_VALUE"""),"LW3ISOS")</f>
        <v/>
      </c>
      <c r="K686" s="45">
        <f>IFERROR(__xludf.DUMMYFUNCTION("""COMPUTED_VALUE"""),"LW3ISOS-0001")</f>
        <v/>
      </c>
      <c r="L686" s="45">
        <f>IFERROR(__xludf.DUMMYFUNCTION("""COMPUTED_VALUE"""),5)</f>
        <v/>
      </c>
      <c r="M686" s="45">
        <f>IFERROR(__xludf.DUMMYFUNCTION("""COMPUTED_VALUE"""),453)</f>
        <v/>
      </c>
      <c r="N686" s="45">
        <f>IFERROR(__xludf.DUMMYFUNCTION("""COMPUTED_VALUE"""),78.68)</f>
        <v/>
      </c>
      <c r="O686" s="45">
        <f>IFERROR(__xludf.DUMMYFUNCTION("""COMPUTED_VALUE"""),0.393)</f>
        <v/>
      </c>
      <c r="P686" s="45">
        <f>IFERROR(__xludf.DUMMYFUNCTION("""COMPUTED_VALUE"""),"Colombo, LK")</f>
        <v/>
      </c>
      <c r="Q686" s="45">
        <f>IFERROR(__xludf.DUMMYFUNCTION("""COMPUTED_VALUE"""),"New York, NY, US")</f>
        <v/>
      </c>
      <c r="R686" s="44">
        <f>IFERROR(__xludf.DUMMYFUNCTION("""COMPUTED_VALUE"""),45831)</f>
        <v/>
      </c>
      <c r="S686" s="44">
        <f>IFERROR(__xludf.DUMMYFUNCTION("""COMPUTED_VALUE"""),45890)</f>
        <v/>
      </c>
      <c r="T686" s="45">
        <f>IFERROR(__xludf.DUMMYFUNCTION("""COMPUTED_VALUE"""),"Milton, ON, CA")</f>
        <v/>
      </c>
      <c r="U686" s="45" t="n"/>
      <c r="V686" s="45" t="n"/>
      <c r="W686" s="45" t="n"/>
      <c r="X686" s="45" t="n"/>
      <c r="Y686" s="46">
        <f>IFERROR(__xludf.DUMMYFUNCTION("""COMPUTED_VALUE"""),45838)</f>
        <v/>
      </c>
      <c r="Z686" s="46">
        <f>IFERROR(__xludf.DUMMYFUNCTION("""COMPUTED_VALUE"""),45859)</f>
        <v/>
      </c>
      <c r="AA686" s="46">
        <f>IFERROR(__xludf.DUMMYFUNCTION("""COMPUTED_VALUE"""),45859)</f>
        <v/>
      </c>
      <c r="AB686" s="45">
        <f>IFERROR(__xludf.DUMMYFUNCTION("""COMPUTED_VALUE"""),"7211 Fifth Line")</f>
        <v/>
      </c>
      <c r="AC686" s="45" t="n"/>
      <c r="AD686" s="45">
        <f>IFERROR(__xludf.DUMMYFUNCTION("""COMPUTED_VALUE"""),"OCEAN")</f>
        <v/>
      </c>
      <c r="AE686" s="45">
        <f>IFERROR(__xludf.DUMMYFUNCTION("""COMPUTED_VALUE"""),"N")</f>
        <v/>
      </c>
      <c r="AF686" s="45" t="n"/>
      <c r="AG686" s="49">
        <f>IFERROR(__xludf.DUMMYFUNCTION("IFNA(vlookup(H686,IMPORTRANGE(""1vUGwO1n0QQGx9kKbO0_M5gmuhXZ6-LaxQxgrmJnzgP0"",""'TP# look up'!A:C""),3,0),"""")"),"")</f>
        <v/>
      </c>
      <c r="AH686" s="49">
        <f>LEFT(J686,2)</f>
        <v/>
      </c>
    </row>
    <row r="687" ht="12.75" customHeight="1">
      <c r="A687" s="45">
        <f>IFERROR(__xludf.DUMMYFUNCTION("""COMPUTED_VALUE"""),"Colombo")</f>
        <v/>
      </c>
      <c r="B687" s="45" t="n"/>
      <c r="C687" s="45">
        <f>IFERROR(__xludf.DUMMYFUNCTION("""COMPUTED_VALUE"""),3259512)</f>
        <v/>
      </c>
      <c r="D687" s="45" t="n"/>
      <c r="E687" s="45">
        <f>IFERROR(__xludf.DUMMYFUNCTION("""COMPUTED_VALUE"""),"CFS")</f>
        <v/>
      </c>
      <c r="F687" s="45">
        <f>IFERROR(__xludf.DUMMYFUNCTION("""COMPUTED_VALUE"""),"Inqube Global (PVT) Ltd")</f>
        <v/>
      </c>
      <c r="G687" s="45">
        <f>IFERROR(__xludf.DUMMYFUNCTION("""COMPUTED_VALUE"""),"Brandix Apparel Solutions Limited - Minuwangoda")</f>
        <v/>
      </c>
      <c r="H687" s="43">
        <f>IFERROR(__xludf.DUMMYFUNCTION("""COMPUTED_VALUE"""),454521680869)</f>
        <v/>
      </c>
      <c r="I687" s="45">
        <f>IFERROR(__xludf.DUMMYFUNCTION("""COMPUTED_VALUE"""),19897692)</f>
        <v/>
      </c>
      <c r="J687" s="45">
        <f>IFERROR(__xludf.DUMMYFUNCTION("""COMPUTED_VALUE"""),"LW5GLNS")</f>
        <v/>
      </c>
      <c r="K687" s="45">
        <f>IFERROR(__xludf.DUMMYFUNCTION("""COMPUTED_VALUE"""),"LW5GLNS-035486")</f>
        <v/>
      </c>
      <c r="L687" s="45">
        <f>IFERROR(__xludf.DUMMYFUNCTION("""COMPUTED_VALUE"""),39)</f>
        <v/>
      </c>
      <c r="M687" s="45">
        <f>IFERROR(__xludf.DUMMYFUNCTION("""COMPUTED_VALUE"""),849)</f>
        <v/>
      </c>
      <c r="N687" s="45">
        <f>IFERROR(__xludf.DUMMYFUNCTION("""COMPUTED_VALUE"""),429.66)</f>
        <v/>
      </c>
      <c r="O687" s="45">
        <f>IFERROR(__xludf.DUMMYFUNCTION("""COMPUTED_VALUE"""),3.062)</f>
        <v/>
      </c>
      <c r="P687" s="45">
        <f>IFERROR(__xludf.DUMMYFUNCTION("""COMPUTED_VALUE"""),"Colombo, LK")</f>
        <v/>
      </c>
      <c r="Q687" s="45">
        <f>IFERROR(__xludf.DUMMYFUNCTION("""COMPUTED_VALUE"""),"New York, NY, US")</f>
        <v/>
      </c>
      <c r="R687" s="44">
        <f>IFERROR(__xludf.DUMMYFUNCTION("""COMPUTED_VALUE"""),45831)</f>
        <v/>
      </c>
      <c r="S687" s="44">
        <f>IFERROR(__xludf.DUMMYFUNCTION("""COMPUTED_VALUE"""),45890)</f>
        <v/>
      </c>
      <c r="T687" s="45">
        <f>IFERROR(__xludf.DUMMYFUNCTION("""COMPUTED_VALUE"""),"Milton, ON, CA")</f>
        <v/>
      </c>
      <c r="U687" s="45" t="n"/>
      <c r="V687" s="45" t="n"/>
      <c r="W687" s="45" t="n"/>
      <c r="X687" s="45" t="n"/>
      <c r="Y687" s="46">
        <f>IFERROR(__xludf.DUMMYFUNCTION("""COMPUTED_VALUE"""),45838)</f>
        <v/>
      </c>
      <c r="Z687" s="46">
        <f>IFERROR(__xludf.DUMMYFUNCTION("""COMPUTED_VALUE"""),45859)</f>
        <v/>
      </c>
      <c r="AA687" s="46">
        <f>IFERROR(__xludf.DUMMYFUNCTION("""COMPUTED_VALUE"""),45859)</f>
        <v/>
      </c>
      <c r="AB687" s="45">
        <f>IFERROR(__xludf.DUMMYFUNCTION("""COMPUTED_VALUE"""),"7211 Fifth Line")</f>
        <v/>
      </c>
      <c r="AC687" s="45" t="n"/>
      <c r="AD687" s="45">
        <f>IFERROR(__xludf.DUMMYFUNCTION("""COMPUTED_VALUE"""),"OCEAN")</f>
        <v/>
      </c>
      <c r="AE687" s="45">
        <f>IFERROR(__xludf.DUMMYFUNCTION("""COMPUTED_VALUE"""),"N")</f>
        <v/>
      </c>
      <c r="AF687" s="45" t="n"/>
      <c r="AG687" s="49">
        <f>IFERROR(__xludf.DUMMYFUNCTION("IFNA(vlookup(H687,IMPORTRANGE(""1vUGwO1n0QQGx9kKbO0_M5gmuhXZ6-LaxQxgrmJnzgP0"",""'TP# look up'!A:C""),3,0),"""")"),"")</f>
        <v/>
      </c>
      <c r="AH687" s="49">
        <f>LEFT(J687,2)</f>
        <v/>
      </c>
    </row>
    <row r="688" ht="12.75" customHeight="1">
      <c r="A688" s="45">
        <f>IFERROR(__xludf.DUMMYFUNCTION("""COMPUTED_VALUE"""),"Colombo")</f>
        <v/>
      </c>
      <c r="B688" s="45" t="n"/>
      <c r="C688" s="45">
        <f>IFERROR(__xludf.DUMMYFUNCTION("""COMPUTED_VALUE"""),3259512)</f>
        <v/>
      </c>
      <c r="D688" s="45" t="n"/>
      <c r="E688" s="45">
        <f>IFERROR(__xludf.DUMMYFUNCTION("""COMPUTED_VALUE"""),"CFS")</f>
        <v/>
      </c>
      <c r="F688" s="45">
        <f>IFERROR(__xludf.DUMMYFUNCTION("""COMPUTED_VALUE"""),"Inqube Global (PVT) Ltd")</f>
        <v/>
      </c>
      <c r="G688" s="45">
        <f>IFERROR(__xludf.DUMMYFUNCTION("""COMPUTED_VALUE"""),"Brandix Apparel Solutions Limited - Minuwangoda")</f>
        <v/>
      </c>
      <c r="H688" s="43">
        <f>IFERROR(__xludf.DUMMYFUNCTION("""COMPUTED_VALUE"""),454521681760)</f>
        <v/>
      </c>
      <c r="I688" s="45">
        <f>IFERROR(__xludf.DUMMYFUNCTION("""COMPUTED_VALUE"""),19855050)</f>
        <v/>
      </c>
      <c r="J688" s="45">
        <f>IFERROR(__xludf.DUMMYFUNCTION("""COMPUTED_VALUE"""),"LW3ISOS")</f>
        <v/>
      </c>
      <c r="K688" s="45">
        <f>IFERROR(__xludf.DUMMYFUNCTION("""COMPUTED_VALUE"""),"LW3ISOS-0001")</f>
        <v/>
      </c>
      <c r="L688" s="45">
        <f>IFERROR(__xludf.DUMMYFUNCTION("""COMPUTED_VALUE"""),3)</f>
        <v/>
      </c>
      <c r="M688" s="45">
        <f>IFERROR(__xludf.DUMMYFUNCTION("""COMPUTED_VALUE"""),217)</f>
        <v/>
      </c>
      <c r="N688" s="45">
        <f>IFERROR(__xludf.DUMMYFUNCTION("""COMPUTED_VALUE"""),38.09)</f>
        <v/>
      </c>
      <c r="O688" s="45">
        <f>IFERROR(__xludf.DUMMYFUNCTION("""COMPUTED_VALUE"""),0.236)</f>
        <v/>
      </c>
      <c r="P688" s="45">
        <f>IFERROR(__xludf.DUMMYFUNCTION("""COMPUTED_VALUE"""),"Colombo, LK")</f>
        <v/>
      </c>
      <c r="Q688" s="45">
        <f>IFERROR(__xludf.DUMMYFUNCTION("""COMPUTED_VALUE"""),"New York, NY, US")</f>
        <v/>
      </c>
      <c r="R688" s="44">
        <f>IFERROR(__xludf.DUMMYFUNCTION("""COMPUTED_VALUE"""),45831)</f>
        <v/>
      </c>
      <c r="S688" s="44">
        <f>IFERROR(__xludf.DUMMYFUNCTION("""COMPUTED_VALUE"""),45890)</f>
        <v/>
      </c>
      <c r="T688" s="45">
        <f>IFERROR(__xludf.DUMMYFUNCTION("""COMPUTED_VALUE"""),"Mississauga, ON, CA")</f>
        <v/>
      </c>
      <c r="U688" s="45" t="n"/>
      <c r="V688" s="45" t="n"/>
      <c r="W688" s="45" t="n"/>
      <c r="X688" s="45" t="n"/>
      <c r="Y688" s="46">
        <f>IFERROR(__xludf.DUMMYFUNCTION("""COMPUTED_VALUE"""),45838)</f>
        <v/>
      </c>
      <c r="Z688" s="46">
        <f>IFERROR(__xludf.DUMMYFUNCTION("""COMPUTED_VALUE"""),45859)</f>
        <v/>
      </c>
      <c r="AA688" s="46">
        <f>IFERROR(__xludf.DUMMYFUNCTION("""COMPUTED_VALUE"""),45859)</f>
        <v/>
      </c>
      <c r="AB688" s="45">
        <f>IFERROR(__xludf.DUMMYFUNCTION("""COMPUTED_VALUE"""),"3500 Argentia Road")</f>
        <v/>
      </c>
      <c r="AC688" s="45" t="n"/>
      <c r="AD688" s="45">
        <f>IFERROR(__xludf.DUMMYFUNCTION("""COMPUTED_VALUE"""),"OCEAN")</f>
        <v/>
      </c>
      <c r="AE688" s="45">
        <f>IFERROR(__xludf.DUMMYFUNCTION("""COMPUTED_VALUE"""),"N")</f>
        <v/>
      </c>
      <c r="AF688" s="45" t="n"/>
      <c r="AG688" s="49">
        <f>IFERROR(__xludf.DUMMYFUNCTION("IFNA(vlookup(H688,IMPORTRANGE(""1vUGwO1n0QQGx9kKbO0_M5gmuhXZ6-LaxQxgrmJnzgP0"",""'TP# look up'!A:C""),3,0),"""")"),"")</f>
        <v/>
      </c>
      <c r="AH688" s="49">
        <f>LEFT(J688,2)</f>
        <v/>
      </c>
    </row>
    <row r="689" ht="12.75" customHeight="1">
      <c r="A689" s="45">
        <f>IFERROR(__xludf.DUMMYFUNCTION("""COMPUTED_VALUE"""),"Colombo")</f>
        <v/>
      </c>
      <c r="B689" s="45" t="n"/>
      <c r="C689" s="45">
        <f>IFERROR(__xludf.DUMMYFUNCTION("""COMPUTED_VALUE"""),3259512)</f>
        <v/>
      </c>
      <c r="D689" s="45" t="n"/>
      <c r="E689" s="45">
        <f>IFERROR(__xludf.DUMMYFUNCTION("""COMPUTED_VALUE"""),"CFS")</f>
        <v/>
      </c>
      <c r="F689" s="45">
        <f>IFERROR(__xludf.DUMMYFUNCTION("""COMPUTED_VALUE"""),"Inqube Global (PVT) Ltd")</f>
        <v/>
      </c>
      <c r="G689" s="45">
        <f>IFERROR(__xludf.DUMMYFUNCTION("""COMPUTED_VALUE"""),"Brandix Apparel Solutions Limited - Minuwangoda")</f>
        <v/>
      </c>
      <c r="H689" s="43">
        <f>IFERROR(__xludf.DUMMYFUNCTION("""COMPUTED_VALUE"""),454521796521)</f>
        <v/>
      </c>
      <c r="I689" s="45">
        <f>IFERROR(__xludf.DUMMYFUNCTION("""COMPUTED_VALUE"""),19925111)</f>
        <v/>
      </c>
      <c r="J689" s="45">
        <f>IFERROR(__xludf.DUMMYFUNCTION("""COMPUTED_VALUE"""),"LW5GLNS")</f>
        <v/>
      </c>
      <c r="K689" s="45">
        <f>IFERROR(__xludf.DUMMYFUNCTION("""COMPUTED_VALUE"""),"LW5GLNS-035486")</f>
        <v/>
      </c>
      <c r="L689" s="45">
        <f>IFERROR(__xludf.DUMMYFUNCTION("""COMPUTED_VALUE"""),13)</f>
        <v/>
      </c>
      <c r="M689" s="45">
        <f>IFERROR(__xludf.DUMMYFUNCTION("""COMPUTED_VALUE"""),264)</f>
        <v/>
      </c>
      <c r="N689" s="45">
        <f>IFERROR(__xludf.DUMMYFUNCTION("""COMPUTED_VALUE"""),133.91)</f>
        <v/>
      </c>
      <c r="O689" s="45">
        <f>IFERROR(__xludf.DUMMYFUNCTION("""COMPUTED_VALUE"""),1.021)</f>
        <v/>
      </c>
      <c r="P689" s="45">
        <f>IFERROR(__xludf.DUMMYFUNCTION("""COMPUTED_VALUE"""),"Colombo, LK")</f>
        <v/>
      </c>
      <c r="Q689" s="45">
        <f>IFERROR(__xludf.DUMMYFUNCTION("""COMPUTED_VALUE"""),"New York, NY, US")</f>
        <v/>
      </c>
      <c r="R689" s="44">
        <f>IFERROR(__xludf.DUMMYFUNCTION("""COMPUTED_VALUE"""),45831)</f>
        <v/>
      </c>
      <c r="S689" s="44">
        <f>IFERROR(__xludf.DUMMYFUNCTION("""COMPUTED_VALUE"""),45890)</f>
        <v/>
      </c>
      <c r="T689" s="45">
        <f>IFERROR(__xludf.DUMMYFUNCTION("""COMPUTED_VALUE"""),"Mississauga, ON, CA")</f>
        <v/>
      </c>
      <c r="U689" s="45" t="n"/>
      <c r="V689" s="45" t="n"/>
      <c r="W689" s="45" t="n"/>
      <c r="X689" s="45" t="n"/>
      <c r="Y689" s="46">
        <f>IFERROR(__xludf.DUMMYFUNCTION("""COMPUTED_VALUE"""),45838)</f>
        <v/>
      </c>
      <c r="Z689" s="46">
        <f>IFERROR(__xludf.DUMMYFUNCTION("""COMPUTED_VALUE"""),45859)</f>
        <v/>
      </c>
      <c r="AA689" s="46">
        <f>IFERROR(__xludf.DUMMYFUNCTION("""COMPUTED_VALUE"""),45859)</f>
        <v/>
      </c>
      <c r="AB689" s="45">
        <f>IFERROR(__xludf.DUMMYFUNCTION("""COMPUTED_VALUE"""),"3500 Argentia Road")</f>
        <v/>
      </c>
      <c r="AC689" s="45" t="n"/>
      <c r="AD689" s="45">
        <f>IFERROR(__xludf.DUMMYFUNCTION("""COMPUTED_VALUE"""),"OCEAN")</f>
        <v/>
      </c>
      <c r="AE689" s="45">
        <f>IFERROR(__xludf.DUMMYFUNCTION("""COMPUTED_VALUE"""),"N")</f>
        <v/>
      </c>
      <c r="AF689" s="45" t="n"/>
      <c r="AG689" s="49">
        <f>IFERROR(__xludf.DUMMYFUNCTION("IFNA(vlookup(H689,IMPORTRANGE(""1vUGwO1n0QQGx9kKbO0_M5gmuhXZ6-LaxQxgrmJnzgP0"",""'TP# look up'!A:C""),3,0),"""")"),"")</f>
        <v/>
      </c>
      <c r="AH689" s="49">
        <f>LEFT(J689,2)</f>
        <v/>
      </c>
    </row>
    <row r="690" ht="12.75" customHeight="1">
      <c r="A690" s="45">
        <f>IFERROR(__xludf.DUMMYFUNCTION("""COMPUTED_VALUE"""),"Colombo")</f>
        <v/>
      </c>
      <c r="B690" s="45" t="n"/>
      <c r="C690" s="45">
        <f>IFERROR(__xludf.DUMMYFUNCTION("""COMPUTED_VALUE"""),3259512)</f>
        <v/>
      </c>
      <c r="D690" s="45" t="n"/>
      <c r="E690" s="45">
        <f>IFERROR(__xludf.DUMMYFUNCTION("""COMPUTED_VALUE"""),"CFS")</f>
        <v/>
      </c>
      <c r="F690" s="45">
        <f>IFERROR(__xludf.DUMMYFUNCTION("""COMPUTED_VALUE"""),"Inqube Global (PVT) Ltd")</f>
        <v/>
      </c>
      <c r="G690" s="45">
        <f>IFERROR(__xludf.DUMMYFUNCTION("""COMPUTED_VALUE"""),"Brandix Apparel Solutions Limited - Minuwangoda")</f>
        <v/>
      </c>
      <c r="H690" s="43">
        <f>IFERROR(__xludf.DUMMYFUNCTION("""COMPUTED_VALUE"""),454522464682)</f>
        <v/>
      </c>
      <c r="I690" s="45">
        <f>IFERROR(__xludf.DUMMYFUNCTION("""COMPUTED_VALUE"""),19855142)</f>
        <v/>
      </c>
      <c r="J690" s="45">
        <f>IFERROR(__xludf.DUMMYFUNCTION("""COMPUTED_VALUE"""),"LW3ISOS")</f>
        <v/>
      </c>
      <c r="K690" s="45">
        <f>IFERROR(__xludf.DUMMYFUNCTION("""COMPUTED_VALUE"""),"LW3ISOS-0001")</f>
        <v/>
      </c>
      <c r="L690" s="45">
        <f>IFERROR(__xludf.DUMMYFUNCTION("""COMPUTED_VALUE"""),4)</f>
        <v/>
      </c>
      <c r="M690" s="45">
        <f>IFERROR(__xludf.DUMMYFUNCTION("""COMPUTED_VALUE"""),320)</f>
        <v/>
      </c>
      <c r="N690" s="45">
        <f>IFERROR(__xludf.DUMMYFUNCTION("""COMPUTED_VALUE"""),55.83)</f>
        <v/>
      </c>
      <c r="O690" s="45">
        <f>IFERROR(__xludf.DUMMYFUNCTION("""COMPUTED_VALUE"""),0.314)</f>
        <v/>
      </c>
      <c r="P690" s="45">
        <f>IFERROR(__xludf.DUMMYFUNCTION("""COMPUTED_VALUE"""),"Colombo, LK")</f>
        <v/>
      </c>
      <c r="Q690" s="45">
        <f>IFERROR(__xludf.DUMMYFUNCTION("""COMPUTED_VALUE"""),"New York, NY, US")</f>
        <v/>
      </c>
      <c r="R690" s="44">
        <f>IFERROR(__xludf.DUMMYFUNCTION("""COMPUTED_VALUE"""),45831)</f>
        <v/>
      </c>
      <c r="S690" s="44">
        <f>IFERROR(__xludf.DUMMYFUNCTION("""COMPUTED_VALUE"""),45890)</f>
        <v/>
      </c>
      <c r="T690" s="45">
        <f>IFERROR(__xludf.DUMMYFUNCTION("""COMPUTED_VALUE"""),"Mississauga, ON, CA")</f>
        <v/>
      </c>
      <c r="U690" s="45" t="n"/>
      <c r="V690" s="45" t="n"/>
      <c r="W690" s="45" t="n"/>
      <c r="X690" s="45" t="n"/>
      <c r="Y690" s="46">
        <f>IFERROR(__xludf.DUMMYFUNCTION("""COMPUTED_VALUE"""),45838)</f>
        <v/>
      </c>
      <c r="Z690" s="46">
        <f>IFERROR(__xludf.DUMMYFUNCTION("""COMPUTED_VALUE"""),45859)</f>
        <v/>
      </c>
      <c r="AA690" s="46">
        <f>IFERROR(__xludf.DUMMYFUNCTION("""COMPUTED_VALUE"""),45859)</f>
        <v/>
      </c>
      <c r="AB690" s="45">
        <f>IFERROR(__xludf.DUMMYFUNCTION("""COMPUTED_VALUE"""),"3500 Argentia Road")</f>
        <v/>
      </c>
      <c r="AC690" s="45" t="n"/>
      <c r="AD690" s="45">
        <f>IFERROR(__xludf.DUMMYFUNCTION("""COMPUTED_VALUE"""),"OCEAN")</f>
        <v/>
      </c>
      <c r="AE690" s="45">
        <f>IFERROR(__xludf.DUMMYFUNCTION("""COMPUTED_VALUE"""),"N")</f>
        <v/>
      </c>
      <c r="AF690" s="45" t="n"/>
      <c r="AG690" s="49">
        <f>IFERROR(__xludf.DUMMYFUNCTION("IFNA(vlookup(H690,IMPORTRANGE(""1vUGwO1n0QQGx9kKbO0_M5gmuhXZ6-LaxQxgrmJnzgP0"",""'TP# look up'!A:C""),3,0),"""")"),"")</f>
        <v/>
      </c>
      <c r="AH690" s="49">
        <f>LEFT(J690,2)</f>
        <v/>
      </c>
    </row>
    <row r="691" ht="12.75" customHeight="1">
      <c r="A691" s="45">
        <f>IFERROR(__xludf.DUMMYFUNCTION("""COMPUTED_VALUE"""),"Colombo")</f>
        <v/>
      </c>
      <c r="B691" s="45" t="n"/>
      <c r="C691" s="45">
        <f>IFERROR(__xludf.DUMMYFUNCTION("""COMPUTED_VALUE"""),3259512)</f>
        <v/>
      </c>
      <c r="D691" s="45" t="n"/>
      <c r="E691" s="45">
        <f>IFERROR(__xludf.DUMMYFUNCTION("""COMPUTED_VALUE"""),"CFS")</f>
        <v/>
      </c>
      <c r="F691" s="45">
        <f>IFERROR(__xludf.DUMMYFUNCTION("""COMPUTED_VALUE"""),"Inqube Global (PVT) Ltd")</f>
        <v/>
      </c>
      <c r="G691" s="45">
        <f>IFERROR(__xludf.DUMMYFUNCTION("""COMPUTED_VALUE"""),"Brandix Apparel Solutions Limited - Minuwangoda")</f>
        <v/>
      </c>
      <c r="H691" s="43">
        <f>IFERROR(__xludf.DUMMYFUNCTION("""COMPUTED_VALUE"""),454522465755)</f>
        <v/>
      </c>
      <c r="I691" s="45">
        <f>IFERROR(__xludf.DUMMYFUNCTION("""COMPUTED_VALUE"""),19910643)</f>
        <v/>
      </c>
      <c r="J691" s="45">
        <f>IFERROR(__xludf.DUMMYFUNCTION("""COMPUTED_VALUE"""),"LW5GLNS")</f>
        <v/>
      </c>
      <c r="K691" s="45">
        <f>IFERROR(__xludf.DUMMYFUNCTION("""COMPUTED_VALUE"""),"LW5GLNS-035486")</f>
        <v/>
      </c>
      <c r="L691" s="45">
        <f>IFERROR(__xludf.DUMMYFUNCTION("""COMPUTED_VALUE"""),26)</f>
        <v/>
      </c>
      <c r="M691" s="45">
        <f>IFERROR(__xludf.DUMMYFUNCTION("""COMPUTED_VALUE"""),551)</f>
        <v/>
      </c>
      <c r="N691" s="45">
        <f>IFERROR(__xludf.DUMMYFUNCTION("""COMPUTED_VALUE"""),278.33)</f>
        <v/>
      </c>
      <c r="O691" s="45">
        <f>IFERROR(__xludf.DUMMYFUNCTION("""COMPUTED_VALUE"""),2.041)</f>
        <v/>
      </c>
      <c r="P691" s="45">
        <f>IFERROR(__xludf.DUMMYFUNCTION("""COMPUTED_VALUE"""),"Colombo, LK")</f>
        <v/>
      </c>
      <c r="Q691" s="45">
        <f>IFERROR(__xludf.DUMMYFUNCTION("""COMPUTED_VALUE"""),"New York, NY, US")</f>
        <v/>
      </c>
      <c r="R691" s="44">
        <f>IFERROR(__xludf.DUMMYFUNCTION("""COMPUTED_VALUE"""),45831)</f>
        <v/>
      </c>
      <c r="S691" s="44">
        <f>IFERROR(__xludf.DUMMYFUNCTION("""COMPUTED_VALUE"""),45890)</f>
        <v/>
      </c>
      <c r="T691" s="45">
        <f>IFERROR(__xludf.DUMMYFUNCTION("""COMPUTED_VALUE"""),"Mississauga, ON, CA")</f>
        <v/>
      </c>
      <c r="U691" s="45" t="n"/>
      <c r="V691" s="45" t="n"/>
      <c r="W691" s="45" t="n"/>
      <c r="X691" s="45" t="n"/>
      <c r="Y691" s="46">
        <f>IFERROR(__xludf.DUMMYFUNCTION("""COMPUTED_VALUE"""),45838)</f>
        <v/>
      </c>
      <c r="Z691" s="46">
        <f>IFERROR(__xludf.DUMMYFUNCTION("""COMPUTED_VALUE"""),45859)</f>
        <v/>
      </c>
      <c r="AA691" s="46">
        <f>IFERROR(__xludf.DUMMYFUNCTION("""COMPUTED_VALUE"""),45859)</f>
        <v/>
      </c>
      <c r="AB691" s="45">
        <f>IFERROR(__xludf.DUMMYFUNCTION("""COMPUTED_VALUE"""),"3500 Argentia Road")</f>
        <v/>
      </c>
      <c r="AC691" s="45" t="n"/>
      <c r="AD691" s="45">
        <f>IFERROR(__xludf.DUMMYFUNCTION("""COMPUTED_VALUE"""),"OCEAN")</f>
        <v/>
      </c>
      <c r="AE691" s="45">
        <f>IFERROR(__xludf.DUMMYFUNCTION("""COMPUTED_VALUE"""),"N")</f>
        <v/>
      </c>
      <c r="AF691" s="45" t="n"/>
      <c r="AG691" s="49">
        <f>IFERROR(__xludf.DUMMYFUNCTION("IFNA(vlookup(H691,IMPORTRANGE(""1vUGwO1n0QQGx9kKbO0_M5gmuhXZ6-LaxQxgrmJnzgP0"",""'TP# look up'!A:C""),3,0),"""")"),"")</f>
        <v/>
      </c>
      <c r="AH691" s="49">
        <f>LEFT(J691,2)</f>
        <v/>
      </c>
    </row>
    <row r="692" ht="12.75" customHeight="1">
      <c r="A692" s="45">
        <f>IFERROR(__xludf.DUMMYFUNCTION("""COMPUTED_VALUE"""),"Colombo")</f>
        <v/>
      </c>
      <c r="B692" s="45" t="n"/>
      <c r="C692" s="45">
        <f>IFERROR(__xludf.DUMMYFUNCTION("""COMPUTED_VALUE"""),3259512)</f>
        <v/>
      </c>
      <c r="D692" s="45" t="n"/>
      <c r="E692" s="45">
        <f>IFERROR(__xludf.DUMMYFUNCTION("""COMPUTED_VALUE"""),"CFS")</f>
        <v/>
      </c>
      <c r="F692" s="45">
        <f>IFERROR(__xludf.DUMMYFUNCTION("""COMPUTED_VALUE"""),"Inqube Global (PVT) Ltd")</f>
        <v/>
      </c>
      <c r="G692" s="45">
        <f>IFERROR(__xludf.DUMMYFUNCTION("""COMPUTED_VALUE"""),"Brandix Apparel Solutions Limited - Minuwangoda")</f>
        <v/>
      </c>
      <c r="H692" s="43">
        <f>IFERROR(__xludf.DUMMYFUNCTION("""COMPUTED_VALUE"""),454724988297)</f>
        <v/>
      </c>
      <c r="I692" s="45">
        <f>IFERROR(__xludf.DUMMYFUNCTION("""COMPUTED_VALUE"""),19855052)</f>
        <v/>
      </c>
      <c r="J692" s="45">
        <f>IFERROR(__xludf.DUMMYFUNCTION("""COMPUTED_VALUE"""),"LW3ISOS")</f>
        <v/>
      </c>
      <c r="K692" s="45">
        <f>IFERROR(__xludf.DUMMYFUNCTION("""COMPUTED_VALUE"""),"LW3ISOS-033454")</f>
        <v/>
      </c>
      <c r="L692" s="45">
        <f>IFERROR(__xludf.DUMMYFUNCTION("""COMPUTED_VALUE"""),5)</f>
        <v/>
      </c>
      <c r="M692" s="45">
        <f>IFERROR(__xludf.DUMMYFUNCTION("""COMPUTED_VALUE"""),453)</f>
        <v/>
      </c>
      <c r="N692" s="45">
        <f>IFERROR(__xludf.DUMMYFUNCTION("""COMPUTED_VALUE"""),78.68)</f>
        <v/>
      </c>
      <c r="O692" s="45">
        <f>IFERROR(__xludf.DUMMYFUNCTION("""COMPUTED_VALUE"""),0.393)</f>
        <v/>
      </c>
      <c r="P692" s="45">
        <f>IFERROR(__xludf.DUMMYFUNCTION("""COMPUTED_VALUE"""),"Colombo, LK")</f>
        <v/>
      </c>
      <c r="Q692" s="45">
        <f>IFERROR(__xludf.DUMMYFUNCTION("""COMPUTED_VALUE"""),"New York, NY, US")</f>
        <v/>
      </c>
      <c r="R692" s="44">
        <f>IFERROR(__xludf.DUMMYFUNCTION("""COMPUTED_VALUE"""),45831)</f>
        <v/>
      </c>
      <c r="S692" s="44">
        <f>IFERROR(__xludf.DUMMYFUNCTION("""COMPUTED_VALUE"""),45890)</f>
        <v/>
      </c>
      <c r="T692" s="45">
        <f>IFERROR(__xludf.DUMMYFUNCTION("""COMPUTED_VALUE"""),"Milton, ON, CA")</f>
        <v/>
      </c>
      <c r="U692" s="45" t="n"/>
      <c r="V692" s="45" t="n"/>
      <c r="W692" s="45" t="n"/>
      <c r="X692" s="45" t="n"/>
      <c r="Y692" s="46">
        <f>IFERROR(__xludf.DUMMYFUNCTION("""COMPUTED_VALUE"""),45838)</f>
        <v/>
      </c>
      <c r="Z692" s="46">
        <f>IFERROR(__xludf.DUMMYFUNCTION("""COMPUTED_VALUE"""),45859)</f>
        <v/>
      </c>
      <c r="AA692" s="46">
        <f>IFERROR(__xludf.DUMMYFUNCTION("""COMPUTED_VALUE"""),45859)</f>
        <v/>
      </c>
      <c r="AB692" s="45">
        <f>IFERROR(__xludf.DUMMYFUNCTION("""COMPUTED_VALUE"""),"7211 Fifth Line")</f>
        <v/>
      </c>
      <c r="AC692" s="45" t="n"/>
      <c r="AD692" s="45">
        <f>IFERROR(__xludf.DUMMYFUNCTION("""COMPUTED_VALUE"""),"OCEAN")</f>
        <v/>
      </c>
      <c r="AE692" s="45">
        <f>IFERROR(__xludf.DUMMYFUNCTION("""COMPUTED_VALUE"""),"N")</f>
        <v/>
      </c>
      <c r="AF692" s="45" t="n"/>
      <c r="AG692" s="49">
        <f>IFERROR(__xludf.DUMMYFUNCTION("IFNA(vlookup(H692,IMPORTRANGE(""1vUGwO1n0QQGx9kKbO0_M5gmuhXZ6-LaxQxgrmJnzgP0"",""'TP# look up'!A:C""),3,0),"""")"),"")</f>
        <v/>
      </c>
      <c r="AH692" s="49">
        <f>LEFT(J692,2)</f>
        <v/>
      </c>
    </row>
    <row r="693" ht="12.75" customHeight="1">
      <c r="A693" s="45">
        <f>IFERROR(__xludf.DUMMYFUNCTION("""COMPUTED_VALUE"""),"Colombo")</f>
        <v/>
      </c>
      <c r="B693" s="45" t="n"/>
      <c r="C693" s="45">
        <f>IFERROR(__xludf.DUMMYFUNCTION("""COMPUTED_VALUE"""),3259512)</f>
        <v/>
      </c>
      <c r="D693" s="45" t="n"/>
      <c r="E693" s="45">
        <f>IFERROR(__xludf.DUMMYFUNCTION("""COMPUTED_VALUE"""),"CFS")</f>
        <v/>
      </c>
      <c r="F693" s="45">
        <f>IFERROR(__xludf.DUMMYFUNCTION("""COMPUTED_VALUE"""),"Inqube Global (PVT) Ltd")</f>
        <v/>
      </c>
      <c r="G693" s="45">
        <f>IFERROR(__xludf.DUMMYFUNCTION("""COMPUTED_VALUE"""),"Brandix Apparel Solutions Limited - Minuwangoda")</f>
        <v/>
      </c>
      <c r="H693" s="43">
        <f>IFERROR(__xludf.DUMMYFUNCTION("""COMPUTED_VALUE"""),454724988682)</f>
        <v/>
      </c>
      <c r="I693" s="45">
        <f>IFERROR(__xludf.DUMMYFUNCTION("""COMPUTED_VALUE"""),19855148)</f>
        <v/>
      </c>
      <c r="J693" s="45">
        <f>IFERROR(__xludf.DUMMYFUNCTION("""COMPUTED_VALUE"""),"LW3ISOS")</f>
        <v/>
      </c>
      <c r="K693" s="45">
        <f>IFERROR(__xludf.DUMMYFUNCTION("""COMPUTED_VALUE"""),"LW3ISOS-033454")</f>
        <v/>
      </c>
      <c r="L693" s="45">
        <f>IFERROR(__xludf.DUMMYFUNCTION("""COMPUTED_VALUE"""),4)</f>
        <v/>
      </c>
      <c r="M693" s="45">
        <f>IFERROR(__xludf.DUMMYFUNCTION("""COMPUTED_VALUE"""),304)</f>
        <v/>
      </c>
      <c r="N693" s="45">
        <f>IFERROR(__xludf.DUMMYFUNCTION("""COMPUTED_VALUE"""),53.24)</f>
        <v/>
      </c>
      <c r="O693" s="45">
        <f>IFERROR(__xludf.DUMMYFUNCTION("""COMPUTED_VALUE"""),0.314)</f>
        <v/>
      </c>
      <c r="P693" s="45">
        <f>IFERROR(__xludf.DUMMYFUNCTION("""COMPUTED_VALUE"""),"Colombo, LK")</f>
        <v/>
      </c>
      <c r="Q693" s="45">
        <f>IFERROR(__xludf.DUMMYFUNCTION("""COMPUTED_VALUE"""),"New York, NY, US")</f>
        <v/>
      </c>
      <c r="R693" s="44">
        <f>IFERROR(__xludf.DUMMYFUNCTION("""COMPUTED_VALUE"""),45831)</f>
        <v/>
      </c>
      <c r="S693" s="44">
        <f>IFERROR(__xludf.DUMMYFUNCTION("""COMPUTED_VALUE"""),45890)</f>
        <v/>
      </c>
      <c r="T693" s="45">
        <f>IFERROR(__xludf.DUMMYFUNCTION("""COMPUTED_VALUE"""),"Mississauga, ON, CA")</f>
        <v/>
      </c>
      <c r="U693" s="45" t="n"/>
      <c r="V693" s="45" t="n"/>
      <c r="W693" s="45" t="n"/>
      <c r="X693" s="45" t="n"/>
      <c r="Y693" s="46">
        <f>IFERROR(__xludf.DUMMYFUNCTION("""COMPUTED_VALUE"""),45838)</f>
        <v/>
      </c>
      <c r="Z693" s="46">
        <f>IFERROR(__xludf.DUMMYFUNCTION("""COMPUTED_VALUE"""),45859)</f>
        <v/>
      </c>
      <c r="AA693" s="46">
        <f>IFERROR(__xludf.DUMMYFUNCTION("""COMPUTED_VALUE"""),45859)</f>
        <v/>
      </c>
      <c r="AB693" s="45">
        <f>IFERROR(__xludf.DUMMYFUNCTION("""COMPUTED_VALUE"""),"3500 Argentia Road")</f>
        <v/>
      </c>
      <c r="AC693" s="45" t="n"/>
      <c r="AD693" s="45">
        <f>IFERROR(__xludf.DUMMYFUNCTION("""COMPUTED_VALUE"""),"OCEAN")</f>
        <v/>
      </c>
      <c r="AE693" s="45">
        <f>IFERROR(__xludf.DUMMYFUNCTION("""COMPUTED_VALUE"""),"N")</f>
        <v/>
      </c>
      <c r="AF693" s="45" t="n"/>
      <c r="AG693" s="49">
        <f>IFERROR(__xludf.DUMMYFUNCTION("IFNA(vlookup(H693,IMPORTRANGE(""1vUGwO1n0QQGx9kKbO0_M5gmuhXZ6-LaxQxgrmJnzgP0"",""'TP# look up'!A:C""),3,0),"""")"),"")</f>
        <v/>
      </c>
      <c r="AH693" s="49">
        <f>LEFT(J693,2)</f>
        <v/>
      </c>
    </row>
    <row r="694" ht="12.75" customHeight="1">
      <c r="A694" s="45">
        <f>IFERROR(__xludf.DUMMYFUNCTION("""COMPUTED_VALUE"""),"Colombo")</f>
        <v/>
      </c>
      <c r="B694" s="45" t="n"/>
      <c r="C694" s="45">
        <f>IFERROR(__xludf.DUMMYFUNCTION("""COMPUTED_VALUE"""),3259512)</f>
        <v/>
      </c>
      <c r="D694" s="45" t="n"/>
      <c r="E694" s="45">
        <f>IFERROR(__xludf.DUMMYFUNCTION("""COMPUTED_VALUE"""),"CFS")</f>
        <v/>
      </c>
      <c r="F694" s="45">
        <f>IFERROR(__xludf.DUMMYFUNCTION("""COMPUTED_VALUE"""),"Inqube Global (PVT) Ltd")</f>
        <v/>
      </c>
      <c r="G694" s="45">
        <f>IFERROR(__xludf.DUMMYFUNCTION("""COMPUTED_VALUE"""),"Brandix Apparel Solutions Limited - Minuwangoda")</f>
        <v/>
      </c>
      <c r="H694" s="43">
        <f>IFERROR(__xludf.DUMMYFUNCTION("""COMPUTED_VALUE"""),454725776964)</f>
        <v/>
      </c>
      <c r="I694" s="45">
        <f>IFERROR(__xludf.DUMMYFUNCTION("""COMPUTED_VALUE"""),19910287)</f>
        <v/>
      </c>
      <c r="J694" s="45">
        <f>IFERROR(__xludf.DUMMYFUNCTION("""COMPUTED_VALUE"""),"LW3JE3S")</f>
        <v/>
      </c>
      <c r="K694" s="45">
        <f>IFERROR(__xludf.DUMMYFUNCTION("""COMPUTED_VALUE"""),"LW3JE3S-0002")</f>
        <v/>
      </c>
      <c r="L694" s="45">
        <f>IFERROR(__xludf.DUMMYFUNCTION("""COMPUTED_VALUE"""),10)</f>
        <v/>
      </c>
      <c r="M694" s="45">
        <f>IFERROR(__xludf.DUMMYFUNCTION("""COMPUTED_VALUE"""),229)</f>
        <v/>
      </c>
      <c r="N694" s="45">
        <f>IFERROR(__xludf.DUMMYFUNCTION("""COMPUTED_VALUE"""),101.18)</f>
        <v/>
      </c>
      <c r="O694" s="45">
        <f>IFERROR(__xludf.DUMMYFUNCTION("""COMPUTED_VALUE"""),0.785)</f>
        <v/>
      </c>
      <c r="P694" s="45">
        <f>IFERROR(__xludf.DUMMYFUNCTION("""COMPUTED_VALUE"""),"Colombo, LK")</f>
        <v/>
      </c>
      <c r="Q694" s="45">
        <f>IFERROR(__xludf.DUMMYFUNCTION("""COMPUTED_VALUE"""),"New York, NY, US")</f>
        <v/>
      </c>
      <c r="R694" s="44">
        <f>IFERROR(__xludf.DUMMYFUNCTION("""COMPUTED_VALUE"""),45831)</f>
        <v/>
      </c>
      <c r="S694" s="44">
        <f>IFERROR(__xludf.DUMMYFUNCTION("""COMPUTED_VALUE"""),45890)</f>
        <v/>
      </c>
      <c r="T694" s="45">
        <f>IFERROR(__xludf.DUMMYFUNCTION("""COMPUTED_VALUE"""),"Mississauga, ON, CA")</f>
        <v/>
      </c>
      <c r="U694" s="45" t="n"/>
      <c r="V694" s="45" t="n"/>
      <c r="W694" s="45" t="n"/>
      <c r="X694" s="45" t="n"/>
      <c r="Y694" s="46">
        <f>IFERROR(__xludf.DUMMYFUNCTION("""COMPUTED_VALUE"""),45838)</f>
        <v/>
      </c>
      <c r="Z694" s="46">
        <f>IFERROR(__xludf.DUMMYFUNCTION("""COMPUTED_VALUE"""),45859)</f>
        <v/>
      </c>
      <c r="AA694" s="46">
        <f>IFERROR(__xludf.DUMMYFUNCTION("""COMPUTED_VALUE"""),45859)</f>
        <v/>
      </c>
      <c r="AB694" s="45">
        <f>IFERROR(__xludf.DUMMYFUNCTION("""COMPUTED_VALUE"""),"3500 Argentia Road")</f>
        <v/>
      </c>
      <c r="AC694" s="45" t="n"/>
      <c r="AD694" s="45">
        <f>IFERROR(__xludf.DUMMYFUNCTION("""COMPUTED_VALUE"""),"OCEAN")</f>
        <v/>
      </c>
      <c r="AE694" s="45">
        <f>IFERROR(__xludf.DUMMYFUNCTION("""COMPUTED_VALUE"""),"N")</f>
        <v/>
      </c>
      <c r="AF694" s="45" t="n"/>
      <c r="AG694" s="49">
        <f>IFERROR(__xludf.DUMMYFUNCTION("IFNA(vlookup(H694,IMPORTRANGE(""1vUGwO1n0QQGx9kKbO0_M5gmuhXZ6-LaxQxgrmJnzgP0"",""'TP# look up'!A:C""),3,0),"""")"),"")</f>
        <v/>
      </c>
      <c r="AH694" s="49">
        <f>LEFT(J694,2)</f>
        <v/>
      </c>
    </row>
    <row r="695" ht="12.75" customHeight="1">
      <c r="A695" s="45">
        <f>IFERROR(__xludf.DUMMYFUNCTION("""COMPUTED_VALUE"""),"Colombo")</f>
        <v/>
      </c>
      <c r="B695" s="45" t="n"/>
      <c r="C695" s="45">
        <f>IFERROR(__xludf.DUMMYFUNCTION("""COMPUTED_VALUE"""),3259512)</f>
        <v/>
      </c>
      <c r="D695" s="45" t="n"/>
      <c r="E695" s="45">
        <f>IFERROR(__xludf.DUMMYFUNCTION("""COMPUTED_VALUE"""),"CFS")</f>
        <v/>
      </c>
      <c r="F695" s="45">
        <f>IFERROR(__xludf.DUMMYFUNCTION("""COMPUTED_VALUE"""),"Inqube Global (PVT) Ltd")</f>
        <v/>
      </c>
      <c r="G695" s="45">
        <f>IFERROR(__xludf.DUMMYFUNCTION("""COMPUTED_VALUE"""),"Brandix Apparel Solutions Limited - Minuwangoda")</f>
        <v/>
      </c>
      <c r="H695" s="43">
        <f>IFERROR(__xludf.DUMMYFUNCTION("""COMPUTED_VALUE"""),454725983625)</f>
        <v/>
      </c>
      <c r="I695" s="45">
        <f>IFERROR(__xludf.DUMMYFUNCTION("""COMPUTED_VALUE"""),19855054)</f>
        <v/>
      </c>
      <c r="J695" s="45">
        <f>IFERROR(__xludf.DUMMYFUNCTION("""COMPUTED_VALUE"""),"LW3ISOS")</f>
        <v/>
      </c>
      <c r="K695" s="45">
        <f>IFERROR(__xludf.DUMMYFUNCTION("""COMPUTED_VALUE"""),"LW3ISOS-033454")</f>
        <v/>
      </c>
      <c r="L695" s="45">
        <f>IFERROR(__xludf.DUMMYFUNCTION("""COMPUTED_VALUE"""),3)</f>
        <v/>
      </c>
      <c r="M695" s="45">
        <f>IFERROR(__xludf.DUMMYFUNCTION("""COMPUTED_VALUE"""),167)</f>
        <v/>
      </c>
      <c r="N695" s="45">
        <f>IFERROR(__xludf.DUMMYFUNCTION("""COMPUTED_VALUE"""),30.04)</f>
        <v/>
      </c>
      <c r="O695" s="45">
        <f>IFERROR(__xludf.DUMMYFUNCTION("""COMPUTED_VALUE"""),0.236)</f>
        <v/>
      </c>
      <c r="P695" s="45">
        <f>IFERROR(__xludf.DUMMYFUNCTION("""COMPUTED_VALUE"""),"Colombo, LK")</f>
        <v/>
      </c>
      <c r="Q695" s="45">
        <f>IFERROR(__xludf.DUMMYFUNCTION("""COMPUTED_VALUE"""),"New York, NY, US")</f>
        <v/>
      </c>
      <c r="R695" s="44">
        <f>IFERROR(__xludf.DUMMYFUNCTION("""COMPUTED_VALUE"""),45831)</f>
        <v/>
      </c>
      <c r="S695" s="44">
        <f>IFERROR(__xludf.DUMMYFUNCTION("""COMPUTED_VALUE"""),45890)</f>
        <v/>
      </c>
      <c r="T695" s="45">
        <f>IFERROR(__xludf.DUMMYFUNCTION("""COMPUTED_VALUE"""),"Mississauga, ON, CA")</f>
        <v/>
      </c>
      <c r="U695" s="45" t="n"/>
      <c r="V695" s="45" t="n"/>
      <c r="W695" s="45" t="n"/>
      <c r="X695" s="45" t="n"/>
      <c r="Y695" s="46">
        <f>IFERROR(__xludf.DUMMYFUNCTION("""COMPUTED_VALUE"""),45838)</f>
        <v/>
      </c>
      <c r="Z695" s="46">
        <f>IFERROR(__xludf.DUMMYFUNCTION("""COMPUTED_VALUE"""),45859)</f>
        <v/>
      </c>
      <c r="AA695" s="46">
        <f>IFERROR(__xludf.DUMMYFUNCTION("""COMPUTED_VALUE"""),45859)</f>
        <v/>
      </c>
      <c r="AB695" s="45">
        <f>IFERROR(__xludf.DUMMYFUNCTION("""COMPUTED_VALUE"""),"3500 Argentia Road")</f>
        <v/>
      </c>
      <c r="AC695" s="45" t="n"/>
      <c r="AD695" s="45">
        <f>IFERROR(__xludf.DUMMYFUNCTION("""COMPUTED_VALUE"""),"OCEAN")</f>
        <v/>
      </c>
      <c r="AE695" s="45">
        <f>IFERROR(__xludf.DUMMYFUNCTION("""COMPUTED_VALUE"""),"N")</f>
        <v/>
      </c>
      <c r="AF695" s="45" t="n"/>
      <c r="AG695" s="49">
        <f>IFERROR(__xludf.DUMMYFUNCTION("IFNA(vlookup(H695,IMPORTRANGE(""1vUGwO1n0QQGx9kKbO0_M5gmuhXZ6-LaxQxgrmJnzgP0"",""'TP# look up'!A:C""),3,0),"""")"),"")</f>
        <v/>
      </c>
      <c r="AH695" s="49">
        <f>LEFT(J695,2)</f>
        <v/>
      </c>
    </row>
    <row r="696" ht="12.75" customHeight="1">
      <c r="A696" s="45">
        <f>IFERROR(__xludf.DUMMYFUNCTION("""COMPUTED_VALUE"""),"Colombo")</f>
        <v/>
      </c>
      <c r="B696" s="45" t="n"/>
      <c r="C696" s="45">
        <f>IFERROR(__xludf.DUMMYFUNCTION("""COMPUTED_VALUE"""),3259512)</f>
        <v/>
      </c>
      <c r="D696" s="45" t="n"/>
      <c r="E696" s="45">
        <f>IFERROR(__xludf.DUMMYFUNCTION("""COMPUTED_VALUE"""),"CFS")</f>
        <v/>
      </c>
      <c r="F696" s="45">
        <f>IFERROR(__xludf.DUMMYFUNCTION("""COMPUTED_VALUE"""),"Inqube Global (PVT) Ltd")</f>
        <v/>
      </c>
      <c r="G696" s="45">
        <f>IFERROR(__xludf.DUMMYFUNCTION("""COMPUTED_VALUE"""),"Quantum Clothing Lanka (Pvt) Ltd")</f>
        <v/>
      </c>
      <c r="H696" s="43">
        <f>IFERROR(__xludf.DUMMYFUNCTION("""COMPUTED_VALUE"""),454534009102)</f>
        <v/>
      </c>
      <c r="I696" s="45">
        <f>IFERROR(__xludf.DUMMYFUNCTION("""COMPUTED_VALUE"""),19876916)</f>
        <v/>
      </c>
      <c r="J696" s="45">
        <f>IFERROR(__xludf.DUMMYFUNCTION("""COMPUTED_VALUE"""),"LW9FMOS")</f>
        <v/>
      </c>
      <c r="K696" s="45">
        <f>IFERROR(__xludf.DUMMYFUNCTION("""COMPUTED_VALUE"""),"LW9FMOS-071150")</f>
        <v/>
      </c>
      <c r="L696" s="45">
        <f>IFERROR(__xludf.DUMMYFUNCTION("""COMPUTED_VALUE"""),1)</f>
        <v/>
      </c>
      <c r="M696" s="45">
        <f>IFERROR(__xludf.DUMMYFUNCTION("""COMPUTED_VALUE"""),40)</f>
        <v/>
      </c>
      <c r="N696" s="45">
        <f>IFERROR(__xludf.DUMMYFUNCTION("""COMPUTED_VALUE"""),3.789)</f>
        <v/>
      </c>
      <c r="O696" s="45">
        <f>IFERROR(__xludf.DUMMYFUNCTION("""COMPUTED_VALUE"""),0.04)</f>
        <v/>
      </c>
      <c r="P696" s="45">
        <f>IFERROR(__xludf.DUMMYFUNCTION("""COMPUTED_VALUE"""),"Colombo, LK")</f>
        <v/>
      </c>
      <c r="Q696" s="45">
        <f>IFERROR(__xludf.DUMMYFUNCTION("""COMPUTED_VALUE"""),"New York, NY, US")</f>
        <v/>
      </c>
      <c r="R696" s="44">
        <f>IFERROR(__xludf.DUMMYFUNCTION("""COMPUTED_VALUE"""),45831)</f>
        <v/>
      </c>
      <c r="S696" s="44">
        <f>IFERROR(__xludf.DUMMYFUNCTION("""COMPUTED_VALUE"""),45890)</f>
        <v/>
      </c>
      <c r="T696" s="45">
        <f>IFERROR(__xludf.DUMMYFUNCTION("""COMPUTED_VALUE"""),"Mississauga, ON, CA")</f>
        <v/>
      </c>
      <c r="U696" s="45" t="n"/>
      <c r="V696" s="45" t="n"/>
      <c r="W696" s="45" t="n"/>
      <c r="X696" s="45" t="n"/>
      <c r="Y696" s="46">
        <f>IFERROR(__xludf.DUMMYFUNCTION("""COMPUTED_VALUE"""),45838)</f>
        <v/>
      </c>
      <c r="Z696" s="46">
        <f>IFERROR(__xludf.DUMMYFUNCTION("""COMPUTED_VALUE"""),45859)</f>
        <v/>
      </c>
      <c r="AA696" s="46">
        <f>IFERROR(__xludf.DUMMYFUNCTION("""COMPUTED_VALUE"""),45859)</f>
        <v/>
      </c>
      <c r="AB696" s="45">
        <f>IFERROR(__xludf.DUMMYFUNCTION("""COMPUTED_VALUE"""),"3500 Argentia Road")</f>
        <v/>
      </c>
      <c r="AC696" s="45" t="n"/>
      <c r="AD696" s="45">
        <f>IFERROR(__xludf.DUMMYFUNCTION("""COMPUTED_VALUE"""),"OCEAN")</f>
        <v/>
      </c>
      <c r="AE696" s="45">
        <f>IFERROR(__xludf.DUMMYFUNCTION("""COMPUTED_VALUE"""),"N")</f>
        <v/>
      </c>
      <c r="AF696" s="45" t="n"/>
      <c r="AG696" s="49">
        <f>IFERROR(__xludf.DUMMYFUNCTION("IFNA(vlookup(H696,IMPORTRANGE(""1vUGwO1n0QQGx9kKbO0_M5gmuhXZ6-LaxQxgrmJnzgP0"",""'TP# look up'!A:C""),3,0),"""")"),"")</f>
        <v/>
      </c>
      <c r="AH696" s="49">
        <f>LEFT(J696,2)</f>
        <v/>
      </c>
    </row>
    <row r="697" ht="12.75" customHeight="1">
      <c r="A697" s="45">
        <f>IFERROR(__xludf.DUMMYFUNCTION("""COMPUTED_VALUE"""),"Colombo")</f>
        <v/>
      </c>
      <c r="B697" s="45" t="n"/>
      <c r="C697" s="45">
        <f>IFERROR(__xludf.DUMMYFUNCTION("""COMPUTED_VALUE"""),3259512)</f>
        <v/>
      </c>
      <c r="D697" s="45" t="n"/>
      <c r="E697" s="45">
        <f>IFERROR(__xludf.DUMMYFUNCTION("""COMPUTED_VALUE"""),"CFS")</f>
        <v/>
      </c>
      <c r="F697" s="45">
        <f>IFERROR(__xludf.DUMMYFUNCTION("""COMPUTED_VALUE"""),"Inqube Global (PVT) Ltd")</f>
        <v/>
      </c>
      <c r="G697" s="45">
        <f>IFERROR(__xludf.DUMMYFUNCTION("""COMPUTED_VALUE"""),"Quantum Clothing Lanka (Pvt) Ltd")</f>
        <v/>
      </c>
      <c r="H697" s="43">
        <f>IFERROR(__xludf.DUMMYFUNCTION("""COMPUTED_VALUE"""),454534128458)</f>
        <v/>
      </c>
      <c r="I697" s="45">
        <f>IFERROR(__xludf.DUMMYFUNCTION("""COMPUTED_VALUE"""),19877012)</f>
        <v/>
      </c>
      <c r="J697" s="45">
        <f>IFERROR(__xludf.DUMMYFUNCTION("""COMPUTED_VALUE"""),"LW9FMPS")</f>
        <v/>
      </c>
      <c r="K697" s="45">
        <f>IFERROR(__xludf.DUMMYFUNCTION("""COMPUTED_VALUE"""),"LW9FMPS-071150")</f>
        <v/>
      </c>
      <c r="L697" s="45">
        <f>IFERROR(__xludf.DUMMYFUNCTION("""COMPUTED_VALUE"""),1)</f>
        <v/>
      </c>
      <c r="M697" s="45">
        <f>IFERROR(__xludf.DUMMYFUNCTION("""COMPUTED_VALUE"""),28)</f>
        <v/>
      </c>
      <c r="N697" s="45">
        <f>IFERROR(__xludf.DUMMYFUNCTION("""COMPUTED_VALUE"""),1.97)</f>
        <v/>
      </c>
      <c r="O697" s="45">
        <f>IFERROR(__xludf.DUMMYFUNCTION("""COMPUTED_VALUE"""),0.04)</f>
        <v/>
      </c>
      <c r="P697" s="45">
        <f>IFERROR(__xludf.DUMMYFUNCTION("""COMPUTED_VALUE"""),"Colombo, LK")</f>
        <v/>
      </c>
      <c r="Q697" s="45">
        <f>IFERROR(__xludf.DUMMYFUNCTION("""COMPUTED_VALUE"""),"New York, NY, US")</f>
        <v/>
      </c>
      <c r="R697" s="44">
        <f>IFERROR(__xludf.DUMMYFUNCTION("""COMPUTED_VALUE"""),45831)</f>
        <v/>
      </c>
      <c r="S697" s="44">
        <f>IFERROR(__xludf.DUMMYFUNCTION("""COMPUTED_VALUE"""),45890)</f>
        <v/>
      </c>
      <c r="T697" s="45">
        <f>IFERROR(__xludf.DUMMYFUNCTION("""COMPUTED_VALUE"""),"Mississauga, ON, CA")</f>
        <v/>
      </c>
      <c r="U697" s="45" t="n"/>
      <c r="V697" s="45" t="n"/>
      <c r="W697" s="45" t="n"/>
      <c r="X697" s="45" t="n"/>
      <c r="Y697" s="46">
        <f>IFERROR(__xludf.DUMMYFUNCTION("""COMPUTED_VALUE"""),45838)</f>
        <v/>
      </c>
      <c r="Z697" s="46">
        <f>IFERROR(__xludf.DUMMYFUNCTION("""COMPUTED_VALUE"""),45859)</f>
        <v/>
      </c>
      <c r="AA697" s="46">
        <f>IFERROR(__xludf.DUMMYFUNCTION("""COMPUTED_VALUE"""),45859)</f>
        <v/>
      </c>
      <c r="AB697" s="45">
        <f>IFERROR(__xludf.DUMMYFUNCTION("""COMPUTED_VALUE"""),"3500 Argentia Road")</f>
        <v/>
      </c>
      <c r="AC697" s="45" t="n"/>
      <c r="AD697" s="45">
        <f>IFERROR(__xludf.DUMMYFUNCTION("""COMPUTED_VALUE"""),"OCEAN")</f>
        <v/>
      </c>
      <c r="AE697" s="45">
        <f>IFERROR(__xludf.DUMMYFUNCTION("""COMPUTED_VALUE"""),"N")</f>
        <v/>
      </c>
      <c r="AF697" s="45" t="n"/>
      <c r="AG697" s="49">
        <f>IFERROR(__xludf.DUMMYFUNCTION("IFNA(vlookup(H697,IMPORTRANGE(""1vUGwO1n0QQGx9kKbO0_M5gmuhXZ6-LaxQxgrmJnzgP0"",""'TP# look up'!A:C""),3,0),"""")"),"")</f>
        <v/>
      </c>
      <c r="AH697" s="49">
        <f>LEFT(J697,2)</f>
        <v/>
      </c>
    </row>
    <row r="698" ht="12.75" customHeight="1">
      <c r="A698" s="45">
        <f>IFERROR(__xludf.DUMMYFUNCTION("""COMPUTED_VALUE"""),"Colombo")</f>
        <v/>
      </c>
      <c r="B698" s="45" t="n"/>
      <c r="C698" s="45">
        <f>IFERROR(__xludf.DUMMYFUNCTION("""COMPUTED_VALUE"""),3259512)</f>
        <v/>
      </c>
      <c r="D698" s="45" t="n"/>
      <c r="E698" s="45">
        <f>IFERROR(__xludf.DUMMYFUNCTION("""COMPUTED_VALUE"""),"CFS")</f>
        <v/>
      </c>
      <c r="F698" s="45">
        <f>IFERROR(__xludf.DUMMYFUNCTION("""COMPUTED_VALUE"""),"MAS AMITY PTE LTD")</f>
        <v/>
      </c>
      <c r="G698" s="45">
        <f>IFERROR(__xludf.DUMMYFUNCTION("""COMPUTED_VALUE"""),"MAS Active (Pvt) Ltd – Shadowline")</f>
        <v/>
      </c>
      <c r="H698" s="43">
        <f>IFERROR(__xludf.DUMMYFUNCTION("""COMPUTED_VALUE"""),454992711828)</f>
        <v/>
      </c>
      <c r="I698" s="45">
        <f>IFERROR(__xludf.DUMMYFUNCTION("""COMPUTED_VALUE"""),19938186)</f>
        <v/>
      </c>
      <c r="J698" s="45">
        <f>IFERROR(__xludf.DUMMYFUNCTION("""COMPUTED_VALUE"""),"LW5FLOS")</f>
        <v/>
      </c>
      <c r="K698" s="45">
        <f>IFERROR(__xludf.DUMMYFUNCTION("""COMPUTED_VALUE"""),"LW5FLOS-041179")</f>
        <v/>
      </c>
      <c r="L698" s="45">
        <f>IFERROR(__xludf.DUMMYFUNCTION("""COMPUTED_VALUE"""),8)</f>
        <v/>
      </c>
      <c r="M698" s="45">
        <f>IFERROR(__xludf.DUMMYFUNCTION("""COMPUTED_VALUE"""),361)</f>
        <v/>
      </c>
      <c r="N698" s="45">
        <f>IFERROR(__xludf.DUMMYFUNCTION("""COMPUTED_VALUE"""),81.311)</f>
        <v/>
      </c>
      <c r="O698" s="45">
        <f>IFERROR(__xludf.DUMMYFUNCTION("""COMPUTED_VALUE"""),0.632)</f>
        <v/>
      </c>
      <c r="P698" s="45">
        <f>IFERROR(__xludf.DUMMYFUNCTION("""COMPUTED_VALUE"""),"Colombo, LK")</f>
        <v/>
      </c>
      <c r="Q698" s="45">
        <f>IFERROR(__xludf.DUMMYFUNCTION("""COMPUTED_VALUE"""),"New York, NY, US")</f>
        <v/>
      </c>
      <c r="R698" s="44">
        <f>IFERROR(__xludf.DUMMYFUNCTION("""COMPUTED_VALUE"""),45831)</f>
        <v/>
      </c>
      <c r="S698" s="44">
        <f>IFERROR(__xludf.DUMMYFUNCTION("""COMPUTED_VALUE"""),45890)</f>
        <v/>
      </c>
      <c r="T698" s="45">
        <f>IFERROR(__xludf.DUMMYFUNCTION("""COMPUTED_VALUE"""),"Mississauga, ON, CA")</f>
        <v/>
      </c>
      <c r="U698" s="45" t="n"/>
      <c r="V698" s="45" t="n"/>
      <c r="W698" s="45" t="n"/>
      <c r="X698" s="45" t="n"/>
      <c r="Y698" s="46">
        <f>IFERROR(__xludf.DUMMYFUNCTION("""COMPUTED_VALUE"""),45838)</f>
        <v/>
      </c>
      <c r="Z698" s="46">
        <f>IFERROR(__xludf.DUMMYFUNCTION("""COMPUTED_VALUE"""),45859)</f>
        <v/>
      </c>
      <c r="AA698" s="46">
        <f>IFERROR(__xludf.DUMMYFUNCTION("""COMPUTED_VALUE"""),45859)</f>
        <v/>
      </c>
      <c r="AB698" s="45">
        <f>IFERROR(__xludf.DUMMYFUNCTION("""COMPUTED_VALUE"""),"3500 Argentia Road")</f>
        <v/>
      </c>
      <c r="AC698" s="45" t="n"/>
      <c r="AD698" s="45">
        <f>IFERROR(__xludf.DUMMYFUNCTION("""COMPUTED_VALUE"""),"OCEAN")</f>
        <v/>
      </c>
      <c r="AE698" s="45">
        <f>IFERROR(__xludf.DUMMYFUNCTION("""COMPUTED_VALUE"""),"N")</f>
        <v/>
      </c>
      <c r="AF698" s="45" t="n"/>
      <c r="AG698" s="49">
        <f>IFERROR(__xludf.DUMMYFUNCTION("IFNA(vlookup(H698,IMPORTRANGE(""1vUGwO1n0QQGx9kKbO0_M5gmuhXZ6-LaxQxgrmJnzgP0"",""'TP# look up'!A:C""),3,0),"""")"),"")</f>
        <v/>
      </c>
      <c r="AH698" s="49">
        <f>LEFT(J698,2)</f>
        <v/>
      </c>
    </row>
    <row r="699" ht="12.75" customHeight="1">
      <c r="A699" s="45">
        <f>IFERROR(__xludf.DUMMYFUNCTION("""COMPUTED_VALUE"""),"Colombo")</f>
        <v/>
      </c>
      <c r="B699" s="45" t="n"/>
      <c r="C699" s="45">
        <f>IFERROR(__xludf.DUMMYFUNCTION("""COMPUTED_VALUE"""),3259512)</f>
        <v/>
      </c>
      <c r="D699" s="45" t="n"/>
      <c r="E699" s="45">
        <f>IFERROR(__xludf.DUMMYFUNCTION("""COMPUTED_VALUE"""),"CFS")</f>
        <v/>
      </c>
      <c r="F699" s="45">
        <f>IFERROR(__xludf.DUMMYFUNCTION("""COMPUTED_VALUE"""),"MAS AMITY PTE LTD")</f>
        <v/>
      </c>
      <c r="G699" s="45">
        <f>IFERROR(__xludf.DUMMYFUNCTION("""COMPUTED_VALUE"""),"MAS Active (Pvt) Ltd – Shadowline")</f>
        <v/>
      </c>
      <c r="H699" s="43">
        <f>IFERROR(__xludf.DUMMYFUNCTION("""COMPUTED_VALUE"""),454994262848)</f>
        <v/>
      </c>
      <c r="I699" s="45">
        <f>IFERROR(__xludf.DUMMYFUNCTION("""COMPUTED_VALUE"""),19923533)</f>
        <v/>
      </c>
      <c r="J699" s="45">
        <f>IFERROR(__xludf.DUMMYFUNCTION("""COMPUTED_VALUE"""),"LW5FLOS")</f>
        <v/>
      </c>
      <c r="K699" s="45">
        <f>IFERROR(__xludf.DUMMYFUNCTION("""COMPUTED_VALUE"""),"LW5FLOS-0001")</f>
        <v/>
      </c>
      <c r="L699" s="45">
        <f>IFERROR(__xludf.DUMMYFUNCTION("""COMPUTED_VALUE"""),10)</f>
        <v/>
      </c>
      <c r="M699" s="45">
        <f>IFERROR(__xludf.DUMMYFUNCTION("""COMPUTED_VALUE"""),465)</f>
        <v/>
      </c>
      <c r="N699" s="45">
        <f>IFERROR(__xludf.DUMMYFUNCTION("""COMPUTED_VALUE"""),103.582)</f>
        <v/>
      </c>
      <c r="O699" s="45">
        <f>IFERROR(__xludf.DUMMYFUNCTION("""COMPUTED_VALUE"""),0.632)</f>
        <v/>
      </c>
      <c r="P699" s="45">
        <f>IFERROR(__xludf.DUMMYFUNCTION("""COMPUTED_VALUE"""),"Colombo, LK")</f>
        <v/>
      </c>
      <c r="Q699" s="45">
        <f>IFERROR(__xludf.DUMMYFUNCTION("""COMPUTED_VALUE"""),"New York, NY, US")</f>
        <v/>
      </c>
      <c r="R699" s="44">
        <f>IFERROR(__xludf.DUMMYFUNCTION("""COMPUTED_VALUE"""),45831)</f>
        <v/>
      </c>
      <c r="S699" s="44">
        <f>IFERROR(__xludf.DUMMYFUNCTION("""COMPUTED_VALUE"""),45890)</f>
        <v/>
      </c>
      <c r="T699" s="45">
        <f>IFERROR(__xludf.DUMMYFUNCTION("""COMPUTED_VALUE"""),"Mississauga, ON, CA")</f>
        <v/>
      </c>
      <c r="U699" s="45" t="n"/>
      <c r="V699" s="45" t="n"/>
      <c r="W699" s="45" t="n"/>
      <c r="X699" s="45" t="n"/>
      <c r="Y699" s="46">
        <f>IFERROR(__xludf.DUMMYFUNCTION("""COMPUTED_VALUE"""),45838)</f>
        <v/>
      </c>
      <c r="Z699" s="46">
        <f>IFERROR(__xludf.DUMMYFUNCTION("""COMPUTED_VALUE"""),45859)</f>
        <v/>
      </c>
      <c r="AA699" s="46">
        <f>IFERROR(__xludf.DUMMYFUNCTION("""COMPUTED_VALUE"""),45859)</f>
        <v/>
      </c>
      <c r="AB699" s="45">
        <f>IFERROR(__xludf.DUMMYFUNCTION("""COMPUTED_VALUE"""),"3500 Argentia Road")</f>
        <v/>
      </c>
      <c r="AC699" s="45" t="n"/>
      <c r="AD699" s="45">
        <f>IFERROR(__xludf.DUMMYFUNCTION("""COMPUTED_VALUE"""),"OCEAN")</f>
        <v/>
      </c>
      <c r="AE699" s="45">
        <f>IFERROR(__xludf.DUMMYFUNCTION("""COMPUTED_VALUE"""),"N")</f>
        <v/>
      </c>
      <c r="AF699" s="45" t="n"/>
      <c r="AG699" s="49">
        <f>IFERROR(__xludf.DUMMYFUNCTION("IFNA(vlookup(H699,IMPORTRANGE(""1vUGwO1n0QQGx9kKbO0_M5gmuhXZ6-LaxQxgrmJnzgP0"",""'TP# look up'!A:C""),3,0),"""")"),"")</f>
        <v/>
      </c>
      <c r="AH699" s="49">
        <f>LEFT(J699,2)</f>
        <v/>
      </c>
    </row>
    <row r="700" ht="12.75" customHeight="1">
      <c r="A700" s="45">
        <f>IFERROR(__xludf.DUMMYFUNCTION("""COMPUTED_VALUE"""),"Colombo")</f>
        <v/>
      </c>
      <c r="B700" s="45" t="n"/>
      <c r="C700" s="45">
        <f>IFERROR(__xludf.DUMMYFUNCTION("""COMPUTED_VALUE"""),3259512)</f>
        <v/>
      </c>
      <c r="D700" s="45" t="n"/>
      <c r="E700" s="45">
        <f>IFERROR(__xludf.DUMMYFUNCTION("""COMPUTED_VALUE"""),"CFS")</f>
        <v/>
      </c>
      <c r="F700" s="45">
        <f>IFERROR(__xludf.DUMMYFUNCTION("""COMPUTED_VALUE"""),"MAS AMITY PTE LTD")</f>
        <v/>
      </c>
      <c r="G700" s="45">
        <f>IFERROR(__xludf.DUMMYFUNCTION("""COMPUTED_VALUE"""),"MAS Active (Pvt) Ltd – Sleekline")</f>
        <v/>
      </c>
      <c r="H700" s="43">
        <f>IFERROR(__xludf.DUMMYFUNCTION("""COMPUTED_VALUE"""),454957514065)</f>
        <v/>
      </c>
      <c r="I700" s="45">
        <f>IFERROR(__xludf.DUMMYFUNCTION("""COMPUTED_VALUE"""),19922422)</f>
        <v/>
      </c>
      <c r="J700" s="45">
        <f>IFERROR(__xludf.DUMMYFUNCTION("""COMPUTED_VALUE"""),"LM9AN5S")</f>
        <v/>
      </c>
      <c r="K700" s="45">
        <f>IFERROR(__xludf.DUMMYFUNCTION("""COMPUTED_VALUE"""),"LM9AN5S-067086")</f>
        <v/>
      </c>
      <c r="L700" s="45">
        <f>IFERROR(__xludf.DUMMYFUNCTION("""COMPUTED_VALUE"""),6)</f>
        <v/>
      </c>
      <c r="M700" s="45">
        <f>IFERROR(__xludf.DUMMYFUNCTION("""COMPUTED_VALUE"""),150)</f>
        <v/>
      </c>
      <c r="N700" s="45">
        <f>IFERROR(__xludf.DUMMYFUNCTION("""COMPUTED_VALUE"""),83.2)</f>
        <v/>
      </c>
      <c r="O700" s="45">
        <f>IFERROR(__xludf.DUMMYFUNCTION("""COMPUTED_VALUE"""),0.476)</f>
        <v/>
      </c>
      <c r="P700" s="45">
        <f>IFERROR(__xludf.DUMMYFUNCTION("""COMPUTED_VALUE"""),"Colombo, LK")</f>
        <v/>
      </c>
      <c r="Q700" s="45">
        <f>IFERROR(__xludf.DUMMYFUNCTION("""COMPUTED_VALUE"""),"New York, NY, US")</f>
        <v/>
      </c>
      <c r="R700" s="44">
        <f>IFERROR(__xludf.DUMMYFUNCTION("""COMPUTED_VALUE"""),45831)</f>
        <v/>
      </c>
      <c r="S700" s="44">
        <f>IFERROR(__xludf.DUMMYFUNCTION("""COMPUTED_VALUE"""),45890)</f>
        <v/>
      </c>
      <c r="T700" s="45">
        <f>IFERROR(__xludf.DUMMYFUNCTION("""COMPUTED_VALUE"""),"Mississauga, ON, CA")</f>
        <v/>
      </c>
      <c r="U700" s="45" t="n"/>
      <c r="V700" s="45" t="n"/>
      <c r="W700" s="45" t="n"/>
      <c r="X700" s="45" t="n"/>
      <c r="Y700" s="46">
        <f>IFERROR(__xludf.DUMMYFUNCTION("""COMPUTED_VALUE"""),45838)</f>
        <v/>
      </c>
      <c r="Z700" s="46">
        <f>IFERROR(__xludf.DUMMYFUNCTION("""COMPUTED_VALUE"""),45859)</f>
        <v/>
      </c>
      <c r="AA700" s="46">
        <f>IFERROR(__xludf.DUMMYFUNCTION("""COMPUTED_VALUE"""),45859)</f>
        <v/>
      </c>
      <c r="AB700" s="45">
        <f>IFERROR(__xludf.DUMMYFUNCTION("""COMPUTED_VALUE"""),"3500 Argentia Road")</f>
        <v/>
      </c>
      <c r="AC700" s="45" t="n"/>
      <c r="AD700" s="45">
        <f>IFERROR(__xludf.DUMMYFUNCTION("""COMPUTED_VALUE"""),"OCEAN")</f>
        <v/>
      </c>
      <c r="AE700" s="45">
        <f>IFERROR(__xludf.DUMMYFUNCTION("""COMPUTED_VALUE"""),"N")</f>
        <v/>
      </c>
      <c r="AF700" s="45" t="n"/>
      <c r="AG700" s="49">
        <f>IFERROR(__xludf.DUMMYFUNCTION("IFNA(vlookup(H700,IMPORTRANGE(""1vUGwO1n0QQGx9kKbO0_M5gmuhXZ6-LaxQxgrmJnzgP0"",""'TP# look up'!A:C""),3,0),"""")"),"")</f>
        <v/>
      </c>
      <c r="AH700" s="49">
        <f>LEFT(J700,2)</f>
        <v/>
      </c>
    </row>
    <row r="701" ht="12.75" customHeight="1">
      <c r="A701" s="45">
        <f>IFERROR(__xludf.DUMMYFUNCTION("""COMPUTED_VALUE"""),"Colombo")</f>
        <v/>
      </c>
      <c r="B701" s="45" t="n"/>
      <c r="C701" s="45">
        <f>IFERROR(__xludf.DUMMYFUNCTION("""COMPUTED_VALUE"""),3259512)</f>
        <v/>
      </c>
      <c r="D701" s="45" t="n"/>
      <c r="E701" s="45">
        <f>IFERROR(__xludf.DUMMYFUNCTION("""COMPUTED_VALUE"""),"CFS")</f>
        <v/>
      </c>
      <c r="F701" s="45">
        <f>IFERROR(__xludf.DUMMYFUNCTION("""COMPUTED_VALUE"""),"MAS AMITY PTE LTD")</f>
        <v/>
      </c>
      <c r="G701" s="45">
        <f>IFERROR(__xludf.DUMMYFUNCTION("""COMPUTED_VALUE"""),"MAS Active (Pvt) Ltd – Sleekline")</f>
        <v/>
      </c>
      <c r="H701" s="43">
        <f>IFERROR(__xludf.DUMMYFUNCTION("""COMPUTED_VALUE"""),454959511939)</f>
        <v/>
      </c>
      <c r="I701" s="45">
        <f>IFERROR(__xludf.DUMMYFUNCTION("""COMPUTED_VALUE"""),19926865)</f>
        <v/>
      </c>
      <c r="J701" s="45">
        <f>IFERROR(__xludf.DUMMYFUNCTION("""COMPUTED_VALUE"""),"LM9B20S")</f>
        <v/>
      </c>
      <c r="K701" s="45">
        <f>IFERROR(__xludf.DUMMYFUNCTION("""COMPUTED_VALUE"""),"LM9B20S-4310")</f>
        <v/>
      </c>
      <c r="L701" s="45">
        <f>IFERROR(__xludf.DUMMYFUNCTION("""COMPUTED_VALUE"""),4)</f>
        <v/>
      </c>
      <c r="M701" s="45">
        <f>IFERROR(__xludf.DUMMYFUNCTION("""COMPUTED_VALUE"""),136)</f>
        <v/>
      </c>
      <c r="N701" s="45">
        <f>IFERROR(__xludf.DUMMYFUNCTION("""COMPUTED_VALUE"""),43.2)</f>
        <v/>
      </c>
      <c r="O701" s="45">
        <f>IFERROR(__xludf.DUMMYFUNCTION("""COMPUTED_VALUE"""),0.278)</f>
        <v/>
      </c>
      <c r="P701" s="45">
        <f>IFERROR(__xludf.DUMMYFUNCTION("""COMPUTED_VALUE"""),"Colombo, LK")</f>
        <v/>
      </c>
      <c r="Q701" s="45">
        <f>IFERROR(__xludf.DUMMYFUNCTION("""COMPUTED_VALUE"""),"New York, NY, US")</f>
        <v/>
      </c>
      <c r="R701" s="44">
        <f>IFERROR(__xludf.DUMMYFUNCTION("""COMPUTED_VALUE"""),45831)</f>
        <v/>
      </c>
      <c r="S701" s="44">
        <f>IFERROR(__xludf.DUMMYFUNCTION("""COMPUTED_VALUE"""),45890)</f>
        <v/>
      </c>
      <c r="T701" s="45">
        <f>IFERROR(__xludf.DUMMYFUNCTION("""COMPUTED_VALUE"""),"Mississauga, ON, CA")</f>
        <v/>
      </c>
      <c r="U701" s="45" t="n"/>
      <c r="V701" s="45" t="n"/>
      <c r="W701" s="45" t="n"/>
      <c r="X701" s="45" t="n"/>
      <c r="Y701" s="46">
        <f>IFERROR(__xludf.DUMMYFUNCTION("""COMPUTED_VALUE"""),45838)</f>
        <v/>
      </c>
      <c r="Z701" s="46">
        <f>IFERROR(__xludf.DUMMYFUNCTION("""COMPUTED_VALUE"""),45859)</f>
        <v/>
      </c>
      <c r="AA701" s="46">
        <f>IFERROR(__xludf.DUMMYFUNCTION("""COMPUTED_VALUE"""),45859)</f>
        <v/>
      </c>
      <c r="AB701" s="45">
        <f>IFERROR(__xludf.DUMMYFUNCTION("""COMPUTED_VALUE"""),"3500 Argentia Road")</f>
        <v/>
      </c>
      <c r="AC701" s="45" t="n"/>
      <c r="AD701" s="45">
        <f>IFERROR(__xludf.DUMMYFUNCTION("""COMPUTED_VALUE"""),"OCEAN")</f>
        <v/>
      </c>
      <c r="AE701" s="45">
        <f>IFERROR(__xludf.DUMMYFUNCTION("""COMPUTED_VALUE"""),"N")</f>
        <v/>
      </c>
      <c r="AF701" s="45" t="n"/>
      <c r="AG701" s="49">
        <f>IFERROR(__xludf.DUMMYFUNCTION("IFNA(vlookup(H701,IMPORTRANGE(""1vUGwO1n0QQGx9kKbO0_M5gmuhXZ6-LaxQxgrmJnzgP0"",""'TP# look up'!A:C""),3,0),"""")"),"")</f>
        <v/>
      </c>
      <c r="AH701" s="49">
        <f>LEFT(J701,2)</f>
        <v/>
      </c>
    </row>
    <row r="702" ht="12.75" customHeight="1">
      <c r="A702" s="45">
        <f>IFERROR(__xludf.DUMMYFUNCTION("""COMPUTED_VALUE"""),"Colombo")</f>
        <v/>
      </c>
      <c r="B702" s="45" t="n"/>
      <c r="C702" s="45">
        <f>IFERROR(__xludf.DUMMYFUNCTION("""COMPUTED_VALUE"""),3259512)</f>
        <v/>
      </c>
      <c r="D702" s="45" t="n"/>
      <c r="E702" s="45">
        <f>IFERROR(__xludf.DUMMYFUNCTION("""COMPUTED_VALUE"""),"CFS")</f>
        <v/>
      </c>
      <c r="F702" s="45">
        <f>IFERROR(__xludf.DUMMYFUNCTION("""COMPUTED_VALUE"""),"MAS AMITY PTE LTD")</f>
        <v/>
      </c>
      <c r="G702" s="45">
        <f>IFERROR(__xludf.DUMMYFUNCTION("""COMPUTED_VALUE"""),"MAS Active (Pvt) Ltd – Sleekline")</f>
        <v/>
      </c>
      <c r="H702" s="43">
        <f>IFERROR(__xludf.DUMMYFUNCTION("""COMPUTED_VALUE"""),454960438694)</f>
        <v/>
      </c>
      <c r="I702" s="45">
        <f>IFERROR(__xludf.DUMMYFUNCTION("""COMPUTED_VALUE"""),19922467)</f>
        <v/>
      </c>
      <c r="J702" s="45">
        <f>IFERROR(__xludf.DUMMYFUNCTION("""COMPUTED_VALUE"""),"LM9AY5S")</f>
        <v/>
      </c>
      <c r="K702" s="45">
        <f>IFERROR(__xludf.DUMMYFUNCTION("""COMPUTED_VALUE"""),"LM9AY5S-031045")</f>
        <v/>
      </c>
      <c r="L702" s="45">
        <f>IFERROR(__xludf.DUMMYFUNCTION("""COMPUTED_VALUE"""),1)</f>
        <v/>
      </c>
      <c r="M702" s="45">
        <f>IFERROR(__xludf.DUMMYFUNCTION("""COMPUTED_VALUE"""),75)</f>
        <v/>
      </c>
      <c r="N702" s="45">
        <f>IFERROR(__xludf.DUMMYFUNCTION("""COMPUTED_VALUE"""),8.78)</f>
        <v/>
      </c>
      <c r="O702" s="45">
        <f>IFERROR(__xludf.DUMMYFUNCTION("""COMPUTED_VALUE"""),0.079)</f>
        <v/>
      </c>
      <c r="P702" s="45">
        <f>IFERROR(__xludf.DUMMYFUNCTION("""COMPUTED_VALUE"""),"Colombo, LK")</f>
        <v/>
      </c>
      <c r="Q702" s="45">
        <f>IFERROR(__xludf.DUMMYFUNCTION("""COMPUTED_VALUE"""),"New York, NY, US")</f>
        <v/>
      </c>
      <c r="R702" s="44">
        <f>IFERROR(__xludf.DUMMYFUNCTION("""COMPUTED_VALUE"""),45831)</f>
        <v/>
      </c>
      <c r="S702" s="44">
        <f>IFERROR(__xludf.DUMMYFUNCTION("""COMPUTED_VALUE"""),45890)</f>
        <v/>
      </c>
      <c r="T702" s="45">
        <f>IFERROR(__xludf.DUMMYFUNCTION("""COMPUTED_VALUE"""),"Mississauga, ON, CA")</f>
        <v/>
      </c>
      <c r="U702" s="45" t="n"/>
      <c r="V702" s="45" t="n"/>
      <c r="W702" s="45" t="n"/>
      <c r="X702" s="45" t="n"/>
      <c r="Y702" s="46">
        <f>IFERROR(__xludf.DUMMYFUNCTION("""COMPUTED_VALUE"""),45838)</f>
        <v/>
      </c>
      <c r="Z702" s="46">
        <f>IFERROR(__xludf.DUMMYFUNCTION("""COMPUTED_VALUE"""),45859)</f>
        <v/>
      </c>
      <c r="AA702" s="46">
        <f>IFERROR(__xludf.DUMMYFUNCTION("""COMPUTED_VALUE"""),45859)</f>
        <v/>
      </c>
      <c r="AB702" s="45">
        <f>IFERROR(__xludf.DUMMYFUNCTION("""COMPUTED_VALUE"""),"3500 Argentia Road")</f>
        <v/>
      </c>
      <c r="AC702" s="45" t="n"/>
      <c r="AD702" s="45">
        <f>IFERROR(__xludf.DUMMYFUNCTION("""COMPUTED_VALUE"""),"OCEAN")</f>
        <v/>
      </c>
      <c r="AE702" s="45">
        <f>IFERROR(__xludf.DUMMYFUNCTION("""COMPUTED_VALUE"""),"N")</f>
        <v/>
      </c>
      <c r="AF702" s="45" t="n"/>
      <c r="AG702" s="49">
        <f>IFERROR(__xludf.DUMMYFUNCTION("IFNA(vlookup(H702,IMPORTRANGE(""1vUGwO1n0QQGx9kKbO0_M5gmuhXZ6-LaxQxgrmJnzgP0"",""'TP# look up'!A:C""),3,0),"""")"),"")</f>
        <v/>
      </c>
      <c r="AH702" s="49">
        <f>LEFT(J702,2)</f>
        <v/>
      </c>
    </row>
    <row r="703" ht="12.75" customHeight="1">
      <c r="A703" s="45">
        <f>IFERROR(__xludf.DUMMYFUNCTION("""COMPUTED_VALUE"""),"Colombo")</f>
        <v/>
      </c>
      <c r="B703" s="45" t="n"/>
      <c r="C703" s="45">
        <f>IFERROR(__xludf.DUMMYFUNCTION("""COMPUTED_VALUE"""),3259512)</f>
        <v/>
      </c>
      <c r="D703" s="45" t="n"/>
      <c r="E703" s="45">
        <f>IFERROR(__xludf.DUMMYFUNCTION("""COMPUTED_VALUE"""),"CFS")</f>
        <v/>
      </c>
      <c r="F703" s="45">
        <f>IFERROR(__xludf.DUMMYFUNCTION("""COMPUTED_VALUE"""),"MAS AMITY PTE LTD")</f>
        <v/>
      </c>
      <c r="G703" s="45">
        <f>IFERROR(__xludf.DUMMYFUNCTION("""COMPUTED_VALUE"""),"MAS Active (Pvt) Ltd – Sleekline")</f>
        <v/>
      </c>
      <c r="H703" s="43">
        <f>IFERROR(__xludf.DUMMYFUNCTION("""COMPUTED_VALUE"""),454961172217)</f>
        <v/>
      </c>
      <c r="I703" s="45">
        <f>IFERROR(__xludf.DUMMYFUNCTION("""COMPUTED_VALUE"""),19926859)</f>
        <v/>
      </c>
      <c r="J703" s="45">
        <f>IFERROR(__xludf.DUMMYFUNCTION("""COMPUTED_VALUE"""),"LM9B17S")</f>
        <v/>
      </c>
      <c r="K703" s="45">
        <f>IFERROR(__xludf.DUMMYFUNCTION("""COMPUTED_VALUE"""),"LM9B17S-031382")</f>
        <v/>
      </c>
      <c r="L703" s="45">
        <f>IFERROR(__xludf.DUMMYFUNCTION("""COMPUTED_VALUE"""),1)</f>
        <v/>
      </c>
      <c r="M703" s="45">
        <f>IFERROR(__xludf.DUMMYFUNCTION("""COMPUTED_VALUE"""),100)</f>
        <v/>
      </c>
      <c r="N703" s="45">
        <f>IFERROR(__xludf.DUMMYFUNCTION("""COMPUTED_VALUE"""),9.18)</f>
        <v/>
      </c>
      <c r="O703" s="45">
        <f>IFERROR(__xludf.DUMMYFUNCTION("""COMPUTED_VALUE"""),0.079)</f>
        <v/>
      </c>
      <c r="P703" s="45">
        <f>IFERROR(__xludf.DUMMYFUNCTION("""COMPUTED_VALUE"""),"Colombo, LK")</f>
        <v/>
      </c>
      <c r="Q703" s="45">
        <f>IFERROR(__xludf.DUMMYFUNCTION("""COMPUTED_VALUE"""),"New York, NY, US")</f>
        <v/>
      </c>
      <c r="R703" s="44">
        <f>IFERROR(__xludf.DUMMYFUNCTION("""COMPUTED_VALUE"""),45831)</f>
        <v/>
      </c>
      <c r="S703" s="44">
        <f>IFERROR(__xludf.DUMMYFUNCTION("""COMPUTED_VALUE"""),45890)</f>
        <v/>
      </c>
      <c r="T703" s="45">
        <f>IFERROR(__xludf.DUMMYFUNCTION("""COMPUTED_VALUE"""),"Mississauga, ON, CA")</f>
        <v/>
      </c>
      <c r="U703" s="45" t="n"/>
      <c r="V703" s="45" t="n"/>
      <c r="W703" s="45" t="n"/>
      <c r="X703" s="45" t="n"/>
      <c r="Y703" s="46">
        <f>IFERROR(__xludf.DUMMYFUNCTION("""COMPUTED_VALUE"""),45838)</f>
        <v/>
      </c>
      <c r="Z703" s="46">
        <f>IFERROR(__xludf.DUMMYFUNCTION("""COMPUTED_VALUE"""),45859)</f>
        <v/>
      </c>
      <c r="AA703" s="46">
        <f>IFERROR(__xludf.DUMMYFUNCTION("""COMPUTED_VALUE"""),45859)</f>
        <v/>
      </c>
      <c r="AB703" s="45">
        <f>IFERROR(__xludf.DUMMYFUNCTION("""COMPUTED_VALUE"""),"3500 Argentia Road")</f>
        <v/>
      </c>
      <c r="AC703" s="45" t="n"/>
      <c r="AD703" s="45">
        <f>IFERROR(__xludf.DUMMYFUNCTION("""COMPUTED_VALUE"""),"OCEAN")</f>
        <v/>
      </c>
      <c r="AE703" s="45">
        <f>IFERROR(__xludf.DUMMYFUNCTION("""COMPUTED_VALUE"""),"N")</f>
        <v/>
      </c>
      <c r="AF703" s="45" t="n"/>
      <c r="AG703" s="49">
        <f>IFERROR(__xludf.DUMMYFUNCTION("IFNA(vlookup(H703,IMPORTRANGE(""1vUGwO1n0QQGx9kKbO0_M5gmuhXZ6-LaxQxgrmJnzgP0"",""'TP# look up'!A:C""),3,0),"""")"),"")</f>
        <v/>
      </c>
      <c r="AH703" s="49">
        <f>LEFT(J703,2)</f>
        <v/>
      </c>
    </row>
    <row r="704" ht="12.75" customHeight="1">
      <c r="A704" s="45">
        <f>IFERROR(__xludf.DUMMYFUNCTION("""COMPUTED_VALUE"""),"Colombo")</f>
        <v/>
      </c>
      <c r="B704" s="45" t="n"/>
      <c r="C704" s="45">
        <f>IFERROR(__xludf.DUMMYFUNCTION("""COMPUTED_VALUE"""),3259512)</f>
        <v/>
      </c>
      <c r="D704" s="45" t="n"/>
      <c r="E704" s="45">
        <f>IFERROR(__xludf.DUMMYFUNCTION("""COMPUTED_VALUE"""),"CFS")</f>
        <v/>
      </c>
      <c r="F704" s="45">
        <f>IFERROR(__xludf.DUMMYFUNCTION("""COMPUTED_VALUE"""),"MAS AMITY PTE LTD")</f>
        <v/>
      </c>
      <c r="G704" s="45">
        <f>IFERROR(__xludf.DUMMYFUNCTION("""COMPUTED_VALUE"""),"MAS Active (Pvt) Ltd – Sleekline")</f>
        <v/>
      </c>
      <c r="H704" s="43">
        <f>IFERROR(__xludf.DUMMYFUNCTION("""COMPUTED_VALUE"""),454962149125)</f>
        <v/>
      </c>
      <c r="I704" s="45">
        <f>IFERROR(__xludf.DUMMYFUNCTION("""COMPUTED_VALUE"""),19927134)</f>
        <v/>
      </c>
      <c r="J704" s="45">
        <f>IFERROR(__xludf.DUMMYFUNCTION("""COMPUTED_VALUE"""),"LM9AY9S")</f>
        <v/>
      </c>
      <c r="K704" s="45">
        <f>IFERROR(__xludf.DUMMYFUNCTION("""COMPUTED_VALUE"""),"LM9AY9S-072079")</f>
        <v/>
      </c>
      <c r="L704" s="45">
        <f>IFERROR(__xludf.DUMMYFUNCTION("""COMPUTED_VALUE"""),3)</f>
        <v/>
      </c>
      <c r="M704" s="45">
        <f>IFERROR(__xludf.DUMMYFUNCTION("""COMPUTED_VALUE"""),113)</f>
        <v/>
      </c>
      <c r="N704" s="45">
        <f>IFERROR(__xludf.DUMMYFUNCTION("""COMPUTED_VALUE"""),33.72)</f>
        <v/>
      </c>
      <c r="O704" s="45">
        <f>IFERROR(__xludf.DUMMYFUNCTION("""COMPUTED_VALUE"""),0.238)</f>
        <v/>
      </c>
      <c r="P704" s="45">
        <f>IFERROR(__xludf.DUMMYFUNCTION("""COMPUTED_VALUE"""),"Colombo, LK")</f>
        <v/>
      </c>
      <c r="Q704" s="45">
        <f>IFERROR(__xludf.DUMMYFUNCTION("""COMPUTED_VALUE"""),"New York, NY, US")</f>
        <v/>
      </c>
      <c r="R704" s="44">
        <f>IFERROR(__xludf.DUMMYFUNCTION("""COMPUTED_VALUE"""),45831)</f>
        <v/>
      </c>
      <c r="S704" s="44">
        <f>IFERROR(__xludf.DUMMYFUNCTION("""COMPUTED_VALUE"""),45890)</f>
        <v/>
      </c>
      <c r="T704" s="45">
        <f>IFERROR(__xludf.DUMMYFUNCTION("""COMPUTED_VALUE"""),"Mississauga, ON, CA")</f>
        <v/>
      </c>
      <c r="U704" s="45" t="n"/>
      <c r="V704" s="45" t="n"/>
      <c r="W704" s="45" t="n"/>
      <c r="X704" s="45" t="n"/>
      <c r="Y704" s="46">
        <f>IFERROR(__xludf.DUMMYFUNCTION("""COMPUTED_VALUE"""),45838)</f>
        <v/>
      </c>
      <c r="Z704" s="46">
        <f>IFERROR(__xludf.DUMMYFUNCTION("""COMPUTED_VALUE"""),45859)</f>
        <v/>
      </c>
      <c r="AA704" s="46">
        <f>IFERROR(__xludf.DUMMYFUNCTION("""COMPUTED_VALUE"""),45859)</f>
        <v/>
      </c>
      <c r="AB704" s="45">
        <f>IFERROR(__xludf.DUMMYFUNCTION("""COMPUTED_VALUE"""),"3500 Argentia Road")</f>
        <v/>
      </c>
      <c r="AC704" s="45" t="n"/>
      <c r="AD704" s="45">
        <f>IFERROR(__xludf.DUMMYFUNCTION("""COMPUTED_VALUE"""),"OCEAN")</f>
        <v/>
      </c>
      <c r="AE704" s="45">
        <f>IFERROR(__xludf.DUMMYFUNCTION("""COMPUTED_VALUE"""),"N")</f>
        <v/>
      </c>
      <c r="AF704" s="45" t="n"/>
      <c r="AG704" s="49">
        <f>IFERROR(__xludf.DUMMYFUNCTION("IFNA(vlookup(H704,IMPORTRANGE(""1vUGwO1n0QQGx9kKbO0_M5gmuhXZ6-LaxQxgrmJnzgP0"",""'TP# look up'!A:C""),3,0),"""")"),"")</f>
        <v/>
      </c>
      <c r="AH704" s="49">
        <f>LEFT(J704,2)</f>
        <v/>
      </c>
    </row>
    <row r="705" ht="12.75" customHeight="1">
      <c r="A705" s="45">
        <f>IFERROR(__xludf.DUMMYFUNCTION("""COMPUTED_VALUE"""),"Colombo")</f>
        <v/>
      </c>
      <c r="B705" s="45" t="n"/>
      <c r="C705" s="45">
        <f>IFERROR(__xludf.DUMMYFUNCTION("""COMPUTED_VALUE"""),3259512)</f>
        <v/>
      </c>
      <c r="D705" s="45" t="n"/>
      <c r="E705" s="45">
        <f>IFERROR(__xludf.DUMMYFUNCTION("""COMPUTED_VALUE"""),"CFS")</f>
        <v/>
      </c>
      <c r="F705" s="45">
        <f>IFERROR(__xludf.DUMMYFUNCTION("""COMPUTED_VALUE"""),"MAS AMITY PTE LTD")</f>
        <v/>
      </c>
      <c r="G705" s="45">
        <f>IFERROR(__xludf.DUMMYFUNCTION("""COMPUTED_VALUE"""),"MAS Active (Pvt) Ltd – Sleekline")</f>
        <v/>
      </c>
      <c r="H705" s="43">
        <f>IFERROR(__xludf.DUMMYFUNCTION("""COMPUTED_VALUE"""),454962542770)</f>
        <v/>
      </c>
      <c r="I705" s="45">
        <f>IFERROR(__xludf.DUMMYFUNCTION("""COMPUTED_VALUE"""),19927208)</f>
        <v/>
      </c>
      <c r="J705" s="45">
        <f>IFERROR(__xludf.DUMMYFUNCTION("""COMPUTED_VALUE"""),"LM9B17S")</f>
        <v/>
      </c>
      <c r="K705" s="45">
        <f>IFERROR(__xludf.DUMMYFUNCTION("""COMPUTED_VALUE"""),"LM9B17S-0001")</f>
        <v/>
      </c>
      <c r="L705" s="45">
        <f>IFERROR(__xludf.DUMMYFUNCTION("""COMPUTED_VALUE"""),3)</f>
        <v/>
      </c>
      <c r="M705" s="45">
        <f>IFERROR(__xludf.DUMMYFUNCTION("""COMPUTED_VALUE"""),211)</f>
        <v/>
      </c>
      <c r="N705" s="45">
        <f>IFERROR(__xludf.DUMMYFUNCTION("""COMPUTED_VALUE"""),20.2)</f>
        <v/>
      </c>
      <c r="O705" s="45">
        <f>IFERROR(__xludf.DUMMYFUNCTION("""COMPUTED_VALUE"""),0.198)</f>
        <v/>
      </c>
      <c r="P705" s="45">
        <f>IFERROR(__xludf.DUMMYFUNCTION("""COMPUTED_VALUE"""),"Colombo, LK")</f>
        <v/>
      </c>
      <c r="Q705" s="45">
        <f>IFERROR(__xludf.DUMMYFUNCTION("""COMPUTED_VALUE"""),"New York, NY, US")</f>
        <v/>
      </c>
      <c r="R705" s="44">
        <f>IFERROR(__xludf.DUMMYFUNCTION("""COMPUTED_VALUE"""),45831)</f>
        <v/>
      </c>
      <c r="S705" s="44">
        <f>IFERROR(__xludf.DUMMYFUNCTION("""COMPUTED_VALUE"""),45890)</f>
        <v/>
      </c>
      <c r="T705" s="45">
        <f>IFERROR(__xludf.DUMMYFUNCTION("""COMPUTED_VALUE"""),"Mississauga, ON, CA")</f>
        <v/>
      </c>
      <c r="U705" s="45" t="n"/>
      <c r="V705" s="45" t="n"/>
      <c r="W705" s="45" t="n"/>
      <c r="X705" s="45" t="n"/>
      <c r="Y705" s="46">
        <f>IFERROR(__xludf.DUMMYFUNCTION("""COMPUTED_VALUE"""),45838)</f>
        <v/>
      </c>
      <c r="Z705" s="46">
        <f>IFERROR(__xludf.DUMMYFUNCTION("""COMPUTED_VALUE"""),45859)</f>
        <v/>
      </c>
      <c r="AA705" s="46">
        <f>IFERROR(__xludf.DUMMYFUNCTION("""COMPUTED_VALUE"""),45859)</f>
        <v/>
      </c>
      <c r="AB705" s="45">
        <f>IFERROR(__xludf.DUMMYFUNCTION("""COMPUTED_VALUE"""),"3500 Argentia Road")</f>
        <v/>
      </c>
      <c r="AC705" s="45" t="n"/>
      <c r="AD705" s="45">
        <f>IFERROR(__xludf.DUMMYFUNCTION("""COMPUTED_VALUE"""),"OCEAN")</f>
        <v/>
      </c>
      <c r="AE705" s="45">
        <f>IFERROR(__xludf.DUMMYFUNCTION("""COMPUTED_VALUE"""),"N")</f>
        <v/>
      </c>
      <c r="AF705" s="45" t="n"/>
      <c r="AG705" s="49">
        <f>IFERROR(__xludf.DUMMYFUNCTION("IFNA(vlookup(H705,IMPORTRANGE(""1vUGwO1n0QQGx9kKbO0_M5gmuhXZ6-LaxQxgrmJnzgP0"",""'TP# look up'!A:C""),3,0),"""")"),"")</f>
        <v/>
      </c>
      <c r="AH705" s="49">
        <f>LEFT(J705,2)</f>
        <v/>
      </c>
    </row>
    <row r="706" ht="12.75" customHeight="1">
      <c r="A706" s="45">
        <f>IFERROR(__xludf.DUMMYFUNCTION("""COMPUTED_VALUE"""),"Colombo")</f>
        <v/>
      </c>
      <c r="B706" s="45" t="n"/>
      <c r="C706" s="45">
        <f>IFERROR(__xludf.DUMMYFUNCTION("""COMPUTED_VALUE"""),3259512)</f>
        <v/>
      </c>
      <c r="D706" s="45" t="n"/>
      <c r="E706" s="45">
        <f>IFERROR(__xludf.DUMMYFUNCTION("""COMPUTED_VALUE"""),"CFS")</f>
        <v/>
      </c>
      <c r="F706" s="45">
        <f>IFERROR(__xludf.DUMMYFUNCTION("""COMPUTED_VALUE"""),"MAS AMITY PTE LTD")</f>
        <v/>
      </c>
      <c r="G706" s="45">
        <f>IFERROR(__xludf.DUMMYFUNCTION("""COMPUTED_VALUE"""),"MAS Active (Pvt) Ltd – Sleekline")</f>
        <v/>
      </c>
      <c r="H706" s="43">
        <f>IFERROR(__xludf.DUMMYFUNCTION("""COMPUTED_VALUE"""),454963860011)</f>
        <v/>
      </c>
      <c r="I706" s="45">
        <f>IFERROR(__xludf.DUMMYFUNCTION("""COMPUTED_VALUE"""),19927251)</f>
        <v/>
      </c>
      <c r="J706" s="45">
        <f>IFERROR(__xludf.DUMMYFUNCTION("""COMPUTED_VALUE"""),"LM9B17S")</f>
        <v/>
      </c>
      <c r="K706" s="45">
        <f>IFERROR(__xludf.DUMMYFUNCTION("""COMPUTED_VALUE"""),"LM9B17S-031382")</f>
        <v/>
      </c>
      <c r="L706" s="45">
        <f>IFERROR(__xludf.DUMMYFUNCTION("""COMPUTED_VALUE"""),2)</f>
        <v/>
      </c>
      <c r="M706" s="45">
        <f>IFERROR(__xludf.DUMMYFUNCTION("""COMPUTED_VALUE"""),172)</f>
        <v/>
      </c>
      <c r="N706" s="45">
        <f>IFERROR(__xludf.DUMMYFUNCTION("""COMPUTED_VALUE"""),15.94)</f>
        <v/>
      </c>
      <c r="O706" s="45">
        <f>IFERROR(__xludf.DUMMYFUNCTION("""COMPUTED_VALUE"""),0.119)</f>
        <v/>
      </c>
      <c r="P706" s="45">
        <f>IFERROR(__xludf.DUMMYFUNCTION("""COMPUTED_VALUE"""),"Colombo, LK")</f>
        <v/>
      </c>
      <c r="Q706" s="45">
        <f>IFERROR(__xludf.DUMMYFUNCTION("""COMPUTED_VALUE"""),"New York, NY, US")</f>
        <v/>
      </c>
      <c r="R706" s="44">
        <f>IFERROR(__xludf.DUMMYFUNCTION("""COMPUTED_VALUE"""),45831)</f>
        <v/>
      </c>
      <c r="S706" s="44">
        <f>IFERROR(__xludf.DUMMYFUNCTION("""COMPUTED_VALUE"""),45890)</f>
        <v/>
      </c>
      <c r="T706" s="45">
        <f>IFERROR(__xludf.DUMMYFUNCTION("""COMPUTED_VALUE"""),"Mississauga, ON, CA")</f>
        <v/>
      </c>
      <c r="U706" s="45" t="n"/>
      <c r="V706" s="45" t="n"/>
      <c r="W706" s="45" t="n"/>
      <c r="X706" s="45" t="n"/>
      <c r="Y706" s="46">
        <f>IFERROR(__xludf.DUMMYFUNCTION("""COMPUTED_VALUE"""),45838)</f>
        <v/>
      </c>
      <c r="Z706" s="46">
        <f>IFERROR(__xludf.DUMMYFUNCTION("""COMPUTED_VALUE"""),45859)</f>
        <v/>
      </c>
      <c r="AA706" s="46">
        <f>IFERROR(__xludf.DUMMYFUNCTION("""COMPUTED_VALUE"""),45859)</f>
        <v/>
      </c>
      <c r="AB706" s="45">
        <f>IFERROR(__xludf.DUMMYFUNCTION("""COMPUTED_VALUE"""),"3500 Argentia Road")</f>
        <v/>
      </c>
      <c r="AC706" s="45" t="n"/>
      <c r="AD706" s="45">
        <f>IFERROR(__xludf.DUMMYFUNCTION("""COMPUTED_VALUE"""),"OCEAN")</f>
        <v/>
      </c>
      <c r="AE706" s="45">
        <f>IFERROR(__xludf.DUMMYFUNCTION("""COMPUTED_VALUE"""),"N")</f>
        <v/>
      </c>
      <c r="AF706" s="45" t="n"/>
      <c r="AG706" s="49">
        <f>IFERROR(__xludf.DUMMYFUNCTION("IFNA(vlookup(H706,IMPORTRANGE(""1vUGwO1n0QQGx9kKbO0_M5gmuhXZ6-LaxQxgrmJnzgP0"",""'TP# look up'!A:C""),3,0),"""")"),"")</f>
        <v/>
      </c>
      <c r="AH706" s="49">
        <f>LEFT(J706,2)</f>
        <v/>
      </c>
    </row>
    <row r="707" ht="12.75" customHeight="1">
      <c r="A707" s="45">
        <f>IFERROR(__xludf.DUMMYFUNCTION("""COMPUTED_VALUE"""),"Colombo")</f>
        <v/>
      </c>
      <c r="B707" s="45" t="n"/>
      <c r="C707" s="45">
        <f>IFERROR(__xludf.DUMMYFUNCTION("""COMPUTED_VALUE"""),3259512)</f>
        <v/>
      </c>
      <c r="D707" s="45" t="n"/>
      <c r="E707" s="45">
        <f>IFERROR(__xludf.DUMMYFUNCTION("""COMPUTED_VALUE"""),"CFS")</f>
        <v/>
      </c>
      <c r="F707" s="45">
        <f>IFERROR(__xludf.DUMMYFUNCTION("""COMPUTED_VALUE"""),"MAS AMITY PTE LTD")</f>
        <v/>
      </c>
      <c r="G707" s="45">
        <f>IFERROR(__xludf.DUMMYFUNCTION("""COMPUTED_VALUE"""),"MAS Active (Pvt) Ltd – Sleekline")</f>
        <v/>
      </c>
      <c r="H707" s="43">
        <f>IFERROR(__xludf.DUMMYFUNCTION("""COMPUTED_VALUE"""),454965767523)</f>
        <v/>
      </c>
      <c r="I707" s="45">
        <f>IFERROR(__xludf.DUMMYFUNCTION("""COMPUTED_VALUE"""),19935921)</f>
        <v/>
      </c>
      <c r="J707" s="45">
        <f>IFERROR(__xludf.DUMMYFUNCTION("""COMPUTED_VALUE"""),"LM9B17S")</f>
        <v/>
      </c>
      <c r="K707" s="45">
        <f>IFERROR(__xludf.DUMMYFUNCTION("""COMPUTED_VALUE"""),"LM9B17S-0001")</f>
        <v/>
      </c>
      <c r="L707" s="45">
        <f>IFERROR(__xludf.DUMMYFUNCTION("""COMPUTED_VALUE"""),2)</f>
        <v/>
      </c>
      <c r="M707" s="45">
        <f>IFERROR(__xludf.DUMMYFUNCTION("""COMPUTED_VALUE"""),144)</f>
        <v/>
      </c>
      <c r="N707" s="45">
        <f>IFERROR(__xludf.DUMMYFUNCTION("""COMPUTED_VALUE"""),13.61)</f>
        <v/>
      </c>
      <c r="O707" s="45">
        <f>IFERROR(__xludf.DUMMYFUNCTION("""COMPUTED_VALUE"""),0.119)</f>
        <v/>
      </c>
      <c r="P707" s="45">
        <f>IFERROR(__xludf.DUMMYFUNCTION("""COMPUTED_VALUE"""),"Colombo, LK")</f>
        <v/>
      </c>
      <c r="Q707" s="45">
        <f>IFERROR(__xludf.DUMMYFUNCTION("""COMPUTED_VALUE"""),"New York, NY, US")</f>
        <v/>
      </c>
      <c r="R707" s="44">
        <f>IFERROR(__xludf.DUMMYFUNCTION("""COMPUTED_VALUE"""),45831)</f>
        <v/>
      </c>
      <c r="S707" s="44">
        <f>IFERROR(__xludf.DUMMYFUNCTION("""COMPUTED_VALUE"""),45890)</f>
        <v/>
      </c>
      <c r="T707" s="45">
        <f>IFERROR(__xludf.DUMMYFUNCTION("""COMPUTED_VALUE"""),"Mississauga, ON, CA")</f>
        <v/>
      </c>
      <c r="U707" s="45" t="n"/>
      <c r="V707" s="45" t="n"/>
      <c r="W707" s="45" t="n"/>
      <c r="X707" s="45" t="n"/>
      <c r="Y707" s="46">
        <f>IFERROR(__xludf.DUMMYFUNCTION("""COMPUTED_VALUE"""),45838)</f>
        <v/>
      </c>
      <c r="Z707" s="46">
        <f>IFERROR(__xludf.DUMMYFUNCTION("""COMPUTED_VALUE"""),45859)</f>
        <v/>
      </c>
      <c r="AA707" s="46">
        <f>IFERROR(__xludf.DUMMYFUNCTION("""COMPUTED_VALUE"""),45859)</f>
        <v/>
      </c>
      <c r="AB707" s="45">
        <f>IFERROR(__xludf.DUMMYFUNCTION("""COMPUTED_VALUE"""),"3500 Argentia Road")</f>
        <v/>
      </c>
      <c r="AC707" s="45" t="n"/>
      <c r="AD707" s="45">
        <f>IFERROR(__xludf.DUMMYFUNCTION("""COMPUTED_VALUE"""),"OCEAN")</f>
        <v/>
      </c>
      <c r="AE707" s="45">
        <f>IFERROR(__xludf.DUMMYFUNCTION("""COMPUTED_VALUE"""),"N")</f>
        <v/>
      </c>
      <c r="AF707" s="45" t="n"/>
      <c r="AG707" s="49">
        <f>IFERROR(__xludf.DUMMYFUNCTION("IFNA(vlookup(H707,IMPORTRANGE(""1vUGwO1n0QQGx9kKbO0_M5gmuhXZ6-LaxQxgrmJnzgP0"",""'TP# look up'!A:C""),3,0),"""")"),"")</f>
        <v/>
      </c>
      <c r="AH707" s="49">
        <f>LEFT(J707,2)</f>
        <v/>
      </c>
    </row>
    <row r="708" ht="12.75" customHeight="1">
      <c r="A708" s="45">
        <f>IFERROR(__xludf.DUMMYFUNCTION("""COMPUTED_VALUE"""),"Colombo")</f>
        <v/>
      </c>
      <c r="B708" s="45" t="n"/>
      <c r="C708" s="45">
        <f>IFERROR(__xludf.DUMMYFUNCTION("""COMPUTED_VALUE"""),3259512)</f>
        <v/>
      </c>
      <c r="D708" s="45" t="n"/>
      <c r="E708" s="45">
        <f>IFERROR(__xludf.DUMMYFUNCTION("""COMPUTED_VALUE"""),"CFS")</f>
        <v/>
      </c>
      <c r="F708" s="45">
        <f>IFERROR(__xludf.DUMMYFUNCTION("""COMPUTED_VALUE"""),"MAS AMITY PTE LTD")</f>
        <v/>
      </c>
      <c r="G708" s="45">
        <f>IFERROR(__xludf.DUMMYFUNCTION("""COMPUTED_VALUE"""),"MAS Active (Pvt) Ltd – Sleekline")</f>
        <v/>
      </c>
      <c r="H708" s="43">
        <f>IFERROR(__xludf.DUMMYFUNCTION("""COMPUTED_VALUE"""),454967330328)</f>
        <v/>
      </c>
      <c r="I708" s="45">
        <f>IFERROR(__xludf.DUMMYFUNCTION("""COMPUTED_VALUE"""),19936167)</f>
        <v/>
      </c>
      <c r="J708" s="45">
        <f>IFERROR(__xludf.DUMMYFUNCTION("""COMPUTED_VALUE"""),"LM9B20S")</f>
        <v/>
      </c>
      <c r="K708" s="45">
        <f>IFERROR(__xludf.DUMMYFUNCTION("""COMPUTED_VALUE"""),"LM9B20S-4310")</f>
        <v/>
      </c>
      <c r="L708" s="45">
        <f>IFERROR(__xludf.DUMMYFUNCTION("""COMPUTED_VALUE"""),5)</f>
        <v/>
      </c>
      <c r="M708" s="45">
        <f>IFERROR(__xludf.DUMMYFUNCTION("""COMPUTED_VALUE"""),199)</f>
        <v/>
      </c>
      <c r="N708" s="45">
        <f>IFERROR(__xludf.DUMMYFUNCTION("""COMPUTED_VALUE"""),62.03)</f>
        <v/>
      </c>
      <c r="O708" s="45">
        <f>IFERROR(__xludf.DUMMYFUNCTION("""COMPUTED_VALUE"""),0.357)</f>
        <v/>
      </c>
      <c r="P708" s="45">
        <f>IFERROR(__xludf.DUMMYFUNCTION("""COMPUTED_VALUE"""),"Colombo, LK")</f>
        <v/>
      </c>
      <c r="Q708" s="45">
        <f>IFERROR(__xludf.DUMMYFUNCTION("""COMPUTED_VALUE"""),"New York, NY, US")</f>
        <v/>
      </c>
      <c r="R708" s="44">
        <f>IFERROR(__xludf.DUMMYFUNCTION("""COMPUTED_VALUE"""),45831)</f>
        <v/>
      </c>
      <c r="S708" s="44">
        <f>IFERROR(__xludf.DUMMYFUNCTION("""COMPUTED_VALUE"""),45890)</f>
        <v/>
      </c>
      <c r="T708" s="45">
        <f>IFERROR(__xludf.DUMMYFUNCTION("""COMPUTED_VALUE"""),"Mississauga, ON, CA")</f>
        <v/>
      </c>
      <c r="U708" s="45" t="n"/>
      <c r="V708" s="45" t="n"/>
      <c r="W708" s="45" t="n"/>
      <c r="X708" s="45" t="n"/>
      <c r="Y708" s="46">
        <f>IFERROR(__xludf.DUMMYFUNCTION("""COMPUTED_VALUE"""),45838)</f>
        <v/>
      </c>
      <c r="Z708" s="46">
        <f>IFERROR(__xludf.DUMMYFUNCTION("""COMPUTED_VALUE"""),45859)</f>
        <v/>
      </c>
      <c r="AA708" s="46">
        <f>IFERROR(__xludf.DUMMYFUNCTION("""COMPUTED_VALUE"""),45859)</f>
        <v/>
      </c>
      <c r="AB708" s="45">
        <f>IFERROR(__xludf.DUMMYFUNCTION("""COMPUTED_VALUE"""),"3500 Argentia Road")</f>
        <v/>
      </c>
      <c r="AC708" s="45" t="n"/>
      <c r="AD708" s="45">
        <f>IFERROR(__xludf.DUMMYFUNCTION("""COMPUTED_VALUE"""),"OCEAN")</f>
        <v/>
      </c>
      <c r="AE708" s="45">
        <f>IFERROR(__xludf.DUMMYFUNCTION("""COMPUTED_VALUE"""),"N")</f>
        <v/>
      </c>
      <c r="AF708" s="45" t="n"/>
      <c r="AG708" s="49">
        <f>IFERROR(__xludf.DUMMYFUNCTION("IFNA(vlookup(H708,IMPORTRANGE(""1vUGwO1n0QQGx9kKbO0_M5gmuhXZ6-LaxQxgrmJnzgP0"",""'TP# look up'!A:C""),3,0),"""")"),"")</f>
        <v/>
      </c>
      <c r="AH708" s="49">
        <f>LEFT(J708,2)</f>
        <v/>
      </c>
    </row>
    <row r="709" ht="12.75" customHeight="1">
      <c r="A709" s="45">
        <f>IFERROR(__xludf.DUMMYFUNCTION("""COMPUTED_VALUE"""),"Colombo")</f>
        <v/>
      </c>
      <c r="B709" s="45" t="n"/>
      <c r="C709" s="45">
        <f>IFERROR(__xludf.DUMMYFUNCTION("""COMPUTED_VALUE"""),3259512)</f>
        <v/>
      </c>
      <c r="D709" s="45" t="n"/>
      <c r="E709" s="45">
        <f>IFERROR(__xludf.DUMMYFUNCTION("""COMPUTED_VALUE"""),"CFS")</f>
        <v/>
      </c>
      <c r="F709" s="45">
        <f>IFERROR(__xludf.DUMMYFUNCTION("""COMPUTED_VALUE"""),"MAS AMITY PTE LTD")</f>
        <v/>
      </c>
      <c r="G709" s="45">
        <f>IFERROR(__xludf.DUMMYFUNCTION("""COMPUTED_VALUE"""),"MAS Active (Pvt) Ltd – Sleekline")</f>
        <v/>
      </c>
      <c r="H709" s="43">
        <f>IFERROR(__xludf.DUMMYFUNCTION("""COMPUTED_VALUE"""),454968871857)</f>
        <v/>
      </c>
      <c r="I709" s="45">
        <f>IFERROR(__xludf.DUMMYFUNCTION("""COMPUTED_VALUE"""),19940690)</f>
        <v/>
      </c>
      <c r="J709" s="45">
        <f>IFERROR(__xludf.DUMMYFUNCTION("""COMPUTED_VALUE"""),"LM9AY9S")</f>
        <v/>
      </c>
      <c r="K709" s="45">
        <f>IFERROR(__xludf.DUMMYFUNCTION("""COMPUTED_VALUE"""),"LM9AY9S-042751")</f>
        <v/>
      </c>
      <c r="L709" s="45">
        <f>IFERROR(__xludf.DUMMYFUNCTION("""COMPUTED_VALUE"""),8)</f>
        <v/>
      </c>
      <c r="M709" s="45">
        <f>IFERROR(__xludf.DUMMYFUNCTION("""COMPUTED_VALUE"""),336)</f>
        <v/>
      </c>
      <c r="N709" s="45">
        <f>IFERROR(__xludf.DUMMYFUNCTION("""COMPUTED_VALUE"""),98.99)</f>
        <v/>
      </c>
      <c r="O709" s="45">
        <f>IFERROR(__xludf.DUMMYFUNCTION("""COMPUTED_VALUE"""),0.595)</f>
        <v/>
      </c>
      <c r="P709" s="45">
        <f>IFERROR(__xludf.DUMMYFUNCTION("""COMPUTED_VALUE"""),"Colombo, LK")</f>
        <v/>
      </c>
      <c r="Q709" s="45">
        <f>IFERROR(__xludf.DUMMYFUNCTION("""COMPUTED_VALUE"""),"New York, NY, US")</f>
        <v/>
      </c>
      <c r="R709" s="44">
        <f>IFERROR(__xludf.DUMMYFUNCTION("""COMPUTED_VALUE"""),45831)</f>
        <v/>
      </c>
      <c r="S709" s="44">
        <f>IFERROR(__xludf.DUMMYFUNCTION("""COMPUTED_VALUE"""),45890)</f>
        <v/>
      </c>
      <c r="T709" s="45">
        <f>IFERROR(__xludf.DUMMYFUNCTION("""COMPUTED_VALUE"""),"Mississauga, ON, CA")</f>
        <v/>
      </c>
      <c r="U709" s="45" t="n"/>
      <c r="V709" s="45" t="n"/>
      <c r="W709" s="45" t="n"/>
      <c r="X709" s="45" t="n"/>
      <c r="Y709" s="46">
        <f>IFERROR(__xludf.DUMMYFUNCTION("""COMPUTED_VALUE"""),45838)</f>
        <v/>
      </c>
      <c r="Z709" s="46">
        <f>IFERROR(__xludf.DUMMYFUNCTION("""COMPUTED_VALUE"""),45859)</f>
        <v/>
      </c>
      <c r="AA709" s="46">
        <f>IFERROR(__xludf.DUMMYFUNCTION("""COMPUTED_VALUE"""),45859)</f>
        <v/>
      </c>
      <c r="AB709" s="45">
        <f>IFERROR(__xludf.DUMMYFUNCTION("""COMPUTED_VALUE"""),"3500 Argentia Road")</f>
        <v/>
      </c>
      <c r="AC709" s="45" t="n"/>
      <c r="AD709" s="45">
        <f>IFERROR(__xludf.DUMMYFUNCTION("""COMPUTED_VALUE"""),"OCEAN")</f>
        <v/>
      </c>
      <c r="AE709" s="45">
        <f>IFERROR(__xludf.DUMMYFUNCTION("""COMPUTED_VALUE"""),"N")</f>
        <v/>
      </c>
      <c r="AF709" s="45" t="n"/>
      <c r="AG709" s="49">
        <f>IFERROR(__xludf.DUMMYFUNCTION("IFNA(vlookup(H709,IMPORTRANGE(""1vUGwO1n0QQGx9kKbO0_M5gmuhXZ6-LaxQxgrmJnzgP0"",""'TP# look up'!A:C""),3,0),"""")"),"")</f>
        <v/>
      </c>
      <c r="AH709" s="49">
        <f>LEFT(J709,2)</f>
        <v/>
      </c>
    </row>
    <row r="710" ht="12.75" customHeight="1">
      <c r="A710" s="45">
        <f>IFERROR(__xludf.DUMMYFUNCTION("""COMPUTED_VALUE"""),"Colombo")</f>
        <v/>
      </c>
      <c r="B710" s="45" t="n"/>
      <c r="C710" s="45">
        <f>IFERROR(__xludf.DUMMYFUNCTION("""COMPUTED_VALUE"""),3259512)</f>
        <v/>
      </c>
      <c r="D710" s="45" t="n"/>
      <c r="E710" s="45">
        <f>IFERROR(__xludf.DUMMYFUNCTION("""COMPUTED_VALUE"""),"CFS")</f>
        <v/>
      </c>
      <c r="F710" s="45">
        <f>IFERROR(__xludf.DUMMYFUNCTION("""COMPUTED_VALUE"""),"MAS AMITY PTE LTD")</f>
        <v/>
      </c>
      <c r="G710" s="45">
        <f>IFERROR(__xludf.DUMMYFUNCTION("""COMPUTED_VALUE"""),"MAS Active (Pvt) Ltd – Sleekline")</f>
        <v/>
      </c>
      <c r="H710" s="43">
        <f>IFERROR(__xludf.DUMMYFUNCTION("""COMPUTED_VALUE"""),454970657209)</f>
        <v/>
      </c>
      <c r="I710" s="45">
        <f>IFERROR(__xludf.DUMMYFUNCTION("""COMPUTED_VALUE"""),19940707)</f>
        <v/>
      </c>
      <c r="J710" s="45">
        <f>IFERROR(__xludf.DUMMYFUNCTION("""COMPUTED_VALUE"""),"LM9AYES")</f>
        <v/>
      </c>
      <c r="K710" s="45">
        <f>IFERROR(__xludf.DUMMYFUNCTION("""COMPUTED_VALUE"""),"LM9AYES-071856")</f>
        <v/>
      </c>
      <c r="L710" s="45">
        <f>IFERROR(__xludf.DUMMYFUNCTION("""COMPUTED_VALUE"""),9)</f>
        <v/>
      </c>
      <c r="M710" s="45">
        <f>IFERROR(__xludf.DUMMYFUNCTION("""COMPUTED_VALUE"""),196)</f>
        <v/>
      </c>
      <c r="N710" s="45">
        <f>IFERROR(__xludf.DUMMYFUNCTION("""COMPUTED_VALUE"""),94.01)</f>
        <v/>
      </c>
      <c r="O710" s="45">
        <f>IFERROR(__xludf.DUMMYFUNCTION("""COMPUTED_VALUE"""),0.674)</f>
        <v/>
      </c>
      <c r="P710" s="45">
        <f>IFERROR(__xludf.DUMMYFUNCTION("""COMPUTED_VALUE"""),"Colombo, LK")</f>
        <v/>
      </c>
      <c r="Q710" s="45">
        <f>IFERROR(__xludf.DUMMYFUNCTION("""COMPUTED_VALUE"""),"New York, NY, US")</f>
        <v/>
      </c>
      <c r="R710" s="44">
        <f>IFERROR(__xludf.DUMMYFUNCTION("""COMPUTED_VALUE"""),45831)</f>
        <v/>
      </c>
      <c r="S710" s="44">
        <f>IFERROR(__xludf.DUMMYFUNCTION("""COMPUTED_VALUE"""),45890)</f>
        <v/>
      </c>
      <c r="T710" s="45">
        <f>IFERROR(__xludf.DUMMYFUNCTION("""COMPUTED_VALUE"""),"Mississauga, ON, CA")</f>
        <v/>
      </c>
      <c r="U710" s="45" t="n"/>
      <c r="V710" s="45" t="n"/>
      <c r="W710" s="45" t="n"/>
      <c r="X710" s="45" t="n"/>
      <c r="Y710" s="46">
        <f>IFERROR(__xludf.DUMMYFUNCTION("""COMPUTED_VALUE"""),45838)</f>
        <v/>
      </c>
      <c r="Z710" s="46">
        <f>IFERROR(__xludf.DUMMYFUNCTION("""COMPUTED_VALUE"""),45859)</f>
        <v/>
      </c>
      <c r="AA710" s="46">
        <f>IFERROR(__xludf.DUMMYFUNCTION("""COMPUTED_VALUE"""),45859)</f>
        <v/>
      </c>
      <c r="AB710" s="45">
        <f>IFERROR(__xludf.DUMMYFUNCTION("""COMPUTED_VALUE"""),"3500 Argentia Road")</f>
        <v/>
      </c>
      <c r="AC710" s="45" t="n"/>
      <c r="AD710" s="45">
        <f>IFERROR(__xludf.DUMMYFUNCTION("""COMPUTED_VALUE"""),"OCEAN")</f>
        <v/>
      </c>
      <c r="AE710" s="45">
        <f>IFERROR(__xludf.DUMMYFUNCTION("""COMPUTED_VALUE"""),"N")</f>
        <v/>
      </c>
      <c r="AF710" s="45" t="n"/>
      <c r="AG710" s="49">
        <f>IFERROR(__xludf.DUMMYFUNCTION("IFNA(vlookup(H710,IMPORTRANGE(""1vUGwO1n0QQGx9kKbO0_M5gmuhXZ6-LaxQxgrmJnzgP0"",""'TP# look up'!A:C""),3,0),"""")"),"")</f>
        <v/>
      </c>
      <c r="AH710" s="49">
        <f>LEFT(J710,2)</f>
        <v/>
      </c>
    </row>
    <row r="711" ht="12.75" customHeight="1">
      <c r="A711" s="45">
        <f>IFERROR(__xludf.DUMMYFUNCTION("""COMPUTED_VALUE"""),"Colombo")</f>
        <v/>
      </c>
      <c r="B711" s="45" t="n"/>
      <c r="C711" s="45">
        <f>IFERROR(__xludf.DUMMYFUNCTION("""COMPUTED_VALUE"""),3259512)</f>
        <v/>
      </c>
      <c r="D711" s="45" t="n"/>
      <c r="E711" s="45">
        <f>IFERROR(__xludf.DUMMYFUNCTION("""COMPUTED_VALUE"""),"CFS")</f>
        <v/>
      </c>
      <c r="F711" s="45">
        <f>IFERROR(__xludf.DUMMYFUNCTION("""COMPUTED_VALUE"""),"MAS AMITY PTE LTD")</f>
        <v/>
      </c>
      <c r="G711" s="45">
        <f>IFERROR(__xludf.DUMMYFUNCTION("""COMPUTED_VALUE"""),"MAS Active (Pvt) Ltd – Sleekline")</f>
        <v/>
      </c>
      <c r="H711" s="43">
        <f>IFERROR(__xludf.DUMMYFUNCTION("""COMPUTED_VALUE"""),454970845920)</f>
        <v/>
      </c>
      <c r="I711" s="45">
        <f>IFERROR(__xludf.DUMMYFUNCTION("""COMPUTED_VALUE"""),19940735)</f>
        <v/>
      </c>
      <c r="J711" s="45">
        <f>IFERROR(__xludf.DUMMYFUNCTION("""COMPUTED_VALUE"""),"LM9AYLS")</f>
        <v/>
      </c>
      <c r="K711" s="45">
        <f>IFERROR(__xludf.DUMMYFUNCTION("""COMPUTED_VALUE"""),"LM9AYLS-035487")</f>
        <v/>
      </c>
      <c r="L711" s="45">
        <f>IFERROR(__xludf.DUMMYFUNCTION("""COMPUTED_VALUE"""),1)</f>
        <v/>
      </c>
      <c r="M711" s="45">
        <f>IFERROR(__xludf.DUMMYFUNCTION("""COMPUTED_VALUE"""),75)</f>
        <v/>
      </c>
      <c r="N711" s="45">
        <f>IFERROR(__xludf.DUMMYFUNCTION("""COMPUTED_VALUE"""),7.48)</f>
        <v/>
      </c>
      <c r="O711" s="45">
        <f>IFERROR(__xludf.DUMMYFUNCTION("""COMPUTED_VALUE"""),0.079)</f>
        <v/>
      </c>
      <c r="P711" s="45">
        <f>IFERROR(__xludf.DUMMYFUNCTION("""COMPUTED_VALUE"""),"Colombo, LK")</f>
        <v/>
      </c>
      <c r="Q711" s="45">
        <f>IFERROR(__xludf.DUMMYFUNCTION("""COMPUTED_VALUE"""),"New York, NY, US")</f>
        <v/>
      </c>
      <c r="R711" s="44">
        <f>IFERROR(__xludf.DUMMYFUNCTION("""COMPUTED_VALUE"""),45831)</f>
        <v/>
      </c>
      <c r="S711" s="44">
        <f>IFERROR(__xludf.DUMMYFUNCTION("""COMPUTED_VALUE"""),45890)</f>
        <v/>
      </c>
      <c r="T711" s="45">
        <f>IFERROR(__xludf.DUMMYFUNCTION("""COMPUTED_VALUE"""),"Mississauga, ON, CA")</f>
        <v/>
      </c>
      <c r="U711" s="45" t="n"/>
      <c r="V711" s="45" t="n"/>
      <c r="W711" s="45" t="n"/>
      <c r="X711" s="45" t="n"/>
      <c r="Y711" s="46">
        <f>IFERROR(__xludf.DUMMYFUNCTION("""COMPUTED_VALUE"""),45838)</f>
        <v/>
      </c>
      <c r="Z711" s="46">
        <f>IFERROR(__xludf.DUMMYFUNCTION("""COMPUTED_VALUE"""),45859)</f>
        <v/>
      </c>
      <c r="AA711" s="46">
        <f>IFERROR(__xludf.DUMMYFUNCTION("""COMPUTED_VALUE"""),45859)</f>
        <v/>
      </c>
      <c r="AB711" s="45">
        <f>IFERROR(__xludf.DUMMYFUNCTION("""COMPUTED_VALUE"""),"3500 Argentia Road")</f>
        <v/>
      </c>
      <c r="AC711" s="45" t="n"/>
      <c r="AD711" s="45">
        <f>IFERROR(__xludf.DUMMYFUNCTION("""COMPUTED_VALUE"""),"OCEAN")</f>
        <v/>
      </c>
      <c r="AE711" s="45">
        <f>IFERROR(__xludf.DUMMYFUNCTION("""COMPUTED_VALUE"""),"N")</f>
        <v/>
      </c>
      <c r="AF711" s="45" t="n"/>
      <c r="AG711" s="49">
        <f>IFERROR(__xludf.DUMMYFUNCTION("IFNA(vlookup(H711,IMPORTRANGE(""1vUGwO1n0QQGx9kKbO0_M5gmuhXZ6-LaxQxgrmJnzgP0"",""'TP# look up'!A:C""),3,0),"""")"),"")</f>
        <v/>
      </c>
      <c r="AH711" s="49">
        <f>LEFT(J711,2)</f>
        <v/>
      </c>
    </row>
    <row r="712" ht="12.75" customHeight="1">
      <c r="A712" s="45">
        <f>IFERROR(__xludf.DUMMYFUNCTION("""COMPUTED_VALUE"""),"Colombo")</f>
        <v/>
      </c>
      <c r="B712" s="45" t="n"/>
      <c r="C712" s="45">
        <f>IFERROR(__xludf.DUMMYFUNCTION("""COMPUTED_VALUE"""),3259512)</f>
        <v/>
      </c>
      <c r="D712" s="45" t="n"/>
      <c r="E712" s="45">
        <f>IFERROR(__xludf.DUMMYFUNCTION("""COMPUTED_VALUE"""),"CFS")</f>
        <v/>
      </c>
      <c r="F712" s="45">
        <f>IFERROR(__xludf.DUMMYFUNCTION("""COMPUTED_VALUE"""),"MAS AMITY PTE LTD")</f>
        <v/>
      </c>
      <c r="G712" s="45">
        <f>IFERROR(__xludf.DUMMYFUNCTION("""COMPUTED_VALUE"""),"MAS Active (Pvt) Ltd – Sleekline")</f>
        <v/>
      </c>
      <c r="H712" s="43">
        <f>IFERROR(__xludf.DUMMYFUNCTION("""COMPUTED_VALUE"""),454972329413)</f>
        <v/>
      </c>
      <c r="I712" s="45">
        <f>IFERROR(__xludf.DUMMYFUNCTION("""COMPUTED_VALUE"""),19940823)</f>
        <v/>
      </c>
      <c r="J712" s="45">
        <f>IFERROR(__xludf.DUMMYFUNCTION("""COMPUTED_VALUE"""),"LM9B19S")</f>
        <v/>
      </c>
      <c r="K712" s="45">
        <f>IFERROR(__xludf.DUMMYFUNCTION("""COMPUTED_VALUE"""),"LM9B19S-4310")</f>
        <v/>
      </c>
      <c r="L712" s="45">
        <f>IFERROR(__xludf.DUMMYFUNCTION("""COMPUTED_VALUE"""),6)</f>
        <v/>
      </c>
      <c r="M712" s="45">
        <f>IFERROR(__xludf.DUMMYFUNCTION("""COMPUTED_VALUE"""),222)</f>
        <v/>
      </c>
      <c r="N712" s="45">
        <f>IFERROR(__xludf.DUMMYFUNCTION("""COMPUTED_VALUE"""),63.1)</f>
        <v/>
      </c>
      <c r="O712" s="45">
        <f>IFERROR(__xludf.DUMMYFUNCTION("""COMPUTED_VALUE"""),0.397)</f>
        <v/>
      </c>
      <c r="P712" s="45">
        <f>IFERROR(__xludf.DUMMYFUNCTION("""COMPUTED_VALUE"""),"Colombo, LK")</f>
        <v/>
      </c>
      <c r="Q712" s="45">
        <f>IFERROR(__xludf.DUMMYFUNCTION("""COMPUTED_VALUE"""),"New York, NY, US")</f>
        <v/>
      </c>
      <c r="R712" s="44">
        <f>IFERROR(__xludf.DUMMYFUNCTION("""COMPUTED_VALUE"""),45831)</f>
        <v/>
      </c>
      <c r="S712" s="44">
        <f>IFERROR(__xludf.DUMMYFUNCTION("""COMPUTED_VALUE"""),45890)</f>
        <v/>
      </c>
      <c r="T712" s="45">
        <f>IFERROR(__xludf.DUMMYFUNCTION("""COMPUTED_VALUE"""),"Mississauga, ON, CA")</f>
        <v/>
      </c>
      <c r="U712" s="45" t="n"/>
      <c r="V712" s="45" t="n"/>
      <c r="W712" s="45" t="n"/>
      <c r="X712" s="45" t="n"/>
      <c r="Y712" s="46">
        <f>IFERROR(__xludf.DUMMYFUNCTION("""COMPUTED_VALUE"""),45838)</f>
        <v/>
      </c>
      <c r="Z712" s="46">
        <f>IFERROR(__xludf.DUMMYFUNCTION("""COMPUTED_VALUE"""),45859)</f>
        <v/>
      </c>
      <c r="AA712" s="46">
        <f>IFERROR(__xludf.DUMMYFUNCTION("""COMPUTED_VALUE"""),45859)</f>
        <v/>
      </c>
      <c r="AB712" s="45">
        <f>IFERROR(__xludf.DUMMYFUNCTION("""COMPUTED_VALUE"""),"3500 Argentia Road")</f>
        <v/>
      </c>
      <c r="AC712" s="45" t="n"/>
      <c r="AD712" s="45">
        <f>IFERROR(__xludf.DUMMYFUNCTION("""COMPUTED_VALUE"""),"OCEAN")</f>
        <v/>
      </c>
      <c r="AE712" s="45">
        <f>IFERROR(__xludf.DUMMYFUNCTION("""COMPUTED_VALUE"""),"N")</f>
        <v/>
      </c>
      <c r="AF712" s="45" t="n"/>
      <c r="AG712" s="49">
        <f>IFERROR(__xludf.DUMMYFUNCTION("IFNA(vlookup(H712,IMPORTRANGE(""1vUGwO1n0QQGx9kKbO0_M5gmuhXZ6-LaxQxgrmJnzgP0"",""'TP# look up'!A:C""),3,0),"""")"),"")</f>
        <v/>
      </c>
      <c r="AH712" s="49">
        <f>LEFT(J712,2)</f>
        <v/>
      </c>
    </row>
    <row r="713" ht="12.75" customHeight="1">
      <c r="A713" s="45">
        <f>IFERROR(__xludf.DUMMYFUNCTION("""COMPUTED_VALUE"""),"Colombo")</f>
        <v/>
      </c>
      <c r="B713" s="45" t="n"/>
      <c r="C713" s="45">
        <f>IFERROR(__xludf.DUMMYFUNCTION("""COMPUTED_VALUE"""),3259512)</f>
        <v/>
      </c>
      <c r="D713" s="45" t="n"/>
      <c r="E713" s="45">
        <f>IFERROR(__xludf.DUMMYFUNCTION("""COMPUTED_VALUE"""),"CFS")</f>
        <v/>
      </c>
      <c r="F713" s="45">
        <f>IFERROR(__xludf.DUMMYFUNCTION("""COMPUTED_VALUE"""),"MAS AMITY PTE LTD")</f>
        <v/>
      </c>
      <c r="G713" s="45">
        <f>IFERROR(__xludf.DUMMYFUNCTION("""COMPUTED_VALUE"""),"MAS Active(Pvt) Ltd – CONTOURLINE")</f>
        <v/>
      </c>
      <c r="H713" s="43">
        <f>IFERROR(__xludf.DUMMYFUNCTION("""COMPUTED_VALUE"""),454974939717)</f>
        <v/>
      </c>
      <c r="I713" s="45">
        <f>IFERROR(__xludf.DUMMYFUNCTION("""COMPUTED_VALUE"""),19890558)</f>
        <v/>
      </c>
      <c r="J713" s="45">
        <f>IFERROR(__xludf.DUMMYFUNCTION("""COMPUTED_VALUE"""),"LW7CNIS")</f>
        <v/>
      </c>
      <c r="K713" s="45">
        <f>IFERROR(__xludf.DUMMYFUNCTION("""COMPUTED_VALUE"""),"LW7CNIS-071188")</f>
        <v/>
      </c>
      <c r="L713" s="45">
        <f>IFERROR(__xludf.DUMMYFUNCTION("""COMPUTED_VALUE"""),4)</f>
        <v/>
      </c>
      <c r="M713" s="45">
        <f>IFERROR(__xludf.DUMMYFUNCTION("""COMPUTED_VALUE"""),212)</f>
        <v/>
      </c>
      <c r="N713" s="45">
        <f>IFERROR(__xludf.DUMMYFUNCTION("""COMPUTED_VALUE"""),37.38)</f>
        <v/>
      </c>
      <c r="O713" s="45">
        <f>IFERROR(__xludf.DUMMYFUNCTION("""COMPUTED_VALUE"""),0.276)</f>
        <v/>
      </c>
      <c r="P713" s="45">
        <f>IFERROR(__xludf.DUMMYFUNCTION("""COMPUTED_VALUE"""),"Colombo, LK")</f>
        <v/>
      </c>
      <c r="Q713" s="45">
        <f>IFERROR(__xludf.DUMMYFUNCTION("""COMPUTED_VALUE"""),"New York, NY, US")</f>
        <v/>
      </c>
      <c r="R713" s="44">
        <f>IFERROR(__xludf.DUMMYFUNCTION("""COMPUTED_VALUE"""),45831)</f>
        <v/>
      </c>
      <c r="S713" s="44">
        <f>IFERROR(__xludf.DUMMYFUNCTION("""COMPUTED_VALUE"""),45890)</f>
        <v/>
      </c>
      <c r="T713" s="45">
        <f>IFERROR(__xludf.DUMMYFUNCTION("""COMPUTED_VALUE"""),"Mississauga, ON, CA")</f>
        <v/>
      </c>
      <c r="U713" s="45" t="n"/>
      <c r="V713" s="45" t="n"/>
      <c r="W713" s="45" t="n"/>
      <c r="X713" s="45" t="n"/>
      <c r="Y713" s="46">
        <f>IFERROR(__xludf.DUMMYFUNCTION("""COMPUTED_VALUE"""),45838)</f>
        <v/>
      </c>
      <c r="Z713" s="46">
        <f>IFERROR(__xludf.DUMMYFUNCTION("""COMPUTED_VALUE"""),45859)</f>
        <v/>
      </c>
      <c r="AA713" s="46">
        <f>IFERROR(__xludf.DUMMYFUNCTION("""COMPUTED_VALUE"""),45859)</f>
        <v/>
      </c>
      <c r="AB713" s="45">
        <f>IFERROR(__xludf.DUMMYFUNCTION("""COMPUTED_VALUE"""),"3500 Argentia Road")</f>
        <v/>
      </c>
      <c r="AC713" s="45" t="n"/>
      <c r="AD713" s="45">
        <f>IFERROR(__xludf.DUMMYFUNCTION("""COMPUTED_VALUE"""),"OCEAN")</f>
        <v/>
      </c>
      <c r="AE713" s="45">
        <f>IFERROR(__xludf.DUMMYFUNCTION("""COMPUTED_VALUE"""),"N")</f>
        <v/>
      </c>
      <c r="AF713" s="45" t="n"/>
      <c r="AG713" s="49">
        <f>IFERROR(__xludf.DUMMYFUNCTION("IFNA(vlookup(H713,IMPORTRANGE(""1vUGwO1n0QQGx9kKbO0_M5gmuhXZ6-LaxQxgrmJnzgP0"",""'TP# look up'!A:C""),3,0),"""")"),"")</f>
        <v/>
      </c>
      <c r="AH713" s="49">
        <f>LEFT(J713,2)</f>
        <v/>
      </c>
    </row>
    <row r="714" ht="12.75" customHeight="1">
      <c r="A714" s="45">
        <f>IFERROR(__xludf.DUMMYFUNCTION("""COMPUTED_VALUE"""),"Colombo")</f>
        <v/>
      </c>
      <c r="B714" s="45" t="n"/>
      <c r="C714" s="45">
        <f>IFERROR(__xludf.DUMMYFUNCTION("""COMPUTED_VALUE"""),3259512)</f>
        <v/>
      </c>
      <c r="D714" s="45" t="n"/>
      <c r="E714" s="45">
        <f>IFERROR(__xludf.DUMMYFUNCTION("""COMPUTED_VALUE"""),"CFS")</f>
        <v/>
      </c>
      <c r="F714" s="45">
        <f>IFERROR(__xludf.DUMMYFUNCTION("""COMPUTED_VALUE"""),"MAS AMITY PTE LTD")</f>
        <v/>
      </c>
      <c r="G714" s="45">
        <f>IFERROR(__xludf.DUMMYFUNCTION("""COMPUTED_VALUE"""),"MAS Active(Pvt) Ltd – CONTOURLINE")</f>
        <v/>
      </c>
      <c r="H714" s="43">
        <f>IFERROR(__xludf.DUMMYFUNCTION("""COMPUTED_VALUE"""),454977327690)</f>
        <v/>
      </c>
      <c r="I714" s="45">
        <f>IFERROR(__xludf.DUMMYFUNCTION("""COMPUTED_VALUE"""),19890685)</f>
        <v/>
      </c>
      <c r="J714" s="45">
        <f>IFERROR(__xludf.DUMMYFUNCTION("""COMPUTED_VALUE"""),"LW7CNIS")</f>
        <v/>
      </c>
      <c r="K714" s="45">
        <f>IFERROR(__xludf.DUMMYFUNCTION("""COMPUTED_VALUE"""),"LW7CNIS-071188")</f>
        <v/>
      </c>
      <c r="L714" s="45">
        <f>IFERROR(__xludf.DUMMYFUNCTION("""COMPUTED_VALUE"""),2)</f>
        <v/>
      </c>
      <c r="M714" s="45">
        <f>IFERROR(__xludf.DUMMYFUNCTION("""COMPUTED_VALUE"""),112)</f>
        <v/>
      </c>
      <c r="N714" s="45">
        <f>IFERROR(__xludf.DUMMYFUNCTION("""COMPUTED_VALUE"""),19.477)</f>
        <v/>
      </c>
      <c r="O714" s="45">
        <f>IFERROR(__xludf.DUMMYFUNCTION("""COMPUTED_VALUE"""),0.118)</f>
        <v/>
      </c>
      <c r="P714" s="45">
        <f>IFERROR(__xludf.DUMMYFUNCTION("""COMPUTED_VALUE"""),"Colombo, LK")</f>
        <v/>
      </c>
      <c r="Q714" s="45">
        <f>IFERROR(__xludf.DUMMYFUNCTION("""COMPUTED_VALUE"""),"New York, NY, US")</f>
        <v/>
      </c>
      <c r="R714" s="44">
        <f>IFERROR(__xludf.DUMMYFUNCTION("""COMPUTED_VALUE"""),45831)</f>
        <v/>
      </c>
      <c r="S714" s="44">
        <f>IFERROR(__xludf.DUMMYFUNCTION("""COMPUTED_VALUE"""),45890)</f>
        <v/>
      </c>
      <c r="T714" s="45">
        <f>IFERROR(__xludf.DUMMYFUNCTION("""COMPUTED_VALUE"""),"Mississauga, ON, CA")</f>
        <v/>
      </c>
      <c r="U714" s="45" t="n"/>
      <c r="V714" s="45" t="n"/>
      <c r="W714" s="45" t="n"/>
      <c r="X714" s="45" t="n"/>
      <c r="Y714" s="46">
        <f>IFERROR(__xludf.DUMMYFUNCTION("""COMPUTED_VALUE"""),45838)</f>
        <v/>
      </c>
      <c r="Z714" s="46">
        <f>IFERROR(__xludf.DUMMYFUNCTION("""COMPUTED_VALUE"""),45859)</f>
        <v/>
      </c>
      <c r="AA714" s="46">
        <f>IFERROR(__xludf.DUMMYFUNCTION("""COMPUTED_VALUE"""),45859)</f>
        <v/>
      </c>
      <c r="AB714" s="45">
        <f>IFERROR(__xludf.DUMMYFUNCTION("""COMPUTED_VALUE"""),"3500 Argentia Road")</f>
        <v/>
      </c>
      <c r="AC714" s="45" t="n"/>
      <c r="AD714" s="45">
        <f>IFERROR(__xludf.DUMMYFUNCTION("""COMPUTED_VALUE"""),"OCEAN")</f>
        <v/>
      </c>
      <c r="AE714" s="45">
        <f>IFERROR(__xludf.DUMMYFUNCTION("""COMPUTED_VALUE"""),"N")</f>
        <v/>
      </c>
      <c r="AF714" s="45" t="n"/>
      <c r="AG714" s="49">
        <f>IFERROR(__xludf.DUMMYFUNCTION("IFNA(vlookup(H714,IMPORTRANGE(""1vUGwO1n0QQGx9kKbO0_M5gmuhXZ6-LaxQxgrmJnzgP0"",""'TP# look up'!A:C""),3,0),"""")"),"")</f>
        <v/>
      </c>
      <c r="AH714" s="49">
        <f>LEFT(J714,2)</f>
        <v/>
      </c>
    </row>
    <row r="715" ht="12.75" customHeight="1">
      <c r="A715" s="45">
        <f>IFERROR(__xludf.DUMMYFUNCTION("""COMPUTED_VALUE"""),"Colombo")</f>
        <v/>
      </c>
      <c r="B715" s="45" t="n"/>
      <c r="C715" s="45">
        <f>IFERROR(__xludf.DUMMYFUNCTION("""COMPUTED_VALUE"""),3259512)</f>
        <v/>
      </c>
      <c r="D715" s="45" t="n"/>
      <c r="E715" s="45">
        <f>IFERROR(__xludf.DUMMYFUNCTION("""COMPUTED_VALUE"""),"CFS")</f>
        <v/>
      </c>
      <c r="F715" s="45">
        <f>IFERROR(__xludf.DUMMYFUNCTION("""COMPUTED_VALUE"""),"MAS AMITY PTE LTD")</f>
        <v/>
      </c>
      <c r="G715" s="45">
        <f>IFERROR(__xludf.DUMMYFUNCTION("""COMPUTED_VALUE"""),"MAS Active(Pvt) Ltd – CONTOURLINE")</f>
        <v/>
      </c>
      <c r="H715" s="43">
        <f>IFERROR(__xludf.DUMMYFUNCTION("""COMPUTED_VALUE"""),454977350455)</f>
        <v/>
      </c>
      <c r="I715" s="45">
        <f>IFERROR(__xludf.DUMMYFUNCTION("""COMPUTED_VALUE"""),19890785)</f>
        <v/>
      </c>
      <c r="J715" s="45">
        <f>IFERROR(__xludf.DUMMYFUNCTION("""COMPUTED_VALUE"""),"LW7CPPS")</f>
        <v/>
      </c>
      <c r="K715" s="45">
        <f>IFERROR(__xludf.DUMMYFUNCTION("""COMPUTED_VALUE"""),"LW7CPPS-071188")</f>
        <v/>
      </c>
      <c r="L715" s="45">
        <f>IFERROR(__xludf.DUMMYFUNCTION("""COMPUTED_VALUE"""),1)</f>
        <v/>
      </c>
      <c r="M715" s="45">
        <f>IFERROR(__xludf.DUMMYFUNCTION("""COMPUTED_VALUE"""),37)</f>
        <v/>
      </c>
      <c r="N715" s="45">
        <f>IFERROR(__xludf.DUMMYFUNCTION("""COMPUTED_VALUE"""),6.299)</f>
        <v/>
      </c>
      <c r="O715" s="45">
        <f>IFERROR(__xludf.DUMMYFUNCTION("""COMPUTED_VALUE"""),0.079)</f>
        <v/>
      </c>
      <c r="P715" s="45">
        <f>IFERROR(__xludf.DUMMYFUNCTION("""COMPUTED_VALUE"""),"Colombo, LK")</f>
        <v/>
      </c>
      <c r="Q715" s="45">
        <f>IFERROR(__xludf.DUMMYFUNCTION("""COMPUTED_VALUE"""),"New York, NY, US")</f>
        <v/>
      </c>
      <c r="R715" s="44">
        <f>IFERROR(__xludf.DUMMYFUNCTION("""COMPUTED_VALUE"""),45831)</f>
        <v/>
      </c>
      <c r="S715" s="44">
        <f>IFERROR(__xludf.DUMMYFUNCTION("""COMPUTED_VALUE"""),45890)</f>
        <v/>
      </c>
      <c r="T715" s="45">
        <f>IFERROR(__xludf.DUMMYFUNCTION("""COMPUTED_VALUE"""),"Mississauga, ON, CA")</f>
        <v/>
      </c>
      <c r="U715" s="45" t="n"/>
      <c r="V715" s="45" t="n"/>
      <c r="W715" s="45" t="n"/>
      <c r="X715" s="45" t="n"/>
      <c r="Y715" s="46">
        <f>IFERROR(__xludf.DUMMYFUNCTION("""COMPUTED_VALUE"""),45838)</f>
        <v/>
      </c>
      <c r="Z715" s="46">
        <f>IFERROR(__xludf.DUMMYFUNCTION("""COMPUTED_VALUE"""),45859)</f>
        <v/>
      </c>
      <c r="AA715" s="46">
        <f>IFERROR(__xludf.DUMMYFUNCTION("""COMPUTED_VALUE"""),45859)</f>
        <v/>
      </c>
      <c r="AB715" s="45">
        <f>IFERROR(__xludf.DUMMYFUNCTION("""COMPUTED_VALUE"""),"3500 Argentia Road")</f>
        <v/>
      </c>
      <c r="AC715" s="45" t="n"/>
      <c r="AD715" s="45">
        <f>IFERROR(__xludf.DUMMYFUNCTION("""COMPUTED_VALUE"""),"OCEAN")</f>
        <v/>
      </c>
      <c r="AE715" s="45">
        <f>IFERROR(__xludf.DUMMYFUNCTION("""COMPUTED_VALUE"""),"N")</f>
        <v/>
      </c>
      <c r="AF715" s="45" t="n"/>
      <c r="AG715" s="49">
        <f>IFERROR(__xludf.DUMMYFUNCTION("IFNA(vlookup(H715,IMPORTRANGE(""1vUGwO1n0QQGx9kKbO0_M5gmuhXZ6-LaxQxgrmJnzgP0"",""'TP# look up'!A:C""),3,0),"""")"),"")</f>
        <v/>
      </c>
      <c r="AH715" s="49">
        <f>LEFT(J715,2)</f>
        <v/>
      </c>
    </row>
    <row r="716" ht="12.75" customHeight="1">
      <c r="A716" s="45">
        <f>IFERROR(__xludf.DUMMYFUNCTION("""COMPUTED_VALUE"""),"Colombo")</f>
        <v/>
      </c>
      <c r="B716" s="45" t="n"/>
      <c r="C716" s="45">
        <f>IFERROR(__xludf.DUMMYFUNCTION("""COMPUTED_VALUE"""),3259512)</f>
        <v/>
      </c>
      <c r="D716" s="45" t="n"/>
      <c r="E716" s="45">
        <f>IFERROR(__xludf.DUMMYFUNCTION("""COMPUTED_VALUE"""),"CFS")</f>
        <v/>
      </c>
      <c r="F716" s="45">
        <f>IFERROR(__xludf.DUMMYFUNCTION("""COMPUTED_VALUE"""),"MAS AMITY PTE LTD")</f>
        <v/>
      </c>
      <c r="G716" s="45">
        <f>IFERROR(__xludf.DUMMYFUNCTION("""COMPUTED_VALUE"""),"MAS Active(Pvt) Ltd – CONTOURLINE")</f>
        <v/>
      </c>
      <c r="H716" s="43">
        <f>IFERROR(__xludf.DUMMYFUNCTION("""COMPUTED_VALUE"""),454977351811)</f>
        <v/>
      </c>
      <c r="I716" s="45">
        <f>IFERROR(__xludf.DUMMYFUNCTION("""COMPUTED_VALUE"""),19890788)</f>
        <v/>
      </c>
      <c r="J716" s="45">
        <f>IFERROR(__xludf.DUMMYFUNCTION("""COMPUTED_VALUE"""),"LW7CPPS")</f>
        <v/>
      </c>
      <c r="K716" s="45">
        <f>IFERROR(__xludf.DUMMYFUNCTION("""COMPUTED_VALUE"""),"LW7CPPS-071188")</f>
        <v/>
      </c>
      <c r="L716" s="45">
        <f>IFERROR(__xludf.DUMMYFUNCTION("""COMPUTED_VALUE"""),2)</f>
        <v/>
      </c>
      <c r="M716" s="45">
        <f>IFERROR(__xludf.DUMMYFUNCTION("""COMPUTED_VALUE"""),92)</f>
        <v/>
      </c>
      <c r="N716" s="45">
        <f>IFERROR(__xludf.DUMMYFUNCTION("""COMPUTED_VALUE"""),14.784)</f>
        <v/>
      </c>
      <c r="O716" s="45">
        <f>IFERROR(__xludf.DUMMYFUNCTION("""COMPUTED_VALUE"""),0.118)</f>
        <v/>
      </c>
      <c r="P716" s="45">
        <f>IFERROR(__xludf.DUMMYFUNCTION("""COMPUTED_VALUE"""),"Colombo, LK")</f>
        <v/>
      </c>
      <c r="Q716" s="45">
        <f>IFERROR(__xludf.DUMMYFUNCTION("""COMPUTED_VALUE"""),"New York, NY, US")</f>
        <v/>
      </c>
      <c r="R716" s="44">
        <f>IFERROR(__xludf.DUMMYFUNCTION("""COMPUTED_VALUE"""),45831)</f>
        <v/>
      </c>
      <c r="S716" s="44">
        <f>IFERROR(__xludf.DUMMYFUNCTION("""COMPUTED_VALUE"""),45890)</f>
        <v/>
      </c>
      <c r="T716" s="45">
        <f>IFERROR(__xludf.DUMMYFUNCTION("""COMPUTED_VALUE"""),"Mississauga, ON, CA")</f>
        <v/>
      </c>
      <c r="U716" s="45" t="n"/>
      <c r="V716" s="45" t="n"/>
      <c r="W716" s="45" t="n"/>
      <c r="X716" s="45" t="n"/>
      <c r="Y716" s="46">
        <f>IFERROR(__xludf.DUMMYFUNCTION("""COMPUTED_VALUE"""),45838)</f>
        <v/>
      </c>
      <c r="Z716" s="46">
        <f>IFERROR(__xludf.DUMMYFUNCTION("""COMPUTED_VALUE"""),45859)</f>
        <v/>
      </c>
      <c r="AA716" s="46">
        <f>IFERROR(__xludf.DUMMYFUNCTION("""COMPUTED_VALUE"""),45859)</f>
        <v/>
      </c>
      <c r="AB716" s="45">
        <f>IFERROR(__xludf.DUMMYFUNCTION("""COMPUTED_VALUE"""),"3500 Argentia Road")</f>
        <v/>
      </c>
      <c r="AC716" s="45" t="n"/>
      <c r="AD716" s="45">
        <f>IFERROR(__xludf.DUMMYFUNCTION("""COMPUTED_VALUE"""),"OCEAN")</f>
        <v/>
      </c>
      <c r="AE716" s="45">
        <f>IFERROR(__xludf.DUMMYFUNCTION("""COMPUTED_VALUE"""),"N")</f>
        <v/>
      </c>
      <c r="AF716" s="45" t="n"/>
      <c r="AG716" s="49">
        <f>IFERROR(__xludf.DUMMYFUNCTION("IFNA(vlookup(H716,IMPORTRANGE(""1vUGwO1n0QQGx9kKbO0_M5gmuhXZ6-LaxQxgrmJnzgP0"",""'TP# look up'!A:C""),3,0),"""")"),"")</f>
        <v/>
      </c>
      <c r="AH716" s="49">
        <f>LEFT(J716,2)</f>
        <v/>
      </c>
    </row>
    <row r="717" ht="12.75" customHeight="1">
      <c r="A717" s="45">
        <f>IFERROR(__xludf.DUMMYFUNCTION("""COMPUTED_VALUE"""),"Colombo")</f>
        <v/>
      </c>
      <c r="B717" s="45" t="n"/>
      <c r="C717" s="45">
        <f>IFERROR(__xludf.DUMMYFUNCTION("""COMPUTED_VALUE"""),3259512)</f>
        <v/>
      </c>
      <c r="D717" s="45" t="n"/>
      <c r="E717" s="45">
        <f>IFERROR(__xludf.DUMMYFUNCTION("""COMPUTED_VALUE"""),"CFS")</f>
        <v/>
      </c>
      <c r="F717" s="45">
        <f>IFERROR(__xludf.DUMMYFUNCTION("""COMPUTED_VALUE"""),"MAS AMITY PTE LTD")</f>
        <v/>
      </c>
      <c r="G717" s="45">
        <f>IFERROR(__xludf.DUMMYFUNCTION("""COMPUTED_VALUE"""),"MAS Active(Pvt) Ltd – CONTOURLINE")</f>
        <v/>
      </c>
      <c r="H717" s="43">
        <f>IFERROR(__xludf.DUMMYFUNCTION("""COMPUTED_VALUE"""),454978932437)</f>
        <v/>
      </c>
      <c r="I717" s="45">
        <f>IFERROR(__xludf.DUMMYFUNCTION("""COMPUTED_VALUE"""),19896666)</f>
        <v/>
      </c>
      <c r="J717" s="45">
        <f>IFERROR(__xludf.DUMMYFUNCTION("""COMPUTED_VALUE"""),"LW1DRKS")</f>
        <v/>
      </c>
      <c r="K717" s="45">
        <f>IFERROR(__xludf.DUMMYFUNCTION("""COMPUTED_VALUE"""),"LW1DRKS-070108")</f>
        <v/>
      </c>
      <c r="L717" s="45">
        <f>IFERROR(__xludf.DUMMYFUNCTION("""COMPUTED_VALUE"""),2)</f>
        <v/>
      </c>
      <c r="M717" s="45">
        <f>IFERROR(__xludf.DUMMYFUNCTION("""COMPUTED_VALUE"""),108)</f>
        <v/>
      </c>
      <c r="N717" s="45">
        <f>IFERROR(__xludf.DUMMYFUNCTION("""COMPUTED_VALUE"""),14.178)</f>
        <v/>
      </c>
      <c r="O717" s="45">
        <f>IFERROR(__xludf.DUMMYFUNCTION("""COMPUTED_VALUE"""),0.118)</f>
        <v/>
      </c>
      <c r="P717" s="45">
        <f>IFERROR(__xludf.DUMMYFUNCTION("""COMPUTED_VALUE"""),"Colombo, LK")</f>
        <v/>
      </c>
      <c r="Q717" s="45">
        <f>IFERROR(__xludf.DUMMYFUNCTION("""COMPUTED_VALUE"""),"New York, NY, US")</f>
        <v/>
      </c>
      <c r="R717" s="44">
        <f>IFERROR(__xludf.DUMMYFUNCTION("""COMPUTED_VALUE"""),45831)</f>
        <v/>
      </c>
      <c r="S717" s="44">
        <f>IFERROR(__xludf.DUMMYFUNCTION("""COMPUTED_VALUE"""),45890)</f>
        <v/>
      </c>
      <c r="T717" s="45">
        <f>IFERROR(__xludf.DUMMYFUNCTION("""COMPUTED_VALUE"""),"Milton, ON, CA")</f>
        <v/>
      </c>
      <c r="U717" s="45" t="n"/>
      <c r="V717" s="45" t="n"/>
      <c r="W717" s="45" t="n"/>
      <c r="X717" s="45" t="n"/>
      <c r="Y717" s="46">
        <f>IFERROR(__xludf.DUMMYFUNCTION("""COMPUTED_VALUE"""),45838)</f>
        <v/>
      </c>
      <c r="Z717" s="46">
        <f>IFERROR(__xludf.DUMMYFUNCTION("""COMPUTED_VALUE"""),45859)</f>
        <v/>
      </c>
      <c r="AA717" s="46">
        <f>IFERROR(__xludf.DUMMYFUNCTION("""COMPUTED_VALUE"""),45859)</f>
        <v/>
      </c>
      <c r="AB717" s="45">
        <f>IFERROR(__xludf.DUMMYFUNCTION("""COMPUTED_VALUE"""),"7211 Fifth Line")</f>
        <v/>
      </c>
      <c r="AC717" s="45" t="n"/>
      <c r="AD717" s="45">
        <f>IFERROR(__xludf.DUMMYFUNCTION("""COMPUTED_VALUE"""),"OCEAN")</f>
        <v/>
      </c>
      <c r="AE717" s="45">
        <f>IFERROR(__xludf.DUMMYFUNCTION("""COMPUTED_VALUE"""),"N")</f>
        <v/>
      </c>
      <c r="AF717" s="45" t="n"/>
      <c r="AG717" s="49">
        <f>IFERROR(__xludf.DUMMYFUNCTION("IFNA(vlookup(H717,IMPORTRANGE(""1vUGwO1n0QQGx9kKbO0_M5gmuhXZ6-LaxQxgrmJnzgP0"",""'TP# look up'!A:C""),3,0),"""")"),"")</f>
        <v/>
      </c>
      <c r="AH717" s="49">
        <f>LEFT(J717,2)</f>
        <v/>
      </c>
    </row>
    <row r="718" ht="12.75" customHeight="1">
      <c r="A718" s="45">
        <f>IFERROR(__xludf.DUMMYFUNCTION("""COMPUTED_VALUE"""),"Colombo")</f>
        <v/>
      </c>
      <c r="B718" s="45" t="n"/>
      <c r="C718" s="45">
        <f>IFERROR(__xludf.DUMMYFUNCTION("""COMPUTED_VALUE"""),3259512)</f>
        <v/>
      </c>
      <c r="D718" s="45" t="n"/>
      <c r="E718" s="45">
        <f>IFERROR(__xludf.DUMMYFUNCTION("""COMPUTED_VALUE"""),"CFS")</f>
        <v/>
      </c>
      <c r="F718" s="45">
        <f>IFERROR(__xludf.DUMMYFUNCTION("""COMPUTED_VALUE"""),"MAS AMITY PTE LTD")</f>
        <v/>
      </c>
      <c r="G718" s="45">
        <f>IFERROR(__xludf.DUMMYFUNCTION("""COMPUTED_VALUE"""),"MAS Active(Pvt) Ltd – CONTOURLINE")</f>
        <v/>
      </c>
      <c r="H718" s="43">
        <f>IFERROR(__xludf.DUMMYFUNCTION("""COMPUTED_VALUE"""),454984696909)</f>
        <v/>
      </c>
      <c r="I718" s="45">
        <f>IFERROR(__xludf.DUMMYFUNCTION("""COMPUTED_VALUE"""),19897884)</f>
        <v/>
      </c>
      <c r="J718" s="45">
        <f>IFERROR(__xludf.DUMMYFUNCTION("""COMPUTED_VALUE"""),"LW7CPPS")</f>
        <v/>
      </c>
      <c r="K718" s="45">
        <f>IFERROR(__xludf.DUMMYFUNCTION("""COMPUTED_VALUE"""),"LW7CPPS-062214")</f>
        <v/>
      </c>
      <c r="L718" s="45">
        <f>IFERROR(__xludf.DUMMYFUNCTION("""COMPUTED_VALUE"""),2)</f>
        <v/>
      </c>
      <c r="M718" s="45">
        <f>IFERROR(__xludf.DUMMYFUNCTION("""COMPUTED_VALUE"""),81)</f>
        <v/>
      </c>
      <c r="N718" s="45">
        <f>IFERROR(__xludf.DUMMYFUNCTION("""COMPUTED_VALUE"""),13.121)</f>
        <v/>
      </c>
      <c r="O718" s="45">
        <f>IFERROR(__xludf.DUMMYFUNCTION("""COMPUTED_VALUE"""),0.118)</f>
        <v/>
      </c>
      <c r="P718" s="45">
        <f>IFERROR(__xludf.DUMMYFUNCTION("""COMPUTED_VALUE"""),"Colombo, LK")</f>
        <v/>
      </c>
      <c r="Q718" s="45">
        <f>IFERROR(__xludf.DUMMYFUNCTION("""COMPUTED_VALUE"""),"New York, NY, US")</f>
        <v/>
      </c>
      <c r="R718" s="44">
        <f>IFERROR(__xludf.DUMMYFUNCTION("""COMPUTED_VALUE"""),45831)</f>
        <v/>
      </c>
      <c r="S718" s="44">
        <f>IFERROR(__xludf.DUMMYFUNCTION("""COMPUTED_VALUE"""),45890)</f>
        <v/>
      </c>
      <c r="T718" s="45">
        <f>IFERROR(__xludf.DUMMYFUNCTION("""COMPUTED_VALUE"""),"Milton, ON, CA")</f>
        <v/>
      </c>
      <c r="U718" s="45" t="n"/>
      <c r="V718" s="45" t="n"/>
      <c r="W718" s="45" t="n"/>
      <c r="X718" s="45" t="n"/>
      <c r="Y718" s="46">
        <f>IFERROR(__xludf.DUMMYFUNCTION("""COMPUTED_VALUE"""),45838)</f>
        <v/>
      </c>
      <c r="Z718" s="46">
        <f>IFERROR(__xludf.DUMMYFUNCTION("""COMPUTED_VALUE"""),45859)</f>
        <v/>
      </c>
      <c r="AA718" s="46">
        <f>IFERROR(__xludf.DUMMYFUNCTION("""COMPUTED_VALUE"""),45859)</f>
        <v/>
      </c>
      <c r="AB718" s="45">
        <f>IFERROR(__xludf.DUMMYFUNCTION("""COMPUTED_VALUE"""),"7211 Fifth Line")</f>
        <v/>
      </c>
      <c r="AC718" s="45" t="n"/>
      <c r="AD718" s="45">
        <f>IFERROR(__xludf.DUMMYFUNCTION("""COMPUTED_VALUE"""),"OCEAN")</f>
        <v/>
      </c>
      <c r="AE718" s="45">
        <f>IFERROR(__xludf.DUMMYFUNCTION("""COMPUTED_VALUE"""),"N")</f>
        <v/>
      </c>
      <c r="AF718" s="45" t="n"/>
      <c r="AG718" s="49">
        <f>IFERROR(__xludf.DUMMYFUNCTION("IFNA(vlookup(H718,IMPORTRANGE(""1vUGwO1n0QQGx9kKbO0_M5gmuhXZ6-LaxQxgrmJnzgP0"",""'TP# look up'!A:C""),3,0),"""")"),"")</f>
        <v/>
      </c>
      <c r="AH718" s="49">
        <f>LEFT(J718,2)</f>
        <v/>
      </c>
    </row>
    <row r="719" ht="12.75" customHeight="1">
      <c r="A719" s="45">
        <f>IFERROR(__xludf.DUMMYFUNCTION("""COMPUTED_VALUE"""),"Colombo")</f>
        <v/>
      </c>
      <c r="B719" s="45" t="n"/>
      <c r="C719" s="45">
        <f>IFERROR(__xludf.DUMMYFUNCTION("""COMPUTED_VALUE"""),3259512)</f>
        <v/>
      </c>
      <c r="D719" s="45" t="n"/>
      <c r="E719" s="45">
        <f>IFERROR(__xludf.DUMMYFUNCTION("""COMPUTED_VALUE"""),"CFS")</f>
        <v/>
      </c>
      <c r="F719" s="45">
        <f>IFERROR(__xludf.DUMMYFUNCTION("""COMPUTED_VALUE"""),"MAS AMITY PTE LTD")</f>
        <v/>
      </c>
      <c r="G719" s="45">
        <f>IFERROR(__xludf.DUMMYFUNCTION("""COMPUTED_VALUE"""),"MAS Active(Pvt) Ltd – CONTOURLINE")</f>
        <v/>
      </c>
      <c r="H719" s="43">
        <f>IFERROR(__xludf.DUMMYFUNCTION("""COMPUTED_VALUE"""),454986101249)</f>
        <v/>
      </c>
      <c r="I719" s="45">
        <f>IFERROR(__xludf.DUMMYFUNCTION("""COMPUTED_VALUE"""),19920750)</f>
        <v/>
      </c>
      <c r="J719" s="45">
        <f>IFERROR(__xludf.DUMMYFUNCTION("""COMPUTED_VALUE"""),"LW5FARS")</f>
        <v/>
      </c>
      <c r="K719" s="45">
        <f>IFERROR(__xludf.DUMMYFUNCTION("""COMPUTED_VALUE"""),"LW5FARS-071188")</f>
        <v/>
      </c>
      <c r="L719" s="45">
        <f>IFERROR(__xludf.DUMMYFUNCTION("""COMPUTED_VALUE"""),4)</f>
        <v/>
      </c>
      <c r="M719" s="45">
        <f>IFERROR(__xludf.DUMMYFUNCTION("""COMPUTED_VALUE"""),191)</f>
        <v/>
      </c>
      <c r="N719" s="45">
        <f>IFERROR(__xludf.DUMMYFUNCTION("""COMPUTED_VALUE"""),41.542)</f>
        <v/>
      </c>
      <c r="O719" s="45">
        <f>IFERROR(__xludf.DUMMYFUNCTION("""COMPUTED_VALUE"""),0.276)</f>
        <v/>
      </c>
      <c r="P719" s="45">
        <f>IFERROR(__xludf.DUMMYFUNCTION("""COMPUTED_VALUE"""),"Colombo, LK")</f>
        <v/>
      </c>
      <c r="Q719" s="45">
        <f>IFERROR(__xludf.DUMMYFUNCTION("""COMPUTED_VALUE"""),"New York, NY, US")</f>
        <v/>
      </c>
      <c r="R719" s="44">
        <f>IFERROR(__xludf.DUMMYFUNCTION("""COMPUTED_VALUE"""),45831)</f>
        <v/>
      </c>
      <c r="S719" s="44">
        <f>IFERROR(__xludf.DUMMYFUNCTION("""COMPUTED_VALUE"""),45890)</f>
        <v/>
      </c>
      <c r="T719" s="45">
        <f>IFERROR(__xludf.DUMMYFUNCTION("""COMPUTED_VALUE"""),"Mississauga, ON, CA")</f>
        <v/>
      </c>
      <c r="U719" s="45" t="n"/>
      <c r="V719" s="45" t="n"/>
      <c r="W719" s="45" t="n"/>
      <c r="X719" s="45" t="n"/>
      <c r="Y719" s="46">
        <f>IFERROR(__xludf.DUMMYFUNCTION("""COMPUTED_VALUE"""),45838)</f>
        <v/>
      </c>
      <c r="Z719" s="46">
        <f>IFERROR(__xludf.DUMMYFUNCTION("""COMPUTED_VALUE"""),45859)</f>
        <v/>
      </c>
      <c r="AA719" s="46">
        <f>IFERROR(__xludf.DUMMYFUNCTION("""COMPUTED_VALUE"""),45859)</f>
        <v/>
      </c>
      <c r="AB719" s="45">
        <f>IFERROR(__xludf.DUMMYFUNCTION("""COMPUTED_VALUE"""),"3500 Argentia Road")</f>
        <v/>
      </c>
      <c r="AC719" s="45" t="n"/>
      <c r="AD719" s="45">
        <f>IFERROR(__xludf.DUMMYFUNCTION("""COMPUTED_VALUE"""),"OCEAN")</f>
        <v/>
      </c>
      <c r="AE719" s="45">
        <f>IFERROR(__xludf.DUMMYFUNCTION("""COMPUTED_VALUE"""),"N")</f>
        <v/>
      </c>
      <c r="AF719" s="45" t="n"/>
      <c r="AG719" s="49">
        <f>IFERROR(__xludf.DUMMYFUNCTION("IFNA(vlookup(H719,IMPORTRANGE(""1vUGwO1n0QQGx9kKbO0_M5gmuhXZ6-LaxQxgrmJnzgP0"",""'TP# look up'!A:C""),3,0),"""")"),"")</f>
        <v/>
      </c>
      <c r="AH719" s="49">
        <f>LEFT(J719,2)</f>
        <v/>
      </c>
    </row>
    <row r="720" ht="12.75" customHeight="1">
      <c r="A720" s="45">
        <f>IFERROR(__xludf.DUMMYFUNCTION("""COMPUTED_VALUE"""),"Colombo")</f>
        <v/>
      </c>
      <c r="B720" s="45" t="n"/>
      <c r="C720" s="45">
        <f>IFERROR(__xludf.DUMMYFUNCTION("""COMPUTED_VALUE"""),3259512)</f>
        <v/>
      </c>
      <c r="D720" s="45" t="n"/>
      <c r="E720" s="45">
        <f>IFERROR(__xludf.DUMMYFUNCTION("""COMPUTED_VALUE"""),"CFS")</f>
        <v/>
      </c>
      <c r="F720" s="45">
        <f>IFERROR(__xludf.DUMMYFUNCTION("""COMPUTED_VALUE"""),"MAS AMITY PTE LTD")</f>
        <v/>
      </c>
      <c r="G720" s="45">
        <f>IFERROR(__xludf.DUMMYFUNCTION("""COMPUTED_VALUE"""),"MAS Active(Pvt) Ltd – CONTOURLINE")</f>
        <v/>
      </c>
      <c r="H720" s="43">
        <f>IFERROR(__xludf.DUMMYFUNCTION("""COMPUTED_VALUE"""),454986238171)</f>
        <v/>
      </c>
      <c r="I720" s="45">
        <f>IFERROR(__xludf.DUMMYFUNCTION("""COMPUTED_VALUE"""),19920861)</f>
        <v/>
      </c>
      <c r="J720" s="45">
        <f>IFERROR(__xludf.DUMMYFUNCTION("""COMPUTED_VALUE"""),"LW5FARS")</f>
        <v/>
      </c>
      <c r="K720" s="45">
        <f>IFERROR(__xludf.DUMMYFUNCTION("""COMPUTED_VALUE"""),"LW5FARS-071188")</f>
        <v/>
      </c>
      <c r="L720" s="45">
        <f>IFERROR(__xludf.DUMMYFUNCTION("""COMPUTED_VALUE"""),9)</f>
        <v/>
      </c>
      <c r="M720" s="45">
        <f>IFERROR(__xludf.DUMMYFUNCTION("""COMPUTED_VALUE"""),567)</f>
        <v/>
      </c>
      <c r="N720" s="45">
        <f>IFERROR(__xludf.DUMMYFUNCTION("""COMPUTED_VALUE"""),120.45)</f>
        <v/>
      </c>
      <c r="O720" s="45">
        <f>IFERROR(__xludf.DUMMYFUNCTION("""COMPUTED_VALUE"""),0.632)</f>
        <v/>
      </c>
      <c r="P720" s="45">
        <f>IFERROR(__xludf.DUMMYFUNCTION("""COMPUTED_VALUE"""),"Colombo, LK")</f>
        <v/>
      </c>
      <c r="Q720" s="45">
        <f>IFERROR(__xludf.DUMMYFUNCTION("""COMPUTED_VALUE"""),"New York, NY, US")</f>
        <v/>
      </c>
      <c r="R720" s="44">
        <f>IFERROR(__xludf.DUMMYFUNCTION("""COMPUTED_VALUE"""),45831)</f>
        <v/>
      </c>
      <c r="S720" s="44">
        <f>IFERROR(__xludf.DUMMYFUNCTION("""COMPUTED_VALUE"""),45890)</f>
        <v/>
      </c>
      <c r="T720" s="45">
        <f>IFERROR(__xludf.DUMMYFUNCTION("""COMPUTED_VALUE"""),"Mississauga, ON, CA")</f>
        <v/>
      </c>
      <c r="U720" s="45" t="n"/>
      <c r="V720" s="45" t="n"/>
      <c r="W720" s="45" t="n"/>
      <c r="X720" s="45" t="n"/>
      <c r="Y720" s="46">
        <f>IFERROR(__xludf.DUMMYFUNCTION("""COMPUTED_VALUE"""),45838)</f>
        <v/>
      </c>
      <c r="Z720" s="46">
        <f>IFERROR(__xludf.DUMMYFUNCTION("""COMPUTED_VALUE"""),45859)</f>
        <v/>
      </c>
      <c r="AA720" s="46">
        <f>IFERROR(__xludf.DUMMYFUNCTION("""COMPUTED_VALUE"""),45859)</f>
        <v/>
      </c>
      <c r="AB720" s="45">
        <f>IFERROR(__xludf.DUMMYFUNCTION("""COMPUTED_VALUE"""),"3500 Argentia Road")</f>
        <v/>
      </c>
      <c r="AC720" s="45" t="n"/>
      <c r="AD720" s="45">
        <f>IFERROR(__xludf.DUMMYFUNCTION("""COMPUTED_VALUE"""),"OCEAN")</f>
        <v/>
      </c>
      <c r="AE720" s="45">
        <f>IFERROR(__xludf.DUMMYFUNCTION("""COMPUTED_VALUE"""),"N")</f>
        <v/>
      </c>
      <c r="AF720" s="45" t="n"/>
      <c r="AG720" s="49">
        <f>IFERROR(__xludf.DUMMYFUNCTION("IFNA(vlookup(H720,IMPORTRANGE(""1vUGwO1n0QQGx9kKbO0_M5gmuhXZ6-LaxQxgrmJnzgP0"",""'TP# look up'!A:C""),3,0),"""")"),"")</f>
        <v/>
      </c>
      <c r="AH720" s="49">
        <f>LEFT(J720,2)</f>
        <v/>
      </c>
    </row>
    <row r="721" ht="12.75" customHeight="1">
      <c r="A721" s="45">
        <f>IFERROR(__xludf.DUMMYFUNCTION("""COMPUTED_VALUE"""),"Colombo")</f>
        <v/>
      </c>
      <c r="B721" s="45" t="n"/>
      <c r="C721" s="45">
        <f>IFERROR(__xludf.DUMMYFUNCTION("""COMPUTED_VALUE"""),3259512)</f>
        <v/>
      </c>
      <c r="D721" s="45" t="n"/>
      <c r="E721" s="45">
        <f>IFERROR(__xludf.DUMMYFUNCTION("""COMPUTED_VALUE"""),"CFS")</f>
        <v/>
      </c>
      <c r="F721" s="45">
        <f>IFERROR(__xludf.DUMMYFUNCTION("""COMPUTED_VALUE"""),"MAS AMITY PTE LTD")</f>
        <v/>
      </c>
      <c r="G721" s="45">
        <f>IFERROR(__xludf.DUMMYFUNCTION("""COMPUTED_VALUE"""),"MAS Active(Pvt) Ltd – CONTOURLINE")</f>
        <v/>
      </c>
      <c r="H721" s="43">
        <f>IFERROR(__xludf.DUMMYFUNCTION("""COMPUTED_VALUE"""),454987720962)</f>
        <v/>
      </c>
      <c r="I721" s="45">
        <f>IFERROR(__xludf.DUMMYFUNCTION("""COMPUTED_VALUE"""),19920934)</f>
        <v/>
      </c>
      <c r="J721" s="45">
        <f>IFERROR(__xludf.DUMMYFUNCTION("""COMPUTED_VALUE"""),"LM7BI2S")</f>
        <v/>
      </c>
      <c r="K721" s="45">
        <f>IFERROR(__xludf.DUMMYFUNCTION("""COMPUTED_VALUE"""),"LM7BI2S-041179")</f>
        <v/>
      </c>
      <c r="L721" s="45">
        <f>IFERROR(__xludf.DUMMYFUNCTION("""COMPUTED_VALUE"""),7)</f>
        <v/>
      </c>
      <c r="M721" s="45">
        <f>IFERROR(__xludf.DUMMYFUNCTION("""COMPUTED_VALUE"""),269)</f>
        <v/>
      </c>
      <c r="N721" s="45">
        <f>IFERROR(__xludf.DUMMYFUNCTION("""COMPUTED_VALUE"""),65.045)</f>
        <v/>
      </c>
      <c r="O721" s="45">
        <f>IFERROR(__xludf.DUMMYFUNCTION("""COMPUTED_VALUE"""),0.553)</f>
        <v/>
      </c>
      <c r="P721" s="45">
        <f>IFERROR(__xludf.DUMMYFUNCTION("""COMPUTED_VALUE"""),"Colombo, LK")</f>
        <v/>
      </c>
      <c r="Q721" s="45">
        <f>IFERROR(__xludf.DUMMYFUNCTION("""COMPUTED_VALUE"""),"New York, NY, US")</f>
        <v/>
      </c>
      <c r="R721" s="44">
        <f>IFERROR(__xludf.DUMMYFUNCTION("""COMPUTED_VALUE"""),45831)</f>
        <v/>
      </c>
      <c r="S721" s="44">
        <f>IFERROR(__xludf.DUMMYFUNCTION("""COMPUTED_VALUE"""),45890)</f>
        <v/>
      </c>
      <c r="T721" s="45">
        <f>IFERROR(__xludf.DUMMYFUNCTION("""COMPUTED_VALUE"""),"Mississauga, ON, CA")</f>
        <v/>
      </c>
      <c r="U721" s="45" t="n"/>
      <c r="V721" s="45" t="n"/>
      <c r="W721" s="45" t="n"/>
      <c r="X721" s="45" t="n"/>
      <c r="Y721" s="46">
        <f>IFERROR(__xludf.DUMMYFUNCTION("""COMPUTED_VALUE"""),45838)</f>
        <v/>
      </c>
      <c r="Z721" s="46">
        <f>IFERROR(__xludf.DUMMYFUNCTION("""COMPUTED_VALUE"""),45859)</f>
        <v/>
      </c>
      <c r="AA721" s="46">
        <f>IFERROR(__xludf.DUMMYFUNCTION("""COMPUTED_VALUE"""),45859)</f>
        <v/>
      </c>
      <c r="AB721" s="45">
        <f>IFERROR(__xludf.DUMMYFUNCTION("""COMPUTED_VALUE"""),"3500 Argentia Road")</f>
        <v/>
      </c>
      <c r="AC721" s="45" t="n"/>
      <c r="AD721" s="45">
        <f>IFERROR(__xludf.DUMMYFUNCTION("""COMPUTED_VALUE"""),"OCEAN")</f>
        <v/>
      </c>
      <c r="AE721" s="45">
        <f>IFERROR(__xludf.DUMMYFUNCTION("""COMPUTED_VALUE"""),"N")</f>
        <v/>
      </c>
      <c r="AF721" s="45" t="n"/>
      <c r="AG721" s="49">
        <f>IFERROR(__xludf.DUMMYFUNCTION("IFNA(vlookup(H721,IMPORTRANGE(""1vUGwO1n0QQGx9kKbO0_M5gmuhXZ6-LaxQxgrmJnzgP0"",""'TP# look up'!A:C""),3,0),"""")"),"")</f>
        <v/>
      </c>
      <c r="AH721" s="49">
        <f>LEFT(J721,2)</f>
        <v/>
      </c>
    </row>
    <row r="722" ht="12.75" customHeight="1">
      <c r="A722" s="45">
        <f>IFERROR(__xludf.DUMMYFUNCTION("""COMPUTED_VALUE"""),"Colombo")</f>
        <v/>
      </c>
      <c r="B722" s="45" t="n"/>
      <c r="C722" s="45">
        <f>IFERROR(__xludf.DUMMYFUNCTION("""COMPUTED_VALUE"""),3259512)</f>
        <v/>
      </c>
      <c r="D722" s="45" t="n"/>
      <c r="E722" s="45">
        <f>IFERROR(__xludf.DUMMYFUNCTION("""COMPUTED_VALUE"""),"CFS")</f>
        <v/>
      </c>
      <c r="F722" s="45">
        <f>IFERROR(__xludf.DUMMYFUNCTION("""COMPUTED_VALUE"""),"MAS AMITY PTE LTD")</f>
        <v/>
      </c>
      <c r="G722" s="45">
        <f>IFERROR(__xludf.DUMMYFUNCTION("""COMPUTED_VALUE"""),"MAS Active(Pvt) Ltd – CONTOURLINE")</f>
        <v/>
      </c>
      <c r="H722" s="43">
        <f>IFERROR(__xludf.DUMMYFUNCTION("""COMPUTED_VALUE"""),454989034679)</f>
        <v/>
      </c>
      <c r="I722" s="45">
        <f>IFERROR(__xludf.DUMMYFUNCTION("""COMPUTED_VALUE"""),19925057)</f>
        <v/>
      </c>
      <c r="J722" s="45">
        <f>IFERROR(__xludf.DUMMYFUNCTION("""COMPUTED_VALUE"""),"LW1DRNS")</f>
        <v/>
      </c>
      <c r="K722" s="45">
        <f>IFERROR(__xludf.DUMMYFUNCTION("""COMPUTED_VALUE"""),"LW1DRNS-038337")</f>
        <v/>
      </c>
      <c r="L722" s="45">
        <f>IFERROR(__xludf.DUMMYFUNCTION("""COMPUTED_VALUE"""),1)</f>
        <v/>
      </c>
      <c r="M722" s="45">
        <f>IFERROR(__xludf.DUMMYFUNCTION("""COMPUTED_VALUE"""),102)</f>
        <v/>
      </c>
      <c r="N722" s="45">
        <f>IFERROR(__xludf.DUMMYFUNCTION("""COMPUTED_VALUE"""),12.819)</f>
        <v/>
      </c>
      <c r="O722" s="45">
        <f>IFERROR(__xludf.DUMMYFUNCTION("""COMPUTED_VALUE"""),0.079)</f>
        <v/>
      </c>
      <c r="P722" s="45">
        <f>IFERROR(__xludf.DUMMYFUNCTION("""COMPUTED_VALUE"""),"Colombo, LK")</f>
        <v/>
      </c>
      <c r="Q722" s="45">
        <f>IFERROR(__xludf.DUMMYFUNCTION("""COMPUTED_VALUE"""),"New York, NY, US")</f>
        <v/>
      </c>
      <c r="R722" s="44">
        <f>IFERROR(__xludf.DUMMYFUNCTION("""COMPUTED_VALUE"""),45831)</f>
        <v/>
      </c>
      <c r="S722" s="44">
        <f>IFERROR(__xludf.DUMMYFUNCTION("""COMPUTED_VALUE"""),45890)</f>
        <v/>
      </c>
      <c r="T722" s="45">
        <f>IFERROR(__xludf.DUMMYFUNCTION("""COMPUTED_VALUE"""),"Mississauga, ON, CA")</f>
        <v/>
      </c>
      <c r="U722" s="45" t="n"/>
      <c r="V722" s="45" t="n"/>
      <c r="W722" s="45" t="n"/>
      <c r="X722" s="45" t="n"/>
      <c r="Y722" s="46">
        <f>IFERROR(__xludf.DUMMYFUNCTION("""COMPUTED_VALUE"""),45838)</f>
        <v/>
      </c>
      <c r="Z722" s="46">
        <f>IFERROR(__xludf.DUMMYFUNCTION("""COMPUTED_VALUE"""),45859)</f>
        <v/>
      </c>
      <c r="AA722" s="46">
        <f>IFERROR(__xludf.DUMMYFUNCTION("""COMPUTED_VALUE"""),45859)</f>
        <v/>
      </c>
      <c r="AB722" s="45">
        <f>IFERROR(__xludf.DUMMYFUNCTION("""COMPUTED_VALUE"""),"3500 Argentia Road")</f>
        <v/>
      </c>
      <c r="AC722" s="45" t="n"/>
      <c r="AD722" s="45">
        <f>IFERROR(__xludf.DUMMYFUNCTION("""COMPUTED_VALUE"""),"OCEAN")</f>
        <v/>
      </c>
      <c r="AE722" s="45">
        <f>IFERROR(__xludf.DUMMYFUNCTION("""COMPUTED_VALUE"""),"N")</f>
        <v/>
      </c>
      <c r="AF722" s="45" t="n"/>
      <c r="AG722" s="49">
        <f>IFERROR(__xludf.DUMMYFUNCTION("IFNA(vlookup(H722,IMPORTRANGE(""1vUGwO1n0QQGx9kKbO0_M5gmuhXZ6-LaxQxgrmJnzgP0"",""'TP# look up'!A:C""),3,0),"""")"),"")</f>
        <v/>
      </c>
      <c r="AH722" s="49">
        <f>LEFT(J722,2)</f>
        <v/>
      </c>
    </row>
    <row r="723" ht="12.75" customHeight="1">
      <c r="A723" s="45">
        <f>IFERROR(__xludf.DUMMYFUNCTION("""COMPUTED_VALUE"""),"Colombo")</f>
        <v/>
      </c>
      <c r="B723" s="45" t="n"/>
      <c r="C723" s="45">
        <f>IFERROR(__xludf.DUMMYFUNCTION("""COMPUTED_VALUE"""),3259512)</f>
        <v/>
      </c>
      <c r="D723" s="45" t="n"/>
      <c r="E723" s="45">
        <f>IFERROR(__xludf.DUMMYFUNCTION("""COMPUTED_VALUE"""),"CFS")</f>
        <v/>
      </c>
      <c r="F723" s="45">
        <f>IFERROR(__xludf.DUMMYFUNCTION("""COMPUTED_VALUE"""),"MAS AMITY PTE LTD")</f>
        <v/>
      </c>
      <c r="G723" s="45">
        <f>IFERROR(__xludf.DUMMYFUNCTION("""COMPUTED_VALUE"""),"MAS Active(Pvt) Ltd – CONTOURLINE")</f>
        <v/>
      </c>
      <c r="H723" s="43">
        <f>IFERROR(__xludf.DUMMYFUNCTION("""COMPUTED_VALUE"""),454989035139)</f>
        <v/>
      </c>
      <c r="I723" s="45">
        <f>IFERROR(__xludf.DUMMYFUNCTION("""COMPUTED_VALUE"""),19925215)</f>
        <v/>
      </c>
      <c r="J723" s="45">
        <f>IFERROR(__xludf.DUMMYFUNCTION("""COMPUTED_VALUE"""),"LW6CLQS")</f>
        <v/>
      </c>
      <c r="K723" s="45">
        <f>IFERROR(__xludf.DUMMYFUNCTION("""COMPUTED_VALUE"""),"LW6CLQS-071188")</f>
        <v/>
      </c>
      <c r="L723" s="45">
        <f>IFERROR(__xludf.DUMMYFUNCTION("""COMPUTED_VALUE"""),2)</f>
        <v/>
      </c>
      <c r="M723" s="45">
        <f>IFERROR(__xludf.DUMMYFUNCTION("""COMPUTED_VALUE"""),88)</f>
        <v/>
      </c>
      <c r="N723" s="45">
        <f>IFERROR(__xludf.DUMMYFUNCTION("""COMPUTED_VALUE"""),20.141)</f>
        <v/>
      </c>
      <c r="O723" s="45">
        <f>IFERROR(__xludf.DUMMYFUNCTION("""COMPUTED_VALUE"""),0.118)</f>
        <v/>
      </c>
      <c r="P723" s="45">
        <f>IFERROR(__xludf.DUMMYFUNCTION("""COMPUTED_VALUE"""),"Colombo, LK")</f>
        <v/>
      </c>
      <c r="Q723" s="45">
        <f>IFERROR(__xludf.DUMMYFUNCTION("""COMPUTED_VALUE"""),"New York, NY, US")</f>
        <v/>
      </c>
      <c r="R723" s="44">
        <f>IFERROR(__xludf.DUMMYFUNCTION("""COMPUTED_VALUE"""),45831)</f>
        <v/>
      </c>
      <c r="S723" s="44">
        <f>IFERROR(__xludf.DUMMYFUNCTION("""COMPUTED_VALUE"""),45890)</f>
        <v/>
      </c>
      <c r="T723" s="45">
        <f>IFERROR(__xludf.DUMMYFUNCTION("""COMPUTED_VALUE"""),"Mississauga, ON, CA")</f>
        <v/>
      </c>
      <c r="U723" s="45" t="n"/>
      <c r="V723" s="45" t="n"/>
      <c r="W723" s="45" t="n"/>
      <c r="X723" s="45" t="n"/>
      <c r="Y723" s="46">
        <f>IFERROR(__xludf.DUMMYFUNCTION("""COMPUTED_VALUE"""),45838)</f>
        <v/>
      </c>
      <c r="Z723" s="46">
        <f>IFERROR(__xludf.DUMMYFUNCTION("""COMPUTED_VALUE"""),45859)</f>
        <v/>
      </c>
      <c r="AA723" s="46">
        <f>IFERROR(__xludf.DUMMYFUNCTION("""COMPUTED_VALUE"""),45859)</f>
        <v/>
      </c>
      <c r="AB723" s="45">
        <f>IFERROR(__xludf.DUMMYFUNCTION("""COMPUTED_VALUE"""),"3500 Argentia Road")</f>
        <v/>
      </c>
      <c r="AC723" s="45" t="n"/>
      <c r="AD723" s="45">
        <f>IFERROR(__xludf.DUMMYFUNCTION("""COMPUTED_VALUE"""),"OCEAN")</f>
        <v/>
      </c>
      <c r="AE723" s="45">
        <f>IFERROR(__xludf.DUMMYFUNCTION("""COMPUTED_VALUE"""),"N")</f>
        <v/>
      </c>
      <c r="AF723" s="45" t="n"/>
      <c r="AG723" s="49">
        <f>IFERROR(__xludf.DUMMYFUNCTION("IFNA(vlookup(H723,IMPORTRANGE(""1vUGwO1n0QQGx9kKbO0_M5gmuhXZ6-LaxQxgrmJnzgP0"",""'TP# look up'!A:C""),3,0),"""")"),"")</f>
        <v/>
      </c>
      <c r="AH723" s="49">
        <f>LEFT(J723,2)</f>
        <v/>
      </c>
    </row>
    <row r="724" ht="12.75" customHeight="1">
      <c r="A724" s="45">
        <f>IFERROR(__xludf.DUMMYFUNCTION("""COMPUTED_VALUE"""),"Colombo")</f>
        <v/>
      </c>
      <c r="B724" s="45" t="n"/>
      <c r="C724" s="45">
        <f>IFERROR(__xludf.DUMMYFUNCTION("""COMPUTED_VALUE"""),3259512)</f>
        <v/>
      </c>
      <c r="D724" s="45" t="n"/>
      <c r="E724" s="45">
        <f>IFERROR(__xludf.DUMMYFUNCTION("""COMPUTED_VALUE"""),"CFS")</f>
        <v/>
      </c>
      <c r="F724" s="45">
        <f>IFERROR(__xludf.DUMMYFUNCTION("""COMPUTED_VALUE"""),"MAS AMITY PTE LTD")</f>
        <v/>
      </c>
      <c r="G724" s="45">
        <f>IFERROR(__xludf.DUMMYFUNCTION("""COMPUTED_VALUE"""),"MAS Active(Pvt) Ltd – CONTOURLINE")</f>
        <v/>
      </c>
      <c r="H724" s="43">
        <f>IFERROR(__xludf.DUMMYFUNCTION("""COMPUTED_VALUE"""),454990360741)</f>
        <v/>
      </c>
      <c r="I724" s="45">
        <f>IFERROR(__xludf.DUMMYFUNCTION("""COMPUTED_VALUE"""),19925435)</f>
        <v/>
      </c>
      <c r="J724" s="45">
        <f>IFERROR(__xludf.DUMMYFUNCTION("""COMPUTED_VALUE"""),"LW5FARS")</f>
        <v/>
      </c>
      <c r="K724" s="45">
        <f>IFERROR(__xludf.DUMMYFUNCTION("""COMPUTED_VALUE"""),"LW5FARS-071168")</f>
        <v/>
      </c>
      <c r="L724" s="45">
        <f>IFERROR(__xludf.DUMMYFUNCTION("""COMPUTED_VALUE"""),6)</f>
        <v/>
      </c>
      <c r="M724" s="45">
        <f>IFERROR(__xludf.DUMMYFUNCTION("""COMPUTED_VALUE"""),318)</f>
        <v/>
      </c>
      <c r="N724" s="45">
        <f>IFERROR(__xludf.DUMMYFUNCTION("""COMPUTED_VALUE"""),68.619)</f>
        <v/>
      </c>
      <c r="O724" s="45">
        <f>IFERROR(__xludf.DUMMYFUNCTION("""COMPUTED_VALUE"""),0.434)</f>
        <v/>
      </c>
      <c r="P724" s="45">
        <f>IFERROR(__xludf.DUMMYFUNCTION("""COMPUTED_VALUE"""),"Colombo, LK")</f>
        <v/>
      </c>
      <c r="Q724" s="45">
        <f>IFERROR(__xludf.DUMMYFUNCTION("""COMPUTED_VALUE"""),"New York, NY, US")</f>
        <v/>
      </c>
      <c r="R724" s="44">
        <f>IFERROR(__xludf.DUMMYFUNCTION("""COMPUTED_VALUE"""),45831)</f>
        <v/>
      </c>
      <c r="S724" s="44">
        <f>IFERROR(__xludf.DUMMYFUNCTION("""COMPUTED_VALUE"""),45890)</f>
        <v/>
      </c>
      <c r="T724" s="45">
        <f>IFERROR(__xludf.DUMMYFUNCTION("""COMPUTED_VALUE"""),"Mississauga, ON, CA")</f>
        <v/>
      </c>
      <c r="U724" s="45" t="n"/>
      <c r="V724" s="45" t="n"/>
      <c r="W724" s="45" t="n"/>
      <c r="X724" s="45" t="n"/>
      <c r="Y724" s="46">
        <f>IFERROR(__xludf.DUMMYFUNCTION("""COMPUTED_VALUE"""),45838)</f>
        <v/>
      </c>
      <c r="Z724" s="46">
        <f>IFERROR(__xludf.DUMMYFUNCTION("""COMPUTED_VALUE"""),45859)</f>
        <v/>
      </c>
      <c r="AA724" s="46">
        <f>IFERROR(__xludf.DUMMYFUNCTION("""COMPUTED_VALUE"""),45859)</f>
        <v/>
      </c>
      <c r="AB724" s="45">
        <f>IFERROR(__xludf.DUMMYFUNCTION("""COMPUTED_VALUE"""),"3500 Argentia Road")</f>
        <v/>
      </c>
      <c r="AC724" s="45" t="n"/>
      <c r="AD724" s="45">
        <f>IFERROR(__xludf.DUMMYFUNCTION("""COMPUTED_VALUE"""),"OCEAN")</f>
        <v/>
      </c>
      <c r="AE724" s="45">
        <f>IFERROR(__xludf.DUMMYFUNCTION("""COMPUTED_VALUE"""),"N")</f>
        <v/>
      </c>
      <c r="AF724" s="45" t="n"/>
      <c r="AG724" s="49">
        <f>IFERROR(__xludf.DUMMYFUNCTION("IFNA(vlookup(H724,IMPORTRANGE(""1vUGwO1n0QQGx9kKbO0_M5gmuhXZ6-LaxQxgrmJnzgP0"",""'TP# look up'!A:C""),3,0),"""")"),"")</f>
        <v/>
      </c>
      <c r="AH724" s="49">
        <f>LEFT(J724,2)</f>
        <v/>
      </c>
    </row>
    <row r="725" ht="12.75" customHeight="1">
      <c r="A725" s="45">
        <f>IFERROR(__xludf.DUMMYFUNCTION("""COMPUTED_VALUE"""),"Colombo")</f>
        <v/>
      </c>
      <c r="B725" s="45" t="n"/>
      <c r="C725" s="45">
        <f>IFERROR(__xludf.DUMMYFUNCTION("""COMPUTED_VALUE"""),3259512)</f>
        <v/>
      </c>
      <c r="D725" s="45" t="n"/>
      <c r="E725" s="45">
        <f>IFERROR(__xludf.DUMMYFUNCTION("""COMPUTED_VALUE"""),"CFS")</f>
        <v/>
      </c>
      <c r="F725" s="45">
        <f>IFERROR(__xludf.DUMMYFUNCTION("""COMPUTED_VALUE"""),"MAS AMITY PTE LTD")</f>
        <v/>
      </c>
      <c r="G725" s="45">
        <f>IFERROR(__xludf.DUMMYFUNCTION("""COMPUTED_VALUE"""),"MAS Active(Pvt) Ltd – CONTOURLINE")</f>
        <v/>
      </c>
      <c r="H725" s="43">
        <f>IFERROR(__xludf.DUMMYFUNCTION("""COMPUTED_VALUE"""),454990678797)</f>
        <v/>
      </c>
      <c r="I725" s="45">
        <f>IFERROR(__xludf.DUMMYFUNCTION("""COMPUTED_VALUE"""),19939352)</f>
        <v/>
      </c>
      <c r="J725" s="45">
        <f>IFERROR(__xludf.DUMMYFUNCTION("""COMPUTED_VALUE"""),"LW6CLQS")</f>
        <v/>
      </c>
      <c r="K725" s="45">
        <f>IFERROR(__xludf.DUMMYFUNCTION("""COMPUTED_VALUE"""),"LW6CLQS-071188")</f>
        <v/>
      </c>
      <c r="L725" s="45">
        <f>IFERROR(__xludf.DUMMYFUNCTION("""COMPUTED_VALUE"""),5)</f>
        <v/>
      </c>
      <c r="M725" s="45">
        <f>IFERROR(__xludf.DUMMYFUNCTION("""COMPUTED_VALUE"""),272)</f>
        <v/>
      </c>
      <c r="N725" s="45">
        <f>IFERROR(__xludf.DUMMYFUNCTION("""COMPUTED_VALUE"""),62.075)</f>
        <v/>
      </c>
      <c r="O725" s="45">
        <f>IFERROR(__xludf.DUMMYFUNCTION("""COMPUTED_VALUE"""),0.395)</f>
        <v/>
      </c>
      <c r="P725" s="45">
        <f>IFERROR(__xludf.DUMMYFUNCTION("""COMPUTED_VALUE"""),"Colombo, LK")</f>
        <v/>
      </c>
      <c r="Q725" s="45">
        <f>IFERROR(__xludf.DUMMYFUNCTION("""COMPUTED_VALUE"""),"New York, NY, US")</f>
        <v/>
      </c>
      <c r="R725" s="44">
        <f>IFERROR(__xludf.DUMMYFUNCTION("""COMPUTED_VALUE"""),45831)</f>
        <v/>
      </c>
      <c r="S725" s="44">
        <f>IFERROR(__xludf.DUMMYFUNCTION("""COMPUTED_VALUE"""),45890)</f>
        <v/>
      </c>
      <c r="T725" s="45">
        <f>IFERROR(__xludf.DUMMYFUNCTION("""COMPUTED_VALUE"""),"Mississauga, ON, CA")</f>
        <v/>
      </c>
      <c r="U725" s="45" t="n"/>
      <c r="V725" s="45" t="n"/>
      <c r="W725" s="45" t="n"/>
      <c r="X725" s="45" t="n"/>
      <c r="Y725" s="46">
        <f>IFERROR(__xludf.DUMMYFUNCTION("""COMPUTED_VALUE"""),45838)</f>
        <v/>
      </c>
      <c r="Z725" s="46">
        <f>IFERROR(__xludf.DUMMYFUNCTION("""COMPUTED_VALUE"""),45859)</f>
        <v/>
      </c>
      <c r="AA725" s="46">
        <f>IFERROR(__xludf.DUMMYFUNCTION("""COMPUTED_VALUE"""),45859)</f>
        <v/>
      </c>
      <c r="AB725" s="45">
        <f>IFERROR(__xludf.DUMMYFUNCTION("""COMPUTED_VALUE"""),"3500 Argentia Road")</f>
        <v/>
      </c>
      <c r="AC725" s="45" t="n"/>
      <c r="AD725" s="45">
        <f>IFERROR(__xludf.DUMMYFUNCTION("""COMPUTED_VALUE"""),"OCEAN")</f>
        <v/>
      </c>
      <c r="AE725" s="45">
        <f>IFERROR(__xludf.DUMMYFUNCTION("""COMPUTED_VALUE"""),"N")</f>
        <v/>
      </c>
      <c r="AF725" s="45" t="n"/>
      <c r="AG725" s="49">
        <f>IFERROR(__xludf.DUMMYFUNCTION("IFNA(vlookup(H725,IMPORTRANGE(""1vUGwO1n0QQGx9kKbO0_M5gmuhXZ6-LaxQxgrmJnzgP0"",""'TP# look up'!A:C""),3,0),"""")"),"")</f>
        <v/>
      </c>
      <c r="AH725" s="49">
        <f>LEFT(J725,2)</f>
        <v/>
      </c>
    </row>
    <row r="726" ht="12.75" customHeight="1">
      <c r="A726" s="45">
        <f>IFERROR(__xludf.DUMMYFUNCTION("""COMPUTED_VALUE"""),"Colombo")</f>
        <v/>
      </c>
      <c r="B726" s="45" t="n"/>
      <c r="C726" s="45">
        <f>IFERROR(__xludf.DUMMYFUNCTION("""COMPUTED_VALUE"""),3259512)</f>
        <v/>
      </c>
      <c r="D726" s="45" t="n"/>
      <c r="E726" s="45">
        <f>IFERROR(__xludf.DUMMYFUNCTION("""COMPUTED_VALUE"""),"CFS")</f>
        <v/>
      </c>
      <c r="F726" s="45">
        <f>IFERROR(__xludf.DUMMYFUNCTION("""COMPUTED_VALUE"""),"MAS AMITY PTE LTD")</f>
        <v/>
      </c>
      <c r="G726" s="45">
        <f>IFERROR(__xludf.DUMMYFUNCTION("""COMPUTED_VALUE"""),"MAS Active(Pvt) Ltd – CONTOURLINE")</f>
        <v/>
      </c>
      <c r="H726" s="43">
        <f>IFERROR(__xludf.DUMMYFUNCTION("""COMPUTED_VALUE"""),454992286400)</f>
        <v/>
      </c>
      <c r="I726" s="45">
        <f>IFERROR(__xludf.DUMMYFUNCTION("""COMPUTED_VALUE"""),19939412)</f>
        <v/>
      </c>
      <c r="J726" s="45">
        <f>IFERROR(__xludf.DUMMYFUNCTION("""COMPUTED_VALUE"""),"LW1DRNS")</f>
        <v/>
      </c>
      <c r="K726" s="45">
        <f>IFERROR(__xludf.DUMMYFUNCTION("""COMPUTED_VALUE"""),"LW1DRNS-038337")</f>
        <v/>
      </c>
      <c r="L726" s="45">
        <f>IFERROR(__xludf.DUMMYFUNCTION("""COMPUTED_VALUE"""),4)</f>
        <v/>
      </c>
      <c r="M726" s="45">
        <f>IFERROR(__xludf.DUMMYFUNCTION("""COMPUTED_VALUE"""),287)</f>
        <v/>
      </c>
      <c r="N726" s="45">
        <f>IFERROR(__xludf.DUMMYFUNCTION("""COMPUTED_VALUE"""),36.895)</f>
        <v/>
      </c>
      <c r="O726" s="45">
        <f>IFERROR(__xludf.DUMMYFUNCTION("""COMPUTED_VALUE"""),0.276)</f>
        <v/>
      </c>
      <c r="P726" s="45">
        <f>IFERROR(__xludf.DUMMYFUNCTION("""COMPUTED_VALUE"""),"Colombo, LK")</f>
        <v/>
      </c>
      <c r="Q726" s="45">
        <f>IFERROR(__xludf.DUMMYFUNCTION("""COMPUTED_VALUE"""),"New York, NY, US")</f>
        <v/>
      </c>
      <c r="R726" s="44">
        <f>IFERROR(__xludf.DUMMYFUNCTION("""COMPUTED_VALUE"""),45831)</f>
        <v/>
      </c>
      <c r="S726" s="44">
        <f>IFERROR(__xludf.DUMMYFUNCTION("""COMPUTED_VALUE"""),45890)</f>
        <v/>
      </c>
      <c r="T726" s="45">
        <f>IFERROR(__xludf.DUMMYFUNCTION("""COMPUTED_VALUE"""),"Mississauga, ON, CA")</f>
        <v/>
      </c>
      <c r="U726" s="45" t="n"/>
      <c r="V726" s="45" t="n"/>
      <c r="W726" s="45" t="n"/>
      <c r="X726" s="45" t="n"/>
      <c r="Y726" s="46">
        <f>IFERROR(__xludf.DUMMYFUNCTION("""COMPUTED_VALUE"""),45838)</f>
        <v/>
      </c>
      <c r="Z726" s="46">
        <f>IFERROR(__xludf.DUMMYFUNCTION("""COMPUTED_VALUE"""),45859)</f>
        <v/>
      </c>
      <c r="AA726" s="46">
        <f>IFERROR(__xludf.DUMMYFUNCTION("""COMPUTED_VALUE"""),45859)</f>
        <v/>
      </c>
      <c r="AB726" s="45">
        <f>IFERROR(__xludf.DUMMYFUNCTION("""COMPUTED_VALUE"""),"3500 Argentia Road")</f>
        <v/>
      </c>
      <c r="AC726" s="45" t="n"/>
      <c r="AD726" s="45">
        <f>IFERROR(__xludf.DUMMYFUNCTION("""COMPUTED_VALUE"""),"OCEAN")</f>
        <v/>
      </c>
      <c r="AE726" s="45">
        <f>IFERROR(__xludf.DUMMYFUNCTION("""COMPUTED_VALUE"""),"N")</f>
        <v/>
      </c>
      <c r="AF726" s="45" t="n"/>
      <c r="AG726" s="49">
        <f>IFERROR(__xludf.DUMMYFUNCTION("IFNA(vlookup(H726,IMPORTRANGE(""1vUGwO1n0QQGx9kKbO0_M5gmuhXZ6-LaxQxgrmJnzgP0"",""'TP# look up'!A:C""),3,0),"""")"),"")</f>
        <v/>
      </c>
      <c r="AH726" s="49">
        <f>LEFT(J726,2)</f>
        <v/>
      </c>
    </row>
    <row r="727" ht="12.75" customHeight="1">
      <c r="A727" s="45">
        <f>IFERROR(__xludf.DUMMYFUNCTION("""COMPUTED_VALUE"""),"Colombo")</f>
        <v/>
      </c>
      <c r="B727" s="45" t="n"/>
      <c r="C727" s="45">
        <f>IFERROR(__xludf.DUMMYFUNCTION("""COMPUTED_VALUE"""),3259512)</f>
        <v/>
      </c>
      <c r="D727" s="45" t="n"/>
      <c r="E727" s="45">
        <f>IFERROR(__xludf.DUMMYFUNCTION("""COMPUTED_VALUE"""),"CFS")</f>
        <v/>
      </c>
      <c r="F727" s="45">
        <f>IFERROR(__xludf.DUMMYFUNCTION("""COMPUTED_VALUE"""),"MAS AMITY PTE LTD")</f>
        <v/>
      </c>
      <c r="G727" s="45">
        <f>IFERROR(__xludf.DUMMYFUNCTION("""COMPUTED_VALUE"""),"MAS Active (Pvt) Ltd - Linea Intimo")</f>
        <v/>
      </c>
      <c r="H727" s="43">
        <f>IFERROR(__xludf.DUMMYFUNCTION("""COMPUTED_VALUE"""),456883432771)</f>
        <v/>
      </c>
      <c r="I727" s="45">
        <f>IFERROR(__xludf.DUMMYFUNCTION("""COMPUTED_VALUE"""),19890506)</f>
        <v/>
      </c>
      <c r="J727" s="45">
        <f>IFERROR(__xludf.DUMMYFUNCTION("""COMPUTED_VALUE"""),"LW7DK4S")</f>
        <v/>
      </c>
      <c r="K727" s="45">
        <f>IFERROR(__xludf.DUMMYFUNCTION("""COMPUTED_VALUE"""),"LW7DK4S-035647")</f>
        <v/>
      </c>
      <c r="L727" s="45">
        <f>IFERROR(__xludf.DUMMYFUNCTION("""COMPUTED_VALUE"""),4)</f>
        <v/>
      </c>
      <c r="M727" s="45">
        <f>IFERROR(__xludf.DUMMYFUNCTION("""COMPUTED_VALUE"""),195)</f>
        <v/>
      </c>
      <c r="N727" s="45">
        <f>IFERROR(__xludf.DUMMYFUNCTION("""COMPUTED_VALUE"""),28.668)</f>
        <v/>
      </c>
      <c r="O727" s="45">
        <f>IFERROR(__xludf.DUMMYFUNCTION("""COMPUTED_VALUE"""),0.276)</f>
        <v/>
      </c>
      <c r="P727" s="45">
        <f>IFERROR(__xludf.DUMMYFUNCTION("""COMPUTED_VALUE"""),"Colombo, LK")</f>
        <v/>
      </c>
      <c r="Q727" s="45">
        <f>IFERROR(__xludf.DUMMYFUNCTION("""COMPUTED_VALUE"""),"New York, NY, US")</f>
        <v/>
      </c>
      <c r="R727" s="44">
        <f>IFERROR(__xludf.DUMMYFUNCTION("""COMPUTED_VALUE"""),45831)</f>
        <v/>
      </c>
      <c r="S727" s="44">
        <f>IFERROR(__xludf.DUMMYFUNCTION("""COMPUTED_VALUE"""),45890)</f>
        <v/>
      </c>
      <c r="T727" s="45">
        <f>IFERROR(__xludf.DUMMYFUNCTION("""COMPUTED_VALUE"""),"Mississauga, ON, CA")</f>
        <v/>
      </c>
      <c r="U727" s="45" t="n"/>
      <c r="V727" s="45" t="n"/>
      <c r="W727" s="45" t="n"/>
      <c r="X727" s="45" t="n"/>
      <c r="Y727" s="46">
        <f>IFERROR(__xludf.DUMMYFUNCTION("""COMPUTED_VALUE"""),45838)</f>
        <v/>
      </c>
      <c r="Z727" s="46">
        <f>IFERROR(__xludf.DUMMYFUNCTION("""COMPUTED_VALUE"""),45852)</f>
        <v/>
      </c>
      <c r="AA727" s="46">
        <f>IFERROR(__xludf.DUMMYFUNCTION("""COMPUTED_VALUE"""),45852)</f>
        <v/>
      </c>
      <c r="AB727" s="45">
        <f>IFERROR(__xludf.DUMMYFUNCTION("""COMPUTED_VALUE"""),"3500 Argentia Road")</f>
        <v/>
      </c>
      <c r="AC727" s="45" t="n"/>
      <c r="AD727" s="45">
        <f>IFERROR(__xludf.DUMMYFUNCTION("""COMPUTED_VALUE"""),"OCEAN")</f>
        <v/>
      </c>
      <c r="AE727" s="45">
        <f>IFERROR(__xludf.DUMMYFUNCTION("""COMPUTED_VALUE"""),"N")</f>
        <v/>
      </c>
      <c r="AF727" s="45" t="n"/>
      <c r="AG727" s="49">
        <f>IFERROR(__xludf.DUMMYFUNCTION("IFNA(vlookup(H727,IMPORTRANGE(""1vUGwO1n0QQGx9kKbO0_M5gmuhXZ6-LaxQxgrmJnzgP0"",""'TP# look up'!A:C""),3,0),"""")"),"")</f>
        <v/>
      </c>
      <c r="AH727" s="49">
        <f>LEFT(J727,2)</f>
        <v/>
      </c>
    </row>
    <row r="728" ht="12.75" customHeight="1">
      <c r="A728" s="45">
        <f>IFERROR(__xludf.DUMMYFUNCTION("""COMPUTED_VALUE"""),"Colombo")</f>
        <v/>
      </c>
      <c r="B728" s="45" t="n"/>
      <c r="C728" s="45">
        <f>IFERROR(__xludf.DUMMYFUNCTION("""COMPUTED_VALUE"""),3259512)</f>
        <v/>
      </c>
      <c r="D728" s="45" t="n"/>
      <c r="E728" s="45">
        <f>IFERROR(__xludf.DUMMYFUNCTION("""COMPUTED_VALUE"""),"CFS")</f>
        <v/>
      </c>
      <c r="F728" s="45">
        <f>IFERROR(__xludf.DUMMYFUNCTION("""COMPUTED_VALUE"""),"MAS AMITY PTE LTD")</f>
        <v/>
      </c>
      <c r="G728" s="45">
        <f>IFERROR(__xludf.DUMMYFUNCTION("""COMPUTED_VALUE"""),"MAS Active (Pvt) Ltd - Linea Intimo")</f>
        <v/>
      </c>
      <c r="H728" s="43">
        <f>IFERROR(__xludf.DUMMYFUNCTION("""COMPUTED_VALUE"""),456886176219)</f>
        <v/>
      </c>
      <c r="I728" s="45">
        <f>IFERROR(__xludf.DUMMYFUNCTION("""COMPUTED_VALUE"""),19913276)</f>
        <v/>
      </c>
      <c r="J728" s="45">
        <f>IFERROR(__xludf.DUMMYFUNCTION("""COMPUTED_VALUE"""),"LW3FQHS")</f>
        <v/>
      </c>
      <c r="K728" s="45">
        <f>IFERROR(__xludf.DUMMYFUNCTION("""COMPUTED_VALUE"""),"LW3FQHS-0572")</f>
        <v/>
      </c>
      <c r="L728" s="45">
        <f>IFERROR(__xludf.DUMMYFUNCTION("""COMPUTED_VALUE"""),15)</f>
        <v/>
      </c>
      <c r="M728" s="45">
        <f>IFERROR(__xludf.DUMMYFUNCTION("""COMPUTED_VALUE"""),1958)</f>
        <v/>
      </c>
      <c r="N728" s="45">
        <f>IFERROR(__xludf.DUMMYFUNCTION("""COMPUTED_VALUE"""),191.23)</f>
        <v/>
      </c>
      <c r="O728" s="45">
        <f>IFERROR(__xludf.DUMMYFUNCTION("""COMPUTED_VALUE"""),1.185)</f>
        <v/>
      </c>
      <c r="P728" s="45">
        <f>IFERROR(__xludf.DUMMYFUNCTION("""COMPUTED_VALUE"""),"Colombo, LK")</f>
        <v/>
      </c>
      <c r="Q728" s="45">
        <f>IFERROR(__xludf.DUMMYFUNCTION("""COMPUTED_VALUE"""),"New York, NY, US")</f>
        <v/>
      </c>
      <c r="R728" s="44">
        <f>IFERROR(__xludf.DUMMYFUNCTION("""COMPUTED_VALUE"""),45831)</f>
        <v/>
      </c>
      <c r="S728" s="44">
        <f>IFERROR(__xludf.DUMMYFUNCTION("""COMPUTED_VALUE"""),45890)</f>
        <v/>
      </c>
      <c r="T728" s="45">
        <f>IFERROR(__xludf.DUMMYFUNCTION("""COMPUTED_VALUE"""),"Mississauga, ON, CA")</f>
        <v/>
      </c>
      <c r="U728" s="45" t="n"/>
      <c r="V728" s="45" t="n"/>
      <c r="W728" s="45" t="n"/>
      <c r="X728" s="45" t="n"/>
      <c r="Y728" s="46">
        <f>IFERROR(__xludf.DUMMYFUNCTION("""COMPUTED_VALUE"""),45838)</f>
        <v/>
      </c>
      <c r="Z728" s="46">
        <f>IFERROR(__xludf.DUMMYFUNCTION("""COMPUTED_VALUE"""),45852)</f>
        <v/>
      </c>
      <c r="AA728" s="46">
        <f>IFERROR(__xludf.DUMMYFUNCTION("""COMPUTED_VALUE"""),45852)</f>
        <v/>
      </c>
      <c r="AB728" s="45">
        <f>IFERROR(__xludf.DUMMYFUNCTION("""COMPUTED_VALUE"""),"3500 Argentia Road")</f>
        <v/>
      </c>
      <c r="AC728" s="45" t="n"/>
      <c r="AD728" s="45">
        <f>IFERROR(__xludf.DUMMYFUNCTION("""COMPUTED_VALUE"""),"OCEAN")</f>
        <v/>
      </c>
      <c r="AE728" s="45">
        <f>IFERROR(__xludf.DUMMYFUNCTION("""COMPUTED_VALUE"""),"N")</f>
        <v/>
      </c>
      <c r="AF728" s="45" t="n"/>
      <c r="AG728" s="49">
        <f>IFERROR(__xludf.DUMMYFUNCTION("IFNA(vlookup(H728,IMPORTRANGE(""1vUGwO1n0QQGx9kKbO0_M5gmuhXZ6-LaxQxgrmJnzgP0"",""'TP# look up'!A:C""),3,0),"""")"),"")</f>
        <v/>
      </c>
      <c r="AH728" s="49">
        <f>LEFT(J728,2)</f>
        <v/>
      </c>
    </row>
    <row r="729" ht="12.75" customHeight="1">
      <c r="A729" s="45">
        <f>IFERROR(__xludf.DUMMYFUNCTION("""COMPUTED_VALUE"""),"Colombo")</f>
        <v/>
      </c>
      <c r="B729" s="45" t="n"/>
      <c r="C729" s="45">
        <f>IFERROR(__xludf.DUMMYFUNCTION("""COMPUTED_VALUE"""),3259512)</f>
        <v/>
      </c>
      <c r="D729" s="45" t="n"/>
      <c r="E729" s="45">
        <f>IFERROR(__xludf.DUMMYFUNCTION("""COMPUTED_VALUE"""),"CFS")</f>
        <v/>
      </c>
      <c r="F729" s="45">
        <f>IFERROR(__xludf.DUMMYFUNCTION("""COMPUTED_VALUE"""),"MAS AMITY PTE LTD")</f>
        <v/>
      </c>
      <c r="G729" s="45">
        <f>IFERROR(__xludf.DUMMYFUNCTION("""COMPUTED_VALUE"""),"MAS Active (Pvt) Ltd - Linea Intimo")</f>
        <v/>
      </c>
      <c r="H729" s="43">
        <f>IFERROR(__xludf.DUMMYFUNCTION("""COMPUTED_VALUE"""),456891473227)</f>
        <v/>
      </c>
      <c r="I729" s="45">
        <f>IFERROR(__xludf.DUMMYFUNCTION("""COMPUTED_VALUE"""),19897804)</f>
        <v/>
      </c>
      <c r="J729" s="45">
        <f>IFERROR(__xludf.DUMMYFUNCTION("""COMPUTED_VALUE"""),"LM3FG2S")</f>
        <v/>
      </c>
      <c r="K729" s="45">
        <f>IFERROR(__xludf.DUMMYFUNCTION("""COMPUTED_VALUE"""),"LM3FG2S-033976")</f>
        <v/>
      </c>
      <c r="L729" s="45">
        <f>IFERROR(__xludf.DUMMYFUNCTION("""COMPUTED_VALUE"""),7)</f>
        <v/>
      </c>
      <c r="M729" s="45">
        <f>IFERROR(__xludf.DUMMYFUNCTION("""COMPUTED_VALUE"""),493)</f>
        <v/>
      </c>
      <c r="N729" s="45">
        <f>IFERROR(__xludf.DUMMYFUNCTION("""COMPUTED_VALUE"""),92.832)</f>
        <v/>
      </c>
      <c r="O729" s="45">
        <f>IFERROR(__xludf.DUMMYFUNCTION("""COMPUTED_VALUE"""),0.553)</f>
        <v/>
      </c>
      <c r="P729" s="45">
        <f>IFERROR(__xludf.DUMMYFUNCTION("""COMPUTED_VALUE"""),"Colombo, LK")</f>
        <v/>
      </c>
      <c r="Q729" s="45">
        <f>IFERROR(__xludf.DUMMYFUNCTION("""COMPUTED_VALUE"""),"New York, NY, US")</f>
        <v/>
      </c>
      <c r="R729" s="44">
        <f>IFERROR(__xludf.DUMMYFUNCTION("""COMPUTED_VALUE"""),45831)</f>
        <v/>
      </c>
      <c r="S729" s="44">
        <f>IFERROR(__xludf.DUMMYFUNCTION("""COMPUTED_VALUE"""),45890)</f>
        <v/>
      </c>
      <c r="T729" s="45">
        <f>IFERROR(__xludf.DUMMYFUNCTION("""COMPUTED_VALUE"""),"Milton, ON, CA")</f>
        <v/>
      </c>
      <c r="U729" s="45" t="n"/>
      <c r="V729" s="45" t="n"/>
      <c r="W729" s="45" t="n"/>
      <c r="X729" s="45" t="n"/>
      <c r="Y729" s="46">
        <f>IFERROR(__xludf.DUMMYFUNCTION("""COMPUTED_VALUE"""),45838)</f>
        <v/>
      </c>
      <c r="Z729" s="46">
        <f>IFERROR(__xludf.DUMMYFUNCTION("""COMPUTED_VALUE"""),45852)</f>
        <v/>
      </c>
      <c r="AA729" s="46">
        <f>IFERROR(__xludf.DUMMYFUNCTION("""COMPUTED_VALUE"""),45852)</f>
        <v/>
      </c>
      <c r="AB729" s="45">
        <f>IFERROR(__xludf.DUMMYFUNCTION("""COMPUTED_VALUE"""),"7211 Fifth Line")</f>
        <v/>
      </c>
      <c r="AC729" s="45" t="n"/>
      <c r="AD729" s="45">
        <f>IFERROR(__xludf.DUMMYFUNCTION("""COMPUTED_VALUE"""),"OCEAN")</f>
        <v/>
      </c>
      <c r="AE729" s="45">
        <f>IFERROR(__xludf.DUMMYFUNCTION("""COMPUTED_VALUE"""),"N")</f>
        <v/>
      </c>
      <c r="AF729" s="45" t="n"/>
      <c r="AG729" s="49">
        <f>IFERROR(__xludf.DUMMYFUNCTION("IFNA(vlookup(H729,IMPORTRANGE(""1vUGwO1n0QQGx9kKbO0_M5gmuhXZ6-LaxQxgrmJnzgP0"",""'TP# look up'!A:C""),3,0),"""")"),"")</f>
        <v/>
      </c>
      <c r="AH729" s="49">
        <f>LEFT(J729,2)</f>
        <v/>
      </c>
    </row>
    <row r="730" ht="12.75" customHeight="1">
      <c r="A730" s="45">
        <f>IFERROR(__xludf.DUMMYFUNCTION("""COMPUTED_VALUE"""),"Colombo")</f>
        <v/>
      </c>
      <c r="B730" s="45" t="n"/>
      <c r="C730" s="45">
        <f>IFERROR(__xludf.DUMMYFUNCTION("""COMPUTED_VALUE"""),3259512)</f>
        <v/>
      </c>
      <c r="D730" s="45" t="n"/>
      <c r="E730" s="45">
        <f>IFERROR(__xludf.DUMMYFUNCTION("""COMPUTED_VALUE"""),"CFS")</f>
        <v/>
      </c>
      <c r="F730" s="45">
        <f>IFERROR(__xludf.DUMMYFUNCTION("""COMPUTED_VALUE"""),"MAS AMITY PTE LTD")</f>
        <v/>
      </c>
      <c r="G730" s="45">
        <f>IFERROR(__xludf.DUMMYFUNCTION("""COMPUTED_VALUE"""),"MAS Active (Pvt) Ltd - Linea Intimo")</f>
        <v/>
      </c>
      <c r="H730" s="43">
        <f>IFERROR(__xludf.DUMMYFUNCTION("""COMPUTED_VALUE"""),456891473923)</f>
        <v/>
      </c>
      <c r="I730" s="45">
        <f>IFERROR(__xludf.DUMMYFUNCTION("""COMPUTED_VALUE"""),19918473)</f>
        <v/>
      </c>
      <c r="J730" s="45">
        <f>IFERROR(__xludf.DUMMYFUNCTION("""COMPUTED_VALUE"""),"LW3FQHS")</f>
        <v/>
      </c>
      <c r="K730" s="45">
        <f>IFERROR(__xludf.DUMMYFUNCTION("""COMPUTED_VALUE"""),"LW3FQHS-0572")</f>
        <v/>
      </c>
      <c r="L730" s="45">
        <f>IFERROR(__xludf.DUMMYFUNCTION("""COMPUTED_VALUE"""),6)</f>
        <v/>
      </c>
      <c r="M730" s="45">
        <f>IFERROR(__xludf.DUMMYFUNCTION("""COMPUTED_VALUE"""),611)</f>
        <v/>
      </c>
      <c r="N730" s="45">
        <f>IFERROR(__xludf.DUMMYFUNCTION("""COMPUTED_VALUE"""),61.85)</f>
        <v/>
      </c>
      <c r="O730" s="45">
        <f>IFERROR(__xludf.DUMMYFUNCTION("""COMPUTED_VALUE"""),0.434)</f>
        <v/>
      </c>
      <c r="P730" s="45">
        <f>IFERROR(__xludf.DUMMYFUNCTION("""COMPUTED_VALUE"""),"Colombo, LK")</f>
        <v/>
      </c>
      <c r="Q730" s="45">
        <f>IFERROR(__xludf.DUMMYFUNCTION("""COMPUTED_VALUE"""),"New York, NY, US")</f>
        <v/>
      </c>
      <c r="R730" s="44">
        <f>IFERROR(__xludf.DUMMYFUNCTION("""COMPUTED_VALUE"""),45831)</f>
        <v/>
      </c>
      <c r="S730" s="44">
        <f>IFERROR(__xludf.DUMMYFUNCTION("""COMPUTED_VALUE"""),45890)</f>
        <v/>
      </c>
      <c r="T730" s="45">
        <f>IFERROR(__xludf.DUMMYFUNCTION("""COMPUTED_VALUE"""),"Mississauga, ON, CA")</f>
        <v/>
      </c>
      <c r="U730" s="45" t="n"/>
      <c r="V730" s="45" t="n"/>
      <c r="W730" s="45" t="n"/>
      <c r="X730" s="45" t="n"/>
      <c r="Y730" s="46">
        <f>IFERROR(__xludf.DUMMYFUNCTION("""COMPUTED_VALUE"""),45838)</f>
        <v/>
      </c>
      <c r="Z730" s="46">
        <f>IFERROR(__xludf.DUMMYFUNCTION("""COMPUTED_VALUE"""),45852)</f>
        <v/>
      </c>
      <c r="AA730" s="46">
        <f>IFERROR(__xludf.DUMMYFUNCTION("""COMPUTED_VALUE"""),45852)</f>
        <v/>
      </c>
      <c r="AB730" s="45">
        <f>IFERROR(__xludf.DUMMYFUNCTION("""COMPUTED_VALUE"""),"3500 Argentia Road")</f>
        <v/>
      </c>
      <c r="AC730" s="45" t="n"/>
      <c r="AD730" s="45">
        <f>IFERROR(__xludf.DUMMYFUNCTION("""COMPUTED_VALUE"""),"OCEAN")</f>
        <v/>
      </c>
      <c r="AE730" s="45">
        <f>IFERROR(__xludf.DUMMYFUNCTION("""COMPUTED_VALUE"""),"N")</f>
        <v/>
      </c>
      <c r="AF730" s="45" t="n"/>
      <c r="AG730" s="49">
        <f>IFERROR(__xludf.DUMMYFUNCTION("IFNA(vlookup(H730,IMPORTRANGE(""1vUGwO1n0QQGx9kKbO0_M5gmuhXZ6-LaxQxgrmJnzgP0"",""'TP# look up'!A:C""),3,0),"""")"),"")</f>
        <v/>
      </c>
      <c r="AH730" s="49">
        <f>LEFT(J730,2)</f>
        <v/>
      </c>
    </row>
    <row r="731" ht="12.75" customHeight="1">
      <c r="A731" s="45">
        <f>IFERROR(__xludf.DUMMYFUNCTION("""COMPUTED_VALUE"""),"Colombo")</f>
        <v/>
      </c>
      <c r="B731" s="45" t="n"/>
      <c r="C731" s="45">
        <f>IFERROR(__xludf.DUMMYFUNCTION("""COMPUTED_VALUE"""),3259512)</f>
        <v/>
      </c>
      <c r="D731" s="45" t="n"/>
      <c r="E731" s="45">
        <f>IFERROR(__xludf.DUMMYFUNCTION("""COMPUTED_VALUE"""),"CFS")</f>
        <v/>
      </c>
      <c r="F731" s="45">
        <f>IFERROR(__xludf.DUMMYFUNCTION("""COMPUTED_VALUE"""),"MAS AMITY PTE LTD")</f>
        <v/>
      </c>
      <c r="G731" s="45">
        <f>IFERROR(__xludf.DUMMYFUNCTION("""COMPUTED_VALUE"""),"MAS Active (Pvt) Ltd - Linea Intimo")</f>
        <v/>
      </c>
      <c r="H731" s="43">
        <f>IFERROR(__xludf.DUMMYFUNCTION("""COMPUTED_VALUE"""),456895959305)</f>
        <v/>
      </c>
      <c r="I731" s="45">
        <f>IFERROR(__xludf.DUMMYFUNCTION("""COMPUTED_VALUE"""),19890556)</f>
        <v/>
      </c>
      <c r="J731" s="45">
        <f>IFERROR(__xludf.DUMMYFUNCTION("""COMPUTED_VALUE"""),"LW7DK4S")</f>
        <v/>
      </c>
      <c r="K731" s="45">
        <f>IFERROR(__xludf.DUMMYFUNCTION("""COMPUTED_VALUE"""),"LW7DK4S-035647")</f>
        <v/>
      </c>
      <c r="L731" s="45">
        <f>IFERROR(__xludf.DUMMYFUNCTION("""COMPUTED_VALUE"""),3)</f>
        <v/>
      </c>
      <c r="M731" s="45">
        <f>IFERROR(__xludf.DUMMYFUNCTION("""COMPUTED_VALUE"""),126)</f>
        <v/>
      </c>
      <c r="N731" s="45">
        <f>IFERROR(__xludf.DUMMYFUNCTION("""COMPUTED_VALUE"""),18.56)</f>
        <v/>
      </c>
      <c r="O731" s="45">
        <f>IFERROR(__xludf.DUMMYFUNCTION("""COMPUTED_VALUE"""),0.158)</f>
        <v/>
      </c>
      <c r="P731" s="45">
        <f>IFERROR(__xludf.DUMMYFUNCTION("""COMPUTED_VALUE"""),"Colombo, LK")</f>
        <v/>
      </c>
      <c r="Q731" s="45">
        <f>IFERROR(__xludf.DUMMYFUNCTION("""COMPUTED_VALUE"""),"New York, NY, US")</f>
        <v/>
      </c>
      <c r="R731" s="44">
        <f>IFERROR(__xludf.DUMMYFUNCTION("""COMPUTED_VALUE"""),45831)</f>
        <v/>
      </c>
      <c r="S731" s="44">
        <f>IFERROR(__xludf.DUMMYFUNCTION("""COMPUTED_VALUE"""),45890)</f>
        <v/>
      </c>
      <c r="T731" s="45">
        <f>IFERROR(__xludf.DUMMYFUNCTION("""COMPUTED_VALUE"""),"Mississauga, ON, CA")</f>
        <v/>
      </c>
      <c r="U731" s="45" t="n"/>
      <c r="V731" s="45" t="n"/>
      <c r="W731" s="45" t="n"/>
      <c r="X731" s="45" t="n"/>
      <c r="Y731" s="46">
        <f>IFERROR(__xludf.DUMMYFUNCTION("""COMPUTED_VALUE"""),45838)</f>
        <v/>
      </c>
      <c r="Z731" s="46">
        <f>IFERROR(__xludf.DUMMYFUNCTION("""COMPUTED_VALUE"""),45852)</f>
        <v/>
      </c>
      <c r="AA731" s="46">
        <f>IFERROR(__xludf.DUMMYFUNCTION("""COMPUTED_VALUE"""),45852)</f>
        <v/>
      </c>
      <c r="AB731" s="45">
        <f>IFERROR(__xludf.DUMMYFUNCTION("""COMPUTED_VALUE"""),"3500 Argentia Road")</f>
        <v/>
      </c>
      <c r="AC731" s="45" t="n"/>
      <c r="AD731" s="45">
        <f>IFERROR(__xludf.DUMMYFUNCTION("""COMPUTED_VALUE"""),"OCEAN")</f>
        <v/>
      </c>
      <c r="AE731" s="45">
        <f>IFERROR(__xludf.DUMMYFUNCTION("""COMPUTED_VALUE"""),"N")</f>
        <v/>
      </c>
      <c r="AF731" s="45" t="n"/>
      <c r="AG731" s="49">
        <f>IFERROR(__xludf.DUMMYFUNCTION("IFNA(vlookup(H731,IMPORTRANGE(""1vUGwO1n0QQGx9kKbO0_M5gmuhXZ6-LaxQxgrmJnzgP0"",""'TP# look up'!A:C""),3,0),"""")"),"")</f>
        <v/>
      </c>
      <c r="AH731" s="49">
        <f>LEFT(J731,2)</f>
        <v/>
      </c>
    </row>
    <row r="732" ht="12.75" customHeight="1">
      <c r="A732" s="45">
        <f>IFERROR(__xludf.DUMMYFUNCTION("""COMPUTED_VALUE"""),"Colombo")</f>
        <v/>
      </c>
      <c r="B732" s="45" t="n"/>
      <c r="C732" s="45">
        <f>IFERROR(__xludf.DUMMYFUNCTION("""COMPUTED_VALUE"""),3259512)</f>
        <v/>
      </c>
      <c r="D732" s="45" t="n"/>
      <c r="E732" s="45">
        <f>IFERROR(__xludf.DUMMYFUNCTION("""COMPUTED_VALUE"""),"CFS")</f>
        <v/>
      </c>
      <c r="F732" s="45">
        <f>IFERROR(__xludf.DUMMYFUNCTION("""COMPUTED_VALUE"""),"MAS AMITY PTE LTD")</f>
        <v/>
      </c>
      <c r="G732" s="45">
        <f>IFERROR(__xludf.DUMMYFUNCTION("""COMPUTED_VALUE"""),"MAS Active (Pvt) Ltd - Linea Intimo")</f>
        <v/>
      </c>
      <c r="H732" s="43">
        <f>IFERROR(__xludf.DUMMYFUNCTION("""COMPUTED_VALUE"""),456895960353)</f>
        <v/>
      </c>
      <c r="I732" s="45">
        <f>IFERROR(__xludf.DUMMYFUNCTION("""COMPUTED_VALUE"""),19920295)</f>
        <v/>
      </c>
      <c r="J732" s="45">
        <f>IFERROR(__xludf.DUMMYFUNCTION("""COMPUTED_VALUE"""),"LW3FQHS")</f>
        <v/>
      </c>
      <c r="K732" s="45">
        <f>IFERROR(__xludf.DUMMYFUNCTION("""COMPUTED_VALUE"""),"LW3FQHS-012826")</f>
        <v/>
      </c>
      <c r="L732" s="45">
        <f>IFERROR(__xludf.DUMMYFUNCTION("""COMPUTED_VALUE"""),6)</f>
        <v/>
      </c>
      <c r="M732" s="45">
        <f>IFERROR(__xludf.DUMMYFUNCTION("""COMPUTED_VALUE"""),557)</f>
        <v/>
      </c>
      <c r="N732" s="45">
        <f>IFERROR(__xludf.DUMMYFUNCTION("""COMPUTED_VALUE"""),56.716)</f>
        <v/>
      </c>
      <c r="O732" s="45">
        <f>IFERROR(__xludf.DUMMYFUNCTION("""COMPUTED_VALUE"""),0.395)</f>
        <v/>
      </c>
      <c r="P732" s="45">
        <f>IFERROR(__xludf.DUMMYFUNCTION("""COMPUTED_VALUE"""),"Colombo, LK")</f>
        <v/>
      </c>
      <c r="Q732" s="45">
        <f>IFERROR(__xludf.DUMMYFUNCTION("""COMPUTED_VALUE"""),"New York, NY, US")</f>
        <v/>
      </c>
      <c r="R732" s="44">
        <f>IFERROR(__xludf.DUMMYFUNCTION("""COMPUTED_VALUE"""),45831)</f>
        <v/>
      </c>
      <c r="S732" s="44">
        <f>IFERROR(__xludf.DUMMYFUNCTION("""COMPUTED_VALUE"""),45890)</f>
        <v/>
      </c>
      <c r="T732" s="45">
        <f>IFERROR(__xludf.DUMMYFUNCTION("""COMPUTED_VALUE"""),"Mississauga, ON, CA")</f>
        <v/>
      </c>
      <c r="U732" s="45" t="n"/>
      <c r="V732" s="45" t="n"/>
      <c r="W732" s="45" t="n"/>
      <c r="X732" s="45" t="n"/>
      <c r="Y732" s="46">
        <f>IFERROR(__xludf.DUMMYFUNCTION("""COMPUTED_VALUE"""),45838)</f>
        <v/>
      </c>
      <c r="Z732" s="46">
        <f>IFERROR(__xludf.DUMMYFUNCTION("""COMPUTED_VALUE"""),45852)</f>
        <v/>
      </c>
      <c r="AA732" s="46">
        <f>IFERROR(__xludf.DUMMYFUNCTION("""COMPUTED_VALUE"""),45852)</f>
        <v/>
      </c>
      <c r="AB732" s="45">
        <f>IFERROR(__xludf.DUMMYFUNCTION("""COMPUTED_VALUE"""),"3500 Argentia Road")</f>
        <v/>
      </c>
      <c r="AC732" s="45" t="n"/>
      <c r="AD732" s="45">
        <f>IFERROR(__xludf.DUMMYFUNCTION("""COMPUTED_VALUE"""),"OCEAN")</f>
        <v/>
      </c>
      <c r="AE732" s="45">
        <f>IFERROR(__xludf.DUMMYFUNCTION("""COMPUTED_VALUE"""),"N")</f>
        <v/>
      </c>
      <c r="AF732" s="45" t="n"/>
      <c r="AG732" s="49">
        <f>IFERROR(__xludf.DUMMYFUNCTION("IFNA(vlookup(H732,IMPORTRANGE(""1vUGwO1n0QQGx9kKbO0_M5gmuhXZ6-LaxQxgrmJnzgP0"",""'TP# look up'!A:C""),3,0),"""")"),"")</f>
        <v/>
      </c>
      <c r="AH732" s="49">
        <f>LEFT(J732,2)</f>
        <v/>
      </c>
    </row>
    <row r="733" ht="12.75" customHeight="1">
      <c r="A733" s="45">
        <f>IFERROR(__xludf.DUMMYFUNCTION("""COMPUTED_VALUE"""),"Colombo")</f>
        <v/>
      </c>
      <c r="B733" s="45" t="n"/>
      <c r="C733" s="45">
        <f>IFERROR(__xludf.DUMMYFUNCTION("""COMPUTED_VALUE"""),3259512)</f>
        <v/>
      </c>
      <c r="D733" s="45" t="n"/>
      <c r="E733" s="45">
        <f>IFERROR(__xludf.DUMMYFUNCTION("""COMPUTED_VALUE"""),"CFS")</f>
        <v/>
      </c>
      <c r="F733" s="45">
        <f>IFERROR(__xludf.DUMMYFUNCTION("""COMPUTED_VALUE"""),"MAS AMITY PTE LTD")</f>
        <v/>
      </c>
      <c r="G733" s="45">
        <f>IFERROR(__xludf.DUMMYFUNCTION("""COMPUTED_VALUE"""),"MAS Active (Pvt) Ltd - Linea Intimo")</f>
        <v/>
      </c>
      <c r="H733" s="43">
        <f>IFERROR(__xludf.DUMMYFUNCTION("""COMPUTED_VALUE"""),456901650142)</f>
        <v/>
      </c>
      <c r="I733" s="45">
        <f>IFERROR(__xludf.DUMMYFUNCTION("""COMPUTED_VALUE"""),19890511)</f>
        <v/>
      </c>
      <c r="J733" s="45">
        <f>IFERROR(__xludf.DUMMYFUNCTION("""COMPUTED_VALUE"""),"LW7DK4S")</f>
        <v/>
      </c>
      <c r="K733" s="45">
        <f>IFERROR(__xludf.DUMMYFUNCTION("""COMPUTED_VALUE"""),"LW7DK4S-044166")</f>
        <v/>
      </c>
      <c r="L733" s="45">
        <f>IFERROR(__xludf.DUMMYFUNCTION("""COMPUTED_VALUE"""),5)</f>
        <v/>
      </c>
      <c r="M733" s="45">
        <f>IFERROR(__xludf.DUMMYFUNCTION("""COMPUTED_VALUE"""),238)</f>
        <v/>
      </c>
      <c r="N733" s="45">
        <f>IFERROR(__xludf.DUMMYFUNCTION("""COMPUTED_VALUE"""),35.127)</f>
        <v/>
      </c>
      <c r="O733" s="45">
        <f>IFERROR(__xludf.DUMMYFUNCTION("""COMPUTED_VALUE"""),0.355)</f>
        <v/>
      </c>
      <c r="P733" s="45">
        <f>IFERROR(__xludf.DUMMYFUNCTION("""COMPUTED_VALUE"""),"Colombo, LK")</f>
        <v/>
      </c>
      <c r="Q733" s="45">
        <f>IFERROR(__xludf.DUMMYFUNCTION("""COMPUTED_VALUE"""),"New York, NY, US")</f>
        <v/>
      </c>
      <c r="R733" s="44">
        <f>IFERROR(__xludf.DUMMYFUNCTION("""COMPUTED_VALUE"""),45831)</f>
        <v/>
      </c>
      <c r="S733" s="44">
        <f>IFERROR(__xludf.DUMMYFUNCTION("""COMPUTED_VALUE"""),45890)</f>
        <v/>
      </c>
      <c r="T733" s="45">
        <f>IFERROR(__xludf.DUMMYFUNCTION("""COMPUTED_VALUE"""),"Mississauga, ON, CA")</f>
        <v/>
      </c>
      <c r="U733" s="45" t="n"/>
      <c r="V733" s="45" t="n"/>
      <c r="W733" s="45" t="n"/>
      <c r="X733" s="45" t="n"/>
      <c r="Y733" s="46">
        <f>IFERROR(__xludf.DUMMYFUNCTION("""COMPUTED_VALUE"""),45838)</f>
        <v/>
      </c>
      <c r="Z733" s="46">
        <f>IFERROR(__xludf.DUMMYFUNCTION("""COMPUTED_VALUE"""),45852)</f>
        <v/>
      </c>
      <c r="AA733" s="46">
        <f>IFERROR(__xludf.DUMMYFUNCTION("""COMPUTED_VALUE"""),45852)</f>
        <v/>
      </c>
      <c r="AB733" s="45">
        <f>IFERROR(__xludf.DUMMYFUNCTION("""COMPUTED_VALUE"""),"3500 Argentia Road")</f>
        <v/>
      </c>
      <c r="AC733" s="45" t="n"/>
      <c r="AD733" s="45">
        <f>IFERROR(__xludf.DUMMYFUNCTION("""COMPUTED_VALUE"""),"OCEAN")</f>
        <v/>
      </c>
      <c r="AE733" s="45">
        <f>IFERROR(__xludf.DUMMYFUNCTION("""COMPUTED_VALUE"""),"N")</f>
        <v/>
      </c>
      <c r="AF733" s="45" t="n"/>
      <c r="AG733" s="49">
        <f>IFERROR(__xludf.DUMMYFUNCTION("IFNA(vlookup(H733,IMPORTRANGE(""1vUGwO1n0QQGx9kKbO0_M5gmuhXZ6-LaxQxgrmJnzgP0"",""'TP# look up'!A:C""),3,0),"""")"),"")</f>
        <v/>
      </c>
      <c r="AH733" s="49">
        <f>LEFT(J733,2)</f>
        <v/>
      </c>
    </row>
    <row r="734" ht="12.75" customHeight="1">
      <c r="A734" s="45">
        <f>IFERROR(__xludf.DUMMYFUNCTION("""COMPUTED_VALUE"""),"Colombo")</f>
        <v/>
      </c>
      <c r="B734" s="45" t="n"/>
      <c r="C734" s="45">
        <f>IFERROR(__xludf.DUMMYFUNCTION("""COMPUTED_VALUE"""),3259512)</f>
        <v/>
      </c>
      <c r="D734" s="45" t="n"/>
      <c r="E734" s="45">
        <f>IFERROR(__xludf.DUMMYFUNCTION("""COMPUTED_VALUE"""),"CFS")</f>
        <v/>
      </c>
      <c r="F734" s="45">
        <f>IFERROR(__xludf.DUMMYFUNCTION("""COMPUTED_VALUE"""),"MAS AMITY PTE LTD")</f>
        <v/>
      </c>
      <c r="G734" s="45">
        <f>IFERROR(__xludf.DUMMYFUNCTION("""COMPUTED_VALUE"""),"MAS Active (Pvt) Ltd - Linea Intimo")</f>
        <v/>
      </c>
      <c r="H734" s="43">
        <f>IFERROR(__xludf.DUMMYFUNCTION("""COMPUTED_VALUE"""),456902175171)</f>
        <v/>
      </c>
      <c r="I734" s="45">
        <f>IFERROR(__xludf.DUMMYFUNCTION("""COMPUTED_VALUE"""),19890553)</f>
        <v/>
      </c>
      <c r="J734" s="45">
        <f>IFERROR(__xludf.DUMMYFUNCTION("""COMPUTED_VALUE"""),"LW7DK4S")</f>
        <v/>
      </c>
      <c r="K734" s="45">
        <f>IFERROR(__xludf.DUMMYFUNCTION("""COMPUTED_VALUE"""),"LW7DK4S-035647")</f>
        <v/>
      </c>
      <c r="L734" s="45">
        <f>IFERROR(__xludf.DUMMYFUNCTION("""COMPUTED_VALUE"""),8)</f>
        <v/>
      </c>
      <c r="M734" s="45">
        <f>IFERROR(__xludf.DUMMYFUNCTION("""COMPUTED_VALUE"""),452)</f>
        <v/>
      </c>
      <c r="N734" s="45">
        <f>IFERROR(__xludf.DUMMYFUNCTION("""COMPUTED_VALUE"""),65.899)</f>
        <v/>
      </c>
      <c r="O734" s="45">
        <f>IFERROR(__xludf.DUMMYFUNCTION("""COMPUTED_VALUE"""),0.592)</f>
        <v/>
      </c>
      <c r="P734" s="45">
        <f>IFERROR(__xludf.DUMMYFUNCTION("""COMPUTED_VALUE"""),"Colombo, LK")</f>
        <v/>
      </c>
      <c r="Q734" s="45">
        <f>IFERROR(__xludf.DUMMYFUNCTION("""COMPUTED_VALUE"""),"New York, NY, US")</f>
        <v/>
      </c>
      <c r="R734" s="44">
        <f>IFERROR(__xludf.DUMMYFUNCTION("""COMPUTED_VALUE"""),45831)</f>
        <v/>
      </c>
      <c r="S734" s="44">
        <f>IFERROR(__xludf.DUMMYFUNCTION("""COMPUTED_VALUE"""),45890)</f>
        <v/>
      </c>
      <c r="T734" s="45">
        <f>IFERROR(__xludf.DUMMYFUNCTION("""COMPUTED_VALUE"""),"Milton, ON, CA")</f>
        <v/>
      </c>
      <c r="U734" s="45" t="n"/>
      <c r="V734" s="45" t="n"/>
      <c r="W734" s="45" t="n"/>
      <c r="X734" s="45" t="n"/>
      <c r="Y734" s="46">
        <f>IFERROR(__xludf.DUMMYFUNCTION("""COMPUTED_VALUE"""),45838)</f>
        <v/>
      </c>
      <c r="Z734" s="46">
        <f>IFERROR(__xludf.DUMMYFUNCTION("""COMPUTED_VALUE"""),45852)</f>
        <v/>
      </c>
      <c r="AA734" s="46">
        <f>IFERROR(__xludf.DUMMYFUNCTION("""COMPUTED_VALUE"""),45852)</f>
        <v/>
      </c>
      <c r="AB734" s="45">
        <f>IFERROR(__xludf.DUMMYFUNCTION("""COMPUTED_VALUE"""),"7211 Fifth Line")</f>
        <v/>
      </c>
      <c r="AC734" s="45" t="n"/>
      <c r="AD734" s="45">
        <f>IFERROR(__xludf.DUMMYFUNCTION("""COMPUTED_VALUE"""),"OCEAN")</f>
        <v/>
      </c>
      <c r="AE734" s="45">
        <f>IFERROR(__xludf.DUMMYFUNCTION("""COMPUTED_VALUE"""),"N")</f>
        <v/>
      </c>
      <c r="AF734" s="45" t="n"/>
      <c r="AG734" s="49">
        <f>IFERROR(__xludf.DUMMYFUNCTION("IFNA(vlookup(H734,IMPORTRANGE(""1vUGwO1n0QQGx9kKbO0_M5gmuhXZ6-LaxQxgrmJnzgP0"",""'TP# look up'!A:C""),3,0),"""")"),"")</f>
        <v/>
      </c>
      <c r="AH734" s="49">
        <f>LEFT(J734,2)</f>
        <v/>
      </c>
    </row>
    <row r="735" ht="12.75" customHeight="1">
      <c r="A735" s="45">
        <f>IFERROR(__xludf.DUMMYFUNCTION("""COMPUTED_VALUE"""),"Colombo")</f>
        <v/>
      </c>
      <c r="B735" s="45" t="n"/>
      <c r="C735" s="45">
        <f>IFERROR(__xludf.DUMMYFUNCTION("""COMPUTED_VALUE"""),3259512)</f>
        <v/>
      </c>
      <c r="D735" s="45" t="n"/>
      <c r="E735" s="45">
        <f>IFERROR(__xludf.DUMMYFUNCTION("""COMPUTED_VALUE"""),"CFS")</f>
        <v/>
      </c>
      <c r="F735" s="45">
        <f>IFERROR(__xludf.DUMMYFUNCTION("""COMPUTED_VALUE"""),"MAS AMITY PTE LTD")</f>
        <v/>
      </c>
      <c r="G735" s="45">
        <f>IFERROR(__xludf.DUMMYFUNCTION("""COMPUTED_VALUE"""),"MAS Active (Pvt) Ltd - Linea Intimo")</f>
        <v/>
      </c>
      <c r="H735" s="43">
        <f>IFERROR(__xludf.DUMMYFUNCTION("""COMPUTED_VALUE"""),456902244137)</f>
        <v/>
      </c>
      <c r="I735" s="45">
        <f>IFERROR(__xludf.DUMMYFUNCTION("""COMPUTED_VALUE"""),19890563)</f>
        <v/>
      </c>
      <c r="J735" s="45">
        <f>IFERROR(__xludf.DUMMYFUNCTION("""COMPUTED_VALUE"""),"LW7DK4S")</f>
        <v/>
      </c>
      <c r="K735" s="45">
        <f>IFERROR(__xludf.DUMMYFUNCTION("""COMPUTED_VALUE"""),"LW7DK4S-044166")</f>
        <v/>
      </c>
      <c r="L735" s="45">
        <f>IFERROR(__xludf.DUMMYFUNCTION("""COMPUTED_VALUE"""),4)</f>
        <v/>
      </c>
      <c r="M735" s="45">
        <f>IFERROR(__xludf.DUMMYFUNCTION("""COMPUTED_VALUE"""),152)</f>
        <v/>
      </c>
      <c r="N735" s="45">
        <f>IFERROR(__xludf.DUMMYFUNCTION("""COMPUTED_VALUE"""),22.891)</f>
        <v/>
      </c>
      <c r="O735" s="45">
        <f>IFERROR(__xludf.DUMMYFUNCTION("""COMPUTED_VALUE"""),0.237)</f>
        <v/>
      </c>
      <c r="P735" s="45">
        <f>IFERROR(__xludf.DUMMYFUNCTION("""COMPUTED_VALUE"""),"Colombo, LK")</f>
        <v/>
      </c>
      <c r="Q735" s="45">
        <f>IFERROR(__xludf.DUMMYFUNCTION("""COMPUTED_VALUE"""),"New York, NY, US")</f>
        <v/>
      </c>
      <c r="R735" s="44">
        <f>IFERROR(__xludf.DUMMYFUNCTION("""COMPUTED_VALUE"""),45831)</f>
        <v/>
      </c>
      <c r="S735" s="44">
        <f>IFERROR(__xludf.DUMMYFUNCTION("""COMPUTED_VALUE"""),45890)</f>
        <v/>
      </c>
      <c r="T735" s="45">
        <f>IFERROR(__xludf.DUMMYFUNCTION("""COMPUTED_VALUE"""),"Mississauga, ON, CA")</f>
        <v/>
      </c>
      <c r="U735" s="45" t="n"/>
      <c r="V735" s="45" t="n"/>
      <c r="W735" s="45" t="n"/>
      <c r="X735" s="45" t="n"/>
      <c r="Y735" s="46">
        <f>IFERROR(__xludf.DUMMYFUNCTION("""COMPUTED_VALUE"""),45838)</f>
        <v/>
      </c>
      <c r="Z735" s="46">
        <f>IFERROR(__xludf.DUMMYFUNCTION("""COMPUTED_VALUE"""),45852)</f>
        <v/>
      </c>
      <c r="AA735" s="46">
        <f>IFERROR(__xludf.DUMMYFUNCTION("""COMPUTED_VALUE"""),45852)</f>
        <v/>
      </c>
      <c r="AB735" s="45">
        <f>IFERROR(__xludf.DUMMYFUNCTION("""COMPUTED_VALUE"""),"3500 Argentia Road")</f>
        <v/>
      </c>
      <c r="AC735" s="45" t="n"/>
      <c r="AD735" s="45">
        <f>IFERROR(__xludf.DUMMYFUNCTION("""COMPUTED_VALUE"""),"OCEAN")</f>
        <v/>
      </c>
      <c r="AE735" s="45">
        <f>IFERROR(__xludf.DUMMYFUNCTION("""COMPUTED_VALUE"""),"N")</f>
        <v/>
      </c>
      <c r="AF735" s="45" t="n"/>
      <c r="AG735" s="49">
        <f>IFERROR(__xludf.DUMMYFUNCTION("IFNA(vlookup(H735,IMPORTRANGE(""1vUGwO1n0QQGx9kKbO0_M5gmuhXZ6-LaxQxgrmJnzgP0"",""'TP# look up'!A:C""),3,0),"""")"),"")</f>
        <v/>
      </c>
      <c r="AH735" s="49">
        <f>LEFT(J735,2)</f>
        <v/>
      </c>
    </row>
    <row r="736" ht="12.75" customHeight="1">
      <c r="A736" s="45">
        <f>IFERROR(__xludf.DUMMYFUNCTION("""COMPUTED_VALUE"""),"Colombo")</f>
        <v/>
      </c>
      <c r="B736" s="45" t="n"/>
      <c r="C736" s="45">
        <f>IFERROR(__xludf.DUMMYFUNCTION("""COMPUTED_VALUE"""),3259512)</f>
        <v/>
      </c>
      <c r="D736" s="45" t="n"/>
      <c r="E736" s="45">
        <f>IFERROR(__xludf.DUMMYFUNCTION("""COMPUTED_VALUE"""),"CFS")</f>
        <v/>
      </c>
      <c r="F736" s="45">
        <f>IFERROR(__xludf.DUMMYFUNCTION("""COMPUTED_VALUE"""),"MAS AMITY PTE LTD")</f>
        <v/>
      </c>
      <c r="G736" s="45">
        <f>IFERROR(__xludf.DUMMYFUNCTION("""COMPUTED_VALUE"""),"MAS Active (Pvt) Ltd - Linea Intimo")</f>
        <v/>
      </c>
      <c r="H736" s="43">
        <f>IFERROR(__xludf.DUMMYFUNCTION("""COMPUTED_VALUE"""),456902507726)</f>
        <v/>
      </c>
      <c r="I736" s="45">
        <f>IFERROR(__xludf.DUMMYFUNCTION("""COMPUTED_VALUE"""),19911832)</f>
        <v/>
      </c>
      <c r="J736" s="45">
        <f>IFERROR(__xludf.DUMMYFUNCTION("""COMPUTED_VALUE"""),"LW3IVES")</f>
        <v/>
      </c>
      <c r="K736" s="45">
        <f>IFERROR(__xludf.DUMMYFUNCTION("""COMPUTED_VALUE"""),"LW3IVES-071219")</f>
        <v/>
      </c>
      <c r="L736" s="45">
        <f>IFERROR(__xludf.DUMMYFUNCTION("""COMPUTED_VALUE"""),4)</f>
        <v/>
      </c>
      <c r="M736" s="45">
        <f>IFERROR(__xludf.DUMMYFUNCTION("""COMPUTED_VALUE"""),163)</f>
        <v/>
      </c>
      <c r="N736" s="45">
        <f>IFERROR(__xludf.DUMMYFUNCTION("""COMPUTED_VALUE"""),15.218)</f>
        <v/>
      </c>
      <c r="O736" s="45">
        <f>IFERROR(__xludf.DUMMYFUNCTION("""COMPUTED_VALUE"""),0.197)</f>
        <v/>
      </c>
      <c r="P736" s="45">
        <f>IFERROR(__xludf.DUMMYFUNCTION("""COMPUTED_VALUE"""),"Colombo, LK")</f>
        <v/>
      </c>
      <c r="Q736" s="45">
        <f>IFERROR(__xludf.DUMMYFUNCTION("""COMPUTED_VALUE"""),"New York, NY, US")</f>
        <v/>
      </c>
      <c r="R736" s="44">
        <f>IFERROR(__xludf.DUMMYFUNCTION("""COMPUTED_VALUE"""),45831)</f>
        <v/>
      </c>
      <c r="S736" s="44">
        <f>IFERROR(__xludf.DUMMYFUNCTION("""COMPUTED_VALUE"""),45890)</f>
        <v/>
      </c>
      <c r="T736" s="45">
        <f>IFERROR(__xludf.DUMMYFUNCTION("""COMPUTED_VALUE"""),"Mississauga, ON, CA")</f>
        <v/>
      </c>
      <c r="U736" s="45" t="n"/>
      <c r="V736" s="45" t="n"/>
      <c r="W736" s="45" t="n"/>
      <c r="X736" s="45" t="n"/>
      <c r="Y736" s="46">
        <f>IFERROR(__xludf.DUMMYFUNCTION("""COMPUTED_VALUE"""),45838)</f>
        <v/>
      </c>
      <c r="Z736" s="46">
        <f>IFERROR(__xludf.DUMMYFUNCTION("""COMPUTED_VALUE"""),45852)</f>
        <v/>
      </c>
      <c r="AA736" s="46">
        <f>IFERROR(__xludf.DUMMYFUNCTION("""COMPUTED_VALUE"""),45852)</f>
        <v/>
      </c>
      <c r="AB736" s="45">
        <f>IFERROR(__xludf.DUMMYFUNCTION("""COMPUTED_VALUE"""),"3500 Argentia Road")</f>
        <v/>
      </c>
      <c r="AC736" s="45" t="n"/>
      <c r="AD736" s="45">
        <f>IFERROR(__xludf.DUMMYFUNCTION("""COMPUTED_VALUE"""),"OCEAN")</f>
        <v/>
      </c>
      <c r="AE736" s="45">
        <f>IFERROR(__xludf.DUMMYFUNCTION("""COMPUTED_VALUE"""),"N")</f>
        <v/>
      </c>
      <c r="AF736" s="45" t="n"/>
      <c r="AG736" s="49">
        <f>IFERROR(__xludf.DUMMYFUNCTION("IFNA(vlookup(H736,IMPORTRANGE(""1vUGwO1n0QQGx9kKbO0_M5gmuhXZ6-LaxQxgrmJnzgP0"",""'TP# look up'!A:C""),3,0),"""")"),"")</f>
        <v/>
      </c>
      <c r="AH736" s="49">
        <f>LEFT(J736,2)</f>
        <v/>
      </c>
    </row>
    <row r="737" ht="12.75" customHeight="1">
      <c r="A737" s="45">
        <f>IFERROR(__xludf.DUMMYFUNCTION("""COMPUTED_VALUE"""),"Colombo")</f>
        <v/>
      </c>
      <c r="B737" s="45" t="n"/>
      <c r="C737" s="45">
        <f>IFERROR(__xludf.DUMMYFUNCTION("""COMPUTED_VALUE"""),3259512)</f>
        <v/>
      </c>
      <c r="D737" s="45" t="n"/>
      <c r="E737" s="45">
        <f>IFERROR(__xludf.DUMMYFUNCTION("""COMPUTED_VALUE"""),"CFS")</f>
        <v/>
      </c>
      <c r="F737" s="45">
        <f>IFERROR(__xludf.DUMMYFUNCTION("""COMPUTED_VALUE"""),"MAS AMITY PTE LTD")</f>
        <v/>
      </c>
      <c r="G737" s="45">
        <f>IFERROR(__xludf.DUMMYFUNCTION("""COMPUTED_VALUE"""),"MAS Active (Pvt) Ltd - Linea Intimo")</f>
        <v/>
      </c>
      <c r="H737" s="43">
        <f>IFERROR(__xludf.DUMMYFUNCTION("""COMPUTED_VALUE"""),456902508526)</f>
        <v/>
      </c>
      <c r="I737" s="45">
        <f>IFERROR(__xludf.DUMMYFUNCTION("""COMPUTED_VALUE"""),19920289)</f>
        <v/>
      </c>
      <c r="J737" s="45">
        <f>IFERROR(__xludf.DUMMYFUNCTION("""COMPUTED_VALUE"""),"LW3DFMS")</f>
        <v/>
      </c>
      <c r="K737" s="45">
        <f>IFERROR(__xludf.DUMMYFUNCTION("""COMPUTED_VALUE"""),"LW3DFMS-071171")</f>
        <v/>
      </c>
      <c r="L737" s="45">
        <f>IFERROR(__xludf.DUMMYFUNCTION("""COMPUTED_VALUE"""),3)</f>
        <v/>
      </c>
      <c r="M737" s="45">
        <f>IFERROR(__xludf.DUMMYFUNCTION("""COMPUTED_VALUE"""),107)</f>
        <v/>
      </c>
      <c r="N737" s="45">
        <f>IFERROR(__xludf.DUMMYFUNCTION("""COMPUTED_VALUE"""),15.271)</f>
        <v/>
      </c>
      <c r="O737" s="45">
        <f>IFERROR(__xludf.DUMMYFUNCTION("""COMPUTED_VALUE"""),0.158)</f>
        <v/>
      </c>
      <c r="P737" s="45">
        <f>IFERROR(__xludf.DUMMYFUNCTION("""COMPUTED_VALUE"""),"Colombo, LK")</f>
        <v/>
      </c>
      <c r="Q737" s="45">
        <f>IFERROR(__xludf.DUMMYFUNCTION("""COMPUTED_VALUE"""),"New York, NY, US")</f>
        <v/>
      </c>
      <c r="R737" s="44">
        <f>IFERROR(__xludf.DUMMYFUNCTION("""COMPUTED_VALUE"""),45831)</f>
        <v/>
      </c>
      <c r="S737" s="44">
        <f>IFERROR(__xludf.DUMMYFUNCTION("""COMPUTED_VALUE"""),45890)</f>
        <v/>
      </c>
      <c r="T737" s="45">
        <f>IFERROR(__xludf.DUMMYFUNCTION("""COMPUTED_VALUE"""),"Mississauga, ON, CA")</f>
        <v/>
      </c>
      <c r="U737" s="45" t="n"/>
      <c r="V737" s="45" t="n"/>
      <c r="W737" s="45" t="n"/>
      <c r="X737" s="45" t="n"/>
      <c r="Y737" s="46">
        <f>IFERROR(__xludf.DUMMYFUNCTION("""COMPUTED_VALUE"""),45838)</f>
        <v/>
      </c>
      <c r="Z737" s="46">
        <f>IFERROR(__xludf.DUMMYFUNCTION("""COMPUTED_VALUE"""),45852)</f>
        <v/>
      </c>
      <c r="AA737" s="46">
        <f>IFERROR(__xludf.DUMMYFUNCTION("""COMPUTED_VALUE"""),45852)</f>
        <v/>
      </c>
      <c r="AB737" s="45">
        <f>IFERROR(__xludf.DUMMYFUNCTION("""COMPUTED_VALUE"""),"3500 Argentia Road")</f>
        <v/>
      </c>
      <c r="AC737" s="45" t="n"/>
      <c r="AD737" s="45">
        <f>IFERROR(__xludf.DUMMYFUNCTION("""COMPUTED_VALUE"""),"OCEAN")</f>
        <v/>
      </c>
      <c r="AE737" s="45">
        <f>IFERROR(__xludf.DUMMYFUNCTION("""COMPUTED_VALUE"""),"N")</f>
        <v/>
      </c>
      <c r="AF737" s="45" t="n"/>
      <c r="AG737" s="49">
        <f>IFERROR(__xludf.DUMMYFUNCTION("IFNA(vlookup(H737,IMPORTRANGE(""1vUGwO1n0QQGx9kKbO0_M5gmuhXZ6-LaxQxgrmJnzgP0"",""'TP# look up'!A:C""),3,0),"""")"),"")</f>
        <v/>
      </c>
      <c r="AH737" s="49">
        <f>LEFT(J737,2)</f>
        <v/>
      </c>
    </row>
    <row r="738" ht="12.75" customHeight="1">
      <c r="A738" s="45">
        <f>IFERROR(__xludf.DUMMYFUNCTION("""COMPUTED_VALUE"""),"Colombo")</f>
        <v/>
      </c>
      <c r="B738" s="45" t="n"/>
      <c r="C738" s="45">
        <f>IFERROR(__xludf.DUMMYFUNCTION("""COMPUTED_VALUE"""),3259512)</f>
        <v/>
      </c>
      <c r="D738" s="45" t="n"/>
      <c r="E738" s="45">
        <f>IFERROR(__xludf.DUMMYFUNCTION("""COMPUTED_VALUE"""),"CFS")</f>
        <v/>
      </c>
      <c r="F738" s="45">
        <f>IFERROR(__xludf.DUMMYFUNCTION("""COMPUTED_VALUE"""),"MAS AMITY PTE LTD")</f>
        <v/>
      </c>
      <c r="G738" s="45">
        <f>IFERROR(__xludf.DUMMYFUNCTION("""COMPUTED_VALUE"""),"MAS Active (Pvt) Ltd - Linea Intimo")</f>
        <v/>
      </c>
      <c r="H738" s="43">
        <f>IFERROR(__xludf.DUMMYFUNCTION("""COMPUTED_VALUE"""),456902509462)</f>
        <v/>
      </c>
      <c r="I738" s="45">
        <f>IFERROR(__xludf.DUMMYFUNCTION("""COMPUTED_VALUE"""),91019141)</f>
        <v/>
      </c>
      <c r="J738" s="45">
        <f>IFERROR(__xludf.DUMMYFUNCTION("""COMPUTED_VALUE"""),"LW1FH4S")</f>
        <v/>
      </c>
      <c r="K738" s="45">
        <f>IFERROR(__xludf.DUMMYFUNCTION("""COMPUTED_VALUE"""),"LW1FH4S-072791")</f>
        <v/>
      </c>
      <c r="L738" s="45">
        <f>IFERROR(__xludf.DUMMYFUNCTION("""COMPUTED_VALUE"""),2)</f>
        <v/>
      </c>
      <c r="M738" s="45">
        <f>IFERROR(__xludf.DUMMYFUNCTION("""COMPUTED_VALUE"""),139)</f>
        <v/>
      </c>
      <c r="N738" s="45">
        <f>IFERROR(__xludf.DUMMYFUNCTION("""COMPUTED_VALUE"""),19.115)</f>
        <v/>
      </c>
      <c r="O738" s="45">
        <f>IFERROR(__xludf.DUMMYFUNCTION("""COMPUTED_VALUE"""),0.118)</f>
        <v/>
      </c>
      <c r="P738" s="45">
        <f>IFERROR(__xludf.DUMMYFUNCTION("""COMPUTED_VALUE"""),"Colombo, LK")</f>
        <v/>
      </c>
      <c r="Q738" s="45">
        <f>IFERROR(__xludf.DUMMYFUNCTION("""COMPUTED_VALUE"""),"New York, NY, US")</f>
        <v/>
      </c>
      <c r="R738" s="44">
        <f>IFERROR(__xludf.DUMMYFUNCTION("""COMPUTED_VALUE"""),45831)</f>
        <v/>
      </c>
      <c r="S738" s="44">
        <f>IFERROR(__xludf.DUMMYFUNCTION("""COMPUTED_VALUE"""),45895)</f>
        <v/>
      </c>
      <c r="T738" s="45">
        <f>IFERROR(__xludf.DUMMYFUNCTION("""COMPUTED_VALUE"""),"Mississauga, ON, CA")</f>
        <v/>
      </c>
      <c r="U738" s="45" t="n"/>
      <c r="V738" s="45" t="n"/>
      <c r="W738" s="45" t="n"/>
      <c r="X738" s="45" t="n"/>
      <c r="Y738" s="46">
        <f>IFERROR(__xludf.DUMMYFUNCTION("""COMPUTED_VALUE"""),45838)</f>
        <v/>
      </c>
      <c r="Z738" s="46">
        <f>IFERROR(__xludf.DUMMYFUNCTION("""COMPUTED_VALUE"""),45852)</f>
        <v/>
      </c>
      <c r="AA738" s="46">
        <f>IFERROR(__xludf.DUMMYFUNCTION("""COMPUTED_VALUE"""),45852)</f>
        <v/>
      </c>
      <c r="AB738" s="45">
        <f>IFERROR(__xludf.DUMMYFUNCTION("""COMPUTED_VALUE"""),"3500 Argentia Road")</f>
        <v/>
      </c>
      <c r="AC738" s="45" t="n"/>
      <c r="AD738" s="45">
        <f>IFERROR(__xludf.DUMMYFUNCTION("""COMPUTED_VALUE"""),"OCEAN")</f>
        <v/>
      </c>
      <c r="AE738" s="45">
        <f>IFERROR(__xludf.DUMMYFUNCTION("""COMPUTED_VALUE"""),"N")</f>
        <v/>
      </c>
      <c r="AF738" s="45" t="n"/>
      <c r="AG738" s="49">
        <f>IFERROR(__xludf.DUMMYFUNCTION("IFNA(vlookup(H738,IMPORTRANGE(""1vUGwO1n0QQGx9kKbO0_M5gmuhXZ6-LaxQxgrmJnzgP0"",""'TP# look up'!A:C""),3,0),"""")"),"")</f>
        <v/>
      </c>
      <c r="AH738" s="49">
        <f>LEFT(J738,2)</f>
        <v/>
      </c>
    </row>
    <row r="739" ht="12.75" customHeight="1">
      <c r="A739" s="45">
        <f>IFERROR(__xludf.DUMMYFUNCTION("""COMPUTED_VALUE"""),"Colombo")</f>
        <v/>
      </c>
      <c r="B739" s="45" t="n"/>
      <c r="C739" s="45">
        <f>IFERROR(__xludf.DUMMYFUNCTION("""COMPUTED_VALUE"""),3259512)</f>
        <v/>
      </c>
      <c r="D739" s="45" t="n"/>
      <c r="E739" s="45">
        <f>IFERROR(__xludf.DUMMYFUNCTION("""COMPUTED_VALUE"""),"CFS")</f>
        <v/>
      </c>
      <c r="F739" s="45">
        <f>IFERROR(__xludf.DUMMYFUNCTION("""COMPUTED_VALUE"""),"MAS AMITY PTE LTD")</f>
        <v/>
      </c>
      <c r="G739" s="45">
        <f>IFERROR(__xludf.DUMMYFUNCTION("""COMPUTED_VALUE"""),"MAS Active (Pvt) Ltd - Linea Intimo")</f>
        <v/>
      </c>
      <c r="H739" s="43">
        <f>IFERROR(__xludf.DUMMYFUNCTION("""COMPUTED_VALUE"""),456902509515)</f>
        <v/>
      </c>
      <c r="I739" s="45">
        <f>IFERROR(__xludf.DUMMYFUNCTION("""COMPUTED_VALUE"""),91019170)</f>
        <v/>
      </c>
      <c r="J739" s="45">
        <f>IFERROR(__xludf.DUMMYFUNCTION("""COMPUTED_VALUE"""),"LW1FKES")</f>
        <v/>
      </c>
      <c r="K739" s="45">
        <f>IFERROR(__xludf.DUMMYFUNCTION("""COMPUTED_VALUE"""),"LW1FKES-035647")</f>
        <v/>
      </c>
      <c r="L739" s="45">
        <f>IFERROR(__xludf.DUMMYFUNCTION("""COMPUTED_VALUE"""),6)</f>
        <v/>
      </c>
      <c r="M739" s="45">
        <f>IFERROR(__xludf.DUMMYFUNCTION("""COMPUTED_VALUE"""),450)</f>
        <v/>
      </c>
      <c r="N739" s="45">
        <f>IFERROR(__xludf.DUMMYFUNCTION("""COMPUTED_VALUE"""),59.113)</f>
        <v/>
      </c>
      <c r="O739" s="45">
        <f>IFERROR(__xludf.DUMMYFUNCTION("""COMPUTED_VALUE"""),0.434)</f>
        <v/>
      </c>
      <c r="P739" s="45">
        <f>IFERROR(__xludf.DUMMYFUNCTION("""COMPUTED_VALUE"""),"Colombo, LK")</f>
        <v/>
      </c>
      <c r="Q739" s="45">
        <f>IFERROR(__xludf.DUMMYFUNCTION("""COMPUTED_VALUE"""),"New York, NY, US")</f>
        <v/>
      </c>
      <c r="R739" s="44">
        <f>IFERROR(__xludf.DUMMYFUNCTION("""COMPUTED_VALUE"""),45831)</f>
        <v/>
      </c>
      <c r="S739" s="44">
        <f>IFERROR(__xludf.DUMMYFUNCTION("""COMPUTED_VALUE"""),45895)</f>
        <v/>
      </c>
      <c r="T739" s="45">
        <f>IFERROR(__xludf.DUMMYFUNCTION("""COMPUTED_VALUE"""),"Mississauga, ON, CA")</f>
        <v/>
      </c>
      <c r="U739" s="45" t="n"/>
      <c r="V739" s="45" t="n"/>
      <c r="W739" s="45" t="n"/>
      <c r="X739" s="45" t="n"/>
      <c r="Y739" s="46">
        <f>IFERROR(__xludf.DUMMYFUNCTION("""COMPUTED_VALUE"""),45838)</f>
        <v/>
      </c>
      <c r="Z739" s="46">
        <f>IFERROR(__xludf.DUMMYFUNCTION("""COMPUTED_VALUE"""),45852)</f>
        <v/>
      </c>
      <c r="AA739" s="46">
        <f>IFERROR(__xludf.DUMMYFUNCTION("""COMPUTED_VALUE"""),45852)</f>
        <v/>
      </c>
      <c r="AB739" s="45">
        <f>IFERROR(__xludf.DUMMYFUNCTION("""COMPUTED_VALUE"""),"3500 Argentia Road")</f>
        <v/>
      </c>
      <c r="AC739" s="45" t="n"/>
      <c r="AD739" s="45">
        <f>IFERROR(__xludf.DUMMYFUNCTION("""COMPUTED_VALUE"""),"OCEAN")</f>
        <v/>
      </c>
      <c r="AE739" s="45">
        <f>IFERROR(__xludf.DUMMYFUNCTION("""COMPUTED_VALUE"""),"N")</f>
        <v/>
      </c>
      <c r="AF739" s="45" t="n"/>
      <c r="AG739" s="49">
        <f>IFERROR(__xludf.DUMMYFUNCTION("IFNA(vlookup(H739,IMPORTRANGE(""1vUGwO1n0QQGx9kKbO0_M5gmuhXZ6-LaxQxgrmJnzgP0"",""'TP# look up'!A:C""),3,0),"""")"),"")</f>
        <v/>
      </c>
      <c r="AH739" s="49">
        <f>LEFT(J739,2)</f>
        <v/>
      </c>
    </row>
    <row r="740" ht="12.75" customHeight="1">
      <c r="A740" s="45">
        <f>IFERROR(__xludf.DUMMYFUNCTION("""COMPUTED_VALUE"""),"Colombo")</f>
        <v/>
      </c>
      <c r="B740" s="45" t="n"/>
      <c r="C740" s="45">
        <f>IFERROR(__xludf.DUMMYFUNCTION("""COMPUTED_VALUE"""),3259512)</f>
        <v/>
      </c>
      <c r="D740" s="45" t="n"/>
      <c r="E740" s="45">
        <f>IFERROR(__xludf.DUMMYFUNCTION("""COMPUTED_VALUE"""),"CFS")</f>
        <v/>
      </c>
      <c r="F740" s="45">
        <f>IFERROR(__xludf.DUMMYFUNCTION("""COMPUTED_VALUE"""),"MAS AMITY PTE LTD")</f>
        <v/>
      </c>
      <c r="G740" s="45">
        <f>IFERROR(__xludf.DUMMYFUNCTION("""COMPUTED_VALUE"""),"MAS Active (Pvt) Ltd - Linea Intimo")</f>
        <v/>
      </c>
      <c r="H740" s="43">
        <f>IFERROR(__xludf.DUMMYFUNCTION("""COMPUTED_VALUE"""),456903519763)</f>
        <v/>
      </c>
      <c r="I740" s="45">
        <f>IFERROR(__xludf.DUMMYFUNCTION("""COMPUTED_VALUE"""),19911899)</f>
        <v/>
      </c>
      <c r="J740" s="45">
        <f>IFERROR(__xludf.DUMMYFUNCTION("""COMPUTED_VALUE"""),"LW3JE9S")</f>
        <v/>
      </c>
      <c r="K740" s="45">
        <f>IFERROR(__xludf.DUMMYFUNCTION("""COMPUTED_VALUE"""),"LW3JE9S-071365")</f>
        <v/>
      </c>
      <c r="L740" s="45">
        <f>IFERROR(__xludf.DUMMYFUNCTION("""COMPUTED_VALUE"""),5)</f>
        <v/>
      </c>
      <c r="M740" s="45">
        <f>IFERROR(__xludf.DUMMYFUNCTION("""COMPUTED_VALUE"""),287)</f>
        <v/>
      </c>
      <c r="N740" s="45">
        <f>IFERROR(__xludf.DUMMYFUNCTION("""COMPUTED_VALUE"""),56.673)</f>
        <v/>
      </c>
      <c r="O740" s="45">
        <f>IFERROR(__xludf.DUMMYFUNCTION("""COMPUTED_VALUE"""),0.395)</f>
        <v/>
      </c>
      <c r="P740" s="45">
        <f>IFERROR(__xludf.DUMMYFUNCTION("""COMPUTED_VALUE"""),"Colombo, LK")</f>
        <v/>
      </c>
      <c r="Q740" s="45">
        <f>IFERROR(__xludf.DUMMYFUNCTION("""COMPUTED_VALUE"""),"New York, NY, US")</f>
        <v/>
      </c>
      <c r="R740" s="44">
        <f>IFERROR(__xludf.DUMMYFUNCTION("""COMPUTED_VALUE"""),45831)</f>
        <v/>
      </c>
      <c r="S740" s="44">
        <f>IFERROR(__xludf.DUMMYFUNCTION("""COMPUTED_VALUE"""),45890)</f>
        <v/>
      </c>
      <c r="T740" s="45">
        <f>IFERROR(__xludf.DUMMYFUNCTION("""COMPUTED_VALUE"""),"Mississauga, ON, CA")</f>
        <v/>
      </c>
      <c r="U740" s="45" t="n"/>
      <c r="V740" s="45" t="n"/>
      <c r="W740" s="45" t="n"/>
      <c r="X740" s="45" t="n"/>
      <c r="Y740" s="46">
        <f>IFERROR(__xludf.DUMMYFUNCTION("""COMPUTED_VALUE"""),45838)</f>
        <v/>
      </c>
      <c r="Z740" s="46">
        <f>IFERROR(__xludf.DUMMYFUNCTION("""COMPUTED_VALUE"""),45852)</f>
        <v/>
      </c>
      <c r="AA740" s="46">
        <f>IFERROR(__xludf.DUMMYFUNCTION("""COMPUTED_VALUE"""),45852)</f>
        <v/>
      </c>
      <c r="AB740" s="45">
        <f>IFERROR(__xludf.DUMMYFUNCTION("""COMPUTED_VALUE"""),"3500 Argentia Road")</f>
        <v/>
      </c>
      <c r="AC740" s="45" t="n"/>
      <c r="AD740" s="45">
        <f>IFERROR(__xludf.DUMMYFUNCTION("""COMPUTED_VALUE"""),"OCEAN")</f>
        <v/>
      </c>
      <c r="AE740" s="45">
        <f>IFERROR(__xludf.DUMMYFUNCTION("""COMPUTED_VALUE"""),"N")</f>
        <v/>
      </c>
      <c r="AF740" s="45" t="n"/>
      <c r="AG740" s="49">
        <f>IFERROR(__xludf.DUMMYFUNCTION("IFNA(vlookup(H740,IMPORTRANGE(""1vUGwO1n0QQGx9kKbO0_M5gmuhXZ6-LaxQxgrmJnzgP0"",""'TP# look up'!A:C""),3,0),"""")"),"")</f>
        <v/>
      </c>
      <c r="AH740" s="49">
        <f>LEFT(J740,2)</f>
        <v/>
      </c>
    </row>
    <row r="741" ht="12.75" customHeight="1">
      <c r="A741" s="45">
        <f>IFERROR(__xludf.DUMMYFUNCTION("""COMPUTED_VALUE"""),"Colombo")</f>
        <v/>
      </c>
      <c r="B741" s="45" t="n"/>
      <c r="C741" s="45">
        <f>IFERROR(__xludf.DUMMYFUNCTION("""COMPUTED_VALUE"""),3259512)</f>
        <v/>
      </c>
      <c r="D741" s="45" t="n"/>
      <c r="E741" s="45">
        <f>IFERROR(__xludf.DUMMYFUNCTION("""COMPUTED_VALUE"""),"CFS")</f>
        <v/>
      </c>
      <c r="F741" s="45">
        <f>IFERROR(__xludf.DUMMYFUNCTION("""COMPUTED_VALUE"""),"MAS AMITY PTE LTD")</f>
        <v/>
      </c>
      <c r="G741" s="45">
        <f>IFERROR(__xludf.DUMMYFUNCTION("""COMPUTED_VALUE"""),"MAS Active (Pvt) Ltd - Linea Intimo")</f>
        <v/>
      </c>
      <c r="H741" s="43">
        <f>IFERROR(__xludf.DUMMYFUNCTION("""COMPUTED_VALUE"""),456905217922)</f>
        <v/>
      </c>
      <c r="I741" s="45">
        <f>IFERROR(__xludf.DUMMYFUNCTION("""COMPUTED_VALUE"""),19919125)</f>
        <v/>
      </c>
      <c r="J741" s="45">
        <f>IFERROR(__xludf.DUMMYFUNCTION("""COMPUTED_VALUE"""),"LW3JE9S")</f>
        <v/>
      </c>
      <c r="K741" s="45">
        <f>IFERROR(__xludf.DUMMYFUNCTION("""COMPUTED_VALUE"""),"LW3JE9S-071365")</f>
        <v/>
      </c>
      <c r="L741" s="45">
        <f>IFERROR(__xludf.DUMMYFUNCTION("""COMPUTED_VALUE"""),10)</f>
        <v/>
      </c>
      <c r="M741" s="45">
        <f>IFERROR(__xludf.DUMMYFUNCTION("""COMPUTED_VALUE"""),599)</f>
        <v/>
      </c>
      <c r="N741" s="45">
        <f>IFERROR(__xludf.DUMMYFUNCTION("""COMPUTED_VALUE"""),115.89)</f>
        <v/>
      </c>
      <c r="O741" s="45">
        <f>IFERROR(__xludf.DUMMYFUNCTION("""COMPUTED_VALUE"""),0.711)</f>
        <v/>
      </c>
      <c r="P741" s="45">
        <f>IFERROR(__xludf.DUMMYFUNCTION("""COMPUTED_VALUE"""),"Colombo, LK")</f>
        <v/>
      </c>
      <c r="Q741" s="45">
        <f>IFERROR(__xludf.DUMMYFUNCTION("""COMPUTED_VALUE"""),"New York, NY, US")</f>
        <v/>
      </c>
      <c r="R741" s="44">
        <f>IFERROR(__xludf.DUMMYFUNCTION("""COMPUTED_VALUE"""),45831)</f>
        <v/>
      </c>
      <c r="S741" s="44">
        <f>IFERROR(__xludf.DUMMYFUNCTION("""COMPUTED_VALUE"""),45890)</f>
        <v/>
      </c>
      <c r="T741" s="45">
        <f>IFERROR(__xludf.DUMMYFUNCTION("""COMPUTED_VALUE"""),"Mississauga, ON, CA")</f>
        <v/>
      </c>
      <c r="U741" s="45" t="n"/>
      <c r="V741" s="45" t="n"/>
      <c r="W741" s="45" t="n"/>
      <c r="X741" s="45" t="n"/>
      <c r="Y741" s="46">
        <f>IFERROR(__xludf.DUMMYFUNCTION("""COMPUTED_VALUE"""),45838)</f>
        <v/>
      </c>
      <c r="Z741" s="46">
        <f>IFERROR(__xludf.DUMMYFUNCTION("""COMPUTED_VALUE"""),45852)</f>
        <v/>
      </c>
      <c r="AA741" s="46">
        <f>IFERROR(__xludf.DUMMYFUNCTION("""COMPUTED_VALUE"""),45852)</f>
        <v/>
      </c>
      <c r="AB741" s="45">
        <f>IFERROR(__xludf.DUMMYFUNCTION("""COMPUTED_VALUE"""),"3500 Argentia Road")</f>
        <v/>
      </c>
      <c r="AC741" s="45" t="n"/>
      <c r="AD741" s="45">
        <f>IFERROR(__xludf.DUMMYFUNCTION("""COMPUTED_VALUE"""),"OCEAN")</f>
        <v/>
      </c>
      <c r="AE741" s="45">
        <f>IFERROR(__xludf.DUMMYFUNCTION("""COMPUTED_VALUE"""),"N")</f>
        <v/>
      </c>
      <c r="AF741" s="45" t="n"/>
      <c r="AG741" s="49">
        <f>IFERROR(__xludf.DUMMYFUNCTION("IFNA(vlookup(H741,IMPORTRANGE(""1vUGwO1n0QQGx9kKbO0_M5gmuhXZ6-LaxQxgrmJnzgP0"",""'TP# look up'!A:C""),3,0),"""")"),"")</f>
        <v/>
      </c>
      <c r="AH741" s="49">
        <f>LEFT(J741,2)</f>
        <v/>
      </c>
    </row>
    <row r="742" ht="12.75" customHeight="1">
      <c r="A742" s="45">
        <f>IFERROR(__xludf.DUMMYFUNCTION("""COMPUTED_VALUE"""),"Colombo")</f>
        <v/>
      </c>
      <c r="B742" s="45" t="n"/>
      <c r="C742" s="45">
        <f>IFERROR(__xludf.DUMMYFUNCTION("""COMPUTED_VALUE"""),3259512)</f>
        <v/>
      </c>
      <c r="D742" s="45" t="n"/>
      <c r="E742" s="45">
        <f>IFERROR(__xludf.DUMMYFUNCTION("""COMPUTED_VALUE"""),"CFS")</f>
        <v/>
      </c>
      <c r="F742" s="45">
        <f>IFERROR(__xludf.DUMMYFUNCTION("""COMPUTED_VALUE"""),"MAS AMITY PTE LTD")</f>
        <v/>
      </c>
      <c r="G742" s="45">
        <f>IFERROR(__xludf.DUMMYFUNCTION("""COMPUTED_VALUE"""),"MAS Active (Pvt) Ltd - Linea Intimo")</f>
        <v/>
      </c>
      <c r="H742" s="43">
        <f>IFERROR(__xludf.DUMMYFUNCTION("""COMPUTED_VALUE"""),456905673301)</f>
        <v/>
      </c>
      <c r="I742" s="45">
        <f>IFERROR(__xludf.DUMMYFUNCTION("""COMPUTED_VALUE"""),19920399)</f>
        <v/>
      </c>
      <c r="J742" s="45">
        <f>IFERROR(__xludf.DUMMYFUNCTION("""COMPUTED_VALUE"""),"LW3DFMS")</f>
        <v/>
      </c>
      <c r="K742" s="45">
        <f>IFERROR(__xludf.DUMMYFUNCTION("""COMPUTED_VALUE"""),"LW3DFMS-071171")</f>
        <v/>
      </c>
      <c r="L742" s="45">
        <f>IFERROR(__xludf.DUMMYFUNCTION("""COMPUTED_VALUE"""),5)</f>
        <v/>
      </c>
      <c r="M742" s="45">
        <f>IFERROR(__xludf.DUMMYFUNCTION("""COMPUTED_VALUE"""),252)</f>
        <v/>
      </c>
      <c r="N742" s="45">
        <f>IFERROR(__xludf.DUMMYFUNCTION("""COMPUTED_VALUE"""),33.268)</f>
        <v/>
      </c>
      <c r="O742" s="45">
        <f>IFERROR(__xludf.DUMMYFUNCTION("""COMPUTED_VALUE"""),0.316)</f>
        <v/>
      </c>
      <c r="P742" s="45">
        <f>IFERROR(__xludf.DUMMYFUNCTION("""COMPUTED_VALUE"""),"Colombo, LK")</f>
        <v/>
      </c>
      <c r="Q742" s="45">
        <f>IFERROR(__xludf.DUMMYFUNCTION("""COMPUTED_VALUE"""),"New York, NY, US")</f>
        <v/>
      </c>
      <c r="R742" s="44">
        <f>IFERROR(__xludf.DUMMYFUNCTION("""COMPUTED_VALUE"""),45831)</f>
        <v/>
      </c>
      <c r="S742" s="44">
        <f>IFERROR(__xludf.DUMMYFUNCTION("""COMPUTED_VALUE"""),45890)</f>
        <v/>
      </c>
      <c r="T742" s="45">
        <f>IFERROR(__xludf.DUMMYFUNCTION("""COMPUTED_VALUE"""),"Mississauga, ON, CA")</f>
        <v/>
      </c>
      <c r="U742" s="45" t="n"/>
      <c r="V742" s="45" t="n"/>
      <c r="W742" s="45" t="n"/>
      <c r="X742" s="45" t="n"/>
      <c r="Y742" s="46">
        <f>IFERROR(__xludf.DUMMYFUNCTION("""COMPUTED_VALUE"""),45838)</f>
        <v/>
      </c>
      <c r="Z742" s="46">
        <f>IFERROR(__xludf.DUMMYFUNCTION("""COMPUTED_VALUE"""),45852)</f>
        <v/>
      </c>
      <c r="AA742" s="46">
        <f>IFERROR(__xludf.DUMMYFUNCTION("""COMPUTED_VALUE"""),45852)</f>
        <v/>
      </c>
      <c r="AB742" s="45">
        <f>IFERROR(__xludf.DUMMYFUNCTION("""COMPUTED_VALUE"""),"3500 Argentia Road")</f>
        <v/>
      </c>
      <c r="AC742" s="45" t="n"/>
      <c r="AD742" s="45">
        <f>IFERROR(__xludf.DUMMYFUNCTION("""COMPUTED_VALUE"""),"OCEAN")</f>
        <v/>
      </c>
      <c r="AE742" s="45">
        <f>IFERROR(__xludf.DUMMYFUNCTION("""COMPUTED_VALUE"""),"N")</f>
        <v/>
      </c>
      <c r="AF742" s="45" t="n"/>
      <c r="AG742" s="49">
        <f>IFERROR(__xludf.DUMMYFUNCTION("IFNA(vlookup(H742,IMPORTRANGE(""1vUGwO1n0QQGx9kKbO0_M5gmuhXZ6-LaxQxgrmJnzgP0"",""'TP# look up'!A:C""),3,0),"""")"),"")</f>
        <v/>
      </c>
      <c r="AH742" s="49">
        <f>LEFT(J742,2)</f>
        <v/>
      </c>
    </row>
    <row r="743" ht="12.75" customHeight="1">
      <c r="A743" s="45">
        <f>IFERROR(__xludf.DUMMYFUNCTION("""COMPUTED_VALUE"""),"Colombo")</f>
        <v/>
      </c>
      <c r="B743" s="45" t="n"/>
      <c r="C743" s="45">
        <f>IFERROR(__xludf.DUMMYFUNCTION("""COMPUTED_VALUE"""),3259512)</f>
        <v/>
      </c>
      <c r="D743" s="45" t="n"/>
      <c r="E743" s="45">
        <f>IFERROR(__xludf.DUMMYFUNCTION("""COMPUTED_VALUE"""),"CFS")</f>
        <v/>
      </c>
      <c r="F743" s="45">
        <f>IFERROR(__xludf.DUMMYFUNCTION("""COMPUTED_VALUE"""),"MAS AMITY PTE LTD")</f>
        <v/>
      </c>
      <c r="G743" s="45">
        <f>IFERROR(__xludf.DUMMYFUNCTION("""COMPUTED_VALUE"""),"MAS Active (Pvt) Ltd - Linea Intimo")</f>
        <v/>
      </c>
      <c r="H743" s="43">
        <f>IFERROR(__xludf.DUMMYFUNCTION("""COMPUTED_VALUE"""),456905673457)</f>
        <v/>
      </c>
      <c r="I743" s="45">
        <f>IFERROR(__xludf.DUMMYFUNCTION("""COMPUTED_VALUE"""),19920452)</f>
        <v/>
      </c>
      <c r="J743" s="45">
        <f>IFERROR(__xludf.DUMMYFUNCTION("""COMPUTED_VALUE"""),"LW3IVES")</f>
        <v/>
      </c>
      <c r="K743" s="45">
        <f>IFERROR(__xludf.DUMMYFUNCTION("""COMPUTED_VALUE"""),"LW3IVES-071219")</f>
        <v/>
      </c>
      <c r="L743" s="45">
        <f>IFERROR(__xludf.DUMMYFUNCTION("""COMPUTED_VALUE"""),5)</f>
        <v/>
      </c>
      <c r="M743" s="45">
        <f>IFERROR(__xludf.DUMMYFUNCTION("""COMPUTED_VALUE"""),361)</f>
        <v/>
      </c>
      <c r="N743" s="45">
        <f>IFERROR(__xludf.DUMMYFUNCTION("""COMPUTED_VALUE"""),30.284)</f>
        <v/>
      </c>
      <c r="O743" s="45">
        <f>IFERROR(__xludf.DUMMYFUNCTION("""COMPUTED_VALUE"""),0.316)</f>
        <v/>
      </c>
      <c r="P743" s="45">
        <f>IFERROR(__xludf.DUMMYFUNCTION("""COMPUTED_VALUE"""),"Colombo, LK")</f>
        <v/>
      </c>
      <c r="Q743" s="45">
        <f>IFERROR(__xludf.DUMMYFUNCTION("""COMPUTED_VALUE"""),"New York, NY, US")</f>
        <v/>
      </c>
      <c r="R743" s="44">
        <f>IFERROR(__xludf.DUMMYFUNCTION("""COMPUTED_VALUE"""),45831)</f>
        <v/>
      </c>
      <c r="S743" s="44">
        <f>IFERROR(__xludf.DUMMYFUNCTION("""COMPUTED_VALUE"""),45890)</f>
        <v/>
      </c>
      <c r="T743" s="45">
        <f>IFERROR(__xludf.DUMMYFUNCTION("""COMPUTED_VALUE"""),"Mississauga, ON, CA")</f>
        <v/>
      </c>
      <c r="U743" s="45" t="n"/>
      <c r="V743" s="45" t="n"/>
      <c r="W743" s="45" t="n"/>
      <c r="X743" s="45" t="n"/>
      <c r="Y743" s="46">
        <f>IFERROR(__xludf.DUMMYFUNCTION("""COMPUTED_VALUE"""),45838)</f>
        <v/>
      </c>
      <c r="Z743" s="46">
        <f>IFERROR(__xludf.DUMMYFUNCTION("""COMPUTED_VALUE"""),45852)</f>
        <v/>
      </c>
      <c r="AA743" s="46">
        <f>IFERROR(__xludf.DUMMYFUNCTION("""COMPUTED_VALUE"""),45852)</f>
        <v/>
      </c>
      <c r="AB743" s="45">
        <f>IFERROR(__xludf.DUMMYFUNCTION("""COMPUTED_VALUE"""),"3500 Argentia Road")</f>
        <v/>
      </c>
      <c r="AC743" s="45" t="n"/>
      <c r="AD743" s="45">
        <f>IFERROR(__xludf.DUMMYFUNCTION("""COMPUTED_VALUE"""),"OCEAN")</f>
        <v/>
      </c>
      <c r="AE743" s="45">
        <f>IFERROR(__xludf.DUMMYFUNCTION("""COMPUTED_VALUE"""),"N")</f>
        <v/>
      </c>
      <c r="AF743" s="45" t="n"/>
      <c r="AG743" s="49">
        <f>IFERROR(__xludf.DUMMYFUNCTION("IFNA(vlookup(H743,IMPORTRANGE(""1vUGwO1n0QQGx9kKbO0_M5gmuhXZ6-LaxQxgrmJnzgP0"",""'TP# look up'!A:C""),3,0),"""")"),"")</f>
        <v/>
      </c>
      <c r="AH743" s="49">
        <f>LEFT(J743,2)</f>
        <v/>
      </c>
    </row>
    <row r="744" ht="12.75" customHeight="1">
      <c r="A744" s="45">
        <f>IFERROR(__xludf.DUMMYFUNCTION("""COMPUTED_VALUE"""),"Colombo")</f>
        <v/>
      </c>
      <c r="B744" s="45" t="n"/>
      <c r="C744" s="45">
        <f>IFERROR(__xludf.DUMMYFUNCTION("""COMPUTED_VALUE"""),3259512)</f>
        <v/>
      </c>
      <c r="D744" s="45" t="n"/>
      <c r="E744" s="45">
        <f>IFERROR(__xludf.DUMMYFUNCTION("""COMPUTED_VALUE"""),"CFS")</f>
        <v/>
      </c>
      <c r="F744" s="45">
        <f>IFERROR(__xludf.DUMMYFUNCTION("""COMPUTED_VALUE"""),"MAS AMITY PTE LTD")</f>
        <v/>
      </c>
      <c r="G744" s="45">
        <f>IFERROR(__xludf.DUMMYFUNCTION("""COMPUTED_VALUE"""),"MAS Active (Pvt) Ltd - Linea Intimo")</f>
        <v/>
      </c>
      <c r="H744" s="43">
        <f>IFERROR(__xludf.DUMMYFUNCTION("""COMPUTED_VALUE"""),456909251643)</f>
        <v/>
      </c>
      <c r="I744" s="45">
        <f>IFERROR(__xludf.DUMMYFUNCTION("""COMPUTED_VALUE"""),91019207)</f>
        <v/>
      </c>
      <c r="J744" s="45">
        <f>IFERROR(__xludf.DUMMYFUNCTION("""COMPUTED_VALUE"""),"LW1FKES")</f>
        <v/>
      </c>
      <c r="K744" s="45">
        <f>IFERROR(__xludf.DUMMYFUNCTION("""COMPUTED_VALUE"""),"LW1FKES-035647")</f>
        <v/>
      </c>
      <c r="L744" s="45">
        <f>IFERROR(__xludf.DUMMYFUNCTION("""COMPUTED_VALUE"""),2)</f>
        <v/>
      </c>
      <c r="M744" s="45">
        <f>IFERROR(__xludf.DUMMYFUNCTION("""COMPUTED_VALUE"""),115)</f>
        <v/>
      </c>
      <c r="N744" s="45">
        <f>IFERROR(__xludf.DUMMYFUNCTION("""COMPUTED_VALUE"""),15.409)</f>
        <v/>
      </c>
      <c r="O744" s="45">
        <f>IFERROR(__xludf.DUMMYFUNCTION("""COMPUTED_VALUE"""),0.118)</f>
        <v/>
      </c>
      <c r="P744" s="45">
        <f>IFERROR(__xludf.DUMMYFUNCTION("""COMPUTED_VALUE"""),"Colombo, LK")</f>
        <v/>
      </c>
      <c r="Q744" s="45">
        <f>IFERROR(__xludf.DUMMYFUNCTION("""COMPUTED_VALUE"""),"New York, NY, US")</f>
        <v/>
      </c>
      <c r="R744" s="44">
        <f>IFERROR(__xludf.DUMMYFUNCTION("""COMPUTED_VALUE"""),45831)</f>
        <v/>
      </c>
      <c r="S744" s="44">
        <f>IFERROR(__xludf.DUMMYFUNCTION("""COMPUTED_VALUE"""),45895)</f>
        <v/>
      </c>
      <c r="T744" s="45">
        <f>IFERROR(__xludf.DUMMYFUNCTION("""COMPUTED_VALUE"""),"Mississauga, ON, CA")</f>
        <v/>
      </c>
      <c r="U744" s="45" t="n"/>
      <c r="V744" s="45" t="n"/>
      <c r="W744" s="45" t="n"/>
      <c r="X744" s="45" t="n"/>
      <c r="Y744" s="46">
        <f>IFERROR(__xludf.DUMMYFUNCTION("""COMPUTED_VALUE"""),45838)</f>
        <v/>
      </c>
      <c r="Z744" s="46">
        <f>IFERROR(__xludf.DUMMYFUNCTION("""COMPUTED_VALUE"""),45852)</f>
        <v/>
      </c>
      <c r="AA744" s="46">
        <f>IFERROR(__xludf.DUMMYFUNCTION("""COMPUTED_VALUE"""),45852)</f>
        <v/>
      </c>
      <c r="AB744" s="45">
        <f>IFERROR(__xludf.DUMMYFUNCTION("""COMPUTED_VALUE"""),"3500 Argentia Road")</f>
        <v/>
      </c>
      <c r="AC744" s="45" t="n"/>
      <c r="AD744" s="45">
        <f>IFERROR(__xludf.DUMMYFUNCTION("""COMPUTED_VALUE"""),"OCEAN")</f>
        <v/>
      </c>
      <c r="AE744" s="45">
        <f>IFERROR(__xludf.DUMMYFUNCTION("""COMPUTED_VALUE"""),"N")</f>
        <v/>
      </c>
      <c r="AF744" s="45" t="n"/>
      <c r="AG744" s="49">
        <f>IFERROR(__xludf.DUMMYFUNCTION("IFNA(vlookup(H744,IMPORTRANGE(""1vUGwO1n0QQGx9kKbO0_M5gmuhXZ6-LaxQxgrmJnzgP0"",""'TP# look up'!A:C""),3,0),"""")"),"")</f>
        <v/>
      </c>
      <c r="AH744" s="49">
        <f>LEFT(J744,2)</f>
        <v/>
      </c>
    </row>
    <row r="745" ht="12.75" customHeight="1">
      <c r="A745" s="45">
        <f>IFERROR(__xludf.DUMMYFUNCTION("""COMPUTED_VALUE"""),"Colombo")</f>
        <v/>
      </c>
      <c r="B745" s="45" t="n"/>
      <c r="C745" s="45">
        <f>IFERROR(__xludf.DUMMYFUNCTION("""COMPUTED_VALUE"""),3259512)</f>
        <v/>
      </c>
      <c r="D745" s="45" t="n"/>
      <c r="E745" s="45">
        <f>IFERROR(__xludf.DUMMYFUNCTION("""COMPUTED_VALUE"""),"CFS")</f>
        <v/>
      </c>
      <c r="F745" s="45">
        <f>IFERROR(__xludf.DUMMYFUNCTION("""COMPUTED_VALUE"""),"MAS AMITY PTE LTD")</f>
        <v/>
      </c>
      <c r="G745" s="45">
        <f>IFERROR(__xludf.DUMMYFUNCTION("""COMPUTED_VALUE"""),"MAS Active (Pvt) Ltd - Linea Intimo")</f>
        <v/>
      </c>
      <c r="H745" s="43">
        <f>IFERROR(__xludf.DUMMYFUNCTION("""COMPUTED_VALUE"""),456911421144)</f>
        <v/>
      </c>
      <c r="I745" s="45">
        <f>IFERROR(__xludf.DUMMYFUNCTION("""COMPUTED_VALUE"""),91018313)</f>
        <v/>
      </c>
      <c r="J745" s="45">
        <f>IFERROR(__xludf.DUMMYFUNCTION("""COMPUTED_VALUE"""),"LW1AX1S")</f>
        <v/>
      </c>
      <c r="K745" s="45">
        <f>IFERROR(__xludf.DUMMYFUNCTION("""COMPUTED_VALUE"""),"LW1AX1S-035487")</f>
        <v/>
      </c>
      <c r="L745" s="45">
        <f>IFERROR(__xludf.DUMMYFUNCTION("""COMPUTED_VALUE"""),5)</f>
        <v/>
      </c>
      <c r="M745" s="45">
        <f>IFERROR(__xludf.DUMMYFUNCTION("""COMPUTED_VALUE"""),209)</f>
        <v/>
      </c>
      <c r="N745" s="45">
        <f>IFERROR(__xludf.DUMMYFUNCTION("""COMPUTED_VALUE"""),37.94)</f>
        <v/>
      </c>
      <c r="O745" s="45">
        <f>IFERROR(__xludf.DUMMYFUNCTION("""COMPUTED_VALUE"""),0.397)</f>
        <v/>
      </c>
      <c r="P745" s="45">
        <f>IFERROR(__xludf.DUMMYFUNCTION("""COMPUTED_VALUE"""),"Colombo, LK")</f>
        <v/>
      </c>
      <c r="Q745" s="45">
        <f>IFERROR(__xludf.DUMMYFUNCTION("""COMPUTED_VALUE"""),"New York, NY, US")</f>
        <v/>
      </c>
      <c r="R745" s="44">
        <f>IFERROR(__xludf.DUMMYFUNCTION("""COMPUTED_VALUE"""),45831)</f>
        <v/>
      </c>
      <c r="S745" s="44">
        <f>IFERROR(__xludf.DUMMYFUNCTION("""COMPUTED_VALUE"""),45895)</f>
        <v/>
      </c>
      <c r="T745" s="45">
        <f>IFERROR(__xludf.DUMMYFUNCTION("""COMPUTED_VALUE"""),"Mississauga, ON, CA")</f>
        <v/>
      </c>
      <c r="U745" s="45" t="n"/>
      <c r="V745" s="45" t="n"/>
      <c r="W745" s="45" t="n"/>
      <c r="X745" s="45" t="n"/>
      <c r="Y745" s="46">
        <f>IFERROR(__xludf.DUMMYFUNCTION("""COMPUTED_VALUE"""),45838)</f>
        <v/>
      </c>
      <c r="Z745" s="46">
        <f>IFERROR(__xludf.DUMMYFUNCTION("""COMPUTED_VALUE"""),45852)</f>
        <v/>
      </c>
      <c r="AA745" s="46">
        <f>IFERROR(__xludf.DUMMYFUNCTION("""COMPUTED_VALUE"""),45852)</f>
        <v/>
      </c>
      <c r="AB745" s="45">
        <f>IFERROR(__xludf.DUMMYFUNCTION("""COMPUTED_VALUE"""),"3500 Argentia Road")</f>
        <v/>
      </c>
      <c r="AC745" s="45" t="n"/>
      <c r="AD745" s="45">
        <f>IFERROR(__xludf.DUMMYFUNCTION("""COMPUTED_VALUE"""),"OCEAN")</f>
        <v/>
      </c>
      <c r="AE745" s="45">
        <f>IFERROR(__xludf.DUMMYFUNCTION("""COMPUTED_VALUE"""),"N")</f>
        <v/>
      </c>
      <c r="AF745" s="45" t="n"/>
      <c r="AG745" s="49">
        <f>IFERROR(__xludf.DUMMYFUNCTION("IFNA(vlookup(H745,IMPORTRANGE(""1vUGwO1n0QQGx9kKbO0_M5gmuhXZ6-LaxQxgrmJnzgP0"",""'TP# look up'!A:C""),3,0),"""")"),"")</f>
        <v/>
      </c>
      <c r="AH745" s="49">
        <f>LEFT(J745,2)</f>
        <v/>
      </c>
    </row>
    <row r="746" ht="12.75" customHeight="1">
      <c r="A746" s="45">
        <f>IFERROR(__xludf.DUMMYFUNCTION("""COMPUTED_VALUE"""),"Colombo")</f>
        <v/>
      </c>
      <c r="B746" s="45" t="n"/>
      <c r="C746" s="45">
        <f>IFERROR(__xludf.DUMMYFUNCTION("""COMPUTED_VALUE"""),3259512)</f>
        <v/>
      </c>
      <c r="D746" s="45" t="n"/>
      <c r="E746" s="45">
        <f>IFERROR(__xludf.DUMMYFUNCTION("""COMPUTED_VALUE"""),"CFS")</f>
        <v/>
      </c>
      <c r="F746" s="45">
        <f>IFERROR(__xludf.DUMMYFUNCTION("""COMPUTED_VALUE"""),"MAS AMITY PTE LTD")</f>
        <v/>
      </c>
      <c r="G746" s="45">
        <f>IFERROR(__xludf.DUMMYFUNCTION("""COMPUTED_VALUE"""),"MAS Active (Pvt) Ltd - Linea Intimo")</f>
        <v/>
      </c>
      <c r="H746" s="43">
        <f>IFERROR(__xludf.DUMMYFUNCTION("""COMPUTED_VALUE"""),456912057386)</f>
        <v/>
      </c>
      <c r="I746" s="45">
        <f>IFERROR(__xludf.DUMMYFUNCTION("""COMPUTED_VALUE"""),91018224)</f>
        <v/>
      </c>
      <c r="J746" s="45">
        <f>IFERROR(__xludf.DUMMYFUNCTION("""COMPUTED_VALUE"""),"LW1AX1S")</f>
        <v/>
      </c>
      <c r="K746" s="45">
        <f>IFERROR(__xludf.DUMMYFUNCTION("""COMPUTED_VALUE"""),"LW1AX1S-035487")</f>
        <v/>
      </c>
      <c r="L746" s="45">
        <f>IFERROR(__xludf.DUMMYFUNCTION("""COMPUTED_VALUE"""),5)</f>
        <v/>
      </c>
      <c r="M746" s="45">
        <f>IFERROR(__xludf.DUMMYFUNCTION("""COMPUTED_VALUE"""),194)</f>
        <v/>
      </c>
      <c r="N746" s="45">
        <f>IFERROR(__xludf.DUMMYFUNCTION("""COMPUTED_VALUE"""),35.812)</f>
        <v/>
      </c>
      <c r="O746" s="45">
        <f>IFERROR(__xludf.DUMMYFUNCTION("""COMPUTED_VALUE"""),0.357)</f>
        <v/>
      </c>
      <c r="P746" s="45">
        <f>IFERROR(__xludf.DUMMYFUNCTION("""COMPUTED_VALUE"""),"Colombo, LK")</f>
        <v/>
      </c>
      <c r="Q746" s="45">
        <f>IFERROR(__xludf.DUMMYFUNCTION("""COMPUTED_VALUE"""),"New York, NY, US")</f>
        <v/>
      </c>
      <c r="R746" s="44">
        <f>IFERROR(__xludf.DUMMYFUNCTION("""COMPUTED_VALUE"""),45831)</f>
        <v/>
      </c>
      <c r="S746" s="44">
        <f>IFERROR(__xludf.DUMMYFUNCTION("""COMPUTED_VALUE"""),45895)</f>
        <v/>
      </c>
      <c r="T746" s="45">
        <f>IFERROR(__xludf.DUMMYFUNCTION("""COMPUTED_VALUE"""),"Milton, ON, CA")</f>
        <v/>
      </c>
      <c r="U746" s="45" t="n"/>
      <c r="V746" s="45" t="n"/>
      <c r="W746" s="45" t="n"/>
      <c r="X746" s="45" t="n"/>
      <c r="Y746" s="46">
        <f>IFERROR(__xludf.DUMMYFUNCTION("""COMPUTED_VALUE"""),45838)</f>
        <v/>
      </c>
      <c r="Z746" s="46">
        <f>IFERROR(__xludf.DUMMYFUNCTION("""COMPUTED_VALUE"""),45852)</f>
        <v/>
      </c>
      <c r="AA746" s="46">
        <f>IFERROR(__xludf.DUMMYFUNCTION("""COMPUTED_VALUE"""),45852)</f>
        <v/>
      </c>
      <c r="AB746" s="45">
        <f>IFERROR(__xludf.DUMMYFUNCTION("""COMPUTED_VALUE"""),"7211 Fifth Line")</f>
        <v/>
      </c>
      <c r="AC746" s="45" t="n"/>
      <c r="AD746" s="45">
        <f>IFERROR(__xludf.DUMMYFUNCTION("""COMPUTED_VALUE"""),"OCEAN")</f>
        <v/>
      </c>
      <c r="AE746" s="45">
        <f>IFERROR(__xludf.DUMMYFUNCTION("""COMPUTED_VALUE"""),"N")</f>
        <v/>
      </c>
      <c r="AF746" s="45" t="n"/>
      <c r="AG746" s="49">
        <f>IFERROR(__xludf.DUMMYFUNCTION("IFNA(vlookup(H746,IMPORTRANGE(""1vUGwO1n0QQGx9kKbO0_M5gmuhXZ6-LaxQxgrmJnzgP0"",""'TP# look up'!A:C""),3,0),"""")"),"")</f>
        <v/>
      </c>
      <c r="AH746" s="49">
        <f>LEFT(J746,2)</f>
        <v/>
      </c>
    </row>
    <row r="747" ht="12.75" customHeight="1">
      <c r="A747" s="45">
        <f>IFERROR(__xludf.DUMMYFUNCTION("""COMPUTED_VALUE"""),"Colombo")</f>
        <v/>
      </c>
      <c r="B747" s="45" t="n"/>
      <c r="C747" s="45">
        <f>IFERROR(__xludf.DUMMYFUNCTION("""COMPUTED_VALUE"""),3259512)</f>
        <v/>
      </c>
      <c r="D747" s="45" t="n"/>
      <c r="E747" s="45">
        <f>IFERROR(__xludf.DUMMYFUNCTION("""COMPUTED_VALUE"""),"CFS")</f>
        <v/>
      </c>
      <c r="F747" s="45">
        <f>IFERROR(__xludf.DUMMYFUNCTION("""COMPUTED_VALUE"""),"MAS AMITY PTE LTD")</f>
        <v/>
      </c>
      <c r="G747" s="45">
        <f>IFERROR(__xludf.DUMMYFUNCTION("""COMPUTED_VALUE"""),"MAS Active (Pvt) Ltd - Linea Intimo")</f>
        <v/>
      </c>
      <c r="H747" s="43">
        <f>IFERROR(__xludf.DUMMYFUNCTION("""COMPUTED_VALUE"""),456912389881)</f>
        <v/>
      </c>
      <c r="I747" s="45">
        <f>IFERROR(__xludf.DUMMYFUNCTION("""COMPUTED_VALUE"""),91018290)</f>
        <v/>
      </c>
      <c r="J747" s="45">
        <f>IFERROR(__xludf.DUMMYFUNCTION("""COMPUTED_VALUE"""),"LW1AX1S")</f>
        <v/>
      </c>
      <c r="K747" s="45">
        <f>IFERROR(__xludf.DUMMYFUNCTION("""COMPUTED_VALUE"""),"LW1AX1S-035487")</f>
        <v/>
      </c>
      <c r="L747" s="45">
        <f>IFERROR(__xludf.DUMMYFUNCTION("""COMPUTED_VALUE"""),3)</f>
        <v/>
      </c>
      <c r="M747" s="45">
        <f>IFERROR(__xludf.DUMMYFUNCTION("""COMPUTED_VALUE"""),82)</f>
        <v/>
      </c>
      <c r="N747" s="45">
        <f>IFERROR(__xludf.DUMMYFUNCTION("""COMPUTED_VALUE"""),15.62)</f>
        <v/>
      </c>
      <c r="O747" s="45">
        <f>IFERROR(__xludf.DUMMYFUNCTION("""COMPUTED_VALUE"""),0.159)</f>
        <v/>
      </c>
      <c r="P747" s="45">
        <f>IFERROR(__xludf.DUMMYFUNCTION("""COMPUTED_VALUE"""),"Colombo, LK")</f>
        <v/>
      </c>
      <c r="Q747" s="45">
        <f>IFERROR(__xludf.DUMMYFUNCTION("""COMPUTED_VALUE"""),"New York, NY, US")</f>
        <v/>
      </c>
      <c r="R747" s="44">
        <f>IFERROR(__xludf.DUMMYFUNCTION("""COMPUTED_VALUE"""),45831)</f>
        <v/>
      </c>
      <c r="S747" s="44">
        <f>IFERROR(__xludf.DUMMYFUNCTION("""COMPUTED_VALUE"""),45895)</f>
        <v/>
      </c>
      <c r="T747" s="45">
        <f>IFERROR(__xludf.DUMMYFUNCTION("""COMPUTED_VALUE"""),"Mississauga, ON, CA")</f>
        <v/>
      </c>
      <c r="U747" s="45" t="n"/>
      <c r="V747" s="45" t="n"/>
      <c r="W747" s="45" t="n"/>
      <c r="X747" s="45" t="n"/>
      <c r="Y747" s="46">
        <f>IFERROR(__xludf.DUMMYFUNCTION("""COMPUTED_VALUE"""),45838)</f>
        <v/>
      </c>
      <c r="Z747" s="46">
        <f>IFERROR(__xludf.DUMMYFUNCTION("""COMPUTED_VALUE"""),45852)</f>
        <v/>
      </c>
      <c r="AA747" s="46">
        <f>IFERROR(__xludf.DUMMYFUNCTION("""COMPUTED_VALUE"""),45852)</f>
        <v/>
      </c>
      <c r="AB747" s="45">
        <f>IFERROR(__xludf.DUMMYFUNCTION("""COMPUTED_VALUE"""),"3500 Argentia Road")</f>
        <v/>
      </c>
      <c r="AC747" s="45" t="n"/>
      <c r="AD747" s="45">
        <f>IFERROR(__xludf.DUMMYFUNCTION("""COMPUTED_VALUE"""),"OCEAN")</f>
        <v/>
      </c>
      <c r="AE747" s="45">
        <f>IFERROR(__xludf.DUMMYFUNCTION("""COMPUTED_VALUE"""),"N")</f>
        <v/>
      </c>
      <c r="AF747" s="45" t="n"/>
      <c r="AG747" s="49">
        <f>IFERROR(__xludf.DUMMYFUNCTION("IFNA(vlookup(H747,IMPORTRANGE(""1vUGwO1n0QQGx9kKbO0_M5gmuhXZ6-LaxQxgrmJnzgP0"",""'TP# look up'!A:C""),3,0),"""")"),"")</f>
        <v/>
      </c>
      <c r="AH747" s="49">
        <f>LEFT(J747,2)</f>
        <v/>
      </c>
    </row>
    <row r="748" ht="12.75" customHeight="1">
      <c r="A748" s="45">
        <f>IFERROR(__xludf.DUMMYFUNCTION("""COMPUTED_VALUE"""),"Colombo")</f>
        <v/>
      </c>
      <c r="B748" s="45" t="n"/>
      <c r="C748" s="45">
        <f>IFERROR(__xludf.DUMMYFUNCTION("""COMPUTED_VALUE"""),3259512)</f>
        <v/>
      </c>
      <c r="D748" s="45" t="n"/>
      <c r="E748" s="45">
        <f>IFERROR(__xludf.DUMMYFUNCTION("""COMPUTED_VALUE"""),"CFS")</f>
        <v/>
      </c>
      <c r="F748" s="45">
        <f>IFERROR(__xludf.DUMMYFUNCTION("""COMPUTED_VALUE"""),"MAS AMITY PTE LTD")</f>
        <v/>
      </c>
      <c r="G748" s="45">
        <f>IFERROR(__xludf.DUMMYFUNCTION("""COMPUTED_VALUE"""),"MAS Active (Pvt) Ltd - Linea Intimo")</f>
        <v/>
      </c>
      <c r="H748" s="43">
        <f>IFERROR(__xludf.DUMMYFUNCTION("""COMPUTED_VALUE"""),456912390057)</f>
        <v/>
      </c>
      <c r="I748" s="45">
        <f>IFERROR(__xludf.DUMMYFUNCTION("""COMPUTED_VALUE"""),91018819)</f>
        <v/>
      </c>
      <c r="J748" s="45">
        <f>IFERROR(__xludf.DUMMYFUNCTION("""COMPUTED_VALUE"""),"LW1EKLS")</f>
        <v/>
      </c>
      <c r="K748" s="45">
        <f>IFERROR(__xludf.DUMMYFUNCTION("""COMPUTED_VALUE"""),"LW1EKLS-071213")</f>
        <v/>
      </c>
      <c r="L748" s="45">
        <f>IFERROR(__xludf.DUMMYFUNCTION("""COMPUTED_VALUE"""),2)</f>
        <v/>
      </c>
      <c r="M748" s="45">
        <f>IFERROR(__xludf.DUMMYFUNCTION("""COMPUTED_VALUE"""),81)</f>
        <v/>
      </c>
      <c r="N748" s="45">
        <f>IFERROR(__xludf.DUMMYFUNCTION("""COMPUTED_VALUE"""),7.98)</f>
        <v/>
      </c>
      <c r="O748" s="45">
        <f>IFERROR(__xludf.DUMMYFUNCTION("""COMPUTED_VALUE"""),0.118)</f>
        <v/>
      </c>
      <c r="P748" s="45">
        <f>IFERROR(__xludf.DUMMYFUNCTION("""COMPUTED_VALUE"""),"Colombo, LK")</f>
        <v/>
      </c>
      <c r="Q748" s="45">
        <f>IFERROR(__xludf.DUMMYFUNCTION("""COMPUTED_VALUE"""),"New York, NY, US")</f>
        <v/>
      </c>
      <c r="R748" s="44">
        <f>IFERROR(__xludf.DUMMYFUNCTION("""COMPUTED_VALUE"""),45831)</f>
        <v/>
      </c>
      <c r="S748" s="44">
        <f>IFERROR(__xludf.DUMMYFUNCTION("""COMPUTED_VALUE"""),45895)</f>
        <v/>
      </c>
      <c r="T748" s="45">
        <f>IFERROR(__xludf.DUMMYFUNCTION("""COMPUTED_VALUE"""),"Mississauga, ON, CA")</f>
        <v/>
      </c>
      <c r="U748" s="45" t="n"/>
      <c r="V748" s="45" t="n"/>
      <c r="W748" s="45" t="n"/>
      <c r="X748" s="45" t="n"/>
      <c r="Y748" s="46">
        <f>IFERROR(__xludf.DUMMYFUNCTION("""COMPUTED_VALUE"""),45838)</f>
        <v/>
      </c>
      <c r="Z748" s="46">
        <f>IFERROR(__xludf.DUMMYFUNCTION("""COMPUTED_VALUE"""),45852)</f>
        <v/>
      </c>
      <c r="AA748" s="46">
        <f>IFERROR(__xludf.DUMMYFUNCTION("""COMPUTED_VALUE"""),45852)</f>
        <v/>
      </c>
      <c r="AB748" s="45">
        <f>IFERROR(__xludf.DUMMYFUNCTION("""COMPUTED_VALUE"""),"3500 Argentia Road")</f>
        <v/>
      </c>
      <c r="AC748" s="45" t="n"/>
      <c r="AD748" s="45">
        <f>IFERROR(__xludf.DUMMYFUNCTION("""COMPUTED_VALUE"""),"OCEAN")</f>
        <v/>
      </c>
      <c r="AE748" s="45">
        <f>IFERROR(__xludf.DUMMYFUNCTION("""COMPUTED_VALUE"""),"N")</f>
        <v/>
      </c>
      <c r="AF748" s="45" t="n"/>
      <c r="AG748" s="49">
        <f>IFERROR(__xludf.DUMMYFUNCTION("IFNA(vlookup(H748,IMPORTRANGE(""1vUGwO1n0QQGx9kKbO0_M5gmuhXZ6-LaxQxgrmJnzgP0"",""'TP# look up'!A:C""),3,0),"""")"),"")</f>
        <v/>
      </c>
      <c r="AH748" s="49">
        <f>LEFT(J748,2)</f>
        <v/>
      </c>
    </row>
    <row r="749" ht="12.75" customHeight="1">
      <c r="A749" s="45">
        <f>IFERROR(__xludf.DUMMYFUNCTION("""COMPUTED_VALUE"""),"Colombo")</f>
        <v/>
      </c>
      <c r="B749" s="45" t="n"/>
      <c r="C749" s="45">
        <f>IFERROR(__xludf.DUMMYFUNCTION("""COMPUTED_VALUE"""),3259512)</f>
        <v/>
      </c>
      <c r="D749" s="45" t="n"/>
      <c r="E749" s="45">
        <f>IFERROR(__xludf.DUMMYFUNCTION("""COMPUTED_VALUE"""),"CFS")</f>
        <v/>
      </c>
      <c r="F749" s="45">
        <f>IFERROR(__xludf.DUMMYFUNCTION("""COMPUTED_VALUE"""),"MAS AMITY PTE LTD")</f>
        <v/>
      </c>
      <c r="G749" s="45">
        <f>IFERROR(__xludf.DUMMYFUNCTION("""COMPUTED_VALUE"""),"MAS Active (Pvt) Ltd - Linea Intimo")</f>
        <v/>
      </c>
      <c r="H749" s="43">
        <f>IFERROR(__xludf.DUMMYFUNCTION("""COMPUTED_VALUE"""),456912390147)</f>
        <v/>
      </c>
      <c r="I749" s="45">
        <f>IFERROR(__xludf.DUMMYFUNCTION("""COMPUTED_VALUE"""),91019059)</f>
        <v/>
      </c>
      <c r="J749" s="45">
        <f>IFERROR(__xludf.DUMMYFUNCTION("""COMPUTED_VALUE"""),"LW1FH4S")</f>
        <v/>
      </c>
      <c r="K749" s="45">
        <f>IFERROR(__xludf.DUMMYFUNCTION("""COMPUTED_VALUE"""),"LW1FH4S-072791")</f>
        <v/>
      </c>
      <c r="L749" s="45">
        <f>IFERROR(__xludf.DUMMYFUNCTION("""COMPUTED_VALUE"""),5)</f>
        <v/>
      </c>
      <c r="M749" s="45">
        <f>IFERROR(__xludf.DUMMYFUNCTION("""COMPUTED_VALUE"""),416)</f>
        <v/>
      </c>
      <c r="N749" s="45">
        <f>IFERROR(__xludf.DUMMYFUNCTION("""COMPUTED_VALUE"""),56.634)</f>
        <v/>
      </c>
      <c r="O749" s="45">
        <f>IFERROR(__xludf.DUMMYFUNCTION("""COMPUTED_VALUE"""),0.355)</f>
        <v/>
      </c>
      <c r="P749" s="45">
        <f>IFERROR(__xludf.DUMMYFUNCTION("""COMPUTED_VALUE"""),"Colombo, LK")</f>
        <v/>
      </c>
      <c r="Q749" s="45">
        <f>IFERROR(__xludf.DUMMYFUNCTION("""COMPUTED_VALUE"""),"New York, NY, US")</f>
        <v/>
      </c>
      <c r="R749" s="44">
        <f>IFERROR(__xludf.DUMMYFUNCTION("""COMPUTED_VALUE"""),45831)</f>
        <v/>
      </c>
      <c r="S749" s="44">
        <f>IFERROR(__xludf.DUMMYFUNCTION("""COMPUTED_VALUE"""),45895)</f>
        <v/>
      </c>
      <c r="T749" s="45">
        <f>IFERROR(__xludf.DUMMYFUNCTION("""COMPUTED_VALUE"""),"Mississauga, ON, CA")</f>
        <v/>
      </c>
      <c r="U749" s="45" t="n"/>
      <c r="V749" s="45" t="n"/>
      <c r="W749" s="45" t="n"/>
      <c r="X749" s="45" t="n"/>
      <c r="Y749" s="46">
        <f>IFERROR(__xludf.DUMMYFUNCTION("""COMPUTED_VALUE"""),45838)</f>
        <v/>
      </c>
      <c r="Z749" s="46">
        <f>IFERROR(__xludf.DUMMYFUNCTION("""COMPUTED_VALUE"""),45852)</f>
        <v/>
      </c>
      <c r="AA749" s="46">
        <f>IFERROR(__xludf.DUMMYFUNCTION("""COMPUTED_VALUE"""),45852)</f>
        <v/>
      </c>
      <c r="AB749" s="45">
        <f>IFERROR(__xludf.DUMMYFUNCTION("""COMPUTED_VALUE"""),"3500 Argentia Road")</f>
        <v/>
      </c>
      <c r="AC749" s="45" t="n"/>
      <c r="AD749" s="45">
        <f>IFERROR(__xludf.DUMMYFUNCTION("""COMPUTED_VALUE"""),"OCEAN")</f>
        <v/>
      </c>
      <c r="AE749" s="45">
        <f>IFERROR(__xludf.DUMMYFUNCTION("""COMPUTED_VALUE"""),"N")</f>
        <v/>
      </c>
      <c r="AF749" s="45" t="n"/>
      <c r="AG749" s="49">
        <f>IFERROR(__xludf.DUMMYFUNCTION("IFNA(vlookup(H749,IMPORTRANGE(""1vUGwO1n0QQGx9kKbO0_M5gmuhXZ6-LaxQxgrmJnzgP0"",""'TP# look up'!A:C""),3,0),"""")"),"")</f>
        <v/>
      </c>
      <c r="AH749" s="49">
        <f>LEFT(J749,2)</f>
        <v/>
      </c>
    </row>
    <row r="750" ht="12.75" customHeight="1">
      <c r="A750" s="45">
        <f>IFERROR(__xludf.DUMMYFUNCTION("""COMPUTED_VALUE"""),"Colombo")</f>
        <v/>
      </c>
      <c r="B750" s="45" t="n"/>
      <c r="C750" s="45">
        <f>IFERROR(__xludf.DUMMYFUNCTION("""COMPUTED_VALUE"""),3259512)</f>
        <v/>
      </c>
      <c r="D750" s="45" t="n"/>
      <c r="E750" s="45">
        <f>IFERROR(__xludf.DUMMYFUNCTION("""COMPUTED_VALUE"""),"CFS")</f>
        <v/>
      </c>
      <c r="F750" s="45">
        <f>IFERROR(__xludf.DUMMYFUNCTION("""COMPUTED_VALUE"""),"MAS AMITY PTE LTD")</f>
        <v/>
      </c>
      <c r="G750" s="45">
        <f>IFERROR(__xludf.DUMMYFUNCTION("""COMPUTED_VALUE"""),"MAS Active (Pvt) Ltd - Linea Intimo")</f>
        <v/>
      </c>
      <c r="H750" s="43">
        <f>IFERROR(__xludf.DUMMYFUNCTION("""COMPUTED_VALUE"""),456912390363)</f>
        <v/>
      </c>
      <c r="I750" s="45">
        <f>IFERROR(__xludf.DUMMYFUNCTION("""COMPUTED_VALUE"""),91019331)</f>
        <v/>
      </c>
      <c r="J750" s="45">
        <f>IFERROR(__xludf.DUMMYFUNCTION("""COMPUTED_VALUE"""),"LW1FKES")</f>
        <v/>
      </c>
      <c r="K750" s="45">
        <f>IFERROR(__xludf.DUMMYFUNCTION("""COMPUTED_VALUE"""),"LW1FKES-041850")</f>
        <v/>
      </c>
      <c r="L750" s="45">
        <f>IFERROR(__xludf.DUMMYFUNCTION("""COMPUTED_VALUE"""),2)</f>
        <v/>
      </c>
      <c r="M750" s="45">
        <f>IFERROR(__xludf.DUMMYFUNCTION("""COMPUTED_VALUE"""),85)</f>
        <v/>
      </c>
      <c r="N750" s="45">
        <f>IFERROR(__xludf.DUMMYFUNCTION("""COMPUTED_VALUE"""),11.88)</f>
        <v/>
      </c>
      <c r="O750" s="45">
        <f>IFERROR(__xludf.DUMMYFUNCTION("""COMPUTED_VALUE"""),0.118)</f>
        <v/>
      </c>
      <c r="P750" s="45">
        <f>IFERROR(__xludf.DUMMYFUNCTION("""COMPUTED_VALUE"""),"Colombo, LK")</f>
        <v/>
      </c>
      <c r="Q750" s="45">
        <f>IFERROR(__xludf.DUMMYFUNCTION("""COMPUTED_VALUE"""),"New York, NY, US")</f>
        <v/>
      </c>
      <c r="R750" s="44">
        <f>IFERROR(__xludf.DUMMYFUNCTION("""COMPUTED_VALUE"""),45831)</f>
        <v/>
      </c>
      <c r="S750" s="44">
        <f>IFERROR(__xludf.DUMMYFUNCTION("""COMPUTED_VALUE"""),45895)</f>
        <v/>
      </c>
      <c r="T750" s="45">
        <f>IFERROR(__xludf.DUMMYFUNCTION("""COMPUTED_VALUE"""),"Mississauga, ON, CA")</f>
        <v/>
      </c>
      <c r="U750" s="45" t="n"/>
      <c r="V750" s="45" t="n"/>
      <c r="W750" s="45" t="n"/>
      <c r="X750" s="45" t="n"/>
      <c r="Y750" s="46">
        <f>IFERROR(__xludf.DUMMYFUNCTION("""COMPUTED_VALUE"""),45838)</f>
        <v/>
      </c>
      <c r="Z750" s="46">
        <f>IFERROR(__xludf.DUMMYFUNCTION("""COMPUTED_VALUE"""),45852)</f>
        <v/>
      </c>
      <c r="AA750" s="46">
        <f>IFERROR(__xludf.DUMMYFUNCTION("""COMPUTED_VALUE"""),45852)</f>
        <v/>
      </c>
      <c r="AB750" s="45">
        <f>IFERROR(__xludf.DUMMYFUNCTION("""COMPUTED_VALUE"""),"3500 Argentia Road")</f>
        <v/>
      </c>
      <c r="AC750" s="45" t="n"/>
      <c r="AD750" s="45">
        <f>IFERROR(__xludf.DUMMYFUNCTION("""COMPUTED_VALUE"""),"OCEAN")</f>
        <v/>
      </c>
      <c r="AE750" s="45">
        <f>IFERROR(__xludf.DUMMYFUNCTION("""COMPUTED_VALUE"""),"N")</f>
        <v/>
      </c>
      <c r="AF750" s="45" t="n"/>
      <c r="AG750" s="49">
        <f>IFERROR(__xludf.DUMMYFUNCTION("IFNA(vlookup(H750,IMPORTRANGE(""1vUGwO1n0QQGx9kKbO0_M5gmuhXZ6-LaxQxgrmJnzgP0"",""'TP# look up'!A:C""),3,0),"""")"),"")</f>
        <v/>
      </c>
      <c r="AH750" s="49">
        <f>LEFT(J750,2)</f>
        <v/>
      </c>
    </row>
    <row r="751" ht="12.75" customHeight="1">
      <c r="A751" s="45">
        <f>IFERROR(__xludf.DUMMYFUNCTION("""COMPUTED_VALUE"""),"Colombo")</f>
        <v/>
      </c>
      <c r="B751" s="45" t="n"/>
      <c r="C751" s="45">
        <f>IFERROR(__xludf.DUMMYFUNCTION("""COMPUTED_VALUE"""),3259512)</f>
        <v/>
      </c>
      <c r="D751" s="45" t="n"/>
      <c r="E751" s="45">
        <f>IFERROR(__xludf.DUMMYFUNCTION("""COMPUTED_VALUE"""),"CFS")</f>
        <v/>
      </c>
      <c r="F751" s="45">
        <f>IFERROR(__xludf.DUMMYFUNCTION("""COMPUTED_VALUE"""),"MAS AMITY PTE LTD")</f>
        <v/>
      </c>
      <c r="G751" s="45">
        <f>IFERROR(__xludf.DUMMYFUNCTION("""COMPUTED_VALUE"""),"MAS Active (Pvt) Ltd - Linea Intimo")</f>
        <v/>
      </c>
      <c r="H751" s="43">
        <f>IFERROR(__xludf.DUMMYFUNCTION("""COMPUTED_VALUE"""),456912516350)</f>
        <v/>
      </c>
      <c r="I751" s="45">
        <f>IFERROR(__xludf.DUMMYFUNCTION("""COMPUTED_VALUE"""),91019010)</f>
        <v/>
      </c>
      <c r="J751" s="45">
        <f>IFERROR(__xludf.DUMMYFUNCTION("""COMPUTED_VALUE"""),"LW1EKLS")</f>
        <v/>
      </c>
      <c r="K751" s="45">
        <f>IFERROR(__xludf.DUMMYFUNCTION("""COMPUTED_VALUE"""),"LW1EKLS-071213")</f>
        <v/>
      </c>
      <c r="L751" s="45">
        <f>IFERROR(__xludf.DUMMYFUNCTION("""COMPUTED_VALUE"""),5)</f>
        <v/>
      </c>
      <c r="M751" s="45">
        <f>IFERROR(__xludf.DUMMYFUNCTION("""COMPUTED_VALUE"""),309)</f>
        <v/>
      </c>
      <c r="N751" s="45">
        <f>IFERROR(__xludf.DUMMYFUNCTION("""COMPUTED_VALUE"""),28.357)</f>
        <v/>
      </c>
      <c r="O751" s="45">
        <f>IFERROR(__xludf.DUMMYFUNCTION("""COMPUTED_VALUE"""),0.355)</f>
        <v/>
      </c>
      <c r="P751" s="45">
        <f>IFERROR(__xludf.DUMMYFUNCTION("""COMPUTED_VALUE"""),"Colombo, LK")</f>
        <v/>
      </c>
      <c r="Q751" s="45">
        <f>IFERROR(__xludf.DUMMYFUNCTION("""COMPUTED_VALUE"""),"New York, NY, US")</f>
        <v/>
      </c>
      <c r="R751" s="44">
        <f>IFERROR(__xludf.DUMMYFUNCTION("""COMPUTED_VALUE"""),45831)</f>
        <v/>
      </c>
      <c r="S751" s="44">
        <f>IFERROR(__xludf.DUMMYFUNCTION("""COMPUTED_VALUE"""),45895)</f>
        <v/>
      </c>
      <c r="T751" s="45">
        <f>IFERROR(__xludf.DUMMYFUNCTION("""COMPUTED_VALUE"""),"Mississauga, ON, CA")</f>
        <v/>
      </c>
      <c r="U751" s="45" t="n"/>
      <c r="V751" s="45" t="n"/>
      <c r="W751" s="45" t="n"/>
      <c r="X751" s="45" t="n"/>
      <c r="Y751" s="46">
        <f>IFERROR(__xludf.DUMMYFUNCTION("""COMPUTED_VALUE"""),45838)</f>
        <v/>
      </c>
      <c r="Z751" s="46">
        <f>IFERROR(__xludf.DUMMYFUNCTION("""COMPUTED_VALUE"""),45852)</f>
        <v/>
      </c>
      <c r="AA751" s="46">
        <f>IFERROR(__xludf.DUMMYFUNCTION("""COMPUTED_VALUE"""),45852)</f>
        <v/>
      </c>
      <c r="AB751" s="45">
        <f>IFERROR(__xludf.DUMMYFUNCTION("""COMPUTED_VALUE"""),"3500 Argentia Road")</f>
        <v/>
      </c>
      <c r="AC751" s="45" t="n"/>
      <c r="AD751" s="45">
        <f>IFERROR(__xludf.DUMMYFUNCTION("""COMPUTED_VALUE"""),"OCEAN")</f>
        <v/>
      </c>
      <c r="AE751" s="45">
        <f>IFERROR(__xludf.DUMMYFUNCTION("""COMPUTED_VALUE"""),"N")</f>
        <v/>
      </c>
      <c r="AF751" s="45" t="n"/>
      <c r="AG751" s="49">
        <f>IFERROR(__xludf.DUMMYFUNCTION("IFNA(vlookup(H751,IMPORTRANGE(""1vUGwO1n0QQGx9kKbO0_M5gmuhXZ6-LaxQxgrmJnzgP0"",""'TP# look up'!A:C""),3,0),"""")"),"")</f>
        <v/>
      </c>
      <c r="AH751" s="49">
        <f>LEFT(J751,2)</f>
        <v/>
      </c>
    </row>
    <row r="752" ht="12.75" customHeight="1">
      <c r="A752" s="45">
        <f>IFERROR(__xludf.DUMMYFUNCTION("""COMPUTED_VALUE"""),"Colombo")</f>
        <v/>
      </c>
      <c r="B752" s="45" t="n"/>
      <c r="C752" s="45">
        <f>IFERROR(__xludf.DUMMYFUNCTION("""COMPUTED_VALUE"""),3259512)</f>
        <v/>
      </c>
      <c r="D752" s="45" t="n"/>
      <c r="E752" s="45">
        <f>IFERROR(__xludf.DUMMYFUNCTION("""COMPUTED_VALUE"""),"CFS")</f>
        <v/>
      </c>
      <c r="F752" s="45">
        <f>IFERROR(__xludf.DUMMYFUNCTION("""COMPUTED_VALUE"""),"MAS AMITY PTE LTD")</f>
        <v/>
      </c>
      <c r="G752" s="45">
        <f>IFERROR(__xludf.DUMMYFUNCTION("""COMPUTED_VALUE"""),"MAS Active (Pvt) Ltd - Linea Intimo")</f>
        <v/>
      </c>
      <c r="H752" s="43">
        <f>IFERROR(__xludf.DUMMYFUNCTION("""COMPUTED_VALUE"""),456913884913)</f>
        <v/>
      </c>
      <c r="I752" s="45">
        <f>IFERROR(__xludf.DUMMYFUNCTION("""COMPUTED_VALUE"""),91019257)</f>
        <v/>
      </c>
      <c r="J752" s="45">
        <f>IFERROR(__xludf.DUMMYFUNCTION("""COMPUTED_VALUE"""),"LW1FKES")</f>
        <v/>
      </c>
      <c r="K752" s="45">
        <f>IFERROR(__xludf.DUMMYFUNCTION("""COMPUTED_VALUE"""),"LW1FKES-041850")</f>
        <v/>
      </c>
      <c r="L752" s="45">
        <f>IFERROR(__xludf.DUMMYFUNCTION("""COMPUTED_VALUE"""),4)</f>
        <v/>
      </c>
      <c r="M752" s="45">
        <f>IFERROR(__xludf.DUMMYFUNCTION("""COMPUTED_VALUE"""),225)</f>
        <v/>
      </c>
      <c r="N752" s="45">
        <f>IFERROR(__xludf.DUMMYFUNCTION("""COMPUTED_VALUE"""),30.528)</f>
        <v/>
      </c>
      <c r="O752" s="45">
        <f>IFERROR(__xludf.DUMMYFUNCTION("""COMPUTED_VALUE"""),0.276)</f>
        <v/>
      </c>
      <c r="P752" s="45">
        <f>IFERROR(__xludf.DUMMYFUNCTION("""COMPUTED_VALUE"""),"Colombo, LK")</f>
        <v/>
      </c>
      <c r="Q752" s="45">
        <f>IFERROR(__xludf.DUMMYFUNCTION("""COMPUTED_VALUE"""),"New York, NY, US")</f>
        <v/>
      </c>
      <c r="R752" s="44">
        <f>IFERROR(__xludf.DUMMYFUNCTION("""COMPUTED_VALUE"""),45831)</f>
        <v/>
      </c>
      <c r="S752" s="44">
        <f>IFERROR(__xludf.DUMMYFUNCTION("""COMPUTED_VALUE"""),45895)</f>
        <v/>
      </c>
      <c r="T752" s="45">
        <f>IFERROR(__xludf.DUMMYFUNCTION("""COMPUTED_VALUE"""),"Mississauga, ON, CA")</f>
        <v/>
      </c>
      <c r="U752" s="45" t="n"/>
      <c r="V752" s="45" t="n"/>
      <c r="W752" s="45" t="n"/>
      <c r="X752" s="45" t="n"/>
      <c r="Y752" s="46">
        <f>IFERROR(__xludf.DUMMYFUNCTION("""COMPUTED_VALUE"""),45838)</f>
        <v/>
      </c>
      <c r="Z752" s="46">
        <f>IFERROR(__xludf.DUMMYFUNCTION("""COMPUTED_VALUE"""),45852)</f>
        <v/>
      </c>
      <c r="AA752" s="46">
        <f>IFERROR(__xludf.DUMMYFUNCTION("""COMPUTED_VALUE"""),45852)</f>
        <v/>
      </c>
      <c r="AB752" s="45">
        <f>IFERROR(__xludf.DUMMYFUNCTION("""COMPUTED_VALUE"""),"3500 Argentia Road")</f>
        <v/>
      </c>
      <c r="AC752" s="45" t="n"/>
      <c r="AD752" s="45">
        <f>IFERROR(__xludf.DUMMYFUNCTION("""COMPUTED_VALUE"""),"OCEAN")</f>
        <v/>
      </c>
      <c r="AE752" s="45">
        <f>IFERROR(__xludf.DUMMYFUNCTION("""COMPUTED_VALUE"""),"N")</f>
        <v/>
      </c>
      <c r="AF752" s="45" t="n"/>
      <c r="AG752" s="49">
        <f>IFERROR(__xludf.DUMMYFUNCTION("IFNA(vlookup(H752,IMPORTRANGE(""1vUGwO1n0QQGx9kKbO0_M5gmuhXZ6-LaxQxgrmJnzgP0"",""'TP# look up'!A:C""),3,0),"""")"),"")</f>
        <v/>
      </c>
      <c r="AH752" s="49">
        <f>LEFT(J752,2)</f>
        <v/>
      </c>
    </row>
    <row r="753" ht="12.75" customHeight="1">
      <c r="A753" s="45">
        <f>IFERROR(__xludf.DUMMYFUNCTION("""COMPUTED_VALUE"""),"Colombo")</f>
        <v/>
      </c>
      <c r="B753" s="45" t="n"/>
      <c r="C753" s="45">
        <f>IFERROR(__xludf.DUMMYFUNCTION("""COMPUTED_VALUE"""),3259512)</f>
        <v/>
      </c>
      <c r="D753" s="45" t="n"/>
      <c r="E753" s="45">
        <f>IFERROR(__xludf.DUMMYFUNCTION("""COMPUTED_VALUE"""),"CFS")</f>
        <v/>
      </c>
      <c r="F753" s="45">
        <f>IFERROR(__xludf.DUMMYFUNCTION("""COMPUTED_VALUE"""),"MAS AMITY PTE LTD")</f>
        <v/>
      </c>
      <c r="G753" s="45">
        <f>IFERROR(__xludf.DUMMYFUNCTION("""COMPUTED_VALUE"""),"MAS Fabrics (Pvt) Ltd Intimo")</f>
        <v/>
      </c>
      <c r="H753" s="43">
        <f>IFERROR(__xludf.DUMMYFUNCTION("""COMPUTED_VALUE"""),456891473455)</f>
        <v/>
      </c>
      <c r="I753" s="45">
        <f>IFERROR(__xludf.DUMMYFUNCTION("""COMPUTED_VALUE"""),19900258)</f>
        <v/>
      </c>
      <c r="J753" s="45">
        <f>IFERROR(__xludf.DUMMYFUNCTION("""COMPUTED_VALUE"""),"LM3FG2S")</f>
        <v/>
      </c>
      <c r="K753" s="45">
        <f>IFERROR(__xludf.DUMMYFUNCTION("""COMPUTED_VALUE"""),"LM3FG2S-062658")</f>
        <v/>
      </c>
      <c r="L753" s="45">
        <f>IFERROR(__xludf.DUMMYFUNCTION("""COMPUTED_VALUE"""),4)</f>
        <v/>
      </c>
      <c r="M753" s="45">
        <f>IFERROR(__xludf.DUMMYFUNCTION("""COMPUTED_VALUE"""),200)</f>
        <v/>
      </c>
      <c r="N753" s="45">
        <f>IFERROR(__xludf.DUMMYFUNCTION("""COMPUTED_VALUE"""),36.532)</f>
        <v/>
      </c>
      <c r="O753" s="45">
        <f>IFERROR(__xludf.DUMMYFUNCTION("""COMPUTED_VALUE"""),0.316)</f>
        <v/>
      </c>
      <c r="P753" s="45">
        <f>IFERROR(__xludf.DUMMYFUNCTION("""COMPUTED_VALUE"""),"Colombo, LK")</f>
        <v/>
      </c>
      <c r="Q753" s="45">
        <f>IFERROR(__xludf.DUMMYFUNCTION("""COMPUTED_VALUE"""),"New York, NY, US")</f>
        <v/>
      </c>
      <c r="R753" s="44">
        <f>IFERROR(__xludf.DUMMYFUNCTION("""COMPUTED_VALUE"""),45831)</f>
        <v/>
      </c>
      <c r="S753" s="44">
        <f>IFERROR(__xludf.DUMMYFUNCTION("""COMPUTED_VALUE"""),45890)</f>
        <v/>
      </c>
      <c r="T753" s="45">
        <f>IFERROR(__xludf.DUMMYFUNCTION("""COMPUTED_VALUE"""),"Milton, ON, CA")</f>
        <v/>
      </c>
      <c r="U753" s="45" t="n"/>
      <c r="V753" s="45" t="n"/>
      <c r="W753" s="45" t="n"/>
      <c r="X753" s="45" t="n"/>
      <c r="Y753" s="46">
        <f>IFERROR(__xludf.DUMMYFUNCTION("""COMPUTED_VALUE"""),45838)</f>
        <v/>
      </c>
      <c r="Z753" s="46">
        <f>IFERROR(__xludf.DUMMYFUNCTION("""COMPUTED_VALUE"""),45859)</f>
        <v/>
      </c>
      <c r="AA753" s="46">
        <f>IFERROR(__xludf.DUMMYFUNCTION("""COMPUTED_VALUE"""),45859)</f>
        <v/>
      </c>
      <c r="AB753" s="45">
        <f>IFERROR(__xludf.DUMMYFUNCTION("""COMPUTED_VALUE"""),"7211 Fifth Line")</f>
        <v/>
      </c>
      <c r="AC753" s="45" t="n"/>
      <c r="AD753" s="45">
        <f>IFERROR(__xludf.DUMMYFUNCTION("""COMPUTED_VALUE"""),"OCEAN")</f>
        <v/>
      </c>
      <c r="AE753" s="45">
        <f>IFERROR(__xludf.DUMMYFUNCTION("""COMPUTED_VALUE"""),"N")</f>
        <v/>
      </c>
      <c r="AF753" s="45" t="n"/>
      <c r="AG753" s="49">
        <f>IFERROR(__xludf.DUMMYFUNCTION("IFNA(vlookup(H753,IMPORTRANGE(""1vUGwO1n0QQGx9kKbO0_M5gmuhXZ6-LaxQxgrmJnzgP0"",""'TP# look up'!A:C""),3,0),"""")"),"")</f>
        <v/>
      </c>
      <c r="AH753" s="49">
        <f>LEFT(J753,2)</f>
        <v/>
      </c>
    </row>
    <row r="754" ht="12.75" customHeight="1">
      <c r="A754" s="45">
        <f>IFERROR(__xludf.DUMMYFUNCTION("""COMPUTED_VALUE"""),"Colombo")</f>
        <v/>
      </c>
      <c r="B754" s="45" t="n"/>
      <c r="C754" s="45">
        <f>IFERROR(__xludf.DUMMYFUNCTION("""COMPUTED_VALUE"""),3259512)</f>
        <v/>
      </c>
      <c r="D754" s="45" t="n"/>
      <c r="E754" s="45">
        <f>IFERROR(__xludf.DUMMYFUNCTION("""COMPUTED_VALUE"""),"CFS")</f>
        <v/>
      </c>
      <c r="F754" s="45">
        <f>IFERROR(__xludf.DUMMYFUNCTION("""COMPUTED_VALUE"""),"MAS AMITY PTE LTD")</f>
        <v/>
      </c>
      <c r="G754" s="45">
        <f>IFERROR(__xludf.DUMMYFUNCTION("""COMPUTED_VALUE"""),"MAS Fabrics (Pvt) Ltd Intimo")</f>
        <v/>
      </c>
      <c r="H754" s="43">
        <f>IFERROR(__xludf.DUMMYFUNCTION("""COMPUTED_VALUE"""),456895959426)</f>
        <v/>
      </c>
      <c r="I754" s="45">
        <f>IFERROR(__xludf.DUMMYFUNCTION("""COMPUTED_VALUE"""),19900090)</f>
        <v/>
      </c>
      <c r="J754" s="45">
        <f>IFERROR(__xludf.DUMMYFUNCTION("""COMPUTED_VALUE"""),"LW3DOBS")</f>
        <v/>
      </c>
      <c r="K754" s="45">
        <f>IFERROR(__xludf.DUMMYFUNCTION("""COMPUTED_VALUE"""),"LW3DOBS-041850")</f>
        <v/>
      </c>
      <c r="L754" s="45">
        <f>IFERROR(__xludf.DUMMYFUNCTION("""COMPUTED_VALUE"""),28)</f>
        <v/>
      </c>
      <c r="M754" s="45">
        <f>IFERROR(__xludf.DUMMYFUNCTION("""COMPUTED_VALUE"""),2024)</f>
        <v/>
      </c>
      <c r="N754" s="45">
        <f>IFERROR(__xludf.DUMMYFUNCTION("""COMPUTED_VALUE"""),312.236)</f>
        <v/>
      </c>
      <c r="O754" s="45">
        <f>IFERROR(__xludf.DUMMYFUNCTION("""COMPUTED_VALUE"""),2.172)</f>
        <v/>
      </c>
      <c r="P754" s="45">
        <f>IFERROR(__xludf.DUMMYFUNCTION("""COMPUTED_VALUE"""),"Colombo, LK")</f>
        <v/>
      </c>
      <c r="Q754" s="45">
        <f>IFERROR(__xludf.DUMMYFUNCTION("""COMPUTED_VALUE"""),"New York, NY, US")</f>
        <v/>
      </c>
      <c r="R754" s="44">
        <f>IFERROR(__xludf.DUMMYFUNCTION("""COMPUTED_VALUE"""),45831)</f>
        <v/>
      </c>
      <c r="S754" s="44">
        <f>IFERROR(__xludf.DUMMYFUNCTION("""COMPUTED_VALUE"""),45890)</f>
        <v/>
      </c>
      <c r="T754" s="45">
        <f>IFERROR(__xludf.DUMMYFUNCTION("""COMPUTED_VALUE"""),"Milton, ON, CA")</f>
        <v/>
      </c>
      <c r="U754" s="45" t="n"/>
      <c r="V754" s="45" t="n"/>
      <c r="W754" s="45" t="n"/>
      <c r="X754" s="45" t="n"/>
      <c r="Y754" s="46">
        <f>IFERROR(__xludf.DUMMYFUNCTION("""COMPUTED_VALUE"""),45838)</f>
        <v/>
      </c>
      <c r="Z754" s="46">
        <f>IFERROR(__xludf.DUMMYFUNCTION("""COMPUTED_VALUE"""),45859)</f>
        <v/>
      </c>
      <c r="AA754" s="46">
        <f>IFERROR(__xludf.DUMMYFUNCTION("""COMPUTED_VALUE"""),45859)</f>
        <v/>
      </c>
      <c r="AB754" s="45">
        <f>IFERROR(__xludf.DUMMYFUNCTION("""COMPUTED_VALUE"""),"7211 Fifth Line")</f>
        <v/>
      </c>
      <c r="AC754" s="45" t="n"/>
      <c r="AD754" s="45">
        <f>IFERROR(__xludf.DUMMYFUNCTION("""COMPUTED_VALUE"""),"OCEAN")</f>
        <v/>
      </c>
      <c r="AE754" s="45">
        <f>IFERROR(__xludf.DUMMYFUNCTION("""COMPUTED_VALUE"""),"N")</f>
        <v/>
      </c>
      <c r="AF754" s="45" t="n"/>
      <c r="AG754" s="49">
        <f>IFERROR(__xludf.DUMMYFUNCTION("IFNA(vlookup(H754,IMPORTRANGE(""1vUGwO1n0QQGx9kKbO0_M5gmuhXZ6-LaxQxgrmJnzgP0"",""'TP# look up'!A:C""),3,0),"""")"),"")</f>
        <v/>
      </c>
      <c r="AH754" s="49">
        <f>LEFT(J754,2)</f>
        <v/>
      </c>
    </row>
    <row r="755" ht="12.75" customHeight="1">
      <c r="A755" s="45">
        <f>IFERROR(__xludf.DUMMYFUNCTION("""COMPUTED_VALUE"""),"Colombo")</f>
        <v/>
      </c>
      <c r="B755" s="45" t="n"/>
      <c r="C755" s="45">
        <f>IFERROR(__xludf.DUMMYFUNCTION("""COMPUTED_VALUE"""),3259512)</f>
        <v/>
      </c>
      <c r="D755" s="45" t="n"/>
      <c r="E755" s="45">
        <f>IFERROR(__xludf.DUMMYFUNCTION("""COMPUTED_VALUE"""),"CFS")</f>
        <v/>
      </c>
      <c r="F755" s="45">
        <f>IFERROR(__xludf.DUMMYFUNCTION("""COMPUTED_VALUE"""),"MAS AMITY PTE LTD")</f>
        <v/>
      </c>
      <c r="G755" s="45">
        <f>IFERROR(__xludf.DUMMYFUNCTION("""COMPUTED_VALUE"""),"MAS Fabrics (Pvt) Ltd Intimo")</f>
        <v/>
      </c>
      <c r="H755" s="43">
        <f>IFERROR(__xludf.DUMMYFUNCTION("""COMPUTED_VALUE"""),456902507383)</f>
        <v/>
      </c>
      <c r="I755" s="45">
        <f>IFERROR(__xludf.DUMMYFUNCTION("""COMPUTED_VALUE"""),19900233)</f>
        <v/>
      </c>
      <c r="J755" s="45">
        <f>IFERROR(__xludf.DUMMYFUNCTION("""COMPUTED_VALUE"""),"LW3JSOS")</f>
        <v/>
      </c>
      <c r="K755" s="45">
        <f>IFERROR(__xludf.DUMMYFUNCTION("""COMPUTED_VALUE"""),"LW3JSOS-072791")</f>
        <v/>
      </c>
      <c r="L755" s="45">
        <f>IFERROR(__xludf.DUMMYFUNCTION("""COMPUTED_VALUE"""),10)</f>
        <v/>
      </c>
      <c r="M755" s="45">
        <f>IFERROR(__xludf.DUMMYFUNCTION("""COMPUTED_VALUE"""),651)</f>
        <v/>
      </c>
      <c r="N755" s="45">
        <f>IFERROR(__xludf.DUMMYFUNCTION("""COMPUTED_VALUE"""),102.237)</f>
        <v/>
      </c>
      <c r="O755" s="45">
        <f>IFERROR(__xludf.DUMMYFUNCTION("""COMPUTED_VALUE"""),0.711)</f>
        <v/>
      </c>
      <c r="P755" s="45">
        <f>IFERROR(__xludf.DUMMYFUNCTION("""COMPUTED_VALUE"""),"Colombo, LK")</f>
        <v/>
      </c>
      <c r="Q755" s="45">
        <f>IFERROR(__xludf.DUMMYFUNCTION("""COMPUTED_VALUE"""),"New York, NY, US")</f>
        <v/>
      </c>
      <c r="R755" s="44">
        <f>IFERROR(__xludf.DUMMYFUNCTION("""COMPUTED_VALUE"""),45831)</f>
        <v/>
      </c>
      <c r="S755" s="44">
        <f>IFERROR(__xludf.DUMMYFUNCTION("""COMPUTED_VALUE"""),45890)</f>
        <v/>
      </c>
      <c r="T755" s="45">
        <f>IFERROR(__xludf.DUMMYFUNCTION("""COMPUTED_VALUE"""),"Milton, ON, CA")</f>
        <v/>
      </c>
      <c r="U755" s="45" t="n"/>
      <c r="V755" s="45" t="n"/>
      <c r="W755" s="45" t="n"/>
      <c r="X755" s="45" t="n"/>
      <c r="Y755" s="46">
        <f>IFERROR(__xludf.DUMMYFUNCTION("""COMPUTED_VALUE"""),45838)</f>
        <v/>
      </c>
      <c r="Z755" s="46">
        <f>IFERROR(__xludf.DUMMYFUNCTION("""COMPUTED_VALUE"""),45859)</f>
        <v/>
      </c>
      <c r="AA755" s="46">
        <f>IFERROR(__xludf.DUMMYFUNCTION("""COMPUTED_VALUE"""),45859)</f>
        <v/>
      </c>
      <c r="AB755" s="45">
        <f>IFERROR(__xludf.DUMMYFUNCTION("""COMPUTED_VALUE"""),"7211 Fifth Line")</f>
        <v/>
      </c>
      <c r="AC755" s="45" t="n"/>
      <c r="AD755" s="45">
        <f>IFERROR(__xludf.DUMMYFUNCTION("""COMPUTED_VALUE"""),"OCEAN")</f>
        <v/>
      </c>
      <c r="AE755" s="45">
        <f>IFERROR(__xludf.DUMMYFUNCTION("""COMPUTED_VALUE"""),"N")</f>
        <v/>
      </c>
      <c r="AF755" s="45" t="n"/>
      <c r="AG755" s="49">
        <f>IFERROR(__xludf.DUMMYFUNCTION("IFNA(vlookup(H755,IMPORTRANGE(""1vUGwO1n0QQGx9kKbO0_M5gmuhXZ6-LaxQxgrmJnzgP0"",""'TP# look up'!A:C""),3,0),"""")"),"")</f>
        <v/>
      </c>
      <c r="AH755" s="49">
        <f>LEFT(J755,2)</f>
        <v/>
      </c>
    </row>
    <row r="756" ht="12.75" customHeight="1">
      <c r="A756" s="45">
        <f>IFERROR(__xludf.DUMMYFUNCTION("""COMPUTED_VALUE"""),"Colombo")</f>
        <v/>
      </c>
      <c r="B756" s="45" t="n"/>
      <c r="C756" s="45">
        <f>IFERROR(__xludf.DUMMYFUNCTION("""COMPUTED_VALUE"""),3259512)</f>
        <v/>
      </c>
      <c r="D756" s="45" t="n"/>
      <c r="E756" s="45">
        <f>IFERROR(__xludf.DUMMYFUNCTION("""COMPUTED_VALUE"""),"CFS")</f>
        <v/>
      </c>
      <c r="F756" s="45">
        <f>IFERROR(__xludf.DUMMYFUNCTION("""COMPUTED_VALUE"""),"MAS AMITY PTE LTD")</f>
        <v/>
      </c>
      <c r="G756" s="45">
        <f>IFERROR(__xludf.DUMMYFUNCTION("""COMPUTED_VALUE"""),"MAS Fabrics (Pvt) Ltd Intimo")</f>
        <v/>
      </c>
      <c r="H756" s="43">
        <f>IFERROR(__xludf.DUMMYFUNCTION("""COMPUTED_VALUE"""),456902610601)</f>
        <v/>
      </c>
      <c r="I756" s="45">
        <f>IFERROR(__xludf.DUMMYFUNCTION("""COMPUTED_VALUE"""),19910501)</f>
        <v/>
      </c>
      <c r="J756" s="45">
        <f>IFERROR(__xludf.DUMMYFUNCTION("""COMPUTED_VALUE"""),"LW3DOBS")</f>
        <v/>
      </c>
      <c r="K756" s="45">
        <f>IFERROR(__xludf.DUMMYFUNCTION("""COMPUTED_VALUE"""),"LW3DOBS-071171")</f>
        <v/>
      </c>
      <c r="L756" s="45">
        <f>IFERROR(__xludf.DUMMYFUNCTION("""COMPUTED_VALUE"""),5)</f>
        <v/>
      </c>
      <c r="M756" s="45">
        <f>IFERROR(__xludf.DUMMYFUNCTION("""COMPUTED_VALUE"""),175)</f>
        <v/>
      </c>
      <c r="N756" s="45">
        <f>IFERROR(__xludf.DUMMYFUNCTION("""COMPUTED_VALUE"""),29.147)</f>
        <v/>
      </c>
      <c r="O756" s="45">
        <f>IFERROR(__xludf.DUMMYFUNCTION("""COMPUTED_VALUE"""),0.316)</f>
        <v/>
      </c>
      <c r="P756" s="45">
        <f>IFERROR(__xludf.DUMMYFUNCTION("""COMPUTED_VALUE"""),"Colombo, LK")</f>
        <v/>
      </c>
      <c r="Q756" s="45">
        <f>IFERROR(__xludf.DUMMYFUNCTION("""COMPUTED_VALUE"""),"New York, NY, US")</f>
        <v/>
      </c>
      <c r="R756" s="44">
        <f>IFERROR(__xludf.DUMMYFUNCTION("""COMPUTED_VALUE"""),45831)</f>
        <v/>
      </c>
      <c r="S756" s="44">
        <f>IFERROR(__xludf.DUMMYFUNCTION("""COMPUTED_VALUE"""),45890)</f>
        <v/>
      </c>
      <c r="T756" s="45">
        <f>IFERROR(__xludf.DUMMYFUNCTION("""COMPUTED_VALUE"""),"Mississauga, ON, CA")</f>
        <v/>
      </c>
      <c r="U756" s="45" t="n"/>
      <c r="V756" s="45" t="n"/>
      <c r="W756" s="45" t="n"/>
      <c r="X756" s="45" t="n"/>
      <c r="Y756" s="46">
        <f>IFERROR(__xludf.DUMMYFUNCTION("""COMPUTED_VALUE"""),45838)</f>
        <v/>
      </c>
      <c r="Z756" s="46">
        <f>IFERROR(__xludf.DUMMYFUNCTION("""COMPUTED_VALUE"""),45859)</f>
        <v/>
      </c>
      <c r="AA756" s="46">
        <f>IFERROR(__xludf.DUMMYFUNCTION("""COMPUTED_VALUE"""),45859)</f>
        <v/>
      </c>
      <c r="AB756" s="45">
        <f>IFERROR(__xludf.DUMMYFUNCTION("""COMPUTED_VALUE"""),"3500 Argentia Road")</f>
        <v/>
      </c>
      <c r="AC756" s="45" t="n"/>
      <c r="AD756" s="45">
        <f>IFERROR(__xludf.DUMMYFUNCTION("""COMPUTED_VALUE"""),"OCEAN")</f>
        <v/>
      </c>
      <c r="AE756" s="45">
        <f>IFERROR(__xludf.DUMMYFUNCTION("""COMPUTED_VALUE"""),"N")</f>
        <v/>
      </c>
      <c r="AF756" s="45" t="n"/>
      <c r="AG756" s="49">
        <f>IFERROR(__xludf.DUMMYFUNCTION("IFNA(vlookup(H756,IMPORTRANGE(""1vUGwO1n0QQGx9kKbO0_M5gmuhXZ6-LaxQxgrmJnzgP0"",""'TP# look up'!A:C""),3,0),"""")"),"")</f>
        <v/>
      </c>
      <c r="AH756" s="49">
        <f>LEFT(J756,2)</f>
        <v/>
      </c>
    </row>
    <row r="757" ht="12.75" customHeight="1">
      <c r="A757" s="45">
        <f>IFERROR(__xludf.DUMMYFUNCTION("""COMPUTED_VALUE"""),"Colombo")</f>
        <v/>
      </c>
      <c r="B757" s="45" t="n"/>
      <c r="C757" s="45">
        <f>IFERROR(__xludf.DUMMYFUNCTION("""COMPUTED_VALUE"""),3259512)</f>
        <v/>
      </c>
      <c r="D757" s="45" t="n"/>
      <c r="E757" s="45">
        <f>IFERROR(__xludf.DUMMYFUNCTION("""COMPUTED_VALUE"""),"CFS")</f>
        <v/>
      </c>
      <c r="F757" s="45">
        <f>IFERROR(__xludf.DUMMYFUNCTION("""COMPUTED_VALUE"""),"MAS AMITY PTE LTD")</f>
        <v/>
      </c>
      <c r="G757" s="45">
        <f>IFERROR(__xludf.DUMMYFUNCTION("""COMPUTED_VALUE"""),"MAS Fabrics (Pvt) Ltd Intimo")</f>
        <v/>
      </c>
      <c r="H757" s="43">
        <f>IFERROR(__xludf.DUMMYFUNCTION("""COMPUTED_VALUE"""),456904720365)</f>
        <v/>
      </c>
      <c r="I757" s="45">
        <f>IFERROR(__xludf.DUMMYFUNCTION("""COMPUTED_VALUE"""),19920139)</f>
        <v/>
      </c>
      <c r="J757" s="45">
        <f>IFERROR(__xludf.DUMMYFUNCTION("""COMPUTED_VALUE"""),"LW3JSOS")</f>
        <v/>
      </c>
      <c r="K757" s="45">
        <f>IFERROR(__xludf.DUMMYFUNCTION("""COMPUTED_VALUE"""),"LW3JSOS-072791")</f>
        <v/>
      </c>
      <c r="L757" s="45">
        <f>IFERROR(__xludf.DUMMYFUNCTION("""COMPUTED_VALUE"""),6)</f>
        <v/>
      </c>
      <c r="M757" s="45">
        <f>IFERROR(__xludf.DUMMYFUNCTION("""COMPUTED_VALUE"""),381)</f>
        <v/>
      </c>
      <c r="N757" s="45">
        <f>IFERROR(__xludf.DUMMYFUNCTION("""COMPUTED_VALUE"""),57.664)</f>
        <v/>
      </c>
      <c r="O757" s="45">
        <f>IFERROR(__xludf.DUMMYFUNCTION("""COMPUTED_VALUE"""),0.395)</f>
        <v/>
      </c>
      <c r="P757" s="45">
        <f>IFERROR(__xludf.DUMMYFUNCTION("""COMPUTED_VALUE"""),"Colombo, LK")</f>
        <v/>
      </c>
      <c r="Q757" s="45">
        <f>IFERROR(__xludf.DUMMYFUNCTION("""COMPUTED_VALUE"""),"New York, NY, US")</f>
        <v/>
      </c>
      <c r="R757" s="44">
        <f>IFERROR(__xludf.DUMMYFUNCTION("""COMPUTED_VALUE"""),45831)</f>
        <v/>
      </c>
      <c r="S757" s="44">
        <f>IFERROR(__xludf.DUMMYFUNCTION("""COMPUTED_VALUE"""),45890)</f>
        <v/>
      </c>
      <c r="T757" s="45">
        <f>IFERROR(__xludf.DUMMYFUNCTION("""COMPUTED_VALUE"""),"Mississauga, ON, CA")</f>
        <v/>
      </c>
      <c r="U757" s="45" t="n"/>
      <c r="V757" s="45" t="n"/>
      <c r="W757" s="45" t="n"/>
      <c r="X757" s="45" t="n"/>
      <c r="Y757" s="46">
        <f>IFERROR(__xludf.DUMMYFUNCTION("""COMPUTED_VALUE"""),45838)</f>
        <v/>
      </c>
      <c r="Z757" s="46">
        <f>IFERROR(__xludf.DUMMYFUNCTION("""COMPUTED_VALUE"""),45859)</f>
        <v/>
      </c>
      <c r="AA757" s="46">
        <f>IFERROR(__xludf.DUMMYFUNCTION("""COMPUTED_VALUE"""),45859)</f>
        <v/>
      </c>
      <c r="AB757" s="45">
        <f>IFERROR(__xludf.DUMMYFUNCTION("""COMPUTED_VALUE"""),"3500 Argentia Road")</f>
        <v/>
      </c>
      <c r="AC757" s="45" t="n"/>
      <c r="AD757" s="45">
        <f>IFERROR(__xludf.DUMMYFUNCTION("""COMPUTED_VALUE"""),"OCEAN")</f>
        <v/>
      </c>
      <c r="AE757" s="45">
        <f>IFERROR(__xludf.DUMMYFUNCTION("""COMPUTED_VALUE"""),"N")</f>
        <v/>
      </c>
      <c r="AF757" s="45" t="n"/>
      <c r="AG757" s="49">
        <f>IFERROR(__xludf.DUMMYFUNCTION("IFNA(vlookup(H757,IMPORTRANGE(""1vUGwO1n0QQGx9kKbO0_M5gmuhXZ6-LaxQxgrmJnzgP0"",""'TP# look up'!A:C""),3,0),"""")"),"")</f>
        <v/>
      </c>
      <c r="AH757" s="49">
        <f>LEFT(J757,2)</f>
        <v/>
      </c>
    </row>
    <row r="758" ht="12.75" customHeight="1">
      <c r="A758" s="45">
        <f>IFERROR(__xludf.DUMMYFUNCTION("""COMPUTED_VALUE"""),"Colombo")</f>
        <v/>
      </c>
      <c r="B758" s="45" t="n"/>
      <c r="C758" s="45">
        <f>IFERROR(__xludf.DUMMYFUNCTION("""COMPUTED_VALUE"""),3259512)</f>
        <v/>
      </c>
      <c r="D758" s="45" t="n"/>
      <c r="E758" s="45">
        <f>IFERROR(__xludf.DUMMYFUNCTION("""COMPUTED_VALUE"""),"CFS")</f>
        <v/>
      </c>
      <c r="F758" s="45">
        <f>IFERROR(__xludf.DUMMYFUNCTION("""COMPUTED_VALUE"""),"MAS AMITY PTE LTD")</f>
        <v/>
      </c>
      <c r="G758" s="45">
        <f>IFERROR(__xludf.DUMMYFUNCTION("""COMPUTED_VALUE"""),"MAS Fabrics (Pvt) Ltd Intimo")</f>
        <v/>
      </c>
      <c r="H758" s="43">
        <f>IFERROR(__xludf.DUMMYFUNCTION("""COMPUTED_VALUE"""),456905768562)</f>
        <v/>
      </c>
      <c r="I758" s="45">
        <f>IFERROR(__xludf.DUMMYFUNCTION("""COMPUTED_VALUE"""),19919966)</f>
        <v/>
      </c>
      <c r="J758" s="45">
        <f>IFERROR(__xludf.DUMMYFUNCTION("""COMPUTED_VALUE"""),"LW3DOBS")</f>
        <v/>
      </c>
      <c r="K758" s="45">
        <f>IFERROR(__xludf.DUMMYFUNCTION("""COMPUTED_VALUE"""),"LW3DOBS-041850")</f>
        <v/>
      </c>
      <c r="L758" s="45">
        <f>IFERROR(__xludf.DUMMYFUNCTION("""COMPUTED_VALUE"""),6)</f>
        <v/>
      </c>
      <c r="M758" s="45">
        <f>IFERROR(__xludf.DUMMYFUNCTION("""COMPUTED_VALUE"""),311)</f>
        <v/>
      </c>
      <c r="N758" s="45">
        <f>IFERROR(__xludf.DUMMYFUNCTION("""COMPUTED_VALUE"""),48.59)</f>
        <v/>
      </c>
      <c r="O758" s="45">
        <f>IFERROR(__xludf.DUMMYFUNCTION("""COMPUTED_VALUE"""),0.436)</f>
        <v/>
      </c>
      <c r="P758" s="45">
        <f>IFERROR(__xludf.DUMMYFUNCTION("""COMPUTED_VALUE"""),"Colombo, LK")</f>
        <v/>
      </c>
      <c r="Q758" s="45">
        <f>IFERROR(__xludf.DUMMYFUNCTION("""COMPUTED_VALUE"""),"New York, NY, US")</f>
        <v/>
      </c>
      <c r="R758" s="44">
        <f>IFERROR(__xludf.DUMMYFUNCTION("""COMPUTED_VALUE"""),45831)</f>
        <v/>
      </c>
      <c r="S758" s="44">
        <f>IFERROR(__xludf.DUMMYFUNCTION("""COMPUTED_VALUE"""),45890)</f>
        <v/>
      </c>
      <c r="T758" s="45">
        <f>IFERROR(__xludf.DUMMYFUNCTION("""COMPUTED_VALUE"""),"Mississauga, ON, CA")</f>
        <v/>
      </c>
      <c r="U758" s="45" t="n"/>
      <c r="V758" s="45" t="n"/>
      <c r="W758" s="45" t="n"/>
      <c r="X758" s="45" t="n"/>
      <c r="Y758" s="46">
        <f>IFERROR(__xludf.DUMMYFUNCTION("""COMPUTED_VALUE"""),45838)</f>
        <v/>
      </c>
      <c r="Z758" s="46">
        <f>IFERROR(__xludf.DUMMYFUNCTION("""COMPUTED_VALUE"""),45859)</f>
        <v/>
      </c>
      <c r="AA758" s="46">
        <f>IFERROR(__xludf.DUMMYFUNCTION("""COMPUTED_VALUE"""),45859)</f>
        <v/>
      </c>
      <c r="AB758" s="45">
        <f>IFERROR(__xludf.DUMMYFUNCTION("""COMPUTED_VALUE"""),"3500 Argentia Road")</f>
        <v/>
      </c>
      <c r="AC758" s="45" t="n"/>
      <c r="AD758" s="45">
        <f>IFERROR(__xludf.DUMMYFUNCTION("""COMPUTED_VALUE"""),"OCEAN")</f>
        <v/>
      </c>
      <c r="AE758" s="45">
        <f>IFERROR(__xludf.DUMMYFUNCTION("""COMPUTED_VALUE"""),"N")</f>
        <v/>
      </c>
      <c r="AF758" s="45" t="n"/>
      <c r="AG758" s="49">
        <f>IFERROR(__xludf.DUMMYFUNCTION("IFNA(vlookup(H758,IMPORTRANGE(""1vUGwO1n0QQGx9kKbO0_M5gmuhXZ6-LaxQxgrmJnzgP0"",""'TP# look up'!A:C""),3,0),"""")"),"")</f>
        <v/>
      </c>
      <c r="AH758" s="49">
        <f>LEFT(J758,2)</f>
        <v/>
      </c>
    </row>
    <row r="759" ht="12.75" customHeight="1">
      <c r="A759" s="45">
        <f>IFERROR(__xludf.DUMMYFUNCTION("""COMPUTED_VALUE"""),"Colombo")</f>
        <v/>
      </c>
      <c r="B759" s="45" t="n"/>
      <c r="C759" s="45">
        <f>IFERROR(__xludf.DUMMYFUNCTION("""COMPUTED_VALUE"""),3259512)</f>
        <v/>
      </c>
      <c r="D759" s="45" t="n"/>
      <c r="E759" s="45">
        <f>IFERROR(__xludf.DUMMYFUNCTION("""COMPUTED_VALUE"""),"CFS")</f>
        <v/>
      </c>
      <c r="F759" s="45">
        <f>IFERROR(__xludf.DUMMYFUNCTION("""COMPUTED_VALUE"""),"MAS AMITY PTE LTD")</f>
        <v/>
      </c>
      <c r="G759" s="45">
        <f>IFERROR(__xludf.DUMMYFUNCTION("""COMPUTED_VALUE"""),"MAS Fabrics (Pvt) Ltd Intimo")</f>
        <v/>
      </c>
      <c r="H759" s="43">
        <f>IFERROR(__xludf.DUMMYFUNCTION("""COMPUTED_VALUE"""),456906361290)</f>
        <v/>
      </c>
      <c r="I759" s="45">
        <f>IFERROR(__xludf.DUMMYFUNCTION("""COMPUTED_VALUE"""),19920024)</f>
        <v/>
      </c>
      <c r="J759" s="45">
        <f>IFERROR(__xludf.DUMMYFUNCTION("""COMPUTED_VALUE"""),"LW3JSOS")</f>
        <v/>
      </c>
      <c r="K759" s="45">
        <f>IFERROR(__xludf.DUMMYFUNCTION("""COMPUTED_VALUE"""),"LW3JSOS-072791")</f>
        <v/>
      </c>
      <c r="L759" s="45">
        <f>IFERROR(__xludf.DUMMYFUNCTION("""COMPUTED_VALUE"""),4)</f>
        <v/>
      </c>
      <c r="M759" s="45">
        <f>IFERROR(__xludf.DUMMYFUNCTION("""COMPUTED_VALUE"""),190)</f>
        <v/>
      </c>
      <c r="N759" s="45">
        <f>IFERROR(__xludf.DUMMYFUNCTION("""COMPUTED_VALUE"""),30.268)</f>
        <v/>
      </c>
      <c r="O759" s="45">
        <f>IFERROR(__xludf.DUMMYFUNCTION("""COMPUTED_VALUE"""),0.276)</f>
        <v/>
      </c>
      <c r="P759" s="45">
        <f>IFERROR(__xludf.DUMMYFUNCTION("""COMPUTED_VALUE"""),"Colombo, LK")</f>
        <v/>
      </c>
      <c r="Q759" s="45">
        <f>IFERROR(__xludf.DUMMYFUNCTION("""COMPUTED_VALUE"""),"New York, NY, US")</f>
        <v/>
      </c>
      <c r="R759" s="44">
        <f>IFERROR(__xludf.DUMMYFUNCTION("""COMPUTED_VALUE"""),45831)</f>
        <v/>
      </c>
      <c r="S759" s="44">
        <f>IFERROR(__xludf.DUMMYFUNCTION("""COMPUTED_VALUE"""),45890)</f>
        <v/>
      </c>
      <c r="T759" s="45">
        <f>IFERROR(__xludf.DUMMYFUNCTION("""COMPUTED_VALUE"""),"Mississauga, ON, CA")</f>
        <v/>
      </c>
      <c r="U759" s="45" t="n"/>
      <c r="V759" s="45" t="n"/>
      <c r="W759" s="45" t="n"/>
      <c r="X759" s="45" t="n"/>
      <c r="Y759" s="46">
        <f>IFERROR(__xludf.DUMMYFUNCTION("""COMPUTED_VALUE"""),45838)</f>
        <v/>
      </c>
      <c r="Z759" s="46">
        <f>IFERROR(__xludf.DUMMYFUNCTION("""COMPUTED_VALUE"""),45859)</f>
        <v/>
      </c>
      <c r="AA759" s="46">
        <f>IFERROR(__xludf.DUMMYFUNCTION("""COMPUTED_VALUE"""),45859)</f>
        <v/>
      </c>
      <c r="AB759" s="45">
        <f>IFERROR(__xludf.DUMMYFUNCTION("""COMPUTED_VALUE"""),"3500 Argentia Road")</f>
        <v/>
      </c>
      <c r="AC759" s="45" t="n"/>
      <c r="AD759" s="45">
        <f>IFERROR(__xludf.DUMMYFUNCTION("""COMPUTED_VALUE"""),"OCEAN")</f>
        <v/>
      </c>
      <c r="AE759" s="45">
        <f>IFERROR(__xludf.DUMMYFUNCTION("""COMPUTED_VALUE"""),"N")</f>
        <v/>
      </c>
      <c r="AF759" s="45" t="n"/>
      <c r="AG759" s="49">
        <f>IFERROR(__xludf.DUMMYFUNCTION("IFNA(vlookup(H759,IMPORTRANGE(""1vUGwO1n0QQGx9kKbO0_M5gmuhXZ6-LaxQxgrmJnzgP0"",""'TP# look up'!A:C""),3,0),"""")"),"")</f>
        <v/>
      </c>
      <c r="AH759" s="49">
        <f>LEFT(J759,2)</f>
        <v/>
      </c>
    </row>
    <row r="760" ht="12.75" customHeight="1">
      <c r="A760" s="45">
        <f>IFERROR(__xludf.DUMMYFUNCTION("""COMPUTED_VALUE"""),"Colombo")</f>
        <v/>
      </c>
      <c r="B760" s="45" t="n"/>
      <c r="C760" s="45">
        <f>IFERROR(__xludf.DUMMYFUNCTION("""COMPUTED_VALUE"""),3259512)</f>
        <v/>
      </c>
      <c r="D760" s="45" t="n"/>
      <c r="E760" s="45">
        <f>IFERROR(__xludf.DUMMYFUNCTION("""COMPUTED_VALUE"""),"CFS")</f>
        <v/>
      </c>
      <c r="F760" s="45">
        <f>IFERROR(__xludf.DUMMYFUNCTION("""COMPUTED_VALUE"""),"MAS AMITY PTE LTD")</f>
        <v/>
      </c>
      <c r="G760" s="45">
        <f>IFERROR(__xludf.DUMMYFUNCTION("""COMPUTED_VALUE"""),"MAS Fabrics (Pvt) Ltd Intimo")</f>
        <v/>
      </c>
      <c r="H760" s="43">
        <f>IFERROR(__xludf.DUMMYFUNCTION("""COMPUTED_VALUE"""),456909104192)</f>
        <v/>
      </c>
      <c r="I760" s="45">
        <f>IFERROR(__xludf.DUMMYFUNCTION("""COMPUTED_VALUE"""),19923565)</f>
        <v/>
      </c>
      <c r="J760" s="45">
        <f>IFERROR(__xludf.DUMMYFUNCTION("""COMPUTED_VALUE"""),"LW3DOBS")</f>
        <v/>
      </c>
      <c r="K760" s="45">
        <f>IFERROR(__xludf.DUMMYFUNCTION("""COMPUTED_VALUE"""),"LW3DOBS-071171")</f>
        <v/>
      </c>
      <c r="L760" s="45">
        <f>IFERROR(__xludf.DUMMYFUNCTION("""COMPUTED_VALUE"""),6)</f>
        <v/>
      </c>
      <c r="M760" s="45">
        <f>IFERROR(__xludf.DUMMYFUNCTION("""COMPUTED_VALUE"""),293)</f>
        <v/>
      </c>
      <c r="N760" s="45">
        <f>IFERROR(__xludf.DUMMYFUNCTION("""COMPUTED_VALUE"""),45.808)</f>
        <v/>
      </c>
      <c r="O760" s="45">
        <f>IFERROR(__xludf.DUMMYFUNCTION("""COMPUTED_VALUE"""),0.395)</f>
        <v/>
      </c>
      <c r="P760" s="45">
        <f>IFERROR(__xludf.DUMMYFUNCTION("""COMPUTED_VALUE"""),"Colombo, LK")</f>
        <v/>
      </c>
      <c r="Q760" s="45">
        <f>IFERROR(__xludf.DUMMYFUNCTION("""COMPUTED_VALUE"""),"New York, NY, US")</f>
        <v/>
      </c>
      <c r="R760" s="44">
        <f>IFERROR(__xludf.DUMMYFUNCTION("""COMPUTED_VALUE"""),45831)</f>
        <v/>
      </c>
      <c r="S760" s="44">
        <f>IFERROR(__xludf.DUMMYFUNCTION("""COMPUTED_VALUE"""),45890)</f>
        <v/>
      </c>
      <c r="T760" s="45">
        <f>IFERROR(__xludf.DUMMYFUNCTION("""COMPUTED_VALUE"""),"Mississauga, ON, CA")</f>
        <v/>
      </c>
      <c r="U760" s="45" t="n"/>
      <c r="V760" s="45" t="n"/>
      <c r="W760" s="45" t="n"/>
      <c r="X760" s="45" t="n"/>
      <c r="Y760" s="46">
        <f>IFERROR(__xludf.DUMMYFUNCTION("""COMPUTED_VALUE"""),45838)</f>
        <v/>
      </c>
      <c r="Z760" s="46">
        <f>IFERROR(__xludf.DUMMYFUNCTION("""COMPUTED_VALUE"""),45852)</f>
        <v/>
      </c>
      <c r="AA760" s="46">
        <f>IFERROR(__xludf.DUMMYFUNCTION("""COMPUTED_VALUE"""),45852)</f>
        <v/>
      </c>
      <c r="AB760" s="45">
        <f>IFERROR(__xludf.DUMMYFUNCTION("""COMPUTED_VALUE"""),"3500 Argentia Road")</f>
        <v/>
      </c>
      <c r="AC760" s="45" t="n"/>
      <c r="AD760" s="45">
        <f>IFERROR(__xludf.DUMMYFUNCTION("""COMPUTED_VALUE"""),"OCEAN")</f>
        <v/>
      </c>
      <c r="AE760" s="45">
        <f>IFERROR(__xludf.DUMMYFUNCTION("""COMPUTED_VALUE"""),"N")</f>
        <v/>
      </c>
      <c r="AF760" s="45" t="n"/>
      <c r="AG760" s="49">
        <f>IFERROR(__xludf.DUMMYFUNCTION("IFNA(vlookup(H760,IMPORTRANGE(""1vUGwO1n0QQGx9kKbO0_M5gmuhXZ6-LaxQxgrmJnzgP0"",""'TP# look up'!A:C""),3,0),"""")"),"")</f>
        <v/>
      </c>
      <c r="AH760" s="49">
        <f>LEFT(J760,2)</f>
        <v/>
      </c>
    </row>
    <row r="761" ht="12.75" customHeight="1">
      <c r="A761" s="45">
        <f>IFERROR(__xludf.DUMMYFUNCTION("""COMPUTED_VALUE"""),"Colombo")</f>
        <v/>
      </c>
      <c r="B761" s="45" t="n"/>
      <c r="C761" s="45">
        <f>IFERROR(__xludf.DUMMYFUNCTION("""COMPUTED_VALUE"""),3259512)</f>
        <v/>
      </c>
      <c r="D761" s="45" t="n"/>
      <c r="E761" s="45">
        <f>IFERROR(__xludf.DUMMYFUNCTION("""COMPUTED_VALUE"""),"CFS")</f>
        <v/>
      </c>
      <c r="F761" s="45">
        <f>IFERROR(__xludf.DUMMYFUNCTION("""COMPUTED_VALUE"""),"MAS AMITY PTE LTD")</f>
        <v/>
      </c>
      <c r="G761" s="45">
        <f>IFERROR(__xludf.DUMMYFUNCTION("""COMPUTED_VALUE"""),"MAS Fabrics (Pvt) Ltd Intimo")</f>
        <v/>
      </c>
      <c r="H761" s="43">
        <f>IFERROR(__xludf.DUMMYFUNCTION("""COMPUTED_VALUE"""),456909809004)</f>
        <v/>
      </c>
      <c r="I761" s="45">
        <f>IFERROR(__xludf.DUMMYFUNCTION("""COMPUTED_VALUE"""),19923537)</f>
        <v/>
      </c>
      <c r="J761" s="45">
        <f>IFERROR(__xludf.DUMMYFUNCTION("""COMPUTED_VALUE"""),"LW3DOBS")</f>
        <v/>
      </c>
      <c r="K761" s="45">
        <f>IFERROR(__xludf.DUMMYFUNCTION("""COMPUTED_VALUE"""),"LW3DOBS-041850")</f>
        <v/>
      </c>
      <c r="L761" s="45">
        <f>IFERROR(__xludf.DUMMYFUNCTION("""COMPUTED_VALUE"""),10)</f>
        <v/>
      </c>
      <c r="M761" s="45">
        <f>IFERROR(__xludf.DUMMYFUNCTION("""COMPUTED_VALUE"""),651)</f>
        <v/>
      </c>
      <c r="N761" s="45">
        <f>IFERROR(__xludf.DUMMYFUNCTION("""COMPUTED_VALUE"""),98.989)</f>
        <v/>
      </c>
      <c r="O761" s="45">
        <f>IFERROR(__xludf.DUMMYFUNCTION("""COMPUTED_VALUE"""),0.711)</f>
        <v/>
      </c>
      <c r="P761" s="45">
        <f>IFERROR(__xludf.DUMMYFUNCTION("""COMPUTED_VALUE"""),"Colombo, LK")</f>
        <v/>
      </c>
      <c r="Q761" s="45">
        <f>IFERROR(__xludf.DUMMYFUNCTION("""COMPUTED_VALUE"""),"New York, NY, US")</f>
        <v/>
      </c>
      <c r="R761" s="44">
        <f>IFERROR(__xludf.DUMMYFUNCTION("""COMPUTED_VALUE"""),45831)</f>
        <v/>
      </c>
      <c r="S761" s="44">
        <f>IFERROR(__xludf.DUMMYFUNCTION("""COMPUTED_VALUE"""),45890)</f>
        <v/>
      </c>
      <c r="T761" s="45">
        <f>IFERROR(__xludf.DUMMYFUNCTION("""COMPUTED_VALUE"""),"Mississauga, ON, CA")</f>
        <v/>
      </c>
      <c r="U761" s="45" t="n"/>
      <c r="V761" s="45" t="n"/>
      <c r="W761" s="45" t="n"/>
      <c r="X761" s="45" t="n"/>
      <c r="Y761" s="46">
        <f>IFERROR(__xludf.DUMMYFUNCTION("""COMPUTED_VALUE"""),45838)</f>
        <v/>
      </c>
      <c r="Z761" s="46">
        <f>IFERROR(__xludf.DUMMYFUNCTION("""COMPUTED_VALUE"""),45852)</f>
        <v/>
      </c>
      <c r="AA761" s="46">
        <f>IFERROR(__xludf.DUMMYFUNCTION("""COMPUTED_VALUE"""),45852)</f>
        <v/>
      </c>
      <c r="AB761" s="45">
        <f>IFERROR(__xludf.DUMMYFUNCTION("""COMPUTED_VALUE"""),"3500 Argentia Road")</f>
        <v/>
      </c>
      <c r="AC761" s="45" t="n"/>
      <c r="AD761" s="45">
        <f>IFERROR(__xludf.DUMMYFUNCTION("""COMPUTED_VALUE"""),"OCEAN")</f>
        <v/>
      </c>
      <c r="AE761" s="45">
        <f>IFERROR(__xludf.DUMMYFUNCTION("""COMPUTED_VALUE"""),"N")</f>
        <v/>
      </c>
      <c r="AF761" s="45" t="n"/>
      <c r="AG761" s="49">
        <f>IFERROR(__xludf.DUMMYFUNCTION("IFNA(vlookup(H761,IMPORTRANGE(""1vUGwO1n0QQGx9kKbO0_M5gmuhXZ6-LaxQxgrmJnzgP0"",""'TP# look up'!A:C""),3,0),"""")"),"")</f>
        <v/>
      </c>
      <c r="AH761" s="49">
        <f>LEFT(J761,2)</f>
        <v/>
      </c>
    </row>
    <row r="762" ht="12.75" customHeight="1">
      <c r="A762" s="45">
        <f>IFERROR(__xludf.DUMMYFUNCTION("""COMPUTED_VALUE"""),"Colombo")</f>
        <v/>
      </c>
      <c r="B762" s="45" t="n"/>
      <c r="C762" s="45">
        <f>IFERROR(__xludf.DUMMYFUNCTION("""COMPUTED_VALUE"""),3259512)</f>
        <v/>
      </c>
      <c r="D762" s="45" t="n"/>
      <c r="E762" s="45">
        <f>IFERROR(__xludf.DUMMYFUNCTION("""COMPUTED_VALUE"""),"CFS")</f>
        <v/>
      </c>
      <c r="F762" s="45">
        <f>IFERROR(__xludf.DUMMYFUNCTION("""COMPUTED_VALUE"""),"Inqube Global (PVT) Ltd")</f>
        <v/>
      </c>
      <c r="G762" s="45">
        <f>IFERROR(__xludf.DUMMYFUNCTION("""COMPUTED_VALUE"""),"Brandix Apparel Solutions Limited - Minuwangoda")</f>
        <v/>
      </c>
      <c r="H762" s="43">
        <f>IFERROR(__xludf.DUMMYFUNCTION("""COMPUTED_VALUE"""),455737884362)</f>
        <v/>
      </c>
      <c r="I762" s="45">
        <f>IFERROR(__xludf.DUMMYFUNCTION("""COMPUTED_VALUE"""),19855042)</f>
        <v/>
      </c>
      <c r="J762" s="45">
        <f>IFERROR(__xludf.DUMMYFUNCTION("""COMPUTED_VALUE"""),"LW1FQ4S")</f>
        <v/>
      </c>
      <c r="K762" s="45">
        <f>IFERROR(__xludf.DUMMYFUNCTION("""COMPUTED_VALUE"""),"LW1FQ4S-041179")</f>
        <v/>
      </c>
      <c r="L762" s="45">
        <f>IFERROR(__xludf.DUMMYFUNCTION("""COMPUTED_VALUE"""),2)</f>
        <v/>
      </c>
      <c r="M762" s="45">
        <f>IFERROR(__xludf.DUMMYFUNCTION("""COMPUTED_VALUE"""),61)</f>
        <v/>
      </c>
      <c r="N762" s="45">
        <f>IFERROR(__xludf.DUMMYFUNCTION("""COMPUTED_VALUE"""),12.458)</f>
        <v/>
      </c>
      <c r="O762" s="45">
        <f>IFERROR(__xludf.DUMMYFUNCTION("""COMPUTED_VALUE"""),0.157)</f>
        <v/>
      </c>
      <c r="P762" s="45">
        <f>IFERROR(__xludf.DUMMYFUNCTION("""COMPUTED_VALUE"""),"Colombo, LK")</f>
        <v/>
      </c>
      <c r="Q762" s="45">
        <f>IFERROR(__xludf.DUMMYFUNCTION("""COMPUTED_VALUE"""),"New York, NY, US")</f>
        <v/>
      </c>
      <c r="R762" s="44">
        <f>IFERROR(__xludf.DUMMYFUNCTION("""COMPUTED_VALUE"""),45831)</f>
        <v/>
      </c>
      <c r="S762" s="44">
        <f>IFERROR(__xludf.DUMMYFUNCTION("""COMPUTED_VALUE"""),45890)</f>
        <v/>
      </c>
      <c r="T762" s="45">
        <f>IFERROR(__xludf.DUMMYFUNCTION("""COMPUTED_VALUE"""),"Mississauga, ON, CA")</f>
        <v/>
      </c>
      <c r="U762" s="45" t="n"/>
      <c r="V762" s="45" t="n"/>
      <c r="W762" s="45" t="n"/>
      <c r="X762" s="45" t="n"/>
      <c r="Y762" s="46">
        <f>IFERROR(__xludf.DUMMYFUNCTION("""COMPUTED_VALUE"""),45838)</f>
        <v/>
      </c>
      <c r="Z762" s="46">
        <f>IFERROR(__xludf.DUMMYFUNCTION("""COMPUTED_VALUE"""),45859)</f>
        <v/>
      </c>
      <c r="AA762" s="46">
        <f>IFERROR(__xludf.DUMMYFUNCTION("""COMPUTED_VALUE"""),45859)</f>
        <v/>
      </c>
      <c r="AB762" s="45">
        <f>IFERROR(__xludf.DUMMYFUNCTION("""COMPUTED_VALUE"""),"3500 Argentia Road")</f>
        <v/>
      </c>
      <c r="AC762" s="45" t="n"/>
      <c r="AD762" s="45">
        <f>IFERROR(__xludf.DUMMYFUNCTION("""COMPUTED_VALUE"""),"OCEAN")</f>
        <v/>
      </c>
      <c r="AE762" s="45">
        <f>IFERROR(__xludf.DUMMYFUNCTION("""COMPUTED_VALUE"""),"N")</f>
        <v/>
      </c>
      <c r="AF762" s="45" t="n"/>
      <c r="AG762" s="49">
        <f>IFERROR(__xludf.DUMMYFUNCTION("IFNA(vlookup(H762,IMPORTRANGE(""1vUGwO1n0QQGx9kKbO0_M5gmuhXZ6-LaxQxgrmJnzgP0"",""'TP# look up'!A:C""),3,0),"""")"),"")</f>
        <v/>
      </c>
      <c r="AH762" s="49">
        <f>LEFT(J762,2)</f>
        <v/>
      </c>
    </row>
    <row r="763" ht="12.75" customHeight="1">
      <c r="A763" s="45">
        <f>IFERROR(__xludf.DUMMYFUNCTION("""COMPUTED_VALUE"""),"Colombo")</f>
        <v/>
      </c>
      <c r="B763" s="45" t="n"/>
      <c r="C763" s="45">
        <f>IFERROR(__xludf.DUMMYFUNCTION("""COMPUTED_VALUE"""),3259512)</f>
        <v/>
      </c>
      <c r="D763" s="45" t="n"/>
      <c r="E763" s="45">
        <f>IFERROR(__xludf.DUMMYFUNCTION("""COMPUTED_VALUE"""),"CFS")</f>
        <v/>
      </c>
      <c r="F763" s="45">
        <f>IFERROR(__xludf.DUMMYFUNCTION("""COMPUTED_VALUE"""),"Inqube Global (PVT) Ltd")</f>
        <v/>
      </c>
      <c r="G763" s="45">
        <f>IFERROR(__xludf.DUMMYFUNCTION("""COMPUTED_VALUE"""),"Brandix Apparel Solutions Limited - Minuwangoda")</f>
        <v/>
      </c>
      <c r="H763" s="43">
        <f>IFERROR(__xludf.DUMMYFUNCTION("""COMPUTED_VALUE"""),455737884786)</f>
        <v/>
      </c>
      <c r="I763" s="45">
        <f>IFERROR(__xludf.DUMMYFUNCTION("""COMPUTED_VALUE"""),19855128)</f>
        <v/>
      </c>
      <c r="J763" s="45">
        <f>IFERROR(__xludf.DUMMYFUNCTION("""COMPUTED_VALUE"""),"LW1FQ4S")</f>
        <v/>
      </c>
      <c r="K763" s="45">
        <f>IFERROR(__xludf.DUMMYFUNCTION("""COMPUTED_VALUE"""),"LW1FQ4S-041179")</f>
        <v/>
      </c>
      <c r="L763" s="45">
        <f>IFERROR(__xludf.DUMMYFUNCTION("""COMPUTED_VALUE"""),5)</f>
        <v/>
      </c>
      <c r="M763" s="45">
        <f>IFERROR(__xludf.DUMMYFUNCTION("""COMPUTED_VALUE"""),203)</f>
        <v/>
      </c>
      <c r="N763" s="45">
        <f>IFERROR(__xludf.DUMMYFUNCTION("""COMPUTED_VALUE"""),39.678)</f>
        <v/>
      </c>
      <c r="O763" s="45">
        <f>IFERROR(__xludf.DUMMYFUNCTION("""COMPUTED_VALUE"""),0.393)</f>
        <v/>
      </c>
      <c r="P763" s="45">
        <f>IFERROR(__xludf.DUMMYFUNCTION("""COMPUTED_VALUE"""),"Colombo, LK")</f>
        <v/>
      </c>
      <c r="Q763" s="45">
        <f>IFERROR(__xludf.DUMMYFUNCTION("""COMPUTED_VALUE"""),"New York, NY, US")</f>
        <v/>
      </c>
      <c r="R763" s="44">
        <f>IFERROR(__xludf.DUMMYFUNCTION("""COMPUTED_VALUE"""),45831)</f>
        <v/>
      </c>
      <c r="S763" s="44">
        <f>IFERROR(__xludf.DUMMYFUNCTION("""COMPUTED_VALUE"""),45890)</f>
        <v/>
      </c>
      <c r="T763" s="45">
        <f>IFERROR(__xludf.DUMMYFUNCTION("""COMPUTED_VALUE"""),"Mississauga, ON, CA")</f>
        <v/>
      </c>
      <c r="U763" s="45" t="n"/>
      <c r="V763" s="45" t="n"/>
      <c r="W763" s="45" t="n"/>
      <c r="X763" s="45" t="n"/>
      <c r="Y763" s="46">
        <f>IFERROR(__xludf.DUMMYFUNCTION("""COMPUTED_VALUE"""),45838)</f>
        <v/>
      </c>
      <c r="Z763" s="46">
        <f>IFERROR(__xludf.DUMMYFUNCTION("""COMPUTED_VALUE"""),45859)</f>
        <v/>
      </c>
      <c r="AA763" s="46">
        <f>IFERROR(__xludf.DUMMYFUNCTION("""COMPUTED_VALUE"""),45859)</f>
        <v/>
      </c>
      <c r="AB763" s="45">
        <f>IFERROR(__xludf.DUMMYFUNCTION("""COMPUTED_VALUE"""),"3500 Argentia Road")</f>
        <v/>
      </c>
      <c r="AC763" s="45" t="n"/>
      <c r="AD763" s="45">
        <f>IFERROR(__xludf.DUMMYFUNCTION("""COMPUTED_VALUE"""),"OCEAN")</f>
        <v/>
      </c>
      <c r="AE763" s="45">
        <f>IFERROR(__xludf.DUMMYFUNCTION("""COMPUTED_VALUE"""),"N")</f>
        <v/>
      </c>
      <c r="AF763" s="45" t="n"/>
      <c r="AG763" s="49">
        <f>IFERROR(__xludf.DUMMYFUNCTION("IFNA(vlookup(H763,IMPORTRANGE(""1vUGwO1n0QQGx9kKbO0_M5gmuhXZ6-LaxQxgrmJnzgP0"",""'TP# look up'!A:C""),3,0),"""")"),"")</f>
        <v/>
      </c>
      <c r="AH763" s="49">
        <f>LEFT(J763,2)</f>
        <v/>
      </c>
    </row>
    <row r="764" ht="12.75" customHeight="1">
      <c r="A764" s="45">
        <f>IFERROR(__xludf.DUMMYFUNCTION("""COMPUTED_VALUE"""),"Colombo")</f>
        <v/>
      </c>
      <c r="B764" s="45" t="n"/>
      <c r="C764" s="45">
        <f>IFERROR(__xludf.DUMMYFUNCTION("""COMPUTED_VALUE"""),3259512)</f>
        <v/>
      </c>
      <c r="D764" s="45" t="n"/>
      <c r="E764" s="45">
        <f>IFERROR(__xludf.DUMMYFUNCTION("""COMPUTED_VALUE"""),"CFS")</f>
        <v/>
      </c>
      <c r="F764" s="45">
        <f>IFERROR(__xludf.DUMMYFUNCTION("""COMPUTED_VALUE"""),"MAS AMITY PTE LTD")</f>
        <v/>
      </c>
      <c r="G764" s="45">
        <f>IFERROR(__xludf.DUMMYFUNCTION("""COMPUTED_VALUE"""),"MAS Active(Pvt) Ltd – CONTOURLINE")</f>
        <v/>
      </c>
      <c r="H764" s="43">
        <f>IFERROR(__xludf.DUMMYFUNCTION("""COMPUTED_VALUE"""),454996555041)</f>
        <v/>
      </c>
      <c r="I764" s="45">
        <f>IFERROR(__xludf.DUMMYFUNCTION("""COMPUTED_VALUE"""),19890499)</f>
        <v/>
      </c>
      <c r="J764" s="45">
        <f>IFERROR(__xludf.DUMMYFUNCTION("""COMPUTED_VALUE"""),"LW7CNIS")</f>
        <v/>
      </c>
      <c r="K764" s="45">
        <f>IFERROR(__xludf.DUMMYFUNCTION("""COMPUTED_VALUE"""),"LW7CNIS-0001")</f>
        <v/>
      </c>
      <c r="L764" s="45">
        <f>IFERROR(__xludf.DUMMYFUNCTION("""COMPUTED_VALUE"""),2)</f>
        <v/>
      </c>
      <c r="M764" s="45">
        <f>IFERROR(__xludf.DUMMYFUNCTION("""COMPUTED_VALUE"""),131)</f>
        <v/>
      </c>
      <c r="N764" s="45">
        <f>IFERROR(__xludf.DUMMYFUNCTION("""COMPUTED_VALUE"""),22.406)</f>
        <v/>
      </c>
      <c r="O764" s="45">
        <f>IFERROR(__xludf.DUMMYFUNCTION("""COMPUTED_VALUE"""),0.118)</f>
        <v/>
      </c>
      <c r="P764" s="45">
        <f>IFERROR(__xludf.DUMMYFUNCTION("""COMPUTED_VALUE"""),"Colombo, LK")</f>
        <v/>
      </c>
      <c r="Q764" s="45">
        <f>IFERROR(__xludf.DUMMYFUNCTION("""COMPUTED_VALUE"""),"New York, NY, US")</f>
        <v/>
      </c>
      <c r="R764" s="44">
        <f>IFERROR(__xludf.DUMMYFUNCTION("""COMPUTED_VALUE"""),45831)</f>
        <v/>
      </c>
      <c r="S764" s="44">
        <f>IFERROR(__xludf.DUMMYFUNCTION("""COMPUTED_VALUE"""),45890)</f>
        <v/>
      </c>
      <c r="T764" s="45">
        <f>IFERROR(__xludf.DUMMYFUNCTION("""COMPUTED_VALUE"""),"Mississauga, ON, CA")</f>
        <v/>
      </c>
      <c r="U764" s="45" t="n"/>
      <c r="V764" s="45" t="n"/>
      <c r="W764" s="45" t="n"/>
      <c r="X764" s="45" t="n"/>
      <c r="Y764" s="46">
        <f>IFERROR(__xludf.DUMMYFUNCTION("""COMPUTED_VALUE"""),45838)</f>
        <v/>
      </c>
      <c r="Z764" s="46">
        <f>IFERROR(__xludf.DUMMYFUNCTION("""COMPUTED_VALUE"""),45859)</f>
        <v/>
      </c>
      <c r="AA764" s="46">
        <f>IFERROR(__xludf.DUMMYFUNCTION("""COMPUTED_VALUE"""),45859)</f>
        <v/>
      </c>
      <c r="AB764" s="45">
        <f>IFERROR(__xludf.DUMMYFUNCTION("""COMPUTED_VALUE"""),"3500 Argentia Road")</f>
        <v/>
      </c>
      <c r="AC764" s="45" t="n"/>
      <c r="AD764" s="45">
        <f>IFERROR(__xludf.DUMMYFUNCTION("""COMPUTED_VALUE"""),"OCEAN")</f>
        <v/>
      </c>
      <c r="AE764" s="45">
        <f>IFERROR(__xludf.DUMMYFUNCTION("""COMPUTED_VALUE"""),"N")</f>
        <v/>
      </c>
      <c r="AF764" s="45" t="n"/>
      <c r="AG764" s="49">
        <f>IFERROR(__xludf.DUMMYFUNCTION("IFNA(vlookup(H764,IMPORTRANGE(""1vUGwO1n0QQGx9kKbO0_M5gmuhXZ6-LaxQxgrmJnzgP0"",""'TP# look up'!A:C""),3,0),"""")"),"")</f>
        <v/>
      </c>
      <c r="AH764" s="49">
        <f>LEFT(J764,2)</f>
        <v/>
      </c>
    </row>
    <row r="765" ht="12.75" customHeight="1">
      <c r="A765" s="45">
        <f>IFERROR(__xludf.DUMMYFUNCTION("""COMPUTED_VALUE"""),"Colombo")</f>
        <v/>
      </c>
      <c r="B765" s="45" t="n"/>
      <c r="C765" s="45">
        <f>IFERROR(__xludf.DUMMYFUNCTION("""COMPUTED_VALUE"""),3259827)</f>
        <v/>
      </c>
      <c r="D765" s="45" t="n"/>
      <c r="E765" s="45">
        <f>IFERROR(__xludf.DUMMYFUNCTION("""COMPUTED_VALUE"""),"CFS")</f>
        <v/>
      </c>
      <c r="F765" s="45">
        <f>IFERROR(__xludf.DUMMYFUNCTION("""COMPUTED_VALUE"""),"Inqube Global (PVT) Ltd")</f>
        <v/>
      </c>
      <c r="G765" s="45">
        <f>IFERROR(__xludf.DUMMYFUNCTION("""COMPUTED_VALUE"""),"Brandix Apparel Solutions Limited - Minuwangoda")</f>
        <v/>
      </c>
      <c r="H765" s="43">
        <f>IFERROR(__xludf.DUMMYFUNCTION("""COMPUTED_VALUE"""),455734799506)</f>
        <v/>
      </c>
      <c r="I765" s="45">
        <f>IFERROR(__xludf.DUMMYFUNCTION("""COMPUTED_VALUE"""),19855235)</f>
        <v/>
      </c>
      <c r="J765" s="45">
        <f>IFERROR(__xludf.DUMMYFUNCTION("""COMPUTED_VALUE"""),"LW1FQ4S")</f>
        <v/>
      </c>
      <c r="K765" s="45">
        <f>IFERROR(__xludf.DUMMYFUNCTION("""COMPUTED_VALUE"""),"LW1FQ4S-031382")</f>
        <v/>
      </c>
      <c r="L765" s="45">
        <f>IFERROR(__xludf.DUMMYFUNCTION("""COMPUTED_VALUE"""),4)</f>
        <v/>
      </c>
      <c r="M765" s="45">
        <f>IFERROR(__xludf.DUMMYFUNCTION("""COMPUTED_VALUE"""),169)</f>
        <v/>
      </c>
      <c r="N765" s="45">
        <f>IFERROR(__xludf.DUMMYFUNCTION("""COMPUTED_VALUE"""),32.239)</f>
        <v/>
      </c>
      <c r="O765" s="45">
        <f>IFERROR(__xludf.DUMMYFUNCTION("""COMPUTED_VALUE"""),0.314)</f>
        <v/>
      </c>
      <c r="P765" s="45">
        <f>IFERROR(__xludf.DUMMYFUNCTION("""COMPUTED_VALUE"""),"Colombo, LK")</f>
        <v/>
      </c>
      <c r="Q765" s="45">
        <f>IFERROR(__xludf.DUMMYFUNCTION("""COMPUTED_VALUE"""),"Felixstowe, GB")</f>
        <v/>
      </c>
      <c r="R765" s="44">
        <f>IFERROR(__xludf.DUMMYFUNCTION("""COMPUTED_VALUE"""),45831)</f>
        <v/>
      </c>
      <c r="S765" s="44">
        <f>IFERROR(__xludf.DUMMYFUNCTION("""COMPUTED_VALUE"""),45890)</f>
        <v/>
      </c>
      <c r="T765" s="45">
        <f>IFERROR(__xludf.DUMMYFUNCTION("""COMPUTED_VALUE"""),"Birmingham, GB")</f>
        <v/>
      </c>
      <c r="U765" s="45" t="n"/>
      <c r="V765" s="45" t="n"/>
      <c r="W765" s="45" t="n"/>
      <c r="X765" s="45" t="n"/>
      <c r="Y765" s="46">
        <f>IFERROR(__xludf.DUMMYFUNCTION("""COMPUTED_VALUE"""),45838)</f>
        <v/>
      </c>
      <c r="Z765" s="46">
        <f>IFERROR(__xludf.DUMMYFUNCTION("""COMPUTED_VALUE"""),45859)</f>
        <v/>
      </c>
      <c r="AA765" s="46">
        <f>IFERROR(__xludf.DUMMYFUNCTION("""COMPUTED_VALUE"""),45859)</f>
        <v/>
      </c>
      <c r="AB765" s="45">
        <f>IFERROR(__xludf.DUMMYFUNCTION("""COMPUTED_VALUE"""),"10A Faraday Ave")</f>
        <v/>
      </c>
      <c r="AC765" s="45">
        <f>IFERROR(__xludf.DUMMYFUNCTION("""COMPUTED_VALUE"""),"Coleshill")</f>
        <v/>
      </c>
      <c r="AD765" s="45">
        <f>IFERROR(__xludf.DUMMYFUNCTION("""COMPUTED_VALUE"""),"OCEAN")</f>
        <v/>
      </c>
      <c r="AE765" s="45">
        <f>IFERROR(__xludf.DUMMYFUNCTION("""COMPUTED_VALUE"""),"N")</f>
        <v/>
      </c>
      <c r="AF765" s="45" t="n"/>
      <c r="AG765" s="49">
        <f>IFERROR(__xludf.DUMMYFUNCTION("IFNA(vlookup(H765,IMPORTRANGE(""1vUGwO1n0QQGx9kKbO0_M5gmuhXZ6-LaxQxgrmJnzgP0"",""'TP# look up'!A:C""),3,0),"""")"),"")</f>
        <v/>
      </c>
      <c r="AH765" s="49">
        <f>LEFT(J765,2)</f>
        <v/>
      </c>
    </row>
    <row r="766" ht="12.75" customHeight="1">
      <c r="A766" s="45">
        <f>IFERROR(__xludf.DUMMYFUNCTION("""COMPUTED_VALUE"""),"Colombo")</f>
        <v/>
      </c>
      <c r="B766" s="45" t="n"/>
      <c r="C766" s="45">
        <f>IFERROR(__xludf.DUMMYFUNCTION("""COMPUTED_VALUE"""),3259827)</f>
        <v/>
      </c>
      <c r="D766" s="45" t="n"/>
      <c r="E766" s="45">
        <f>IFERROR(__xludf.DUMMYFUNCTION("""COMPUTED_VALUE"""),"CFS")</f>
        <v/>
      </c>
      <c r="F766" s="45">
        <f>IFERROR(__xludf.DUMMYFUNCTION("""COMPUTED_VALUE"""),"Inqube Global (PVT) Ltd")</f>
        <v/>
      </c>
      <c r="G766" s="45">
        <f>IFERROR(__xludf.DUMMYFUNCTION("""COMPUTED_VALUE"""),"Quantum Clothing Lanka (Pvt) Ltd")</f>
        <v/>
      </c>
      <c r="H766" s="43">
        <f>IFERROR(__xludf.DUMMYFUNCTION("""COMPUTED_VALUE"""),454530801433)</f>
        <v/>
      </c>
      <c r="I766" s="45">
        <f>IFERROR(__xludf.DUMMYFUNCTION("""COMPUTED_VALUE"""),19802397)</f>
        <v/>
      </c>
      <c r="J766" s="45">
        <f>IFERROR(__xludf.DUMMYFUNCTION("""COMPUTED_VALUE"""),"LW2EC1S")</f>
        <v/>
      </c>
      <c r="K766" s="45">
        <f>IFERROR(__xludf.DUMMYFUNCTION("""COMPUTED_VALUE"""),"LW2EC1S-069122")</f>
        <v/>
      </c>
      <c r="L766" s="45">
        <f>IFERROR(__xludf.DUMMYFUNCTION("""COMPUTED_VALUE"""),35)</f>
        <v/>
      </c>
      <c r="M766" s="45">
        <f>IFERROR(__xludf.DUMMYFUNCTION("""COMPUTED_VALUE"""),340)</f>
        <v/>
      </c>
      <c r="N766" s="45">
        <f>IFERROR(__xludf.DUMMYFUNCTION("""COMPUTED_VALUE"""),121.204)</f>
        <v/>
      </c>
      <c r="O766" s="45">
        <f>IFERROR(__xludf.DUMMYFUNCTION("""COMPUTED_VALUE"""),2.94)</f>
        <v/>
      </c>
      <c r="P766" s="45">
        <f>IFERROR(__xludf.DUMMYFUNCTION("""COMPUTED_VALUE"""),"Colombo, LK")</f>
        <v/>
      </c>
      <c r="Q766" s="45">
        <f>IFERROR(__xludf.DUMMYFUNCTION("""COMPUTED_VALUE"""),"Felixstowe, GB")</f>
        <v/>
      </c>
      <c r="R766" s="44">
        <f>IFERROR(__xludf.DUMMYFUNCTION("""COMPUTED_VALUE"""),45831)</f>
        <v/>
      </c>
      <c r="S766" s="44">
        <f>IFERROR(__xludf.DUMMYFUNCTION("""COMPUTED_VALUE"""),45890)</f>
        <v/>
      </c>
      <c r="T766" s="45">
        <f>IFERROR(__xludf.DUMMYFUNCTION("""COMPUTED_VALUE"""),"Birmingham, GB")</f>
        <v/>
      </c>
      <c r="U766" s="45" t="n"/>
      <c r="V766" s="45" t="n"/>
      <c r="W766" s="45" t="n"/>
      <c r="X766" s="45" t="n"/>
      <c r="Y766" s="46">
        <f>IFERROR(__xludf.DUMMYFUNCTION("""COMPUTED_VALUE"""),45838)</f>
        <v/>
      </c>
      <c r="Z766" s="46">
        <f>IFERROR(__xludf.DUMMYFUNCTION("""COMPUTED_VALUE"""),45859)</f>
        <v/>
      </c>
      <c r="AA766" s="46">
        <f>IFERROR(__xludf.DUMMYFUNCTION("""COMPUTED_VALUE"""),45859)</f>
        <v/>
      </c>
      <c r="AB766" s="45">
        <f>IFERROR(__xludf.DUMMYFUNCTION("""COMPUTED_VALUE"""),"10A Faraday Ave")</f>
        <v/>
      </c>
      <c r="AC766" s="45">
        <f>IFERROR(__xludf.DUMMYFUNCTION("""COMPUTED_VALUE"""),"Coleshill")</f>
        <v/>
      </c>
      <c r="AD766" s="45">
        <f>IFERROR(__xludf.DUMMYFUNCTION("""COMPUTED_VALUE"""),"OCEAN")</f>
        <v/>
      </c>
      <c r="AE766" s="45">
        <f>IFERROR(__xludf.DUMMYFUNCTION("""COMPUTED_VALUE"""),"N")</f>
        <v/>
      </c>
      <c r="AF766" s="45" t="n"/>
      <c r="AG766" s="49">
        <f>IFERROR(__xludf.DUMMYFUNCTION("IFNA(vlookup(H766,IMPORTRANGE(""1vUGwO1n0QQGx9kKbO0_M5gmuhXZ6-LaxQxgrmJnzgP0"",""'TP# look up'!A:C""),3,0),"""")"),"")</f>
        <v/>
      </c>
      <c r="AH766" s="49">
        <f>LEFT(J766,2)</f>
        <v/>
      </c>
    </row>
    <row r="767" ht="12.75" customHeight="1">
      <c r="A767" s="45">
        <f>IFERROR(__xludf.DUMMYFUNCTION("""COMPUTED_VALUE"""),"Colombo")</f>
        <v/>
      </c>
      <c r="B767" s="45" t="n"/>
      <c r="C767" s="45">
        <f>IFERROR(__xludf.DUMMYFUNCTION("""COMPUTED_VALUE"""),3259522)</f>
        <v/>
      </c>
      <c r="D767" s="45" t="n"/>
      <c r="E767" s="45">
        <f>IFERROR(__xludf.DUMMYFUNCTION("""COMPUTED_VALUE"""),"CFS")</f>
        <v/>
      </c>
      <c r="F767" s="45">
        <f>IFERROR(__xludf.DUMMYFUNCTION("""COMPUTED_VALUE"""),"Inqube Global (PVT) Ltd")</f>
        <v/>
      </c>
      <c r="G767" s="45">
        <f>IFERROR(__xludf.DUMMYFUNCTION("""COMPUTED_VALUE"""),"BRANDIX APPAREL SOLUTION LTD - GIRITALE")</f>
        <v/>
      </c>
      <c r="H767" s="43">
        <f>IFERROR(__xludf.DUMMYFUNCTION("""COMPUTED_VALUE"""),455636891495)</f>
        <v/>
      </c>
      <c r="I767" s="45">
        <f>IFERROR(__xludf.DUMMYFUNCTION("""COMPUTED_VALUE"""),19807102)</f>
        <v/>
      </c>
      <c r="J767" s="45">
        <f>IFERROR(__xludf.DUMMYFUNCTION("""COMPUTED_VALUE"""),"LM5AO4S")</f>
        <v/>
      </c>
      <c r="K767" s="45">
        <f>IFERROR(__xludf.DUMMYFUNCTION("""COMPUTED_VALUE"""),"LM5AO4S-019222")</f>
        <v/>
      </c>
      <c r="L767" s="45">
        <f>IFERROR(__xludf.DUMMYFUNCTION("""COMPUTED_VALUE"""),8)</f>
        <v/>
      </c>
      <c r="M767" s="45">
        <f>IFERROR(__xludf.DUMMYFUNCTION("""COMPUTED_VALUE"""),292)</f>
        <v/>
      </c>
      <c r="N767" s="45">
        <f>IFERROR(__xludf.DUMMYFUNCTION("""COMPUTED_VALUE"""),128.63)</f>
        <v/>
      </c>
      <c r="O767" s="45">
        <f>IFERROR(__xludf.DUMMYFUNCTION("""COMPUTED_VALUE"""),0.62)</f>
        <v/>
      </c>
      <c r="P767" s="45">
        <f>IFERROR(__xludf.DUMMYFUNCTION("""COMPUTED_VALUE"""),"Colombo, LK")</f>
        <v/>
      </c>
      <c r="Q767" s="45">
        <f>IFERROR(__xludf.DUMMYFUNCTION("""COMPUTED_VALUE"""),"Felixstowe, GB")</f>
        <v/>
      </c>
      <c r="R767" s="44">
        <f>IFERROR(__xludf.DUMMYFUNCTION("""COMPUTED_VALUE"""),45838)</f>
        <v/>
      </c>
      <c r="S767" s="44">
        <f>IFERROR(__xludf.DUMMYFUNCTION("""COMPUTED_VALUE"""),45897)</f>
        <v/>
      </c>
      <c r="T767" s="45">
        <f>IFERROR(__xludf.DUMMYFUNCTION("""COMPUTED_VALUE"""),"Birmingham, GB")</f>
        <v/>
      </c>
      <c r="U767" s="45" t="n"/>
      <c r="V767" s="45" t="n"/>
      <c r="W767" s="45" t="n"/>
      <c r="X767" s="45" t="n"/>
      <c r="Y767" s="46">
        <f>IFERROR(__xludf.DUMMYFUNCTION("""COMPUTED_VALUE"""),45845)</f>
        <v/>
      </c>
      <c r="Z767" s="46">
        <f>IFERROR(__xludf.DUMMYFUNCTION("""COMPUTED_VALUE"""),45866)</f>
        <v/>
      </c>
      <c r="AA767" s="46">
        <f>IFERROR(__xludf.DUMMYFUNCTION("""COMPUTED_VALUE"""),45866)</f>
        <v/>
      </c>
      <c r="AB767" s="45">
        <f>IFERROR(__xludf.DUMMYFUNCTION("""COMPUTED_VALUE"""),"10A Faraday Ave")</f>
        <v/>
      </c>
      <c r="AC767" s="45">
        <f>IFERROR(__xludf.DUMMYFUNCTION("""COMPUTED_VALUE"""),"Coleshill")</f>
        <v/>
      </c>
      <c r="AD767" s="45">
        <f>IFERROR(__xludf.DUMMYFUNCTION("""COMPUTED_VALUE"""),"OCEAN")</f>
        <v/>
      </c>
      <c r="AE767" s="45">
        <f>IFERROR(__xludf.DUMMYFUNCTION("""COMPUTED_VALUE"""),"N")</f>
        <v/>
      </c>
      <c r="AF767" s="45">
        <f>IFERROR(__xludf.DUMMYFUNCTION("""COMPUTED_VALUE"""),"New Booking")</f>
        <v/>
      </c>
      <c r="AG767" s="49">
        <f>IFERROR(__xludf.DUMMYFUNCTION("IFNA(vlookup(H767,IMPORTRANGE(""1vUGwO1n0QQGx9kKbO0_M5gmuhXZ6-LaxQxgrmJnzgP0"",""'TP# look up'!A:C""),3,0),"""")"),"")</f>
        <v/>
      </c>
      <c r="AH767" s="49">
        <f>LEFT(J767,2)</f>
        <v/>
      </c>
    </row>
    <row r="768" ht="12.75" customHeight="1">
      <c r="A768" s="45">
        <f>IFERROR(__xludf.DUMMYFUNCTION("""COMPUTED_VALUE"""),"Colombo")</f>
        <v/>
      </c>
      <c r="B768" s="45" t="n"/>
      <c r="C768" s="45">
        <f>IFERROR(__xludf.DUMMYFUNCTION("""COMPUTED_VALUE"""),3259522)</f>
        <v/>
      </c>
      <c r="D768" s="45" t="n"/>
      <c r="E768" s="45">
        <f>IFERROR(__xludf.DUMMYFUNCTION("""COMPUTED_VALUE"""),"CFS")</f>
        <v/>
      </c>
      <c r="F768" s="45">
        <f>IFERROR(__xludf.DUMMYFUNCTION("""COMPUTED_VALUE"""),"Inqube Global (PVT) Ltd")</f>
        <v/>
      </c>
      <c r="G768" s="45">
        <f>IFERROR(__xludf.DUMMYFUNCTION("""COMPUTED_VALUE"""),"BRANDIX APPAREL SOLUTION LTD - GIRITALE")</f>
        <v/>
      </c>
      <c r="H768" s="43">
        <f>IFERROR(__xludf.DUMMYFUNCTION("""COMPUTED_VALUE"""),456037075505)</f>
        <v/>
      </c>
      <c r="I768" s="45">
        <f>IFERROR(__xludf.DUMMYFUNCTION("""COMPUTED_VALUE"""),19807134)</f>
        <v/>
      </c>
      <c r="J768" s="45">
        <f>IFERROR(__xludf.DUMMYFUNCTION("""COMPUTED_VALUE"""),"LM5AXAS")</f>
        <v/>
      </c>
      <c r="K768" s="45">
        <f>IFERROR(__xludf.DUMMYFUNCTION("""COMPUTED_VALUE"""),"LM5AXAS-019222")</f>
        <v/>
      </c>
      <c r="L768" s="45">
        <f>IFERROR(__xludf.DUMMYFUNCTION("""COMPUTED_VALUE"""),4)</f>
        <v/>
      </c>
      <c r="M768" s="45">
        <f>IFERROR(__xludf.DUMMYFUNCTION("""COMPUTED_VALUE"""),56)</f>
        <v/>
      </c>
      <c r="N768" s="45">
        <f>IFERROR(__xludf.DUMMYFUNCTION("""COMPUTED_VALUE"""),27.38)</f>
        <v/>
      </c>
      <c r="O768" s="45">
        <f>IFERROR(__xludf.DUMMYFUNCTION("""COMPUTED_VALUE"""),0.21)</f>
        <v/>
      </c>
      <c r="P768" s="45">
        <f>IFERROR(__xludf.DUMMYFUNCTION("""COMPUTED_VALUE"""),"Colombo, LK")</f>
        <v/>
      </c>
      <c r="Q768" s="45">
        <f>IFERROR(__xludf.DUMMYFUNCTION("""COMPUTED_VALUE"""),"Felixstowe, GB")</f>
        <v/>
      </c>
      <c r="R768" s="44">
        <f>IFERROR(__xludf.DUMMYFUNCTION("""COMPUTED_VALUE"""),45838)</f>
        <v/>
      </c>
      <c r="S768" s="44">
        <f>IFERROR(__xludf.DUMMYFUNCTION("""COMPUTED_VALUE"""),45897)</f>
        <v/>
      </c>
      <c r="T768" s="45">
        <f>IFERROR(__xludf.DUMMYFUNCTION("""COMPUTED_VALUE"""),"Birmingham, GB")</f>
        <v/>
      </c>
      <c r="U768" s="45" t="n"/>
      <c r="V768" s="45" t="n"/>
      <c r="W768" s="45" t="n"/>
      <c r="X768" s="45" t="n"/>
      <c r="Y768" s="46">
        <f>IFERROR(__xludf.DUMMYFUNCTION("""COMPUTED_VALUE"""),45845)</f>
        <v/>
      </c>
      <c r="Z768" s="46">
        <f>IFERROR(__xludf.DUMMYFUNCTION("""COMPUTED_VALUE"""),45866)</f>
        <v/>
      </c>
      <c r="AA768" s="46">
        <f>IFERROR(__xludf.DUMMYFUNCTION("""COMPUTED_VALUE"""),45866)</f>
        <v/>
      </c>
      <c r="AB768" s="45">
        <f>IFERROR(__xludf.DUMMYFUNCTION("""COMPUTED_VALUE"""),"10A Faraday Ave")</f>
        <v/>
      </c>
      <c r="AC768" s="45" t="n"/>
      <c r="AD768" s="45">
        <f>IFERROR(__xludf.DUMMYFUNCTION("""COMPUTED_VALUE"""),"OCEAN")</f>
        <v/>
      </c>
      <c r="AE768" s="45">
        <f>IFERROR(__xludf.DUMMYFUNCTION("""COMPUTED_VALUE"""),"N")</f>
        <v/>
      </c>
      <c r="AF768" s="45">
        <f>IFERROR(__xludf.DUMMYFUNCTION("""COMPUTED_VALUE"""),"New Booking")</f>
        <v/>
      </c>
      <c r="AG768" s="49">
        <f>IFERROR(__xludf.DUMMYFUNCTION("IFNA(vlookup(H768,IMPORTRANGE(""1vUGwO1n0QQGx9kKbO0_M5gmuhXZ6-LaxQxgrmJnzgP0"",""'TP# look up'!A:C""),3,0),"""")"),"")</f>
        <v/>
      </c>
      <c r="AH768" s="49">
        <f>LEFT(J768,2)</f>
        <v/>
      </c>
    </row>
    <row r="769" ht="12.75" customHeight="1">
      <c r="A769" s="45">
        <f>IFERROR(__xludf.DUMMYFUNCTION("""COMPUTED_VALUE"""),"Colombo")</f>
        <v/>
      </c>
      <c r="B769" s="45" t="n"/>
      <c r="C769" s="45">
        <f>IFERROR(__xludf.DUMMYFUNCTION("""COMPUTED_VALUE"""),3259522)</f>
        <v/>
      </c>
      <c r="D769" s="45" t="n"/>
      <c r="E769" s="45">
        <f>IFERROR(__xludf.DUMMYFUNCTION("""COMPUTED_VALUE"""),"CFS")</f>
        <v/>
      </c>
      <c r="F769" s="45">
        <f>IFERROR(__xludf.DUMMYFUNCTION("""COMPUTED_VALUE"""),"Inqube Global (PVT) Ltd")</f>
        <v/>
      </c>
      <c r="G769" s="45">
        <f>IFERROR(__xludf.DUMMYFUNCTION("""COMPUTED_VALUE"""),"BRANDIX APPAREL SOLUTION LTD - GIRITALE")</f>
        <v/>
      </c>
      <c r="H769" s="43">
        <f>IFERROR(__xludf.DUMMYFUNCTION("""COMPUTED_VALUE"""),456039030394)</f>
        <v/>
      </c>
      <c r="I769" s="45">
        <f>IFERROR(__xludf.DUMMYFUNCTION("""COMPUTED_VALUE"""),19807132)</f>
        <v/>
      </c>
      <c r="J769" s="45">
        <f>IFERROR(__xludf.DUMMYFUNCTION("""COMPUTED_VALUE"""),"LM5AXAS")</f>
        <v/>
      </c>
      <c r="K769" s="45">
        <f>IFERROR(__xludf.DUMMYFUNCTION("""COMPUTED_VALUE"""),"LM5AXAS-031382")</f>
        <v/>
      </c>
      <c r="L769" s="45">
        <f>IFERROR(__xludf.DUMMYFUNCTION("""COMPUTED_VALUE"""),4)</f>
        <v/>
      </c>
      <c r="M769" s="45">
        <f>IFERROR(__xludf.DUMMYFUNCTION("""COMPUTED_VALUE"""),68)</f>
        <v/>
      </c>
      <c r="N769" s="45">
        <f>IFERROR(__xludf.DUMMYFUNCTION("""COMPUTED_VALUE"""),32.46)</f>
        <v/>
      </c>
      <c r="O769" s="45">
        <f>IFERROR(__xludf.DUMMYFUNCTION("""COMPUTED_VALUE"""),0.21)</f>
        <v/>
      </c>
      <c r="P769" s="45">
        <f>IFERROR(__xludf.DUMMYFUNCTION("""COMPUTED_VALUE"""),"Colombo, LK")</f>
        <v/>
      </c>
      <c r="Q769" s="45">
        <f>IFERROR(__xludf.DUMMYFUNCTION("""COMPUTED_VALUE"""),"Felixstowe, GB")</f>
        <v/>
      </c>
      <c r="R769" s="44">
        <f>IFERROR(__xludf.DUMMYFUNCTION("""COMPUTED_VALUE"""),45838)</f>
        <v/>
      </c>
      <c r="S769" s="44">
        <f>IFERROR(__xludf.DUMMYFUNCTION("""COMPUTED_VALUE"""),45897)</f>
        <v/>
      </c>
      <c r="T769" s="45">
        <f>IFERROR(__xludf.DUMMYFUNCTION("""COMPUTED_VALUE"""),"Birmingham, GB")</f>
        <v/>
      </c>
      <c r="U769" s="45" t="n"/>
      <c r="V769" s="45" t="n"/>
      <c r="W769" s="45" t="n"/>
      <c r="X769" s="45" t="n"/>
      <c r="Y769" s="46">
        <f>IFERROR(__xludf.DUMMYFUNCTION("""COMPUTED_VALUE"""),45845)</f>
        <v/>
      </c>
      <c r="Z769" s="46">
        <f>IFERROR(__xludf.DUMMYFUNCTION("""COMPUTED_VALUE"""),45866)</f>
        <v/>
      </c>
      <c r="AA769" s="46">
        <f>IFERROR(__xludf.DUMMYFUNCTION("""COMPUTED_VALUE"""),45866)</f>
        <v/>
      </c>
      <c r="AB769" s="45">
        <f>IFERROR(__xludf.DUMMYFUNCTION("""COMPUTED_VALUE"""),"10A Faraday Ave")</f>
        <v/>
      </c>
      <c r="AC769" s="45" t="n"/>
      <c r="AD769" s="45">
        <f>IFERROR(__xludf.DUMMYFUNCTION("""COMPUTED_VALUE"""),"OCEAN")</f>
        <v/>
      </c>
      <c r="AE769" s="45">
        <f>IFERROR(__xludf.DUMMYFUNCTION("""COMPUTED_VALUE"""),"N")</f>
        <v/>
      </c>
      <c r="AF769" s="45">
        <f>IFERROR(__xludf.DUMMYFUNCTION("""COMPUTED_VALUE"""),"New Booking")</f>
        <v/>
      </c>
      <c r="AG769" s="49">
        <f>IFERROR(__xludf.DUMMYFUNCTION("IFNA(vlookup(H769,IMPORTRANGE(""1vUGwO1n0QQGx9kKbO0_M5gmuhXZ6-LaxQxgrmJnzgP0"",""'TP# look up'!A:C""),3,0),"""")"),"")</f>
        <v/>
      </c>
      <c r="AH769" s="49">
        <f>LEFT(J769,2)</f>
        <v/>
      </c>
    </row>
    <row r="770" ht="12.75" customHeight="1">
      <c r="A770" s="45">
        <f>IFERROR(__xludf.DUMMYFUNCTION("""COMPUTED_VALUE"""),"Colombo")</f>
        <v/>
      </c>
      <c r="B770" s="45" t="n"/>
      <c r="C770" s="45">
        <f>IFERROR(__xludf.DUMMYFUNCTION("""COMPUTED_VALUE"""),3259522)</f>
        <v/>
      </c>
      <c r="D770" s="45" t="n"/>
      <c r="E770" s="45">
        <f>IFERROR(__xludf.DUMMYFUNCTION("""COMPUTED_VALUE"""),"CFS")</f>
        <v/>
      </c>
      <c r="F770" s="45">
        <f>IFERROR(__xludf.DUMMYFUNCTION("""COMPUTED_VALUE"""),"Inqube Global (PVT) Ltd")</f>
        <v/>
      </c>
      <c r="G770" s="45">
        <f>IFERROR(__xludf.DUMMYFUNCTION("""COMPUTED_VALUE"""),"BRANDIX APPAREL SOLUTION LTD - GIRITALE")</f>
        <v/>
      </c>
      <c r="H770" s="43">
        <f>IFERROR(__xludf.DUMMYFUNCTION("""COMPUTED_VALUE"""),456039031853)</f>
        <v/>
      </c>
      <c r="I770" s="45">
        <f>IFERROR(__xludf.DUMMYFUNCTION("""COMPUTED_VALUE"""),19807136)</f>
        <v/>
      </c>
      <c r="J770" s="45">
        <f>IFERROR(__xludf.DUMMYFUNCTION("""COMPUTED_VALUE"""),"LM5AXAS")</f>
        <v/>
      </c>
      <c r="K770" s="45">
        <f>IFERROR(__xludf.DUMMYFUNCTION("""COMPUTED_VALUE"""),"LM5AXAS-070108")</f>
        <v/>
      </c>
      <c r="L770" s="45">
        <f>IFERROR(__xludf.DUMMYFUNCTION("""COMPUTED_VALUE"""),4)</f>
        <v/>
      </c>
      <c r="M770" s="45">
        <f>IFERROR(__xludf.DUMMYFUNCTION("""COMPUTED_VALUE"""),91)</f>
        <v/>
      </c>
      <c r="N770" s="45">
        <f>IFERROR(__xludf.DUMMYFUNCTION("""COMPUTED_VALUE"""),43.13)</f>
        <v/>
      </c>
      <c r="O770" s="45">
        <f>IFERROR(__xludf.DUMMYFUNCTION("""COMPUTED_VALUE"""),0.21)</f>
        <v/>
      </c>
      <c r="P770" s="45">
        <f>IFERROR(__xludf.DUMMYFUNCTION("""COMPUTED_VALUE"""),"Colombo, LK")</f>
        <v/>
      </c>
      <c r="Q770" s="45">
        <f>IFERROR(__xludf.DUMMYFUNCTION("""COMPUTED_VALUE"""),"Felixstowe, GB")</f>
        <v/>
      </c>
      <c r="R770" s="44">
        <f>IFERROR(__xludf.DUMMYFUNCTION("""COMPUTED_VALUE"""),45838)</f>
        <v/>
      </c>
      <c r="S770" s="44">
        <f>IFERROR(__xludf.DUMMYFUNCTION("""COMPUTED_VALUE"""),45897)</f>
        <v/>
      </c>
      <c r="T770" s="45">
        <f>IFERROR(__xludf.DUMMYFUNCTION("""COMPUTED_VALUE"""),"Birmingham, GB")</f>
        <v/>
      </c>
      <c r="U770" s="45" t="n"/>
      <c r="V770" s="45" t="n"/>
      <c r="W770" s="45" t="n"/>
      <c r="X770" s="45" t="n"/>
      <c r="Y770" s="46">
        <f>IFERROR(__xludf.DUMMYFUNCTION("""COMPUTED_VALUE"""),45845)</f>
        <v/>
      </c>
      <c r="Z770" s="46">
        <f>IFERROR(__xludf.DUMMYFUNCTION("""COMPUTED_VALUE"""),45866)</f>
        <v/>
      </c>
      <c r="AA770" s="46">
        <f>IFERROR(__xludf.DUMMYFUNCTION("""COMPUTED_VALUE"""),45866)</f>
        <v/>
      </c>
      <c r="AB770" s="45">
        <f>IFERROR(__xludf.DUMMYFUNCTION("""COMPUTED_VALUE"""),"10A Faraday Ave")</f>
        <v/>
      </c>
      <c r="AC770" s="45" t="n"/>
      <c r="AD770" s="45">
        <f>IFERROR(__xludf.DUMMYFUNCTION("""COMPUTED_VALUE"""),"OCEAN")</f>
        <v/>
      </c>
      <c r="AE770" s="45">
        <f>IFERROR(__xludf.DUMMYFUNCTION("""COMPUTED_VALUE"""),"N")</f>
        <v/>
      </c>
      <c r="AF770" s="45">
        <f>IFERROR(__xludf.DUMMYFUNCTION("""COMPUTED_VALUE"""),"New Booking")</f>
        <v/>
      </c>
      <c r="AG770" s="49">
        <f>IFERROR(__xludf.DUMMYFUNCTION("IFNA(vlookup(H770,IMPORTRANGE(""1vUGwO1n0QQGx9kKbO0_M5gmuhXZ6-LaxQxgrmJnzgP0"",""'TP# look up'!A:C""),3,0),"""")"),"")</f>
        <v/>
      </c>
      <c r="AH770" s="49">
        <f>LEFT(J770,2)</f>
        <v/>
      </c>
    </row>
    <row r="771" ht="12.75" customHeight="1">
      <c r="A771" s="45">
        <f>IFERROR(__xludf.DUMMYFUNCTION("""COMPUTED_VALUE"""),"Colombo")</f>
        <v/>
      </c>
      <c r="B771" s="45" t="n"/>
      <c r="C771" s="45">
        <f>IFERROR(__xludf.DUMMYFUNCTION("""COMPUTED_VALUE"""),3259522)</f>
        <v/>
      </c>
      <c r="D771" s="45" t="n"/>
      <c r="E771" s="45">
        <f>IFERROR(__xludf.DUMMYFUNCTION("""COMPUTED_VALUE"""),"CFS")</f>
        <v/>
      </c>
      <c r="F771" s="45">
        <f>IFERROR(__xludf.DUMMYFUNCTION("""COMPUTED_VALUE"""),"Inqube Global (PVT) Ltd")</f>
        <v/>
      </c>
      <c r="G771" s="45">
        <f>IFERROR(__xludf.DUMMYFUNCTION("""COMPUTED_VALUE"""),"BRANDIX APPAREL SOLUTION LTD - GIRITALE")</f>
        <v/>
      </c>
      <c r="H771" s="43">
        <f>IFERROR(__xludf.DUMMYFUNCTION("""COMPUTED_VALUE"""),456039931435)</f>
        <v/>
      </c>
      <c r="I771" s="45">
        <f>IFERROR(__xludf.DUMMYFUNCTION("""COMPUTED_VALUE"""),19807138)</f>
        <v/>
      </c>
      <c r="J771" s="45">
        <f>IFERROR(__xludf.DUMMYFUNCTION("""COMPUTED_VALUE"""),"LM5AXAS")</f>
        <v/>
      </c>
      <c r="K771" s="45">
        <f>IFERROR(__xludf.DUMMYFUNCTION("""COMPUTED_VALUE"""),"LM5AXAS-070108")</f>
        <v/>
      </c>
      <c r="L771" s="45">
        <f>IFERROR(__xludf.DUMMYFUNCTION("""COMPUTED_VALUE"""),3)</f>
        <v/>
      </c>
      <c r="M771" s="45">
        <f>IFERROR(__xludf.DUMMYFUNCTION("""COMPUTED_VALUE"""),40)</f>
        <v/>
      </c>
      <c r="N771" s="45">
        <f>IFERROR(__xludf.DUMMYFUNCTION("""COMPUTED_VALUE"""),19.8)</f>
        <v/>
      </c>
      <c r="O771" s="45">
        <f>IFERROR(__xludf.DUMMYFUNCTION("""COMPUTED_VALUE"""),0.168)</f>
        <v/>
      </c>
      <c r="P771" s="45">
        <f>IFERROR(__xludf.DUMMYFUNCTION("""COMPUTED_VALUE"""),"Colombo, LK")</f>
        <v/>
      </c>
      <c r="Q771" s="45">
        <f>IFERROR(__xludf.DUMMYFUNCTION("""COMPUTED_VALUE"""),"Felixstowe, GB")</f>
        <v/>
      </c>
      <c r="R771" s="44">
        <f>IFERROR(__xludf.DUMMYFUNCTION("""COMPUTED_VALUE"""),45838)</f>
        <v/>
      </c>
      <c r="S771" s="44">
        <f>IFERROR(__xludf.DUMMYFUNCTION("""COMPUTED_VALUE"""),45897)</f>
        <v/>
      </c>
      <c r="T771" s="45">
        <f>IFERROR(__xludf.DUMMYFUNCTION("""COMPUTED_VALUE"""),"Birmingham, GB")</f>
        <v/>
      </c>
      <c r="U771" s="45" t="n"/>
      <c r="V771" s="45" t="n"/>
      <c r="W771" s="45" t="n"/>
      <c r="X771" s="45" t="n"/>
      <c r="Y771" s="46">
        <f>IFERROR(__xludf.DUMMYFUNCTION("""COMPUTED_VALUE"""),45845)</f>
        <v/>
      </c>
      <c r="Z771" s="46">
        <f>IFERROR(__xludf.DUMMYFUNCTION("""COMPUTED_VALUE"""),45866)</f>
        <v/>
      </c>
      <c r="AA771" s="46">
        <f>IFERROR(__xludf.DUMMYFUNCTION("""COMPUTED_VALUE"""),45866)</f>
        <v/>
      </c>
      <c r="AB771" s="45">
        <f>IFERROR(__xludf.DUMMYFUNCTION("""COMPUTED_VALUE"""),"10A Faraday Ave")</f>
        <v/>
      </c>
      <c r="AC771" s="45" t="n"/>
      <c r="AD771" s="45">
        <f>IFERROR(__xludf.DUMMYFUNCTION("""COMPUTED_VALUE"""),"OCEAN")</f>
        <v/>
      </c>
      <c r="AE771" s="45">
        <f>IFERROR(__xludf.DUMMYFUNCTION("""COMPUTED_VALUE"""),"N")</f>
        <v/>
      </c>
      <c r="AF771" s="45">
        <f>IFERROR(__xludf.DUMMYFUNCTION("""COMPUTED_VALUE"""),"New Booking")</f>
        <v/>
      </c>
      <c r="AG771" s="49">
        <f>IFERROR(__xludf.DUMMYFUNCTION("IFNA(vlookup(H771,IMPORTRANGE(""1vUGwO1n0QQGx9kKbO0_M5gmuhXZ6-LaxQxgrmJnzgP0"",""'TP# look up'!A:C""),3,0),"""")"),"")</f>
        <v/>
      </c>
      <c r="AH771" s="49">
        <f>LEFT(J771,2)</f>
        <v/>
      </c>
    </row>
    <row r="772" ht="12.75" customHeight="1">
      <c r="A772" s="45">
        <f>IFERROR(__xludf.DUMMYFUNCTION("""COMPUTED_VALUE"""),"Colombo")</f>
        <v/>
      </c>
      <c r="B772" s="45" t="n"/>
      <c r="C772" s="45">
        <f>IFERROR(__xludf.DUMMYFUNCTION("""COMPUTED_VALUE"""),3259522)</f>
        <v/>
      </c>
      <c r="D772" s="45" t="n"/>
      <c r="E772" s="45">
        <f>IFERROR(__xludf.DUMMYFUNCTION("""COMPUTED_VALUE"""),"CFS")</f>
        <v/>
      </c>
      <c r="F772" s="45">
        <f>IFERROR(__xludf.DUMMYFUNCTION("""COMPUTED_VALUE"""),"Inqube Global (PVT) Ltd")</f>
        <v/>
      </c>
      <c r="G772" s="45">
        <f>IFERROR(__xludf.DUMMYFUNCTION("""COMPUTED_VALUE"""),"BRANDIX APPAREL SOLUTION LTD - GIRITALE")</f>
        <v/>
      </c>
      <c r="H772" s="43">
        <f>IFERROR(__xludf.DUMMYFUNCTION("""COMPUTED_VALUE"""),456040511785)</f>
        <v/>
      </c>
      <c r="I772" s="45">
        <f>IFERROR(__xludf.DUMMYFUNCTION("""COMPUTED_VALUE"""),19807146)</f>
        <v/>
      </c>
      <c r="J772" s="45">
        <f>IFERROR(__xludf.DUMMYFUNCTION("""COMPUTED_VALUE"""),"LM5BKOS")</f>
        <v/>
      </c>
      <c r="K772" s="45">
        <f>IFERROR(__xludf.DUMMYFUNCTION("""COMPUTED_VALUE"""),"LM5BKOS-031382")</f>
        <v/>
      </c>
      <c r="L772" s="45">
        <f>IFERROR(__xludf.DUMMYFUNCTION("""COMPUTED_VALUE"""),5)</f>
        <v/>
      </c>
      <c r="M772" s="45">
        <f>IFERROR(__xludf.DUMMYFUNCTION("""COMPUTED_VALUE"""),162)</f>
        <v/>
      </c>
      <c r="N772" s="45">
        <f>IFERROR(__xludf.DUMMYFUNCTION("""COMPUTED_VALUE"""),65.15)</f>
        <v/>
      </c>
      <c r="O772" s="45">
        <f>IFERROR(__xludf.DUMMYFUNCTION("""COMPUTED_VALUE"""),0.413)</f>
        <v/>
      </c>
      <c r="P772" s="45">
        <f>IFERROR(__xludf.DUMMYFUNCTION("""COMPUTED_VALUE"""),"Colombo, LK")</f>
        <v/>
      </c>
      <c r="Q772" s="45">
        <f>IFERROR(__xludf.DUMMYFUNCTION("""COMPUTED_VALUE"""),"Felixstowe, GB")</f>
        <v/>
      </c>
      <c r="R772" s="44">
        <f>IFERROR(__xludf.DUMMYFUNCTION("""COMPUTED_VALUE"""),45838)</f>
        <v/>
      </c>
      <c r="S772" s="44">
        <f>IFERROR(__xludf.DUMMYFUNCTION("""COMPUTED_VALUE"""),45897)</f>
        <v/>
      </c>
      <c r="T772" s="45">
        <f>IFERROR(__xludf.DUMMYFUNCTION("""COMPUTED_VALUE"""),"Birmingham, GB")</f>
        <v/>
      </c>
      <c r="U772" s="45" t="n"/>
      <c r="V772" s="45" t="n"/>
      <c r="W772" s="45" t="n"/>
      <c r="X772" s="45" t="n"/>
      <c r="Y772" s="46">
        <f>IFERROR(__xludf.DUMMYFUNCTION("""COMPUTED_VALUE"""),45845)</f>
        <v/>
      </c>
      <c r="Z772" s="46">
        <f>IFERROR(__xludf.DUMMYFUNCTION("""COMPUTED_VALUE"""),45866)</f>
        <v/>
      </c>
      <c r="AA772" s="46">
        <f>IFERROR(__xludf.DUMMYFUNCTION("""COMPUTED_VALUE"""),45866)</f>
        <v/>
      </c>
      <c r="AB772" s="45">
        <f>IFERROR(__xludf.DUMMYFUNCTION("""COMPUTED_VALUE"""),"10A Faraday Ave")</f>
        <v/>
      </c>
      <c r="AC772" s="45" t="n"/>
      <c r="AD772" s="45">
        <f>IFERROR(__xludf.DUMMYFUNCTION("""COMPUTED_VALUE"""),"OCEAN")</f>
        <v/>
      </c>
      <c r="AE772" s="45">
        <f>IFERROR(__xludf.DUMMYFUNCTION("""COMPUTED_VALUE"""),"N")</f>
        <v/>
      </c>
      <c r="AF772" s="45">
        <f>IFERROR(__xludf.DUMMYFUNCTION("""COMPUTED_VALUE"""),"New Booking")</f>
        <v/>
      </c>
      <c r="AG772" s="49">
        <f>IFERROR(__xludf.DUMMYFUNCTION("IFNA(vlookup(H772,IMPORTRANGE(""1vUGwO1n0QQGx9kKbO0_M5gmuhXZ6-LaxQxgrmJnzgP0"",""'TP# look up'!A:C""),3,0),"""")"),"")</f>
        <v/>
      </c>
      <c r="AH772" s="49">
        <f>LEFT(J772,2)</f>
        <v/>
      </c>
    </row>
    <row r="773" ht="12.75" customHeight="1">
      <c r="A773" s="45">
        <f>IFERROR(__xludf.DUMMYFUNCTION("""COMPUTED_VALUE"""),"Colombo")</f>
        <v/>
      </c>
      <c r="B773" s="45" t="n"/>
      <c r="C773" s="45">
        <f>IFERROR(__xludf.DUMMYFUNCTION("""COMPUTED_VALUE"""),3259522)</f>
        <v/>
      </c>
      <c r="D773" s="45" t="n"/>
      <c r="E773" s="45">
        <f>IFERROR(__xludf.DUMMYFUNCTION("""COMPUTED_VALUE"""),"CFS")</f>
        <v/>
      </c>
      <c r="F773" s="45">
        <f>IFERROR(__xludf.DUMMYFUNCTION("""COMPUTED_VALUE"""),"Bodyline Trading (Private) Limited")</f>
        <v/>
      </c>
      <c r="G773" s="45">
        <f>IFERROR(__xludf.DUMMYFUNCTION("""COMPUTED_VALUE"""),"Bodyline (Private) Limited")</f>
        <v/>
      </c>
      <c r="H773" s="43">
        <f>IFERROR(__xludf.DUMMYFUNCTION("""COMPUTED_VALUE"""),456445105801)</f>
        <v/>
      </c>
      <c r="I773" s="45">
        <f>IFERROR(__xludf.DUMMYFUNCTION("""COMPUTED_VALUE"""),19820611)</f>
        <v/>
      </c>
      <c r="J773" s="45">
        <f>IFERROR(__xludf.DUMMYFUNCTION("""COMPUTED_VALUE"""),"LW1FM7S")</f>
        <v/>
      </c>
      <c r="K773" s="45">
        <f>IFERROR(__xludf.DUMMYFUNCTION("""COMPUTED_VALUE"""),"LW1FM7S-033454")</f>
        <v/>
      </c>
      <c r="L773" s="45">
        <f>IFERROR(__xludf.DUMMYFUNCTION("""COMPUTED_VALUE"""),3)</f>
        <v/>
      </c>
      <c r="M773" s="45">
        <f>IFERROR(__xludf.DUMMYFUNCTION("""COMPUTED_VALUE"""),90)</f>
        <v/>
      </c>
      <c r="N773" s="45">
        <f>IFERROR(__xludf.DUMMYFUNCTION("""COMPUTED_VALUE"""),10.081)</f>
        <v/>
      </c>
      <c r="O773" s="45">
        <f>IFERROR(__xludf.DUMMYFUNCTION("""COMPUTED_VALUE"""),0.132)</f>
        <v/>
      </c>
      <c r="P773" s="45">
        <f>IFERROR(__xludf.DUMMYFUNCTION("""COMPUTED_VALUE"""),"Colombo, LK")</f>
        <v/>
      </c>
      <c r="Q773" s="45">
        <f>IFERROR(__xludf.DUMMYFUNCTION("""COMPUTED_VALUE"""),"Felixstowe, GB")</f>
        <v/>
      </c>
      <c r="R773" s="44">
        <f>IFERROR(__xludf.DUMMYFUNCTION("""COMPUTED_VALUE"""),45838)</f>
        <v/>
      </c>
      <c r="S773" s="44">
        <f>IFERROR(__xludf.DUMMYFUNCTION("""COMPUTED_VALUE"""),45897)</f>
        <v/>
      </c>
      <c r="T773" s="45">
        <f>IFERROR(__xludf.DUMMYFUNCTION("""COMPUTED_VALUE"""),"Birmingham, GB")</f>
        <v/>
      </c>
      <c r="U773" s="45" t="n"/>
      <c r="V773" s="45" t="n"/>
      <c r="W773" s="45" t="n"/>
      <c r="X773" s="45" t="n"/>
      <c r="Y773" s="46">
        <f>IFERROR(__xludf.DUMMYFUNCTION("""COMPUTED_VALUE"""),45845)</f>
        <v/>
      </c>
      <c r="Z773" s="46">
        <f>IFERROR(__xludf.DUMMYFUNCTION("""COMPUTED_VALUE"""),45866)</f>
        <v/>
      </c>
      <c r="AA773" s="46">
        <f>IFERROR(__xludf.DUMMYFUNCTION("""COMPUTED_VALUE"""),45866)</f>
        <v/>
      </c>
      <c r="AB773" s="45">
        <f>IFERROR(__xludf.DUMMYFUNCTION("""COMPUTED_VALUE"""),"10A Faraday Ave")</f>
        <v/>
      </c>
      <c r="AC773" s="45" t="n"/>
      <c r="AD773" s="45">
        <f>IFERROR(__xludf.DUMMYFUNCTION("""COMPUTED_VALUE"""),"OCEAN")</f>
        <v/>
      </c>
      <c r="AE773" s="45">
        <f>IFERROR(__xludf.DUMMYFUNCTION("""COMPUTED_VALUE"""),"N")</f>
        <v/>
      </c>
      <c r="AF773" s="45">
        <f>IFERROR(__xludf.DUMMYFUNCTION("""COMPUTED_VALUE"""),"New Booking")</f>
        <v/>
      </c>
      <c r="AG773" s="49">
        <f>IFERROR(__xludf.DUMMYFUNCTION("IFNA(vlookup(H773,IMPORTRANGE(""1vUGwO1n0QQGx9kKbO0_M5gmuhXZ6-LaxQxgrmJnzgP0"",""'TP# look up'!A:C""),3,0),"""")"),"")</f>
        <v/>
      </c>
      <c r="AH773" s="49">
        <f>LEFT(J773,2)</f>
        <v/>
      </c>
    </row>
    <row r="774" ht="12.75" customHeight="1">
      <c r="A774" s="45">
        <f>IFERROR(__xludf.DUMMYFUNCTION("""COMPUTED_VALUE"""),"Colombo")</f>
        <v/>
      </c>
      <c r="B774" s="45" t="n"/>
      <c r="C774" s="45">
        <f>IFERROR(__xludf.DUMMYFUNCTION("""COMPUTED_VALUE"""),3259522)</f>
        <v/>
      </c>
      <c r="D774" s="45" t="n"/>
      <c r="E774" s="45">
        <f>IFERROR(__xludf.DUMMYFUNCTION("""COMPUTED_VALUE"""),"CFS")</f>
        <v/>
      </c>
      <c r="F774" s="45">
        <f>IFERROR(__xludf.DUMMYFUNCTION("""COMPUTED_VALUE"""),"Bodyline Trading (Private) Limited")</f>
        <v/>
      </c>
      <c r="G774" s="45">
        <f>IFERROR(__xludf.DUMMYFUNCTION("""COMPUTED_VALUE"""),"Bodyline (Private) Limited")</f>
        <v/>
      </c>
      <c r="H774" s="43">
        <f>IFERROR(__xludf.DUMMYFUNCTION("""COMPUTED_VALUE"""),456451822350)</f>
        <v/>
      </c>
      <c r="I774" s="45">
        <f>IFERROR(__xludf.DUMMYFUNCTION("""COMPUTED_VALUE"""),19828606)</f>
        <v/>
      </c>
      <c r="J774" s="45">
        <f>IFERROR(__xludf.DUMMYFUNCTION("""COMPUTED_VALUE"""),"LW2EB8S")</f>
        <v/>
      </c>
      <c r="K774" s="45">
        <f>IFERROR(__xludf.DUMMYFUNCTION("""COMPUTED_VALUE"""),"LW2EB8S-0001")</f>
        <v/>
      </c>
      <c r="L774" s="45">
        <f>IFERROR(__xludf.DUMMYFUNCTION("""COMPUTED_VALUE"""),8)</f>
        <v/>
      </c>
      <c r="M774" s="45">
        <f>IFERROR(__xludf.DUMMYFUNCTION("""COMPUTED_VALUE"""),454)</f>
        <v/>
      </c>
      <c r="N774" s="45">
        <f>IFERROR(__xludf.DUMMYFUNCTION("""COMPUTED_VALUE"""),66.703)</f>
        <v/>
      </c>
      <c r="O774" s="45">
        <f>IFERROR(__xludf.DUMMYFUNCTION("""COMPUTED_VALUE"""),0.644)</f>
        <v/>
      </c>
      <c r="P774" s="45">
        <f>IFERROR(__xludf.DUMMYFUNCTION("""COMPUTED_VALUE"""),"Colombo, LK")</f>
        <v/>
      </c>
      <c r="Q774" s="45">
        <f>IFERROR(__xludf.DUMMYFUNCTION("""COMPUTED_VALUE"""),"Felixstowe, GB")</f>
        <v/>
      </c>
      <c r="R774" s="44">
        <f>IFERROR(__xludf.DUMMYFUNCTION("""COMPUTED_VALUE"""),45838)</f>
        <v/>
      </c>
      <c r="S774" s="44">
        <f>IFERROR(__xludf.DUMMYFUNCTION("""COMPUTED_VALUE"""),45897)</f>
        <v/>
      </c>
      <c r="T774" s="45">
        <f>IFERROR(__xludf.DUMMYFUNCTION("""COMPUTED_VALUE"""),"Birmingham, GB")</f>
        <v/>
      </c>
      <c r="U774" s="45" t="n"/>
      <c r="V774" s="45" t="n"/>
      <c r="W774" s="45" t="n"/>
      <c r="X774" s="45" t="n"/>
      <c r="Y774" s="46">
        <f>IFERROR(__xludf.DUMMYFUNCTION("""COMPUTED_VALUE"""),45845)</f>
        <v/>
      </c>
      <c r="Z774" s="46">
        <f>IFERROR(__xludf.DUMMYFUNCTION("""COMPUTED_VALUE"""),45866)</f>
        <v/>
      </c>
      <c r="AA774" s="46">
        <f>IFERROR(__xludf.DUMMYFUNCTION("""COMPUTED_VALUE"""),45866)</f>
        <v/>
      </c>
      <c r="AB774" s="45">
        <f>IFERROR(__xludf.DUMMYFUNCTION("""COMPUTED_VALUE"""),"10A Faraday Ave")</f>
        <v/>
      </c>
      <c r="AC774" s="45" t="n"/>
      <c r="AD774" s="45">
        <f>IFERROR(__xludf.DUMMYFUNCTION("""COMPUTED_VALUE"""),"OCEAN")</f>
        <v/>
      </c>
      <c r="AE774" s="45">
        <f>IFERROR(__xludf.DUMMYFUNCTION("""COMPUTED_VALUE"""),"N")</f>
        <v/>
      </c>
      <c r="AF774" s="45">
        <f>IFERROR(__xludf.DUMMYFUNCTION("""COMPUTED_VALUE"""),"New Booking")</f>
        <v/>
      </c>
      <c r="AG774" s="49">
        <f>IFERROR(__xludf.DUMMYFUNCTION("IFNA(vlookup(H774,IMPORTRANGE(""1vUGwO1n0QQGx9kKbO0_M5gmuhXZ6-LaxQxgrmJnzgP0"",""'TP# look up'!A:C""),3,0),"""")"),"")</f>
        <v/>
      </c>
      <c r="AH774" s="49">
        <f>LEFT(J774,2)</f>
        <v/>
      </c>
    </row>
    <row r="775" ht="12.75" customHeight="1">
      <c r="A775" s="45">
        <f>IFERROR(__xludf.DUMMYFUNCTION("""COMPUTED_VALUE"""),"Colombo")</f>
        <v/>
      </c>
      <c r="B775" s="45" t="n"/>
      <c r="C775" s="45">
        <f>IFERROR(__xludf.DUMMYFUNCTION("""COMPUTED_VALUE"""),3259522)</f>
        <v/>
      </c>
      <c r="D775" s="45" t="n"/>
      <c r="E775" s="45">
        <f>IFERROR(__xludf.DUMMYFUNCTION("""COMPUTED_VALUE"""),"CFS")</f>
        <v/>
      </c>
      <c r="F775" s="45">
        <f>IFERROR(__xludf.DUMMYFUNCTION("""COMPUTED_VALUE"""),"Bodyline Trading (Private) Limited")</f>
        <v/>
      </c>
      <c r="G775" s="45">
        <f>IFERROR(__xludf.DUMMYFUNCTION("""COMPUTED_VALUE"""),"Bodyline (Private) Limited")</f>
        <v/>
      </c>
      <c r="H775" s="43">
        <f>IFERROR(__xludf.DUMMYFUNCTION("""COMPUTED_VALUE"""),456451844410)</f>
        <v/>
      </c>
      <c r="I775" s="45">
        <f>IFERROR(__xludf.DUMMYFUNCTION("""COMPUTED_VALUE"""),19828666)</f>
        <v/>
      </c>
      <c r="J775" s="45">
        <f>IFERROR(__xludf.DUMMYFUNCTION("""COMPUTED_VALUE"""),"LW2EB8S")</f>
        <v/>
      </c>
      <c r="K775" s="45">
        <f>IFERROR(__xludf.DUMMYFUNCTION("""COMPUTED_VALUE"""),"LW2EB8S-031382")</f>
        <v/>
      </c>
      <c r="L775" s="45">
        <f>IFERROR(__xludf.DUMMYFUNCTION("""COMPUTED_VALUE"""),8)</f>
        <v/>
      </c>
      <c r="M775" s="45">
        <f>IFERROR(__xludf.DUMMYFUNCTION("""COMPUTED_VALUE"""),434)</f>
        <v/>
      </c>
      <c r="N775" s="45">
        <f>IFERROR(__xludf.DUMMYFUNCTION("""COMPUTED_VALUE"""),63.953)</f>
        <v/>
      </c>
      <c r="O775" s="45">
        <f>IFERROR(__xludf.DUMMYFUNCTION("""COMPUTED_VALUE"""),0.608)</f>
        <v/>
      </c>
      <c r="P775" s="45">
        <f>IFERROR(__xludf.DUMMYFUNCTION("""COMPUTED_VALUE"""),"Colombo, LK")</f>
        <v/>
      </c>
      <c r="Q775" s="45">
        <f>IFERROR(__xludf.DUMMYFUNCTION("""COMPUTED_VALUE"""),"Felixstowe, GB")</f>
        <v/>
      </c>
      <c r="R775" s="44">
        <f>IFERROR(__xludf.DUMMYFUNCTION("""COMPUTED_VALUE"""),45838)</f>
        <v/>
      </c>
      <c r="S775" s="44">
        <f>IFERROR(__xludf.DUMMYFUNCTION("""COMPUTED_VALUE"""),45897)</f>
        <v/>
      </c>
      <c r="T775" s="45">
        <f>IFERROR(__xludf.DUMMYFUNCTION("""COMPUTED_VALUE"""),"Birmingham, GB")</f>
        <v/>
      </c>
      <c r="U775" s="45" t="n"/>
      <c r="V775" s="45" t="n"/>
      <c r="W775" s="45" t="n"/>
      <c r="X775" s="45" t="n"/>
      <c r="Y775" s="46">
        <f>IFERROR(__xludf.DUMMYFUNCTION("""COMPUTED_VALUE"""),45845)</f>
        <v/>
      </c>
      <c r="Z775" s="46">
        <f>IFERROR(__xludf.DUMMYFUNCTION("""COMPUTED_VALUE"""),45866)</f>
        <v/>
      </c>
      <c r="AA775" s="46">
        <f>IFERROR(__xludf.DUMMYFUNCTION("""COMPUTED_VALUE"""),45866)</f>
        <v/>
      </c>
      <c r="AB775" s="45">
        <f>IFERROR(__xludf.DUMMYFUNCTION("""COMPUTED_VALUE"""),"10A Faraday Ave")</f>
        <v/>
      </c>
      <c r="AC775" s="45" t="n"/>
      <c r="AD775" s="45">
        <f>IFERROR(__xludf.DUMMYFUNCTION("""COMPUTED_VALUE"""),"OCEAN")</f>
        <v/>
      </c>
      <c r="AE775" s="45">
        <f>IFERROR(__xludf.DUMMYFUNCTION("""COMPUTED_VALUE"""),"N")</f>
        <v/>
      </c>
      <c r="AF775" s="45">
        <f>IFERROR(__xludf.DUMMYFUNCTION("""COMPUTED_VALUE"""),"New Booking")</f>
        <v/>
      </c>
      <c r="AG775" s="49">
        <f>IFERROR(__xludf.DUMMYFUNCTION("IFNA(vlookup(H775,IMPORTRANGE(""1vUGwO1n0QQGx9kKbO0_M5gmuhXZ6-LaxQxgrmJnzgP0"",""'TP# look up'!A:C""),3,0),"""")"),"")</f>
        <v/>
      </c>
      <c r="AH775" s="49">
        <f>LEFT(J775,2)</f>
        <v/>
      </c>
    </row>
    <row r="776" ht="12.75" customHeight="1">
      <c r="A776" s="45">
        <f>IFERROR(__xludf.DUMMYFUNCTION("""COMPUTED_VALUE"""),"Colombo")</f>
        <v/>
      </c>
      <c r="B776" s="45" t="n"/>
      <c r="C776" s="45">
        <f>IFERROR(__xludf.DUMMYFUNCTION("""COMPUTED_VALUE"""),3259522)</f>
        <v/>
      </c>
      <c r="D776" s="45" t="n"/>
      <c r="E776" s="45">
        <f>IFERROR(__xludf.DUMMYFUNCTION("""COMPUTED_VALUE"""),"CFS")</f>
        <v/>
      </c>
      <c r="F776" s="45">
        <f>IFERROR(__xludf.DUMMYFUNCTION("""COMPUTED_VALUE"""),"Bodyline Trading (Private) Limited")</f>
        <v/>
      </c>
      <c r="G776" s="45">
        <f>IFERROR(__xludf.DUMMYFUNCTION("""COMPUTED_VALUE"""),"Bodyline (Private) Limited")</f>
        <v/>
      </c>
      <c r="H776" s="43">
        <f>IFERROR(__xludf.DUMMYFUNCTION("""COMPUTED_VALUE"""),456452156893)</f>
        <v/>
      </c>
      <c r="I776" s="45">
        <f>IFERROR(__xludf.DUMMYFUNCTION("""COMPUTED_VALUE"""),19828682)</f>
        <v/>
      </c>
      <c r="J776" s="45">
        <f>IFERROR(__xludf.DUMMYFUNCTION("""COMPUTED_VALUE"""),"LW2EB8S")</f>
        <v/>
      </c>
      <c r="K776" s="45">
        <f>IFERROR(__xludf.DUMMYFUNCTION("""COMPUTED_VALUE"""),"LW2EB8S-035487")</f>
        <v/>
      </c>
      <c r="L776" s="45">
        <f>IFERROR(__xludf.DUMMYFUNCTION("""COMPUTED_VALUE"""),2)</f>
        <v/>
      </c>
      <c r="M776" s="45">
        <f>IFERROR(__xludf.DUMMYFUNCTION("""COMPUTED_VALUE"""),64)</f>
        <v/>
      </c>
      <c r="N776" s="45">
        <f>IFERROR(__xludf.DUMMYFUNCTION("""COMPUTED_VALUE"""),10.231)</f>
        <v/>
      </c>
      <c r="O776" s="45">
        <f>IFERROR(__xludf.DUMMYFUNCTION("""COMPUTED_VALUE"""),0.124)</f>
        <v/>
      </c>
      <c r="P776" s="45">
        <f>IFERROR(__xludf.DUMMYFUNCTION("""COMPUTED_VALUE"""),"Colombo, LK")</f>
        <v/>
      </c>
      <c r="Q776" s="45">
        <f>IFERROR(__xludf.DUMMYFUNCTION("""COMPUTED_VALUE"""),"Felixstowe, GB")</f>
        <v/>
      </c>
      <c r="R776" s="44">
        <f>IFERROR(__xludf.DUMMYFUNCTION("""COMPUTED_VALUE"""),45838)</f>
        <v/>
      </c>
      <c r="S776" s="44">
        <f>IFERROR(__xludf.DUMMYFUNCTION("""COMPUTED_VALUE"""),45897)</f>
        <v/>
      </c>
      <c r="T776" s="45">
        <f>IFERROR(__xludf.DUMMYFUNCTION("""COMPUTED_VALUE"""),"Birmingham, GB")</f>
        <v/>
      </c>
      <c r="U776" s="45" t="n"/>
      <c r="V776" s="45" t="n"/>
      <c r="W776" s="45" t="n"/>
      <c r="X776" s="45" t="n"/>
      <c r="Y776" s="46">
        <f>IFERROR(__xludf.DUMMYFUNCTION("""COMPUTED_VALUE"""),45845)</f>
        <v/>
      </c>
      <c r="Z776" s="46">
        <f>IFERROR(__xludf.DUMMYFUNCTION("""COMPUTED_VALUE"""),45866)</f>
        <v/>
      </c>
      <c r="AA776" s="46">
        <f>IFERROR(__xludf.DUMMYFUNCTION("""COMPUTED_VALUE"""),45866)</f>
        <v/>
      </c>
      <c r="AB776" s="45">
        <f>IFERROR(__xludf.DUMMYFUNCTION("""COMPUTED_VALUE"""),"10A Faraday Ave")</f>
        <v/>
      </c>
      <c r="AC776" s="45" t="n"/>
      <c r="AD776" s="45">
        <f>IFERROR(__xludf.DUMMYFUNCTION("""COMPUTED_VALUE"""),"OCEAN")</f>
        <v/>
      </c>
      <c r="AE776" s="45">
        <f>IFERROR(__xludf.DUMMYFUNCTION("""COMPUTED_VALUE"""),"N")</f>
        <v/>
      </c>
      <c r="AF776" s="45">
        <f>IFERROR(__xludf.DUMMYFUNCTION("""COMPUTED_VALUE"""),"New Booking")</f>
        <v/>
      </c>
      <c r="AG776" s="49">
        <f>IFERROR(__xludf.DUMMYFUNCTION("IFNA(vlookup(H776,IMPORTRANGE(""1vUGwO1n0QQGx9kKbO0_M5gmuhXZ6-LaxQxgrmJnzgP0"",""'TP# look up'!A:C""),3,0),"""")"),"")</f>
        <v/>
      </c>
      <c r="AH776" s="49">
        <f>LEFT(J776,2)</f>
        <v/>
      </c>
    </row>
    <row r="777" ht="12.75" customHeight="1">
      <c r="A777" s="45">
        <f>IFERROR(__xludf.DUMMYFUNCTION("""COMPUTED_VALUE"""),"Colombo")</f>
        <v/>
      </c>
      <c r="B777" s="45" t="n"/>
      <c r="C777" s="45">
        <f>IFERROR(__xludf.DUMMYFUNCTION("""COMPUTED_VALUE"""),3259522)</f>
        <v/>
      </c>
      <c r="D777" s="45" t="n"/>
      <c r="E777" s="45">
        <f>IFERROR(__xludf.DUMMYFUNCTION("""COMPUTED_VALUE"""),"CFS")</f>
        <v/>
      </c>
      <c r="F777" s="45">
        <f>IFERROR(__xludf.DUMMYFUNCTION("""COMPUTED_VALUE"""),"Bodyline Trading (Private) Limited")</f>
        <v/>
      </c>
      <c r="G777" s="45">
        <f>IFERROR(__xludf.DUMMYFUNCTION("""COMPUTED_VALUE"""),"Bodyline (Private) Limited")</f>
        <v/>
      </c>
      <c r="H777" s="43">
        <f>IFERROR(__xludf.DUMMYFUNCTION("""COMPUTED_VALUE"""),456452160005)</f>
        <v/>
      </c>
      <c r="I777" s="45">
        <f>IFERROR(__xludf.DUMMYFUNCTION("""COMPUTED_VALUE"""),19828725)</f>
        <v/>
      </c>
      <c r="J777" s="45">
        <f>IFERROR(__xludf.DUMMYFUNCTION("""COMPUTED_VALUE"""),"LW2EB9S")</f>
        <v/>
      </c>
      <c r="K777" s="45">
        <f>IFERROR(__xludf.DUMMYFUNCTION("""COMPUTED_VALUE"""),"LW2EB9S-035486")</f>
        <v/>
      </c>
      <c r="L777" s="45">
        <f>IFERROR(__xludf.DUMMYFUNCTION("""COMPUTED_VALUE"""),11)</f>
        <v/>
      </c>
      <c r="M777" s="45">
        <f>IFERROR(__xludf.DUMMYFUNCTION("""COMPUTED_VALUE"""),624)</f>
        <v/>
      </c>
      <c r="N777" s="45">
        <f>IFERROR(__xludf.DUMMYFUNCTION("""COMPUTED_VALUE"""),95.46)</f>
        <v/>
      </c>
      <c r="O777" s="45">
        <f>IFERROR(__xludf.DUMMYFUNCTION("""COMPUTED_VALUE"""),0.849)</f>
        <v/>
      </c>
      <c r="P777" s="45">
        <f>IFERROR(__xludf.DUMMYFUNCTION("""COMPUTED_VALUE"""),"Colombo, LK")</f>
        <v/>
      </c>
      <c r="Q777" s="45">
        <f>IFERROR(__xludf.DUMMYFUNCTION("""COMPUTED_VALUE"""),"Felixstowe, GB")</f>
        <v/>
      </c>
      <c r="R777" s="44">
        <f>IFERROR(__xludf.DUMMYFUNCTION("""COMPUTED_VALUE"""),45838)</f>
        <v/>
      </c>
      <c r="S777" s="44">
        <f>IFERROR(__xludf.DUMMYFUNCTION("""COMPUTED_VALUE"""),45897)</f>
        <v/>
      </c>
      <c r="T777" s="45">
        <f>IFERROR(__xludf.DUMMYFUNCTION("""COMPUTED_VALUE"""),"Birmingham, GB")</f>
        <v/>
      </c>
      <c r="U777" s="45" t="n"/>
      <c r="V777" s="45" t="n"/>
      <c r="W777" s="45" t="n"/>
      <c r="X777" s="45" t="n"/>
      <c r="Y777" s="46">
        <f>IFERROR(__xludf.DUMMYFUNCTION("""COMPUTED_VALUE"""),45845)</f>
        <v/>
      </c>
      <c r="Z777" s="46">
        <f>IFERROR(__xludf.DUMMYFUNCTION("""COMPUTED_VALUE"""),45866)</f>
        <v/>
      </c>
      <c r="AA777" s="46">
        <f>IFERROR(__xludf.DUMMYFUNCTION("""COMPUTED_VALUE"""),45866)</f>
        <v/>
      </c>
      <c r="AB777" s="45">
        <f>IFERROR(__xludf.DUMMYFUNCTION("""COMPUTED_VALUE"""),"10A Faraday Ave")</f>
        <v/>
      </c>
      <c r="AC777" s="45" t="n"/>
      <c r="AD777" s="45">
        <f>IFERROR(__xludf.DUMMYFUNCTION("""COMPUTED_VALUE"""),"OCEAN")</f>
        <v/>
      </c>
      <c r="AE777" s="45">
        <f>IFERROR(__xludf.DUMMYFUNCTION("""COMPUTED_VALUE"""),"N")</f>
        <v/>
      </c>
      <c r="AF777" s="45">
        <f>IFERROR(__xludf.DUMMYFUNCTION("""COMPUTED_VALUE"""),"New Booking")</f>
        <v/>
      </c>
      <c r="AG777" s="49">
        <f>IFERROR(__xludf.DUMMYFUNCTION("IFNA(vlookup(H777,IMPORTRANGE(""1vUGwO1n0QQGx9kKbO0_M5gmuhXZ6-LaxQxgrmJnzgP0"",""'TP# look up'!A:C""),3,0),"""")"),"")</f>
        <v/>
      </c>
      <c r="AH777" s="49">
        <f>LEFT(J777,2)</f>
        <v/>
      </c>
    </row>
    <row r="778" ht="12.75" customHeight="1">
      <c r="A778" s="45">
        <f>IFERROR(__xludf.DUMMYFUNCTION("""COMPUTED_VALUE"""),"Colombo")</f>
        <v/>
      </c>
      <c r="B778" s="45" t="n"/>
      <c r="C778" s="45">
        <f>IFERROR(__xludf.DUMMYFUNCTION("""COMPUTED_VALUE"""),3259522)</f>
        <v/>
      </c>
      <c r="D778" s="45" t="n"/>
      <c r="E778" s="45">
        <f>IFERROR(__xludf.DUMMYFUNCTION("""COMPUTED_VALUE"""),"CFS")</f>
        <v/>
      </c>
      <c r="F778" s="45">
        <f>IFERROR(__xludf.DUMMYFUNCTION("""COMPUTED_VALUE"""),"Bodyline Trading (Private) Limited")</f>
        <v/>
      </c>
      <c r="G778" s="45">
        <f>IFERROR(__xludf.DUMMYFUNCTION("""COMPUTED_VALUE"""),"Bodyline (Private) Limited")</f>
        <v/>
      </c>
      <c r="H778" s="43">
        <f>IFERROR(__xludf.DUMMYFUNCTION("""COMPUTED_VALUE"""),456464867283)</f>
        <v/>
      </c>
      <c r="I778" s="45">
        <f>IFERROR(__xludf.DUMMYFUNCTION("""COMPUTED_VALUE"""),19828468)</f>
        <v/>
      </c>
      <c r="J778" s="45">
        <f>IFERROR(__xludf.DUMMYFUNCTION("""COMPUTED_VALUE"""),"LW2DQ0S")</f>
        <v/>
      </c>
      <c r="K778" s="45">
        <f>IFERROR(__xludf.DUMMYFUNCTION("""COMPUTED_VALUE"""),"LW2DQ0S-0001")</f>
        <v/>
      </c>
      <c r="L778" s="45">
        <f>IFERROR(__xludf.DUMMYFUNCTION("""COMPUTED_VALUE"""),6)</f>
        <v/>
      </c>
      <c r="M778" s="45">
        <f>IFERROR(__xludf.DUMMYFUNCTION("""COMPUTED_VALUE"""),311)</f>
        <v/>
      </c>
      <c r="N778" s="45">
        <f>IFERROR(__xludf.DUMMYFUNCTION("""COMPUTED_VALUE"""),36.981)</f>
        <v/>
      </c>
      <c r="O778" s="45">
        <f>IFERROR(__xludf.DUMMYFUNCTION("""COMPUTED_VALUE"""),0.447)</f>
        <v/>
      </c>
      <c r="P778" s="45">
        <f>IFERROR(__xludf.DUMMYFUNCTION("""COMPUTED_VALUE"""),"Colombo, LK")</f>
        <v/>
      </c>
      <c r="Q778" s="45">
        <f>IFERROR(__xludf.DUMMYFUNCTION("""COMPUTED_VALUE"""),"Felixstowe, GB")</f>
        <v/>
      </c>
      <c r="R778" s="44">
        <f>IFERROR(__xludf.DUMMYFUNCTION("""COMPUTED_VALUE"""),45838)</f>
        <v/>
      </c>
      <c r="S778" s="44">
        <f>IFERROR(__xludf.DUMMYFUNCTION("""COMPUTED_VALUE"""),45897)</f>
        <v/>
      </c>
      <c r="T778" s="45">
        <f>IFERROR(__xludf.DUMMYFUNCTION("""COMPUTED_VALUE"""),"Birmingham, GB")</f>
        <v/>
      </c>
      <c r="U778" s="45" t="n"/>
      <c r="V778" s="45" t="n"/>
      <c r="W778" s="45" t="n"/>
      <c r="X778" s="45" t="n"/>
      <c r="Y778" s="46">
        <f>IFERROR(__xludf.DUMMYFUNCTION("""COMPUTED_VALUE"""),45845)</f>
        <v/>
      </c>
      <c r="Z778" s="46">
        <f>IFERROR(__xludf.DUMMYFUNCTION("""COMPUTED_VALUE"""),45866)</f>
        <v/>
      </c>
      <c r="AA778" s="46">
        <f>IFERROR(__xludf.DUMMYFUNCTION("""COMPUTED_VALUE"""),45866)</f>
        <v/>
      </c>
      <c r="AB778" s="45">
        <f>IFERROR(__xludf.DUMMYFUNCTION("""COMPUTED_VALUE"""),"10A Faraday Ave")</f>
        <v/>
      </c>
      <c r="AC778" s="45" t="n"/>
      <c r="AD778" s="45">
        <f>IFERROR(__xludf.DUMMYFUNCTION("""COMPUTED_VALUE"""),"OCEAN")</f>
        <v/>
      </c>
      <c r="AE778" s="45">
        <f>IFERROR(__xludf.DUMMYFUNCTION("""COMPUTED_VALUE"""),"N")</f>
        <v/>
      </c>
      <c r="AF778" s="45">
        <f>IFERROR(__xludf.DUMMYFUNCTION("""COMPUTED_VALUE"""),"New Booking")</f>
        <v/>
      </c>
      <c r="AG778" s="49">
        <f>IFERROR(__xludf.DUMMYFUNCTION("IFNA(vlookup(H778,IMPORTRANGE(""1vUGwO1n0QQGx9kKbO0_M5gmuhXZ6-LaxQxgrmJnzgP0"",""'TP# look up'!A:C""),3,0),"""")"),"")</f>
        <v/>
      </c>
      <c r="AH778" s="49">
        <f>LEFT(J778,2)</f>
        <v/>
      </c>
    </row>
    <row r="779" ht="12.75" customHeight="1">
      <c r="A779" s="45">
        <f>IFERROR(__xludf.DUMMYFUNCTION("""COMPUTED_VALUE"""),"Colombo")</f>
        <v/>
      </c>
      <c r="B779" s="45" t="n"/>
      <c r="C779" s="45">
        <f>IFERROR(__xludf.DUMMYFUNCTION("""COMPUTED_VALUE"""),3259522)</f>
        <v/>
      </c>
      <c r="D779" s="45" t="n"/>
      <c r="E779" s="45">
        <f>IFERROR(__xludf.DUMMYFUNCTION("""COMPUTED_VALUE"""),"CFS")</f>
        <v/>
      </c>
      <c r="F779" s="45">
        <f>IFERROR(__xludf.DUMMYFUNCTION("""COMPUTED_VALUE"""),"Bodyline Trading (Private) Limited")</f>
        <v/>
      </c>
      <c r="G779" s="45">
        <f>IFERROR(__xludf.DUMMYFUNCTION("""COMPUTED_VALUE"""),"Bodyline (Private) Limited")</f>
        <v/>
      </c>
      <c r="H779" s="43">
        <f>IFERROR(__xludf.DUMMYFUNCTION("""COMPUTED_VALUE"""),456465540937)</f>
        <v/>
      </c>
      <c r="I779" s="45">
        <f>IFERROR(__xludf.DUMMYFUNCTION("""COMPUTED_VALUE"""),19820599)</f>
        <v/>
      </c>
      <c r="J779" s="45">
        <f>IFERROR(__xludf.DUMMYFUNCTION("""COMPUTED_VALUE"""),"LW1FM7S")</f>
        <v/>
      </c>
      <c r="K779" s="45">
        <f>IFERROR(__xludf.DUMMYFUNCTION("""COMPUTED_VALUE"""),"LW1FM7S-0001")</f>
        <v/>
      </c>
      <c r="L779" s="45">
        <f>IFERROR(__xludf.DUMMYFUNCTION("""COMPUTED_VALUE"""),3)</f>
        <v/>
      </c>
      <c r="M779" s="45">
        <f>IFERROR(__xludf.DUMMYFUNCTION("""COMPUTED_VALUE"""),145)</f>
        <v/>
      </c>
      <c r="N779" s="45">
        <f>IFERROR(__xludf.DUMMYFUNCTION("""COMPUTED_VALUE"""),14.55)</f>
        <v/>
      </c>
      <c r="O779" s="45">
        <f>IFERROR(__xludf.DUMMYFUNCTION("""COMPUTED_VALUE"""),0.132)</f>
        <v/>
      </c>
      <c r="P779" s="45">
        <f>IFERROR(__xludf.DUMMYFUNCTION("""COMPUTED_VALUE"""),"Colombo, LK")</f>
        <v/>
      </c>
      <c r="Q779" s="45">
        <f>IFERROR(__xludf.DUMMYFUNCTION("""COMPUTED_VALUE"""),"Felixstowe, GB")</f>
        <v/>
      </c>
      <c r="R779" s="44">
        <f>IFERROR(__xludf.DUMMYFUNCTION("""COMPUTED_VALUE"""),45838)</f>
        <v/>
      </c>
      <c r="S779" s="44">
        <f>IFERROR(__xludf.DUMMYFUNCTION("""COMPUTED_VALUE"""),45897)</f>
        <v/>
      </c>
      <c r="T779" s="45">
        <f>IFERROR(__xludf.DUMMYFUNCTION("""COMPUTED_VALUE"""),"Birmingham, GB")</f>
        <v/>
      </c>
      <c r="U779" s="45" t="n"/>
      <c r="V779" s="45" t="n"/>
      <c r="W779" s="45" t="n"/>
      <c r="X779" s="45" t="n"/>
      <c r="Y779" s="46">
        <f>IFERROR(__xludf.DUMMYFUNCTION("""COMPUTED_VALUE"""),45845)</f>
        <v/>
      </c>
      <c r="Z779" s="46">
        <f>IFERROR(__xludf.DUMMYFUNCTION("""COMPUTED_VALUE"""),45866)</f>
        <v/>
      </c>
      <c r="AA779" s="46">
        <f>IFERROR(__xludf.DUMMYFUNCTION("""COMPUTED_VALUE"""),45866)</f>
        <v/>
      </c>
      <c r="AB779" s="45">
        <f>IFERROR(__xludf.DUMMYFUNCTION("""COMPUTED_VALUE"""),"10A Faraday Ave")</f>
        <v/>
      </c>
      <c r="AC779" s="45" t="n"/>
      <c r="AD779" s="45">
        <f>IFERROR(__xludf.DUMMYFUNCTION("""COMPUTED_VALUE"""),"OCEAN")</f>
        <v/>
      </c>
      <c r="AE779" s="45">
        <f>IFERROR(__xludf.DUMMYFUNCTION("""COMPUTED_VALUE"""),"N")</f>
        <v/>
      </c>
      <c r="AF779" s="45">
        <f>IFERROR(__xludf.DUMMYFUNCTION("""COMPUTED_VALUE"""),"New Booking")</f>
        <v/>
      </c>
      <c r="AG779" s="49">
        <f>IFERROR(__xludf.DUMMYFUNCTION("IFNA(vlookup(H779,IMPORTRANGE(""1vUGwO1n0QQGx9kKbO0_M5gmuhXZ6-LaxQxgrmJnzgP0"",""'TP# look up'!A:C""),3,0),"""")"),"")</f>
        <v/>
      </c>
      <c r="AH779" s="49">
        <f>LEFT(J779,2)</f>
        <v/>
      </c>
    </row>
    <row r="780" ht="12.75" customHeight="1">
      <c r="A780" s="45">
        <f>IFERROR(__xludf.DUMMYFUNCTION("""COMPUTED_VALUE"""),"Colombo")</f>
        <v/>
      </c>
      <c r="B780" s="45" t="n"/>
      <c r="C780" s="45">
        <f>IFERROR(__xludf.DUMMYFUNCTION("""COMPUTED_VALUE"""),3259522)</f>
        <v/>
      </c>
      <c r="D780" s="45" t="n"/>
      <c r="E780" s="45">
        <f>IFERROR(__xludf.DUMMYFUNCTION("""COMPUTED_VALUE"""),"CFS")</f>
        <v/>
      </c>
      <c r="F780" s="45">
        <f>IFERROR(__xludf.DUMMYFUNCTION("""COMPUTED_VALUE"""),"Bodyline Trading (Private) Limited")</f>
        <v/>
      </c>
      <c r="G780" s="45">
        <f>IFERROR(__xludf.DUMMYFUNCTION("""COMPUTED_VALUE"""),"Bodyline (Private) Limited")</f>
        <v/>
      </c>
      <c r="H780" s="43">
        <f>IFERROR(__xludf.DUMMYFUNCTION("""COMPUTED_VALUE"""),456466315322)</f>
        <v/>
      </c>
      <c r="I780" s="45">
        <f>IFERROR(__xludf.DUMMYFUNCTION("""COMPUTED_VALUE"""),19828432)</f>
        <v/>
      </c>
      <c r="J780" s="45">
        <f>IFERROR(__xludf.DUMMYFUNCTION("""COMPUTED_VALUE"""),"LW2DPOS")</f>
        <v/>
      </c>
      <c r="K780" s="45">
        <f>IFERROR(__xludf.DUMMYFUNCTION("""COMPUTED_VALUE"""),"LW2DPOS-0001")</f>
        <v/>
      </c>
      <c r="L780" s="45">
        <f>IFERROR(__xludf.DUMMYFUNCTION("""COMPUTED_VALUE"""),4)</f>
        <v/>
      </c>
      <c r="M780" s="45">
        <f>IFERROR(__xludf.DUMMYFUNCTION("""COMPUTED_VALUE"""),205)</f>
        <v/>
      </c>
      <c r="N780" s="45">
        <f>IFERROR(__xludf.DUMMYFUNCTION("""COMPUTED_VALUE"""),29.943)</f>
        <v/>
      </c>
      <c r="O780" s="45">
        <f>IFERROR(__xludf.DUMMYFUNCTION("""COMPUTED_VALUE"""),0.322)</f>
        <v/>
      </c>
      <c r="P780" s="45">
        <f>IFERROR(__xludf.DUMMYFUNCTION("""COMPUTED_VALUE"""),"Colombo, LK")</f>
        <v/>
      </c>
      <c r="Q780" s="45">
        <f>IFERROR(__xludf.DUMMYFUNCTION("""COMPUTED_VALUE"""),"Felixstowe, GB")</f>
        <v/>
      </c>
      <c r="R780" s="44">
        <f>IFERROR(__xludf.DUMMYFUNCTION("""COMPUTED_VALUE"""),45838)</f>
        <v/>
      </c>
      <c r="S780" s="44">
        <f>IFERROR(__xludf.DUMMYFUNCTION("""COMPUTED_VALUE"""),45897)</f>
        <v/>
      </c>
      <c r="T780" s="45">
        <f>IFERROR(__xludf.DUMMYFUNCTION("""COMPUTED_VALUE"""),"Birmingham, GB")</f>
        <v/>
      </c>
      <c r="U780" s="45" t="n"/>
      <c r="V780" s="45" t="n"/>
      <c r="W780" s="45" t="n"/>
      <c r="X780" s="45" t="n"/>
      <c r="Y780" s="46">
        <f>IFERROR(__xludf.DUMMYFUNCTION("""COMPUTED_VALUE"""),45845)</f>
        <v/>
      </c>
      <c r="Z780" s="46">
        <f>IFERROR(__xludf.DUMMYFUNCTION("""COMPUTED_VALUE"""),45866)</f>
        <v/>
      </c>
      <c r="AA780" s="46">
        <f>IFERROR(__xludf.DUMMYFUNCTION("""COMPUTED_VALUE"""),45866)</f>
        <v/>
      </c>
      <c r="AB780" s="45">
        <f>IFERROR(__xludf.DUMMYFUNCTION("""COMPUTED_VALUE"""),"10A Faraday Ave")</f>
        <v/>
      </c>
      <c r="AC780" s="45" t="n"/>
      <c r="AD780" s="45">
        <f>IFERROR(__xludf.DUMMYFUNCTION("""COMPUTED_VALUE"""),"OCEAN")</f>
        <v/>
      </c>
      <c r="AE780" s="45">
        <f>IFERROR(__xludf.DUMMYFUNCTION("""COMPUTED_VALUE"""),"N")</f>
        <v/>
      </c>
      <c r="AF780" s="45">
        <f>IFERROR(__xludf.DUMMYFUNCTION("""COMPUTED_VALUE"""),"New Booking")</f>
        <v/>
      </c>
      <c r="AG780" s="49">
        <f>IFERROR(__xludf.DUMMYFUNCTION("IFNA(vlookup(H780,IMPORTRANGE(""1vUGwO1n0QQGx9kKbO0_M5gmuhXZ6-LaxQxgrmJnzgP0"",""'TP# look up'!A:C""),3,0),"""")"),"")</f>
        <v/>
      </c>
      <c r="AH780" s="49">
        <f>LEFT(J780,2)</f>
        <v/>
      </c>
    </row>
    <row r="781" ht="12.75" customHeight="1">
      <c r="A781" s="45">
        <f>IFERROR(__xludf.DUMMYFUNCTION("""COMPUTED_VALUE"""),"Colombo")</f>
        <v/>
      </c>
      <c r="B781" s="45" t="n"/>
      <c r="C781" s="45">
        <f>IFERROR(__xludf.DUMMYFUNCTION("""COMPUTED_VALUE"""),3259522)</f>
        <v/>
      </c>
      <c r="D781" s="45" t="n"/>
      <c r="E781" s="45">
        <f>IFERROR(__xludf.DUMMYFUNCTION("""COMPUTED_VALUE"""),"CFS")</f>
        <v/>
      </c>
      <c r="F781" s="45">
        <f>IFERROR(__xludf.DUMMYFUNCTION("""COMPUTED_VALUE"""),"Bodyline Trading (Private) Limited")</f>
        <v/>
      </c>
      <c r="G781" s="45">
        <f>IFERROR(__xludf.DUMMYFUNCTION("""COMPUTED_VALUE"""),"Bodyline (Private) Limited")</f>
        <v/>
      </c>
      <c r="H781" s="43">
        <f>IFERROR(__xludf.DUMMYFUNCTION("""COMPUTED_VALUE"""),456469198551)</f>
        <v/>
      </c>
      <c r="I781" s="45">
        <f>IFERROR(__xludf.DUMMYFUNCTION("""COMPUTED_VALUE"""),19828285)</f>
        <v/>
      </c>
      <c r="J781" s="45">
        <f>IFERROR(__xludf.DUMMYFUNCTION("""COMPUTED_VALUE"""),"LW9DEOS")</f>
        <v/>
      </c>
      <c r="K781" s="45">
        <f>IFERROR(__xludf.DUMMYFUNCTION("""COMPUTED_VALUE"""),"LW9DEOS-070623")</f>
        <v/>
      </c>
      <c r="L781" s="45">
        <f>IFERROR(__xludf.DUMMYFUNCTION("""COMPUTED_VALUE"""),8)</f>
        <v/>
      </c>
      <c r="M781" s="45">
        <f>IFERROR(__xludf.DUMMYFUNCTION("""COMPUTED_VALUE"""),244)</f>
        <v/>
      </c>
      <c r="N781" s="45">
        <f>IFERROR(__xludf.DUMMYFUNCTION("""COMPUTED_VALUE"""),38.858)</f>
        <v/>
      </c>
      <c r="O781" s="45">
        <f>IFERROR(__xludf.DUMMYFUNCTION("""COMPUTED_VALUE"""),0.351)</f>
        <v/>
      </c>
      <c r="P781" s="45">
        <f>IFERROR(__xludf.DUMMYFUNCTION("""COMPUTED_VALUE"""),"Colombo, LK")</f>
        <v/>
      </c>
      <c r="Q781" s="45">
        <f>IFERROR(__xludf.DUMMYFUNCTION("""COMPUTED_VALUE"""),"Felixstowe, GB")</f>
        <v/>
      </c>
      <c r="R781" s="44">
        <f>IFERROR(__xludf.DUMMYFUNCTION("""COMPUTED_VALUE"""),45838)</f>
        <v/>
      </c>
      <c r="S781" s="44">
        <f>IFERROR(__xludf.DUMMYFUNCTION("""COMPUTED_VALUE"""),45897)</f>
        <v/>
      </c>
      <c r="T781" s="45">
        <f>IFERROR(__xludf.DUMMYFUNCTION("""COMPUTED_VALUE"""),"Birmingham, GB")</f>
        <v/>
      </c>
      <c r="U781" s="45" t="n"/>
      <c r="V781" s="45" t="n"/>
      <c r="W781" s="45" t="n"/>
      <c r="X781" s="45" t="n"/>
      <c r="Y781" s="46">
        <f>IFERROR(__xludf.DUMMYFUNCTION("""COMPUTED_VALUE"""),45845)</f>
        <v/>
      </c>
      <c r="Z781" s="46">
        <f>IFERROR(__xludf.DUMMYFUNCTION("""COMPUTED_VALUE"""),45866)</f>
        <v/>
      </c>
      <c r="AA781" s="46">
        <f>IFERROR(__xludf.DUMMYFUNCTION("""COMPUTED_VALUE"""),45866)</f>
        <v/>
      </c>
      <c r="AB781" s="45">
        <f>IFERROR(__xludf.DUMMYFUNCTION("""COMPUTED_VALUE"""),"10A Faraday Ave")</f>
        <v/>
      </c>
      <c r="AC781" s="45" t="n"/>
      <c r="AD781" s="45">
        <f>IFERROR(__xludf.DUMMYFUNCTION("""COMPUTED_VALUE"""),"OCEAN")</f>
        <v/>
      </c>
      <c r="AE781" s="45">
        <f>IFERROR(__xludf.DUMMYFUNCTION("""COMPUTED_VALUE"""),"N")</f>
        <v/>
      </c>
      <c r="AF781" s="45">
        <f>IFERROR(__xludf.DUMMYFUNCTION("""COMPUTED_VALUE"""),"New Booking")</f>
        <v/>
      </c>
      <c r="AG781" s="49">
        <f>IFERROR(__xludf.DUMMYFUNCTION("IFNA(vlookup(H781,IMPORTRANGE(""1vUGwO1n0QQGx9kKbO0_M5gmuhXZ6-LaxQxgrmJnzgP0"",""'TP# look up'!A:C""),3,0),"""")"),"")</f>
        <v/>
      </c>
      <c r="AH781" s="49">
        <f>LEFT(J781,2)</f>
        <v/>
      </c>
    </row>
    <row r="782" ht="12.75" customHeight="1">
      <c r="A782" s="45">
        <f>IFERROR(__xludf.DUMMYFUNCTION("""COMPUTED_VALUE"""),"Colombo")</f>
        <v/>
      </c>
      <c r="B782" s="45" t="n"/>
      <c r="C782" s="45">
        <f>IFERROR(__xludf.DUMMYFUNCTION("""COMPUTED_VALUE"""),3259522)</f>
        <v/>
      </c>
      <c r="D782" s="45" t="n"/>
      <c r="E782" s="45">
        <f>IFERROR(__xludf.DUMMYFUNCTION("""COMPUTED_VALUE"""),"CFS")</f>
        <v/>
      </c>
      <c r="F782" s="45">
        <f>IFERROR(__xludf.DUMMYFUNCTION("""COMPUTED_VALUE"""),"Inqube Global (PVT) Ltd")</f>
        <v/>
      </c>
      <c r="G782" s="45">
        <f>IFERROR(__xludf.DUMMYFUNCTION("""COMPUTED_VALUE"""),"Brandix Apparel Solutions Limited - Minuwangoda")</f>
        <v/>
      </c>
      <c r="H782" s="43">
        <f>IFERROR(__xludf.DUMMYFUNCTION("""COMPUTED_VALUE"""),456592402304)</f>
        <v/>
      </c>
      <c r="I782" s="45">
        <f>IFERROR(__xludf.DUMMYFUNCTION("""COMPUTED_VALUE"""),19854958)</f>
        <v/>
      </c>
      <c r="J782" s="45">
        <f>IFERROR(__xludf.DUMMYFUNCTION("""COMPUTED_VALUE"""),"LW3IQZS")</f>
        <v/>
      </c>
      <c r="K782" s="45">
        <f>IFERROR(__xludf.DUMMYFUNCTION("""COMPUTED_VALUE"""),"LW3IQZS-0002")</f>
        <v/>
      </c>
      <c r="L782" s="45">
        <f>IFERROR(__xludf.DUMMYFUNCTION("""COMPUTED_VALUE"""),22)</f>
        <v/>
      </c>
      <c r="M782" s="45">
        <f>IFERROR(__xludf.DUMMYFUNCTION("""COMPUTED_VALUE"""),507)</f>
        <v/>
      </c>
      <c r="N782" s="45">
        <f>IFERROR(__xludf.DUMMYFUNCTION("""COMPUTED_VALUE"""),240.69)</f>
        <v/>
      </c>
      <c r="O782" s="45">
        <f>IFERROR(__xludf.DUMMYFUNCTION("""COMPUTED_VALUE"""),1.727)</f>
        <v/>
      </c>
      <c r="P782" s="45">
        <f>IFERROR(__xludf.DUMMYFUNCTION("""COMPUTED_VALUE"""),"Colombo, LK")</f>
        <v/>
      </c>
      <c r="Q782" s="45">
        <f>IFERROR(__xludf.DUMMYFUNCTION("""COMPUTED_VALUE"""),"Felixstowe, GB")</f>
        <v/>
      </c>
      <c r="R782" s="44">
        <f>IFERROR(__xludf.DUMMYFUNCTION("""COMPUTED_VALUE"""),45838)</f>
        <v/>
      </c>
      <c r="S782" s="44">
        <f>IFERROR(__xludf.DUMMYFUNCTION("""COMPUTED_VALUE"""),45897)</f>
        <v/>
      </c>
      <c r="T782" s="45">
        <f>IFERROR(__xludf.DUMMYFUNCTION("""COMPUTED_VALUE"""),"Birmingham, GB")</f>
        <v/>
      </c>
      <c r="U782" s="45" t="n"/>
      <c r="V782" s="45" t="n"/>
      <c r="W782" s="45" t="n"/>
      <c r="X782" s="45" t="n"/>
      <c r="Y782" s="46">
        <f>IFERROR(__xludf.DUMMYFUNCTION("""COMPUTED_VALUE"""),45845)</f>
        <v/>
      </c>
      <c r="Z782" s="46">
        <f>IFERROR(__xludf.DUMMYFUNCTION("""COMPUTED_VALUE"""),45866)</f>
        <v/>
      </c>
      <c r="AA782" s="46">
        <f>IFERROR(__xludf.DUMMYFUNCTION("""COMPUTED_VALUE"""),45866)</f>
        <v/>
      </c>
      <c r="AB782" s="45">
        <f>IFERROR(__xludf.DUMMYFUNCTION("""COMPUTED_VALUE"""),"10A Faraday Ave")</f>
        <v/>
      </c>
      <c r="AC782" s="45" t="n"/>
      <c r="AD782" s="45">
        <f>IFERROR(__xludf.DUMMYFUNCTION("""COMPUTED_VALUE"""),"OCEAN")</f>
        <v/>
      </c>
      <c r="AE782" s="45">
        <f>IFERROR(__xludf.DUMMYFUNCTION("""COMPUTED_VALUE"""),"N")</f>
        <v/>
      </c>
      <c r="AF782" s="45">
        <f>IFERROR(__xludf.DUMMYFUNCTION("""COMPUTED_VALUE"""),"New Booking")</f>
        <v/>
      </c>
      <c r="AG782" s="49">
        <f>IFERROR(__xludf.DUMMYFUNCTION("IFNA(vlookup(H782,IMPORTRANGE(""1vUGwO1n0QQGx9kKbO0_M5gmuhXZ6-LaxQxgrmJnzgP0"",""'TP# look up'!A:C""),3,0),"""")"),"")</f>
        <v/>
      </c>
      <c r="AH782" s="49">
        <f>LEFT(J782,2)</f>
        <v/>
      </c>
    </row>
    <row r="783" ht="12.75" customHeight="1">
      <c r="A783" s="45">
        <f>IFERROR(__xludf.DUMMYFUNCTION("""COMPUTED_VALUE"""),"Colombo")</f>
        <v/>
      </c>
      <c r="B783" s="45" t="n"/>
      <c r="C783" s="45">
        <f>IFERROR(__xludf.DUMMYFUNCTION("""COMPUTED_VALUE"""),3259522)</f>
        <v/>
      </c>
      <c r="D783" s="45" t="n"/>
      <c r="E783" s="45">
        <f>IFERROR(__xludf.DUMMYFUNCTION("""COMPUTED_VALUE"""),"CFS")</f>
        <v/>
      </c>
      <c r="F783" s="45">
        <f>IFERROR(__xludf.DUMMYFUNCTION("""COMPUTED_VALUE"""),"Inqube Global (PVT) Ltd")</f>
        <v/>
      </c>
      <c r="G783" s="45">
        <f>IFERROR(__xludf.DUMMYFUNCTION("""COMPUTED_VALUE"""),"Brandix Apparel Solutions Limited - Minuwangoda")</f>
        <v/>
      </c>
      <c r="H783" s="43">
        <f>IFERROR(__xludf.DUMMYFUNCTION("""COMPUTED_VALUE"""),456602263918)</f>
        <v/>
      </c>
      <c r="I783" s="45">
        <f>IFERROR(__xludf.DUMMYFUNCTION("""COMPUTED_VALUE"""),19854992)</f>
        <v/>
      </c>
      <c r="J783" s="45">
        <f>IFERROR(__xludf.DUMMYFUNCTION("""COMPUTED_VALUE"""),"LW5GLNS")</f>
        <v/>
      </c>
      <c r="K783" s="45">
        <f>IFERROR(__xludf.DUMMYFUNCTION("""COMPUTED_VALUE"""),"LW5GLNS-071150")</f>
        <v/>
      </c>
      <c r="L783" s="45">
        <f>IFERROR(__xludf.DUMMYFUNCTION("""COMPUTED_VALUE"""),4)</f>
        <v/>
      </c>
      <c r="M783" s="45">
        <f>IFERROR(__xludf.DUMMYFUNCTION("""COMPUTED_VALUE"""),59)</f>
        <v/>
      </c>
      <c r="N783" s="45">
        <f>IFERROR(__xludf.DUMMYFUNCTION("""COMPUTED_VALUE"""),31.44)</f>
        <v/>
      </c>
      <c r="O783" s="45">
        <f>IFERROR(__xludf.DUMMYFUNCTION("""COMPUTED_VALUE"""),0.314)</f>
        <v/>
      </c>
      <c r="P783" s="45">
        <f>IFERROR(__xludf.DUMMYFUNCTION("""COMPUTED_VALUE"""),"Colombo, LK")</f>
        <v/>
      </c>
      <c r="Q783" s="45">
        <f>IFERROR(__xludf.DUMMYFUNCTION("""COMPUTED_VALUE"""),"Felixstowe, GB")</f>
        <v/>
      </c>
      <c r="R783" s="44">
        <f>IFERROR(__xludf.DUMMYFUNCTION("""COMPUTED_VALUE"""),45838)</f>
        <v/>
      </c>
      <c r="S783" s="44">
        <f>IFERROR(__xludf.DUMMYFUNCTION("""COMPUTED_VALUE"""),45897)</f>
        <v/>
      </c>
      <c r="T783" s="45">
        <f>IFERROR(__xludf.DUMMYFUNCTION("""COMPUTED_VALUE"""),"Birmingham, GB")</f>
        <v/>
      </c>
      <c r="U783" s="45" t="n"/>
      <c r="V783" s="45" t="n"/>
      <c r="W783" s="45" t="n"/>
      <c r="X783" s="45" t="n"/>
      <c r="Y783" s="46">
        <f>IFERROR(__xludf.DUMMYFUNCTION("""COMPUTED_VALUE"""),45845)</f>
        <v/>
      </c>
      <c r="Z783" s="46">
        <f>IFERROR(__xludf.DUMMYFUNCTION("""COMPUTED_VALUE"""),45866)</f>
        <v/>
      </c>
      <c r="AA783" s="46">
        <f>IFERROR(__xludf.DUMMYFUNCTION("""COMPUTED_VALUE"""),45866)</f>
        <v/>
      </c>
      <c r="AB783" s="45">
        <f>IFERROR(__xludf.DUMMYFUNCTION("""COMPUTED_VALUE"""),"10A Faraday Ave")</f>
        <v/>
      </c>
      <c r="AC783" s="45" t="n"/>
      <c r="AD783" s="45">
        <f>IFERROR(__xludf.DUMMYFUNCTION("""COMPUTED_VALUE"""),"OCEAN")</f>
        <v/>
      </c>
      <c r="AE783" s="45">
        <f>IFERROR(__xludf.DUMMYFUNCTION("""COMPUTED_VALUE"""),"N")</f>
        <v/>
      </c>
      <c r="AF783" s="45">
        <f>IFERROR(__xludf.DUMMYFUNCTION("""COMPUTED_VALUE"""),"New Booking")</f>
        <v/>
      </c>
      <c r="AG783" s="49">
        <f>IFERROR(__xludf.DUMMYFUNCTION("IFNA(vlookup(H783,IMPORTRANGE(""1vUGwO1n0QQGx9kKbO0_M5gmuhXZ6-LaxQxgrmJnzgP0"",""'TP# look up'!A:C""),3,0),"""")"),"")</f>
        <v/>
      </c>
      <c r="AH783" s="49">
        <f>LEFT(J783,2)</f>
        <v/>
      </c>
    </row>
    <row r="784" ht="12.75" customHeight="1">
      <c r="A784" s="45">
        <f>IFERROR(__xludf.DUMMYFUNCTION("""COMPUTED_VALUE"""),"Colombo")</f>
        <v/>
      </c>
      <c r="B784" s="45" t="n"/>
      <c r="C784" s="45">
        <f>IFERROR(__xludf.DUMMYFUNCTION("""COMPUTED_VALUE"""),3259522)</f>
        <v/>
      </c>
      <c r="D784" s="45" t="n"/>
      <c r="E784" s="45">
        <f>IFERROR(__xludf.DUMMYFUNCTION("""COMPUTED_VALUE"""),"CFS")</f>
        <v/>
      </c>
      <c r="F784" s="45">
        <f>IFERROR(__xludf.DUMMYFUNCTION("""COMPUTED_VALUE"""),"Inqube Global (PVT) Ltd")</f>
        <v/>
      </c>
      <c r="G784" s="45">
        <f>IFERROR(__xludf.DUMMYFUNCTION("""COMPUTED_VALUE"""),"Brandix Apparel Solutions Limited - Minuwangoda")</f>
        <v/>
      </c>
      <c r="H784" s="43">
        <f>IFERROR(__xludf.DUMMYFUNCTION("""COMPUTED_VALUE"""),456874860316)</f>
        <v/>
      </c>
      <c r="I784" s="45">
        <f>IFERROR(__xludf.DUMMYFUNCTION("""COMPUTED_VALUE"""),19854961)</f>
        <v/>
      </c>
      <c r="J784" s="45">
        <f>IFERROR(__xludf.DUMMYFUNCTION("""COMPUTED_VALUE"""),"LW3ISMS")</f>
        <v/>
      </c>
      <c r="K784" s="45">
        <f>IFERROR(__xludf.DUMMYFUNCTION("""COMPUTED_VALUE"""),"LW3ISMS-020392")</f>
        <v/>
      </c>
      <c r="L784" s="45">
        <f>IFERROR(__xludf.DUMMYFUNCTION("""COMPUTED_VALUE"""),6)</f>
        <v/>
      </c>
      <c r="M784" s="45">
        <f>IFERROR(__xludf.DUMMYFUNCTION("""COMPUTED_VALUE"""),83)</f>
        <v/>
      </c>
      <c r="N784" s="45">
        <f>IFERROR(__xludf.DUMMYFUNCTION("""COMPUTED_VALUE"""),26.515)</f>
        <v/>
      </c>
      <c r="O784" s="45">
        <f>IFERROR(__xludf.DUMMYFUNCTION("""COMPUTED_VALUE"""),0.471)</f>
        <v/>
      </c>
      <c r="P784" s="45">
        <f>IFERROR(__xludf.DUMMYFUNCTION("""COMPUTED_VALUE"""),"Colombo, LK")</f>
        <v/>
      </c>
      <c r="Q784" s="45">
        <f>IFERROR(__xludf.DUMMYFUNCTION("""COMPUTED_VALUE"""),"Felixstowe, GB")</f>
        <v/>
      </c>
      <c r="R784" s="44">
        <f>IFERROR(__xludf.DUMMYFUNCTION("""COMPUTED_VALUE"""),45838)</f>
        <v/>
      </c>
      <c r="S784" s="44">
        <f>IFERROR(__xludf.DUMMYFUNCTION("""COMPUTED_VALUE"""),45897)</f>
        <v/>
      </c>
      <c r="T784" s="45">
        <f>IFERROR(__xludf.DUMMYFUNCTION("""COMPUTED_VALUE"""),"Birmingham, GB")</f>
        <v/>
      </c>
      <c r="U784" s="45" t="n"/>
      <c r="V784" s="45" t="n"/>
      <c r="W784" s="45" t="n"/>
      <c r="X784" s="45" t="n"/>
      <c r="Y784" s="46">
        <f>IFERROR(__xludf.DUMMYFUNCTION("""COMPUTED_VALUE"""),45845)</f>
        <v/>
      </c>
      <c r="Z784" s="46">
        <f>IFERROR(__xludf.DUMMYFUNCTION("""COMPUTED_VALUE"""),45866)</f>
        <v/>
      </c>
      <c r="AA784" s="46">
        <f>IFERROR(__xludf.DUMMYFUNCTION("""COMPUTED_VALUE"""),45866)</f>
        <v/>
      </c>
      <c r="AB784" s="45">
        <f>IFERROR(__xludf.DUMMYFUNCTION("""COMPUTED_VALUE"""),"10A Faraday Ave")</f>
        <v/>
      </c>
      <c r="AC784" s="45" t="n"/>
      <c r="AD784" s="45">
        <f>IFERROR(__xludf.DUMMYFUNCTION("""COMPUTED_VALUE"""),"OCEAN")</f>
        <v/>
      </c>
      <c r="AE784" s="45">
        <f>IFERROR(__xludf.DUMMYFUNCTION("""COMPUTED_VALUE"""),"N")</f>
        <v/>
      </c>
      <c r="AF784" s="45">
        <f>IFERROR(__xludf.DUMMYFUNCTION("""COMPUTED_VALUE"""),"New Booking")</f>
        <v/>
      </c>
      <c r="AG784" s="49">
        <f>IFERROR(__xludf.DUMMYFUNCTION("IFNA(vlookup(H784,IMPORTRANGE(""1vUGwO1n0QQGx9kKbO0_M5gmuhXZ6-LaxQxgrmJnzgP0"",""'TP# look up'!A:C""),3,0),"""")"),"")</f>
        <v/>
      </c>
      <c r="AH784" s="49">
        <f>LEFT(J784,2)</f>
        <v/>
      </c>
    </row>
    <row r="785" ht="12.75" customHeight="1">
      <c r="A785" s="45">
        <f>IFERROR(__xludf.DUMMYFUNCTION("""COMPUTED_VALUE"""),"Colombo")</f>
        <v/>
      </c>
      <c r="B785" s="45" t="n"/>
      <c r="C785" s="45">
        <f>IFERROR(__xludf.DUMMYFUNCTION("""COMPUTED_VALUE"""),3259522)</f>
        <v/>
      </c>
      <c r="D785" s="45" t="n"/>
      <c r="E785" s="45">
        <f>IFERROR(__xludf.DUMMYFUNCTION("""COMPUTED_VALUE"""),"CFS")</f>
        <v/>
      </c>
      <c r="F785" s="45">
        <f>IFERROR(__xludf.DUMMYFUNCTION("""COMPUTED_VALUE"""),"Inqube Global (PVT) Ltd")</f>
        <v/>
      </c>
      <c r="G785" s="45">
        <f>IFERROR(__xludf.DUMMYFUNCTION("""COMPUTED_VALUE"""),"Brandix Apparel Solutions Limited - Minuwangoda")</f>
        <v/>
      </c>
      <c r="H785" s="43">
        <f>IFERROR(__xludf.DUMMYFUNCTION("""COMPUTED_VALUE"""),456881601600)</f>
        <v/>
      </c>
      <c r="I785" s="45">
        <f>IFERROR(__xludf.DUMMYFUNCTION("""COMPUTED_VALUE"""),19854959)</f>
        <v/>
      </c>
      <c r="J785" s="45">
        <f>IFERROR(__xludf.DUMMYFUNCTION("""COMPUTED_VALUE"""),"LW3ISMS")</f>
        <v/>
      </c>
      <c r="K785" s="45">
        <f>IFERROR(__xludf.DUMMYFUNCTION("""COMPUTED_VALUE"""),"LW3ISMS-020392")</f>
        <v/>
      </c>
      <c r="L785" s="45">
        <f>IFERROR(__xludf.DUMMYFUNCTION("""COMPUTED_VALUE"""),3)</f>
        <v/>
      </c>
      <c r="M785" s="45">
        <f>IFERROR(__xludf.DUMMYFUNCTION("""COMPUTED_VALUE"""),24)</f>
        <v/>
      </c>
      <c r="N785" s="45">
        <f>IFERROR(__xludf.DUMMYFUNCTION("""COMPUTED_VALUE"""),9.03)</f>
        <v/>
      </c>
      <c r="O785" s="45">
        <f>IFERROR(__xludf.DUMMYFUNCTION("""COMPUTED_VALUE"""),0.236)</f>
        <v/>
      </c>
      <c r="P785" s="45">
        <f>IFERROR(__xludf.DUMMYFUNCTION("""COMPUTED_VALUE"""),"Colombo, LK")</f>
        <v/>
      </c>
      <c r="Q785" s="45">
        <f>IFERROR(__xludf.DUMMYFUNCTION("""COMPUTED_VALUE"""),"Felixstowe, GB")</f>
        <v/>
      </c>
      <c r="R785" s="44">
        <f>IFERROR(__xludf.DUMMYFUNCTION("""COMPUTED_VALUE"""),45838)</f>
        <v/>
      </c>
      <c r="S785" s="44">
        <f>IFERROR(__xludf.DUMMYFUNCTION("""COMPUTED_VALUE"""),45897)</f>
        <v/>
      </c>
      <c r="T785" s="45">
        <f>IFERROR(__xludf.DUMMYFUNCTION("""COMPUTED_VALUE"""),"Birmingham, GB")</f>
        <v/>
      </c>
      <c r="U785" s="45" t="n"/>
      <c r="V785" s="45" t="n"/>
      <c r="W785" s="45" t="n"/>
      <c r="X785" s="45" t="n"/>
      <c r="Y785" s="46">
        <f>IFERROR(__xludf.DUMMYFUNCTION("""COMPUTED_VALUE"""),45845)</f>
        <v/>
      </c>
      <c r="Z785" s="46">
        <f>IFERROR(__xludf.DUMMYFUNCTION("""COMPUTED_VALUE"""),45866)</f>
        <v/>
      </c>
      <c r="AA785" s="46">
        <f>IFERROR(__xludf.DUMMYFUNCTION("""COMPUTED_VALUE"""),45866)</f>
        <v/>
      </c>
      <c r="AB785" s="45">
        <f>IFERROR(__xludf.DUMMYFUNCTION("""COMPUTED_VALUE"""),"10A Faraday Ave")</f>
        <v/>
      </c>
      <c r="AC785" s="45" t="n"/>
      <c r="AD785" s="45">
        <f>IFERROR(__xludf.DUMMYFUNCTION("""COMPUTED_VALUE"""),"OCEAN")</f>
        <v/>
      </c>
      <c r="AE785" s="45">
        <f>IFERROR(__xludf.DUMMYFUNCTION("""COMPUTED_VALUE"""),"N")</f>
        <v/>
      </c>
      <c r="AF785" s="45">
        <f>IFERROR(__xludf.DUMMYFUNCTION("""COMPUTED_VALUE"""),"New Booking")</f>
        <v/>
      </c>
      <c r="AG785" s="49">
        <f>IFERROR(__xludf.DUMMYFUNCTION("IFNA(vlookup(H785,IMPORTRANGE(""1vUGwO1n0QQGx9kKbO0_M5gmuhXZ6-LaxQxgrmJnzgP0"",""'TP# look up'!A:C""),3,0),"""")"),"")</f>
        <v/>
      </c>
      <c r="AH785" s="49">
        <f>LEFT(J785,2)</f>
        <v/>
      </c>
    </row>
    <row r="786" ht="12.75" customHeight="1">
      <c r="A786" s="45">
        <f>IFERROR(__xludf.DUMMYFUNCTION("""COMPUTED_VALUE"""),"Colombo")</f>
        <v/>
      </c>
      <c r="B786" s="45" t="n"/>
      <c r="C786" s="45">
        <f>IFERROR(__xludf.DUMMYFUNCTION("""COMPUTED_VALUE"""),3259522)</f>
        <v/>
      </c>
      <c r="D786" s="45" t="n"/>
      <c r="E786" s="45">
        <f>IFERROR(__xludf.DUMMYFUNCTION("""COMPUTED_VALUE"""),"CFS")</f>
        <v/>
      </c>
      <c r="F786" s="45">
        <f>IFERROR(__xludf.DUMMYFUNCTION("""COMPUTED_VALUE"""),"Inqube Global (PVT) Ltd")</f>
        <v/>
      </c>
      <c r="G786" s="45">
        <f>IFERROR(__xludf.DUMMYFUNCTION("""COMPUTED_VALUE"""),"BRANDIX APPAREL SOLUTION LTD - GIRITALE")</f>
        <v/>
      </c>
      <c r="H786" s="43">
        <f>IFERROR(__xludf.DUMMYFUNCTION("""COMPUTED_VALUE"""),455637745125)</f>
        <v/>
      </c>
      <c r="I786" s="45">
        <f>IFERROR(__xludf.DUMMYFUNCTION("""COMPUTED_VALUE"""),19807130)</f>
        <v/>
      </c>
      <c r="J786" s="45">
        <f>IFERROR(__xludf.DUMMYFUNCTION("""COMPUTED_VALUE"""),"LM5AXAS")</f>
        <v/>
      </c>
      <c r="K786" s="45">
        <f>IFERROR(__xludf.DUMMYFUNCTION("""COMPUTED_VALUE"""),"LM5AXAS-031382")</f>
        <v/>
      </c>
      <c r="L786" s="45">
        <f>IFERROR(__xludf.DUMMYFUNCTION("""COMPUTED_VALUE"""),5)</f>
        <v/>
      </c>
      <c r="M786" s="45">
        <f>IFERROR(__xludf.DUMMYFUNCTION("""COMPUTED_VALUE"""),159)</f>
        <v/>
      </c>
      <c r="N786" s="45">
        <f>IFERROR(__xludf.DUMMYFUNCTION("""COMPUTED_VALUE"""),62.01)</f>
        <v/>
      </c>
      <c r="O786" s="45">
        <f>IFERROR(__xludf.DUMMYFUNCTION("""COMPUTED_VALUE"""),0.413)</f>
        <v/>
      </c>
      <c r="P786" s="45">
        <f>IFERROR(__xludf.DUMMYFUNCTION("""COMPUTED_VALUE"""),"Colombo, LK")</f>
        <v/>
      </c>
      <c r="Q786" s="45">
        <f>IFERROR(__xludf.DUMMYFUNCTION("""COMPUTED_VALUE"""),"Felixstowe, GB")</f>
        <v/>
      </c>
      <c r="R786" s="44">
        <f>IFERROR(__xludf.DUMMYFUNCTION("""COMPUTED_VALUE"""),45838)</f>
        <v/>
      </c>
      <c r="S786" s="44">
        <f>IFERROR(__xludf.DUMMYFUNCTION("""COMPUTED_VALUE"""),45897)</f>
        <v/>
      </c>
      <c r="T786" s="45">
        <f>IFERROR(__xludf.DUMMYFUNCTION("""COMPUTED_VALUE"""),"Birmingham, GB")</f>
        <v/>
      </c>
      <c r="U786" s="45" t="n"/>
      <c r="V786" s="45" t="n"/>
      <c r="W786" s="45" t="n"/>
      <c r="X786" s="45" t="n"/>
      <c r="Y786" s="46">
        <f>IFERROR(__xludf.DUMMYFUNCTION("""COMPUTED_VALUE"""),45845)</f>
        <v/>
      </c>
      <c r="Z786" s="46">
        <f>IFERROR(__xludf.DUMMYFUNCTION("""COMPUTED_VALUE"""),45866)</f>
        <v/>
      </c>
      <c r="AA786" s="46">
        <f>IFERROR(__xludf.DUMMYFUNCTION("""COMPUTED_VALUE"""),45866)</f>
        <v/>
      </c>
      <c r="AB786" s="45">
        <f>IFERROR(__xludf.DUMMYFUNCTION("""COMPUTED_VALUE"""),"10A Faraday Ave")</f>
        <v/>
      </c>
      <c r="AC786" s="45">
        <f>IFERROR(__xludf.DUMMYFUNCTION("""COMPUTED_VALUE"""),"Coleshill")</f>
        <v/>
      </c>
      <c r="AD786" s="45">
        <f>IFERROR(__xludf.DUMMYFUNCTION("""COMPUTED_VALUE"""),"OCEAN")</f>
        <v/>
      </c>
      <c r="AE786" s="45">
        <f>IFERROR(__xludf.DUMMYFUNCTION("""COMPUTED_VALUE"""),"N")</f>
        <v/>
      </c>
      <c r="AF786" s="45">
        <f>IFERROR(__xludf.DUMMYFUNCTION("""COMPUTED_VALUE"""),"New Booking")</f>
        <v/>
      </c>
      <c r="AG786" s="49">
        <f>IFERROR(__xludf.DUMMYFUNCTION("IFNA(vlookup(H786,IMPORTRANGE(""1vUGwO1n0QQGx9kKbO0_M5gmuhXZ6-LaxQxgrmJnzgP0"",""'TP# look up'!A:C""),3,0),"""")"),"")</f>
        <v/>
      </c>
      <c r="AH786" s="49">
        <f>LEFT(J786,2)</f>
        <v/>
      </c>
    </row>
    <row r="787" ht="12.75" customHeight="1">
      <c r="A787" s="45">
        <f>IFERROR(__xludf.DUMMYFUNCTION("""COMPUTED_VALUE"""),"Colombo")</f>
        <v/>
      </c>
      <c r="B787" s="45" t="n"/>
      <c r="C787" s="45">
        <f>IFERROR(__xludf.DUMMYFUNCTION("""COMPUTED_VALUE"""),3259526)</f>
        <v/>
      </c>
      <c r="D787" s="45" t="n"/>
      <c r="E787" s="45">
        <f>IFERROR(__xludf.DUMMYFUNCTION("""COMPUTED_VALUE"""),"CFS")</f>
        <v/>
      </c>
      <c r="F787" s="45">
        <f>IFERROR(__xludf.DUMMYFUNCTION("""COMPUTED_VALUE"""),"Inqube Global (PVT) Ltd")</f>
        <v/>
      </c>
      <c r="G787" s="45">
        <f>IFERROR(__xludf.DUMMYFUNCTION("""COMPUTED_VALUE"""),"BRANDIX APPAREL SOLUTION LTD - GIRITALE")</f>
        <v/>
      </c>
      <c r="H787" s="43">
        <f>IFERROR(__xludf.DUMMYFUNCTION("""COMPUTED_VALUE"""),455637636012)</f>
        <v/>
      </c>
      <c r="I787" s="45">
        <f>IFERROR(__xludf.DUMMYFUNCTION("""COMPUTED_VALUE"""),19807100)</f>
        <v/>
      </c>
      <c r="J787" s="45">
        <f>IFERROR(__xludf.DUMMYFUNCTION("""COMPUTED_VALUE"""),"LM5AO4S")</f>
        <v/>
      </c>
      <c r="K787" s="45">
        <f>IFERROR(__xludf.DUMMYFUNCTION("""COMPUTED_VALUE"""),"LM5AO4S-019222")</f>
        <v/>
      </c>
      <c r="L787" s="45">
        <f>IFERROR(__xludf.DUMMYFUNCTION("""COMPUTED_VALUE"""),9)</f>
        <v/>
      </c>
      <c r="M787" s="45">
        <f>IFERROR(__xludf.DUMMYFUNCTION("""COMPUTED_VALUE"""),355)</f>
        <v/>
      </c>
      <c r="N787" s="45">
        <f>IFERROR(__xludf.DUMMYFUNCTION("""COMPUTED_VALUE"""),155.93)</f>
        <v/>
      </c>
      <c r="O787" s="45">
        <f>IFERROR(__xludf.DUMMYFUNCTION("""COMPUTED_VALUE"""),0.743)</f>
        <v/>
      </c>
      <c r="P787" s="45">
        <f>IFERROR(__xludf.DUMMYFUNCTION("""COMPUTED_VALUE"""),"Colombo, LK")</f>
        <v/>
      </c>
      <c r="Q787" s="45">
        <f>IFERROR(__xludf.DUMMYFUNCTION("""COMPUTED_VALUE"""),"Rotterdam, NL")</f>
        <v/>
      </c>
      <c r="R787" s="44">
        <f>IFERROR(__xludf.DUMMYFUNCTION("""COMPUTED_VALUE"""),45838)</f>
        <v/>
      </c>
      <c r="S787" s="44">
        <f>IFERROR(__xludf.DUMMYFUNCTION("""COMPUTED_VALUE"""),45892)</f>
        <v/>
      </c>
      <c r="T787" s="45">
        <f>IFERROR(__xludf.DUMMYFUNCTION("""COMPUTED_VALUE"""),"Rotterdam, NL")</f>
        <v/>
      </c>
      <c r="U787" s="45" t="n"/>
      <c r="V787" s="45" t="n"/>
      <c r="W787" s="45" t="n"/>
      <c r="X787" s="45" t="n"/>
      <c r="Y787" s="46">
        <f>IFERROR(__xludf.DUMMYFUNCTION("""COMPUTED_VALUE"""),45845)</f>
        <v/>
      </c>
      <c r="Z787" s="46">
        <f>IFERROR(__xludf.DUMMYFUNCTION("""COMPUTED_VALUE"""),45866)</f>
        <v/>
      </c>
      <c r="AA787" s="46">
        <f>IFERROR(__xludf.DUMMYFUNCTION("""COMPUTED_VALUE"""),45866)</f>
        <v/>
      </c>
      <c r="AB787" s="45">
        <f>IFERROR(__xludf.DUMMYFUNCTION("""COMPUTED_VALUE"""),"Conradweg 26")</f>
        <v/>
      </c>
      <c r="AC787" s="45" t="n"/>
      <c r="AD787" s="45">
        <f>IFERROR(__xludf.DUMMYFUNCTION("""COMPUTED_VALUE"""),"OCEAN")</f>
        <v/>
      </c>
      <c r="AE787" s="45">
        <f>IFERROR(__xludf.DUMMYFUNCTION("""COMPUTED_VALUE"""),"N")</f>
        <v/>
      </c>
      <c r="AF787" s="45">
        <f>IFERROR(__xludf.DUMMYFUNCTION("""COMPUTED_VALUE"""),"New Booking")</f>
        <v/>
      </c>
      <c r="AG787" s="49">
        <f>IFERROR(__xludf.DUMMYFUNCTION("IFNA(vlookup(H787,IMPORTRANGE(""1vUGwO1n0QQGx9kKbO0_M5gmuhXZ6-LaxQxgrmJnzgP0"",""'TP# look up'!A:C""),3,0),"""")"),"")</f>
        <v/>
      </c>
      <c r="AH787" s="49">
        <f>LEFT(J787,2)</f>
        <v/>
      </c>
    </row>
    <row r="788" ht="12.75" customHeight="1">
      <c r="A788" s="45">
        <f>IFERROR(__xludf.DUMMYFUNCTION("""COMPUTED_VALUE"""),"Colombo")</f>
        <v/>
      </c>
      <c r="B788" s="45" t="n"/>
      <c r="C788" s="45">
        <f>IFERROR(__xludf.DUMMYFUNCTION("""COMPUTED_VALUE"""),3259526)</f>
        <v/>
      </c>
      <c r="D788" s="45" t="n"/>
      <c r="E788" s="45">
        <f>IFERROR(__xludf.DUMMYFUNCTION("""COMPUTED_VALUE"""),"CFS")</f>
        <v/>
      </c>
      <c r="F788" s="45">
        <f>IFERROR(__xludf.DUMMYFUNCTION("""COMPUTED_VALUE"""),"Inqube Global (PVT) Ltd")</f>
        <v/>
      </c>
      <c r="G788" s="45">
        <f>IFERROR(__xludf.DUMMYFUNCTION("""COMPUTED_VALUE"""),"BRANDIX APPAREL SOLUTION LTD - GIRITALE")</f>
        <v/>
      </c>
      <c r="H788" s="43">
        <f>IFERROR(__xludf.DUMMYFUNCTION("""COMPUTED_VALUE"""),455638478310)</f>
        <v/>
      </c>
      <c r="I788" s="45">
        <f>IFERROR(__xludf.DUMMYFUNCTION("""COMPUTED_VALUE"""),19807131)</f>
        <v/>
      </c>
      <c r="J788" s="45">
        <f>IFERROR(__xludf.DUMMYFUNCTION("""COMPUTED_VALUE"""),"LM5AXAS")</f>
        <v/>
      </c>
      <c r="K788" s="45">
        <f>IFERROR(__xludf.DUMMYFUNCTION("""COMPUTED_VALUE"""),"LM5AXAS-031382")</f>
        <v/>
      </c>
      <c r="L788" s="45">
        <f>IFERROR(__xludf.DUMMYFUNCTION("""COMPUTED_VALUE"""),3)</f>
        <v/>
      </c>
      <c r="M788" s="45">
        <f>IFERROR(__xludf.DUMMYFUNCTION("""COMPUTED_VALUE"""),56)</f>
        <v/>
      </c>
      <c r="N788" s="45">
        <f>IFERROR(__xludf.DUMMYFUNCTION("""COMPUTED_VALUE"""),26.39)</f>
        <v/>
      </c>
      <c r="O788" s="45">
        <f>IFERROR(__xludf.DUMMYFUNCTION("""COMPUTED_VALUE"""),0.168)</f>
        <v/>
      </c>
      <c r="P788" s="45">
        <f>IFERROR(__xludf.DUMMYFUNCTION("""COMPUTED_VALUE"""),"Colombo, LK")</f>
        <v/>
      </c>
      <c r="Q788" s="45">
        <f>IFERROR(__xludf.DUMMYFUNCTION("""COMPUTED_VALUE"""),"Rotterdam, NL")</f>
        <v/>
      </c>
      <c r="R788" s="44">
        <f>IFERROR(__xludf.DUMMYFUNCTION("""COMPUTED_VALUE"""),45838)</f>
        <v/>
      </c>
      <c r="S788" s="44">
        <f>IFERROR(__xludf.DUMMYFUNCTION("""COMPUTED_VALUE"""),45892)</f>
        <v/>
      </c>
      <c r="T788" s="45">
        <f>IFERROR(__xludf.DUMMYFUNCTION("""COMPUTED_VALUE"""),"Rotterdam, NL")</f>
        <v/>
      </c>
      <c r="U788" s="45" t="n"/>
      <c r="V788" s="45" t="n"/>
      <c r="W788" s="45" t="n"/>
      <c r="X788" s="45" t="n"/>
      <c r="Y788" s="46">
        <f>IFERROR(__xludf.DUMMYFUNCTION("""COMPUTED_VALUE"""),45845)</f>
        <v/>
      </c>
      <c r="Z788" s="46">
        <f>IFERROR(__xludf.DUMMYFUNCTION("""COMPUTED_VALUE"""),45866)</f>
        <v/>
      </c>
      <c r="AA788" s="46">
        <f>IFERROR(__xludf.DUMMYFUNCTION("""COMPUTED_VALUE"""),45866)</f>
        <v/>
      </c>
      <c r="AB788" s="45">
        <f>IFERROR(__xludf.DUMMYFUNCTION("""COMPUTED_VALUE"""),"Conradweg 26")</f>
        <v/>
      </c>
      <c r="AC788" s="45" t="n"/>
      <c r="AD788" s="45">
        <f>IFERROR(__xludf.DUMMYFUNCTION("""COMPUTED_VALUE"""),"OCEAN")</f>
        <v/>
      </c>
      <c r="AE788" s="45">
        <f>IFERROR(__xludf.DUMMYFUNCTION("""COMPUTED_VALUE"""),"N")</f>
        <v/>
      </c>
      <c r="AF788" s="45">
        <f>IFERROR(__xludf.DUMMYFUNCTION("""COMPUTED_VALUE"""),"New Booking")</f>
        <v/>
      </c>
      <c r="AG788" s="49">
        <f>IFERROR(__xludf.DUMMYFUNCTION("IFNA(vlookup(H788,IMPORTRANGE(""1vUGwO1n0QQGx9kKbO0_M5gmuhXZ6-LaxQxgrmJnzgP0"",""'TP# look up'!A:C""),3,0),"""")"),"")</f>
        <v/>
      </c>
      <c r="AH788" s="49">
        <f>LEFT(J788,2)</f>
        <v/>
      </c>
    </row>
    <row r="789" ht="12.75" customHeight="1">
      <c r="A789" s="45">
        <f>IFERROR(__xludf.DUMMYFUNCTION("""COMPUTED_VALUE"""),"Colombo")</f>
        <v/>
      </c>
      <c r="B789" s="45" t="n"/>
      <c r="C789" s="45">
        <f>IFERROR(__xludf.DUMMYFUNCTION("""COMPUTED_VALUE"""),3259526)</f>
        <v/>
      </c>
      <c r="D789" s="45" t="n"/>
      <c r="E789" s="45">
        <f>IFERROR(__xludf.DUMMYFUNCTION("""COMPUTED_VALUE"""),"CFS")</f>
        <v/>
      </c>
      <c r="F789" s="45">
        <f>IFERROR(__xludf.DUMMYFUNCTION("""COMPUTED_VALUE"""),"Inqube Global (PVT) Ltd")</f>
        <v/>
      </c>
      <c r="G789" s="45">
        <f>IFERROR(__xludf.DUMMYFUNCTION("""COMPUTED_VALUE"""),"BRANDIX APPAREL SOLUTION LTD - GIRITALE")</f>
        <v/>
      </c>
      <c r="H789" s="43">
        <f>IFERROR(__xludf.DUMMYFUNCTION("""COMPUTED_VALUE"""),455638790916)</f>
        <v/>
      </c>
      <c r="I789" s="45">
        <f>IFERROR(__xludf.DUMMYFUNCTION("""COMPUTED_VALUE"""),19807129)</f>
        <v/>
      </c>
      <c r="J789" s="45">
        <f>IFERROR(__xludf.DUMMYFUNCTION("""COMPUTED_VALUE"""),"LM5AXAS")</f>
        <v/>
      </c>
      <c r="K789" s="45">
        <f>IFERROR(__xludf.DUMMYFUNCTION("""COMPUTED_VALUE"""),"LM5AXAS-031382")</f>
        <v/>
      </c>
      <c r="L789" s="45">
        <f>IFERROR(__xludf.DUMMYFUNCTION("""COMPUTED_VALUE"""),6)</f>
        <v/>
      </c>
      <c r="M789" s="45">
        <f>IFERROR(__xludf.DUMMYFUNCTION("""COMPUTED_VALUE"""),205)</f>
        <v/>
      </c>
      <c r="N789" s="45">
        <f>IFERROR(__xludf.DUMMYFUNCTION("""COMPUTED_VALUE"""),79.17)</f>
        <v/>
      </c>
      <c r="O789" s="45">
        <f>IFERROR(__xludf.DUMMYFUNCTION("""COMPUTED_VALUE"""),0.455)</f>
        <v/>
      </c>
      <c r="P789" s="45">
        <f>IFERROR(__xludf.DUMMYFUNCTION("""COMPUTED_VALUE"""),"Colombo, LK")</f>
        <v/>
      </c>
      <c r="Q789" s="45">
        <f>IFERROR(__xludf.DUMMYFUNCTION("""COMPUTED_VALUE"""),"Rotterdam, NL")</f>
        <v/>
      </c>
      <c r="R789" s="44">
        <f>IFERROR(__xludf.DUMMYFUNCTION("""COMPUTED_VALUE"""),45838)</f>
        <v/>
      </c>
      <c r="S789" s="44">
        <f>IFERROR(__xludf.DUMMYFUNCTION("""COMPUTED_VALUE"""),45892)</f>
        <v/>
      </c>
      <c r="T789" s="45">
        <f>IFERROR(__xludf.DUMMYFUNCTION("""COMPUTED_VALUE"""),"Rotterdam, NL")</f>
        <v/>
      </c>
      <c r="U789" s="45" t="n"/>
      <c r="V789" s="45" t="n"/>
      <c r="W789" s="45" t="n"/>
      <c r="X789" s="45" t="n"/>
      <c r="Y789" s="46">
        <f>IFERROR(__xludf.DUMMYFUNCTION("""COMPUTED_VALUE"""),45845)</f>
        <v/>
      </c>
      <c r="Z789" s="46">
        <f>IFERROR(__xludf.DUMMYFUNCTION("""COMPUTED_VALUE"""),45866)</f>
        <v/>
      </c>
      <c r="AA789" s="46">
        <f>IFERROR(__xludf.DUMMYFUNCTION("""COMPUTED_VALUE"""),45866)</f>
        <v/>
      </c>
      <c r="AB789" s="45">
        <f>IFERROR(__xludf.DUMMYFUNCTION("""COMPUTED_VALUE"""),"Conradweg 26")</f>
        <v/>
      </c>
      <c r="AC789" s="45" t="n"/>
      <c r="AD789" s="45">
        <f>IFERROR(__xludf.DUMMYFUNCTION("""COMPUTED_VALUE"""),"OCEAN")</f>
        <v/>
      </c>
      <c r="AE789" s="45">
        <f>IFERROR(__xludf.DUMMYFUNCTION("""COMPUTED_VALUE"""),"N")</f>
        <v/>
      </c>
      <c r="AF789" s="45">
        <f>IFERROR(__xludf.DUMMYFUNCTION("""COMPUTED_VALUE"""),"New Booking")</f>
        <v/>
      </c>
      <c r="AG789" s="49">
        <f>IFERROR(__xludf.DUMMYFUNCTION("IFNA(vlookup(H789,IMPORTRANGE(""1vUGwO1n0QQGx9kKbO0_M5gmuhXZ6-LaxQxgrmJnzgP0"",""'TP# look up'!A:C""),3,0),"""")"),"")</f>
        <v/>
      </c>
      <c r="AH789" s="49">
        <f>LEFT(J789,2)</f>
        <v/>
      </c>
    </row>
    <row r="790" ht="12.75" customHeight="1">
      <c r="A790" s="45">
        <f>IFERROR(__xludf.DUMMYFUNCTION("""COMPUTED_VALUE"""),"Colombo")</f>
        <v/>
      </c>
      <c r="B790" s="45" t="n"/>
      <c r="C790" s="45">
        <f>IFERROR(__xludf.DUMMYFUNCTION("""COMPUTED_VALUE"""),3259526)</f>
        <v/>
      </c>
      <c r="D790" s="45" t="n"/>
      <c r="E790" s="45">
        <f>IFERROR(__xludf.DUMMYFUNCTION("""COMPUTED_VALUE"""),"CFS")</f>
        <v/>
      </c>
      <c r="F790" s="45">
        <f>IFERROR(__xludf.DUMMYFUNCTION("""COMPUTED_VALUE"""),"Inqube Global (PVT) Ltd")</f>
        <v/>
      </c>
      <c r="G790" s="45">
        <f>IFERROR(__xludf.DUMMYFUNCTION("""COMPUTED_VALUE"""),"BRANDIX APPAREL SOLUTION LTD - GIRITALE")</f>
        <v/>
      </c>
      <c r="H790" s="43">
        <f>IFERROR(__xludf.DUMMYFUNCTION("""COMPUTED_VALUE"""),456037815407)</f>
        <v/>
      </c>
      <c r="I790" s="45">
        <f>IFERROR(__xludf.DUMMYFUNCTION("""COMPUTED_VALUE"""),19807133)</f>
        <v/>
      </c>
      <c r="J790" s="45">
        <f>IFERROR(__xludf.DUMMYFUNCTION("""COMPUTED_VALUE"""),"LM5AXAS")</f>
        <v/>
      </c>
      <c r="K790" s="45">
        <f>IFERROR(__xludf.DUMMYFUNCTION("""COMPUTED_VALUE"""),"LM5AXAS-019222")</f>
        <v/>
      </c>
      <c r="L790" s="45">
        <f>IFERROR(__xludf.DUMMYFUNCTION("""COMPUTED_VALUE"""),2)</f>
        <v/>
      </c>
      <c r="M790" s="45">
        <f>IFERROR(__xludf.DUMMYFUNCTION("""COMPUTED_VALUE"""),44)</f>
        <v/>
      </c>
      <c r="N790" s="45">
        <f>IFERROR(__xludf.DUMMYFUNCTION("""COMPUTED_VALUE"""),20.49)</f>
        <v/>
      </c>
      <c r="O790" s="45">
        <f>IFERROR(__xludf.DUMMYFUNCTION("""COMPUTED_VALUE"""),0.125)</f>
        <v/>
      </c>
      <c r="P790" s="45">
        <f>IFERROR(__xludf.DUMMYFUNCTION("""COMPUTED_VALUE"""),"Colombo, LK")</f>
        <v/>
      </c>
      <c r="Q790" s="45">
        <f>IFERROR(__xludf.DUMMYFUNCTION("""COMPUTED_VALUE"""),"Rotterdam, NL")</f>
        <v/>
      </c>
      <c r="R790" s="44">
        <f>IFERROR(__xludf.DUMMYFUNCTION("""COMPUTED_VALUE"""),45838)</f>
        <v/>
      </c>
      <c r="S790" s="44">
        <f>IFERROR(__xludf.DUMMYFUNCTION("""COMPUTED_VALUE"""),45892)</f>
        <v/>
      </c>
      <c r="T790" s="45">
        <f>IFERROR(__xludf.DUMMYFUNCTION("""COMPUTED_VALUE"""),"Rotterdam, NL")</f>
        <v/>
      </c>
      <c r="U790" s="45" t="n"/>
      <c r="V790" s="45" t="n"/>
      <c r="W790" s="45" t="n"/>
      <c r="X790" s="45" t="n"/>
      <c r="Y790" s="46">
        <f>IFERROR(__xludf.DUMMYFUNCTION("""COMPUTED_VALUE"""),45845)</f>
        <v/>
      </c>
      <c r="Z790" s="46">
        <f>IFERROR(__xludf.DUMMYFUNCTION("""COMPUTED_VALUE"""),45866)</f>
        <v/>
      </c>
      <c r="AA790" s="46">
        <f>IFERROR(__xludf.DUMMYFUNCTION("""COMPUTED_VALUE"""),45866)</f>
        <v/>
      </c>
      <c r="AB790" s="45">
        <f>IFERROR(__xludf.DUMMYFUNCTION("""COMPUTED_VALUE"""),"Conradweg 26")</f>
        <v/>
      </c>
      <c r="AC790" s="45" t="n"/>
      <c r="AD790" s="45">
        <f>IFERROR(__xludf.DUMMYFUNCTION("""COMPUTED_VALUE"""),"OCEAN")</f>
        <v/>
      </c>
      <c r="AE790" s="45">
        <f>IFERROR(__xludf.DUMMYFUNCTION("""COMPUTED_VALUE"""),"N")</f>
        <v/>
      </c>
      <c r="AF790" s="45">
        <f>IFERROR(__xludf.DUMMYFUNCTION("""COMPUTED_VALUE"""),"New Booking")</f>
        <v/>
      </c>
      <c r="AG790" s="49">
        <f>IFERROR(__xludf.DUMMYFUNCTION("IFNA(vlookup(H790,IMPORTRANGE(""1vUGwO1n0QQGx9kKbO0_M5gmuhXZ6-LaxQxgrmJnzgP0"",""'TP# look up'!A:C""),3,0),"""")"),"")</f>
        <v/>
      </c>
      <c r="AH790" s="49">
        <f>LEFT(J790,2)</f>
        <v/>
      </c>
    </row>
    <row r="791" ht="12.75" customHeight="1">
      <c r="A791" s="45">
        <f>IFERROR(__xludf.DUMMYFUNCTION("""COMPUTED_VALUE"""),"Colombo")</f>
        <v/>
      </c>
      <c r="B791" s="45" t="n"/>
      <c r="C791" s="45">
        <f>IFERROR(__xludf.DUMMYFUNCTION("""COMPUTED_VALUE"""),3259526)</f>
        <v/>
      </c>
      <c r="D791" s="45" t="n"/>
      <c r="E791" s="45">
        <f>IFERROR(__xludf.DUMMYFUNCTION("""COMPUTED_VALUE"""),"CFS")</f>
        <v/>
      </c>
      <c r="F791" s="45">
        <f>IFERROR(__xludf.DUMMYFUNCTION("""COMPUTED_VALUE"""),"Inqube Global (PVT) Ltd")</f>
        <v/>
      </c>
      <c r="G791" s="45">
        <f>IFERROR(__xludf.DUMMYFUNCTION("""COMPUTED_VALUE"""),"BRANDIX APPAREL SOLUTION LTD - GIRITALE")</f>
        <v/>
      </c>
      <c r="H791" s="43">
        <f>IFERROR(__xludf.DUMMYFUNCTION("""COMPUTED_VALUE"""),456040039721)</f>
        <v/>
      </c>
      <c r="I791" s="45">
        <f>IFERROR(__xludf.DUMMYFUNCTION("""COMPUTED_VALUE"""),19807137)</f>
        <v/>
      </c>
      <c r="J791" s="45">
        <f>IFERROR(__xludf.DUMMYFUNCTION("""COMPUTED_VALUE"""),"LM5AXAS")</f>
        <v/>
      </c>
      <c r="K791" s="45">
        <f>IFERROR(__xludf.DUMMYFUNCTION("""COMPUTED_VALUE"""),"LM5AXAS-070108")</f>
        <v/>
      </c>
      <c r="L791" s="45">
        <f>IFERROR(__xludf.DUMMYFUNCTION("""COMPUTED_VALUE"""),1)</f>
        <v/>
      </c>
      <c r="M791" s="45">
        <f>IFERROR(__xludf.DUMMYFUNCTION("""COMPUTED_VALUE"""),31)</f>
        <v/>
      </c>
      <c r="N791" s="45">
        <f>IFERROR(__xludf.DUMMYFUNCTION("""COMPUTED_VALUE"""),14.19)</f>
        <v/>
      </c>
      <c r="O791" s="45">
        <f>IFERROR(__xludf.DUMMYFUNCTION("""COMPUTED_VALUE"""),0.083)</f>
        <v/>
      </c>
      <c r="P791" s="45">
        <f>IFERROR(__xludf.DUMMYFUNCTION("""COMPUTED_VALUE"""),"Colombo, LK")</f>
        <v/>
      </c>
      <c r="Q791" s="45">
        <f>IFERROR(__xludf.DUMMYFUNCTION("""COMPUTED_VALUE"""),"Rotterdam, NL")</f>
        <v/>
      </c>
      <c r="R791" s="44">
        <f>IFERROR(__xludf.DUMMYFUNCTION("""COMPUTED_VALUE"""),45838)</f>
        <v/>
      </c>
      <c r="S791" s="44">
        <f>IFERROR(__xludf.DUMMYFUNCTION("""COMPUTED_VALUE"""),45892)</f>
        <v/>
      </c>
      <c r="T791" s="45">
        <f>IFERROR(__xludf.DUMMYFUNCTION("""COMPUTED_VALUE"""),"Rotterdam, NL")</f>
        <v/>
      </c>
      <c r="U791" s="45" t="n"/>
      <c r="V791" s="45" t="n"/>
      <c r="W791" s="45" t="n"/>
      <c r="X791" s="45" t="n"/>
      <c r="Y791" s="46">
        <f>IFERROR(__xludf.DUMMYFUNCTION("""COMPUTED_VALUE"""),45845)</f>
        <v/>
      </c>
      <c r="Z791" s="46">
        <f>IFERROR(__xludf.DUMMYFUNCTION("""COMPUTED_VALUE"""),45866)</f>
        <v/>
      </c>
      <c r="AA791" s="46">
        <f>IFERROR(__xludf.DUMMYFUNCTION("""COMPUTED_VALUE"""),45866)</f>
        <v/>
      </c>
      <c r="AB791" s="45">
        <f>IFERROR(__xludf.DUMMYFUNCTION("""COMPUTED_VALUE"""),"Conradweg 26")</f>
        <v/>
      </c>
      <c r="AC791" s="45" t="n"/>
      <c r="AD791" s="45">
        <f>IFERROR(__xludf.DUMMYFUNCTION("""COMPUTED_VALUE"""),"OCEAN")</f>
        <v/>
      </c>
      <c r="AE791" s="45">
        <f>IFERROR(__xludf.DUMMYFUNCTION("""COMPUTED_VALUE"""),"N")</f>
        <v/>
      </c>
      <c r="AF791" s="45">
        <f>IFERROR(__xludf.DUMMYFUNCTION("""COMPUTED_VALUE"""),"New Booking")</f>
        <v/>
      </c>
      <c r="AG791" s="49">
        <f>IFERROR(__xludf.DUMMYFUNCTION("IFNA(vlookup(H791,IMPORTRANGE(""1vUGwO1n0QQGx9kKbO0_M5gmuhXZ6-LaxQxgrmJnzgP0"",""'TP# look up'!A:C""),3,0),"""")"),"")</f>
        <v/>
      </c>
      <c r="AH791" s="49">
        <f>LEFT(J791,2)</f>
        <v/>
      </c>
    </row>
    <row r="792" ht="12.75" customHeight="1">
      <c r="A792" s="45">
        <f>IFERROR(__xludf.DUMMYFUNCTION("""COMPUTED_VALUE"""),"Colombo")</f>
        <v/>
      </c>
      <c r="B792" s="45" t="n"/>
      <c r="C792" s="45">
        <f>IFERROR(__xludf.DUMMYFUNCTION("""COMPUTED_VALUE"""),3259526)</f>
        <v/>
      </c>
      <c r="D792" s="45" t="n"/>
      <c r="E792" s="45">
        <f>IFERROR(__xludf.DUMMYFUNCTION("""COMPUTED_VALUE"""),"CFS")</f>
        <v/>
      </c>
      <c r="F792" s="45">
        <f>IFERROR(__xludf.DUMMYFUNCTION("""COMPUTED_VALUE"""),"Inqube Global (PVT) Ltd")</f>
        <v/>
      </c>
      <c r="G792" s="45">
        <f>IFERROR(__xludf.DUMMYFUNCTION("""COMPUTED_VALUE"""),"BRANDIX APPAREL SOLUTION LTD - GIRITALE")</f>
        <v/>
      </c>
      <c r="H792" s="43">
        <f>IFERROR(__xludf.DUMMYFUNCTION("""COMPUTED_VALUE"""),456041080650)</f>
        <v/>
      </c>
      <c r="I792" s="45">
        <f>IFERROR(__xludf.DUMMYFUNCTION("""COMPUTED_VALUE"""),19807144)</f>
        <v/>
      </c>
      <c r="J792" s="45">
        <f>IFERROR(__xludf.DUMMYFUNCTION("""COMPUTED_VALUE"""),"LM5BKOS")</f>
        <v/>
      </c>
      <c r="K792" s="45">
        <f>IFERROR(__xludf.DUMMYFUNCTION("""COMPUTED_VALUE"""),"LM5BKOS-031382")</f>
        <v/>
      </c>
      <c r="L792" s="45">
        <f>IFERROR(__xludf.DUMMYFUNCTION("""COMPUTED_VALUE"""),6)</f>
        <v/>
      </c>
      <c r="M792" s="45">
        <f>IFERROR(__xludf.DUMMYFUNCTION("""COMPUTED_VALUE"""),205)</f>
        <v/>
      </c>
      <c r="N792" s="45">
        <f>IFERROR(__xludf.DUMMYFUNCTION("""COMPUTED_VALUE"""),81.79)</f>
        <v/>
      </c>
      <c r="O792" s="45">
        <f>IFERROR(__xludf.DUMMYFUNCTION("""COMPUTED_VALUE"""),0.455)</f>
        <v/>
      </c>
      <c r="P792" s="45">
        <f>IFERROR(__xludf.DUMMYFUNCTION("""COMPUTED_VALUE"""),"Colombo, LK")</f>
        <v/>
      </c>
      <c r="Q792" s="45">
        <f>IFERROR(__xludf.DUMMYFUNCTION("""COMPUTED_VALUE"""),"Rotterdam, NL")</f>
        <v/>
      </c>
      <c r="R792" s="44">
        <f>IFERROR(__xludf.DUMMYFUNCTION("""COMPUTED_VALUE"""),45838)</f>
        <v/>
      </c>
      <c r="S792" s="44">
        <f>IFERROR(__xludf.DUMMYFUNCTION("""COMPUTED_VALUE"""),45892)</f>
        <v/>
      </c>
      <c r="T792" s="45">
        <f>IFERROR(__xludf.DUMMYFUNCTION("""COMPUTED_VALUE"""),"Rotterdam, NL")</f>
        <v/>
      </c>
      <c r="U792" s="45" t="n"/>
      <c r="V792" s="45" t="n"/>
      <c r="W792" s="45" t="n"/>
      <c r="X792" s="45" t="n"/>
      <c r="Y792" s="46">
        <f>IFERROR(__xludf.DUMMYFUNCTION("""COMPUTED_VALUE"""),45845)</f>
        <v/>
      </c>
      <c r="Z792" s="46">
        <f>IFERROR(__xludf.DUMMYFUNCTION("""COMPUTED_VALUE"""),45866)</f>
        <v/>
      </c>
      <c r="AA792" s="46">
        <f>IFERROR(__xludf.DUMMYFUNCTION("""COMPUTED_VALUE"""),45866)</f>
        <v/>
      </c>
      <c r="AB792" s="45">
        <f>IFERROR(__xludf.DUMMYFUNCTION("""COMPUTED_VALUE"""),"Conradweg 26")</f>
        <v/>
      </c>
      <c r="AC792" s="45" t="n"/>
      <c r="AD792" s="45">
        <f>IFERROR(__xludf.DUMMYFUNCTION("""COMPUTED_VALUE"""),"OCEAN")</f>
        <v/>
      </c>
      <c r="AE792" s="45">
        <f>IFERROR(__xludf.DUMMYFUNCTION("""COMPUTED_VALUE"""),"N")</f>
        <v/>
      </c>
      <c r="AF792" s="45">
        <f>IFERROR(__xludf.DUMMYFUNCTION("""COMPUTED_VALUE"""),"New Booking")</f>
        <v/>
      </c>
      <c r="AG792" s="49">
        <f>IFERROR(__xludf.DUMMYFUNCTION("IFNA(vlookup(H792,IMPORTRANGE(""1vUGwO1n0QQGx9kKbO0_M5gmuhXZ6-LaxQxgrmJnzgP0"",""'TP# look up'!A:C""),3,0),"""")"),"")</f>
        <v/>
      </c>
      <c r="AH792" s="49">
        <f>LEFT(J792,2)</f>
        <v/>
      </c>
    </row>
    <row r="793" ht="12.75" customHeight="1">
      <c r="A793" s="45">
        <f>IFERROR(__xludf.DUMMYFUNCTION("""COMPUTED_VALUE"""),"Colombo")</f>
        <v/>
      </c>
      <c r="B793" s="45" t="n"/>
      <c r="C793" s="45">
        <f>IFERROR(__xludf.DUMMYFUNCTION("""COMPUTED_VALUE"""),3259526)</f>
        <v/>
      </c>
      <c r="D793" s="45" t="n"/>
      <c r="E793" s="45">
        <f>IFERROR(__xludf.DUMMYFUNCTION("""COMPUTED_VALUE"""),"CFS")</f>
        <v/>
      </c>
      <c r="F793" s="45">
        <f>IFERROR(__xludf.DUMMYFUNCTION("""COMPUTED_VALUE"""),"Inqube Global (PVT) Ltd")</f>
        <v/>
      </c>
      <c r="G793" s="45">
        <f>IFERROR(__xludf.DUMMYFUNCTION("""COMPUTED_VALUE"""),"Brandix Apparel Solutions Limited - Minuwangoda")</f>
        <v/>
      </c>
      <c r="H793" s="43">
        <f>IFERROR(__xludf.DUMMYFUNCTION("""COMPUTED_VALUE"""),456006286093)</f>
        <v/>
      </c>
      <c r="I793" s="45">
        <f>IFERROR(__xludf.DUMMYFUNCTION("""COMPUTED_VALUE"""),19854989)</f>
        <v/>
      </c>
      <c r="J793" s="45">
        <f>IFERROR(__xludf.DUMMYFUNCTION("""COMPUTED_VALUE"""),"LW5GLNS")</f>
        <v/>
      </c>
      <c r="K793" s="45">
        <f>IFERROR(__xludf.DUMMYFUNCTION("""COMPUTED_VALUE"""),"LW5GLNS-071150")</f>
        <v/>
      </c>
      <c r="L793" s="45">
        <f>IFERROR(__xludf.DUMMYFUNCTION("""COMPUTED_VALUE"""),15)</f>
        <v/>
      </c>
      <c r="M793" s="45">
        <f>IFERROR(__xludf.DUMMYFUNCTION("""COMPUTED_VALUE"""),314)</f>
        <v/>
      </c>
      <c r="N793" s="45">
        <f>IFERROR(__xludf.DUMMYFUNCTION("""COMPUTED_VALUE"""),163.73)</f>
        <v/>
      </c>
      <c r="O793" s="45">
        <f>IFERROR(__xludf.DUMMYFUNCTION("""COMPUTED_VALUE"""),1.178)</f>
        <v/>
      </c>
      <c r="P793" s="45">
        <f>IFERROR(__xludf.DUMMYFUNCTION("""COMPUTED_VALUE"""),"Colombo, LK")</f>
        <v/>
      </c>
      <c r="Q793" s="45">
        <f>IFERROR(__xludf.DUMMYFUNCTION("""COMPUTED_VALUE"""),"Rotterdam, NL")</f>
        <v/>
      </c>
      <c r="R793" s="44">
        <f>IFERROR(__xludf.DUMMYFUNCTION("""COMPUTED_VALUE"""),45838)</f>
        <v/>
      </c>
      <c r="S793" s="44">
        <f>IFERROR(__xludf.DUMMYFUNCTION("""COMPUTED_VALUE"""),45892)</f>
        <v/>
      </c>
      <c r="T793" s="45">
        <f>IFERROR(__xludf.DUMMYFUNCTION("""COMPUTED_VALUE"""),"Rotterdam, NL")</f>
        <v/>
      </c>
      <c r="U793" s="45" t="n"/>
      <c r="V793" s="45" t="n"/>
      <c r="W793" s="45" t="n"/>
      <c r="X793" s="45" t="n"/>
      <c r="Y793" s="46">
        <f>IFERROR(__xludf.DUMMYFUNCTION("""COMPUTED_VALUE"""),45845)</f>
        <v/>
      </c>
      <c r="Z793" s="46">
        <f>IFERROR(__xludf.DUMMYFUNCTION("""COMPUTED_VALUE"""),45866)</f>
        <v/>
      </c>
      <c r="AA793" s="46">
        <f>IFERROR(__xludf.DUMMYFUNCTION("""COMPUTED_VALUE"""),45866)</f>
        <v/>
      </c>
      <c r="AB793" s="45">
        <f>IFERROR(__xludf.DUMMYFUNCTION("""COMPUTED_VALUE"""),"Conradweg 26")</f>
        <v/>
      </c>
      <c r="AC793" s="45" t="n"/>
      <c r="AD793" s="45">
        <f>IFERROR(__xludf.DUMMYFUNCTION("""COMPUTED_VALUE"""),"OCEAN")</f>
        <v/>
      </c>
      <c r="AE793" s="45">
        <f>IFERROR(__xludf.DUMMYFUNCTION("""COMPUTED_VALUE"""),"N")</f>
        <v/>
      </c>
      <c r="AF793" s="45">
        <f>IFERROR(__xludf.DUMMYFUNCTION("""COMPUTED_VALUE"""),"New Booking")</f>
        <v/>
      </c>
      <c r="AG793" s="49">
        <f>IFERROR(__xludf.DUMMYFUNCTION("IFNA(vlookup(H793,IMPORTRANGE(""1vUGwO1n0QQGx9kKbO0_M5gmuhXZ6-LaxQxgrmJnzgP0"",""'TP# look up'!A:C""),3,0),"""")"),"")</f>
        <v/>
      </c>
      <c r="AH793" s="49">
        <f>LEFT(J793,2)</f>
        <v/>
      </c>
    </row>
    <row r="794" ht="12.75" customHeight="1">
      <c r="A794" s="45">
        <f>IFERROR(__xludf.DUMMYFUNCTION("""COMPUTED_VALUE"""),"Colombo")</f>
        <v/>
      </c>
      <c r="B794" s="45" t="n"/>
      <c r="C794" s="45">
        <f>IFERROR(__xludf.DUMMYFUNCTION("""COMPUTED_VALUE"""),3259526)</f>
        <v/>
      </c>
      <c r="D794" s="45" t="n"/>
      <c r="E794" s="45">
        <f>IFERROR(__xludf.DUMMYFUNCTION("""COMPUTED_VALUE"""),"CFS")</f>
        <v/>
      </c>
      <c r="F794" s="45">
        <f>IFERROR(__xludf.DUMMYFUNCTION("""COMPUTED_VALUE"""),"Bodyline Trading (Private) Limited")</f>
        <v/>
      </c>
      <c r="G794" s="45">
        <f>IFERROR(__xludf.DUMMYFUNCTION("""COMPUTED_VALUE"""),"Bodyline (Private) Limited")</f>
        <v/>
      </c>
      <c r="H794" s="43">
        <f>IFERROR(__xludf.DUMMYFUNCTION("""COMPUTED_VALUE"""),456406206252)</f>
        <v/>
      </c>
      <c r="I794" s="45">
        <f>IFERROR(__xludf.DUMMYFUNCTION("""COMPUTED_VALUE"""),19820609)</f>
        <v/>
      </c>
      <c r="J794" s="45">
        <f>IFERROR(__xludf.DUMMYFUNCTION("""COMPUTED_VALUE"""),"LW1FM7S")</f>
        <v/>
      </c>
      <c r="K794" s="45">
        <f>IFERROR(__xludf.DUMMYFUNCTION("""COMPUTED_VALUE"""),"LW1FM7S-033454")</f>
        <v/>
      </c>
      <c r="L794" s="45">
        <f>IFERROR(__xludf.DUMMYFUNCTION("""COMPUTED_VALUE"""),3)</f>
        <v/>
      </c>
      <c r="M794" s="45">
        <f>IFERROR(__xludf.DUMMYFUNCTION("""COMPUTED_VALUE"""),124)</f>
        <v/>
      </c>
      <c r="N794" s="45">
        <f>IFERROR(__xludf.DUMMYFUNCTION("""COMPUTED_VALUE"""),12.846)</f>
        <v/>
      </c>
      <c r="O794" s="45">
        <f>IFERROR(__xludf.DUMMYFUNCTION("""COMPUTED_VALUE"""),0.132)</f>
        <v/>
      </c>
      <c r="P794" s="45">
        <f>IFERROR(__xludf.DUMMYFUNCTION("""COMPUTED_VALUE"""),"Colombo, LK")</f>
        <v/>
      </c>
      <c r="Q794" s="45">
        <f>IFERROR(__xludf.DUMMYFUNCTION("""COMPUTED_VALUE"""),"Rotterdam, NL")</f>
        <v/>
      </c>
      <c r="R794" s="44">
        <f>IFERROR(__xludf.DUMMYFUNCTION("""COMPUTED_VALUE"""),45838)</f>
        <v/>
      </c>
      <c r="S794" s="44">
        <f>IFERROR(__xludf.DUMMYFUNCTION("""COMPUTED_VALUE"""),45892)</f>
        <v/>
      </c>
      <c r="T794" s="45">
        <f>IFERROR(__xludf.DUMMYFUNCTION("""COMPUTED_VALUE"""),"Rotterdam, NL")</f>
        <v/>
      </c>
      <c r="U794" s="45" t="n"/>
      <c r="V794" s="45" t="n"/>
      <c r="W794" s="45" t="n"/>
      <c r="X794" s="45" t="n"/>
      <c r="Y794" s="46">
        <f>IFERROR(__xludf.DUMMYFUNCTION("""COMPUTED_VALUE"""),45845)</f>
        <v/>
      </c>
      <c r="Z794" s="46">
        <f>IFERROR(__xludf.DUMMYFUNCTION("""COMPUTED_VALUE"""),45866)</f>
        <v/>
      </c>
      <c r="AA794" s="46">
        <f>IFERROR(__xludf.DUMMYFUNCTION("""COMPUTED_VALUE"""),45866)</f>
        <v/>
      </c>
      <c r="AB794" s="45">
        <f>IFERROR(__xludf.DUMMYFUNCTION("""COMPUTED_VALUE"""),"Conradweg 26")</f>
        <v/>
      </c>
      <c r="AC794" s="45" t="n"/>
      <c r="AD794" s="45">
        <f>IFERROR(__xludf.DUMMYFUNCTION("""COMPUTED_VALUE"""),"OCEAN")</f>
        <v/>
      </c>
      <c r="AE794" s="45">
        <f>IFERROR(__xludf.DUMMYFUNCTION("""COMPUTED_VALUE"""),"N")</f>
        <v/>
      </c>
      <c r="AF794" s="45">
        <f>IFERROR(__xludf.DUMMYFUNCTION("""COMPUTED_VALUE"""),"New Booking")</f>
        <v/>
      </c>
      <c r="AG794" s="49">
        <f>IFERROR(__xludf.DUMMYFUNCTION("IFNA(vlookup(H794,IMPORTRANGE(""1vUGwO1n0QQGx9kKbO0_M5gmuhXZ6-LaxQxgrmJnzgP0"",""'TP# look up'!A:C""),3,0),"""")"),"")</f>
        <v/>
      </c>
      <c r="AH794" s="49">
        <f>LEFT(J794,2)</f>
        <v/>
      </c>
    </row>
    <row r="795" ht="12.75" customHeight="1">
      <c r="A795" s="45">
        <f>IFERROR(__xludf.DUMMYFUNCTION("""COMPUTED_VALUE"""),"Colombo")</f>
        <v/>
      </c>
      <c r="B795" s="45" t="n"/>
      <c r="C795" s="45">
        <f>IFERROR(__xludf.DUMMYFUNCTION("""COMPUTED_VALUE"""),3259526)</f>
        <v/>
      </c>
      <c r="D795" s="45" t="n"/>
      <c r="E795" s="45">
        <f>IFERROR(__xludf.DUMMYFUNCTION("""COMPUTED_VALUE"""),"CFS")</f>
        <v/>
      </c>
      <c r="F795" s="45">
        <f>IFERROR(__xludf.DUMMYFUNCTION("""COMPUTED_VALUE"""),"Bodyline Trading (Private) Limited")</f>
        <v/>
      </c>
      <c r="G795" s="45">
        <f>IFERROR(__xludf.DUMMYFUNCTION("""COMPUTED_VALUE"""),"Bodyline (Private) Limited")</f>
        <v/>
      </c>
      <c r="H795" s="43">
        <f>IFERROR(__xludf.DUMMYFUNCTION("""COMPUTED_VALUE"""),456422457217)</f>
        <v/>
      </c>
      <c r="I795" s="45">
        <f>IFERROR(__xludf.DUMMYFUNCTION("""COMPUTED_VALUE"""),19828604)</f>
        <v/>
      </c>
      <c r="J795" s="45">
        <f>IFERROR(__xludf.DUMMYFUNCTION("""COMPUTED_VALUE"""),"LW2EB8S")</f>
        <v/>
      </c>
      <c r="K795" s="45">
        <f>IFERROR(__xludf.DUMMYFUNCTION("""COMPUTED_VALUE"""),"LW2EB8S-0001")</f>
        <v/>
      </c>
      <c r="L795" s="45">
        <f>IFERROR(__xludf.DUMMYFUNCTION("""COMPUTED_VALUE"""),10)</f>
        <v/>
      </c>
      <c r="M795" s="45">
        <f>IFERROR(__xludf.DUMMYFUNCTION("""COMPUTED_VALUE"""),563)</f>
        <v/>
      </c>
      <c r="N795" s="45">
        <f>IFERROR(__xludf.DUMMYFUNCTION("""COMPUTED_VALUE"""),82.6)</f>
        <v/>
      </c>
      <c r="O795" s="45">
        <f>IFERROR(__xludf.DUMMYFUNCTION("""COMPUTED_VALUE"""),0.769)</f>
        <v/>
      </c>
      <c r="P795" s="45">
        <f>IFERROR(__xludf.DUMMYFUNCTION("""COMPUTED_VALUE"""),"Colombo, LK")</f>
        <v/>
      </c>
      <c r="Q795" s="45">
        <f>IFERROR(__xludf.DUMMYFUNCTION("""COMPUTED_VALUE"""),"Rotterdam, NL")</f>
        <v/>
      </c>
      <c r="R795" s="44">
        <f>IFERROR(__xludf.DUMMYFUNCTION("""COMPUTED_VALUE"""),45838)</f>
        <v/>
      </c>
      <c r="S795" s="44">
        <f>IFERROR(__xludf.DUMMYFUNCTION("""COMPUTED_VALUE"""),45892)</f>
        <v/>
      </c>
      <c r="T795" s="45">
        <f>IFERROR(__xludf.DUMMYFUNCTION("""COMPUTED_VALUE"""),"Rotterdam, NL")</f>
        <v/>
      </c>
      <c r="U795" s="45" t="n"/>
      <c r="V795" s="45" t="n"/>
      <c r="W795" s="45" t="n"/>
      <c r="X795" s="45" t="n"/>
      <c r="Y795" s="46">
        <f>IFERROR(__xludf.DUMMYFUNCTION("""COMPUTED_VALUE"""),45845)</f>
        <v/>
      </c>
      <c r="Z795" s="46">
        <f>IFERROR(__xludf.DUMMYFUNCTION("""COMPUTED_VALUE"""),45866)</f>
        <v/>
      </c>
      <c r="AA795" s="46">
        <f>IFERROR(__xludf.DUMMYFUNCTION("""COMPUTED_VALUE"""),45866)</f>
        <v/>
      </c>
      <c r="AB795" s="45">
        <f>IFERROR(__xludf.DUMMYFUNCTION("""COMPUTED_VALUE"""),"Conradweg 26")</f>
        <v/>
      </c>
      <c r="AC795" s="45" t="n"/>
      <c r="AD795" s="45">
        <f>IFERROR(__xludf.DUMMYFUNCTION("""COMPUTED_VALUE"""),"OCEAN")</f>
        <v/>
      </c>
      <c r="AE795" s="45">
        <f>IFERROR(__xludf.DUMMYFUNCTION("""COMPUTED_VALUE"""),"N")</f>
        <v/>
      </c>
      <c r="AF795" s="45">
        <f>IFERROR(__xludf.DUMMYFUNCTION("""COMPUTED_VALUE"""),"New Booking")</f>
        <v/>
      </c>
      <c r="AG795" s="49">
        <f>IFERROR(__xludf.DUMMYFUNCTION("IFNA(vlookup(H795,IMPORTRANGE(""1vUGwO1n0QQGx9kKbO0_M5gmuhXZ6-LaxQxgrmJnzgP0"",""'TP# look up'!A:C""),3,0),"""")"),"")</f>
        <v/>
      </c>
      <c r="AH795" s="49">
        <f>LEFT(J795,2)</f>
        <v/>
      </c>
    </row>
    <row r="796" ht="12.75" customHeight="1">
      <c r="A796" s="45">
        <f>IFERROR(__xludf.DUMMYFUNCTION("""COMPUTED_VALUE"""),"Colombo")</f>
        <v/>
      </c>
      <c r="B796" s="45" t="n"/>
      <c r="C796" s="45">
        <f>IFERROR(__xludf.DUMMYFUNCTION("""COMPUTED_VALUE"""),3259526)</f>
        <v/>
      </c>
      <c r="D796" s="45" t="n"/>
      <c r="E796" s="45">
        <f>IFERROR(__xludf.DUMMYFUNCTION("""COMPUTED_VALUE"""),"CFS")</f>
        <v/>
      </c>
      <c r="F796" s="45">
        <f>IFERROR(__xludf.DUMMYFUNCTION("""COMPUTED_VALUE"""),"Bodyline Trading (Private) Limited")</f>
        <v/>
      </c>
      <c r="G796" s="45">
        <f>IFERROR(__xludf.DUMMYFUNCTION("""COMPUTED_VALUE"""),"Bodyline (Private) Limited")</f>
        <v/>
      </c>
      <c r="H796" s="43">
        <f>IFERROR(__xludf.DUMMYFUNCTION("""COMPUTED_VALUE"""),456422510251)</f>
        <v/>
      </c>
      <c r="I796" s="45">
        <f>IFERROR(__xludf.DUMMYFUNCTION("""COMPUTED_VALUE"""),19828642)</f>
        <v/>
      </c>
      <c r="J796" s="45">
        <f>IFERROR(__xludf.DUMMYFUNCTION("""COMPUTED_VALUE"""),"LW2EB8S")</f>
        <v/>
      </c>
      <c r="K796" s="45">
        <f>IFERROR(__xludf.DUMMYFUNCTION("""COMPUTED_VALUE"""),"LW2EB8S-019746")</f>
        <v/>
      </c>
      <c r="L796" s="45">
        <f>IFERROR(__xludf.DUMMYFUNCTION("""COMPUTED_VALUE"""),12)</f>
        <v/>
      </c>
      <c r="M796" s="45">
        <f>IFERROR(__xludf.DUMMYFUNCTION("""COMPUTED_VALUE"""),699)</f>
        <v/>
      </c>
      <c r="N796" s="45">
        <f>IFERROR(__xludf.DUMMYFUNCTION("""COMPUTED_VALUE"""),102.317)</f>
        <v/>
      </c>
      <c r="O796" s="45">
        <f>IFERROR(__xludf.DUMMYFUNCTION("""COMPUTED_VALUE"""),0.966)</f>
        <v/>
      </c>
      <c r="P796" s="45">
        <f>IFERROR(__xludf.DUMMYFUNCTION("""COMPUTED_VALUE"""),"Colombo, LK")</f>
        <v/>
      </c>
      <c r="Q796" s="45">
        <f>IFERROR(__xludf.DUMMYFUNCTION("""COMPUTED_VALUE"""),"Rotterdam, NL")</f>
        <v/>
      </c>
      <c r="R796" s="44">
        <f>IFERROR(__xludf.DUMMYFUNCTION("""COMPUTED_VALUE"""),45838)</f>
        <v/>
      </c>
      <c r="S796" s="44">
        <f>IFERROR(__xludf.DUMMYFUNCTION("""COMPUTED_VALUE"""),45892)</f>
        <v/>
      </c>
      <c r="T796" s="45">
        <f>IFERROR(__xludf.DUMMYFUNCTION("""COMPUTED_VALUE"""),"Rotterdam, NL")</f>
        <v/>
      </c>
      <c r="U796" s="45" t="n"/>
      <c r="V796" s="45" t="n"/>
      <c r="W796" s="45" t="n"/>
      <c r="X796" s="45" t="n"/>
      <c r="Y796" s="46">
        <f>IFERROR(__xludf.DUMMYFUNCTION("""COMPUTED_VALUE"""),45845)</f>
        <v/>
      </c>
      <c r="Z796" s="46">
        <f>IFERROR(__xludf.DUMMYFUNCTION("""COMPUTED_VALUE"""),45866)</f>
        <v/>
      </c>
      <c r="AA796" s="46">
        <f>IFERROR(__xludf.DUMMYFUNCTION("""COMPUTED_VALUE"""),45866)</f>
        <v/>
      </c>
      <c r="AB796" s="45">
        <f>IFERROR(__xludf.DUMMYFUNCTION("""COMPUTED_VALUE"""),"Conradweg 26")</f>
        <v/>
      </c>
      <c r="AC796" s="45" t="n"/>
      <c r="AD796" s="45">
        <f>IFERROR(__xludf.DUMMYFUNCTION("""COMPUTED_VALUE"""),"OCEAN")</f>
        <v/>
      </c>
      <c r="AE796" s="45">
        <f>IFERROR(__xludf.DUMMYFUNCTION("""COMPUTED_VALUE"""),"N")</f>
        <v/>
      </c>
      <c r="AF796" s="45">
        <f>IFERROR(__xludf.DUMMYFUNCTION("""COMPUTED_VALUE"""),"New Booking")</f>
        <v/>
      </c>
      <c r="AG796" s="49">
        <f>IFERROR(__xludf.DUMMYFUNCTION("IFNA(vlookup(H796,IMPORTRANGE(""1vUGwO1n0QQGx9kKbO0_M5gmuhXZ6-LaxQxgrmJnzgP0"",""'TP# look up'!A:C""),3,0),"""")"),"")</f>
        <v/>
      </c>
      <c r="AH796" s="49">
        <f>LEFT(J796,2)</f>
        <v/>
      </c>
    </row>
    <row r="797" ht="12.75" customHeight="1">
      <c r="A797" s="45">
        <f>IFERROR(__xludf.DUMMYFUNCTION("""COMPUTED_VALUE"""),"Colombo")</f>
        <v/>
      </c>
      <c r="B797" s="45" t="n"/>
      <c r="C797" s="45">
        <f>IFERROR(__xludf.DUMMYFUNCTION("""COMPUTED_VALUE"""),3259526)</f>
        <v/>
      </c>
      <c r="D797" s="45" t="n"/>
      <c r="E797" s="45">
        <f>IFERROR(__xludf.DUMMYFUNCTION("""COMPUTED_VALUE"""),"CFS")</f>
        <v/>
      </c>
      <c r="F797" s="45">
        <f>IFERROR(__xludf.DUMMYFUNCTION("""COMPUTED_VALUE"""),"Bodyline Trading (Private) Limited")</f>
        <v/>
      </c>
      <c r="G797" s="45">
        <f>IFERROR(__xludf.DUMMYFUNCTION("""COMPUTED_VALUE"""),"Bodyline (Private) Limited")</f>
        <v/>
      </c>
      <c r="H797" s="43">
        <f>IFERROR(__xludf.DUMMYFUNCTION("""COMPUTED_VALUE"""),456422991906)</f>
        <v/>
      </c>
      <c r="I797" s="45">
        <f>IFERROR(__xludf.DUMMYFUNCTION("""COMPUTED_VALUE"""),19828664)</f>
        <v/>
      </c>
      <c r="J797" s="45">
        <f>IFERROR(__xludf.DUMMYFUNCTION("""COMPUTED_VALUE"""),"LW2EB8S")</f>
        <v/>
      </c>
      <c r="K797" s="45">
        <f>IFERROR(__xludf.DUMMYFUNCTION("""COMPUTED_VALUE"""),"LW2EB8S-031382")</f>
        <v/>
      </c>
      <c r="L797" s="45">
        <f>IFERROR(__xludf.DUMMYFUNCTION("""COMPUTED_VALUE"""),10)</f>
        <v/>
      </c>
      <c r="M797" s="45">
        <f>IFERROR(__xludf.DUMMYFUNCTION("""COMPUTED_VALUE"""),583)</f>
        <v/>
      </c>
      <c r="N797" s="45">
        <f>IFERROR(__xludf.DUMMYFUNCTION("""COMPUTED_VALUE"""),85.15)</f>
        <v/>
      </c>
      <c r="O797" s="45">
        <f>IFERROR(__xludf.DUMMYFUNCTION("""COMPUTED_VALUE"""),0.769)</f>
        <v/>
      </c>
      <c r="P797" s="45">
        <f>IFERROR(__xludf.DUMMYFUNCTION("""COMPUTED_VALUE"""),"Colombo, LK")</f>
        <v/>
      </c>
      <c r="Q797" s="45">
        <f>IFERROR(__xludf.DUMMYFUNCTION("""COMPUTED_VALUE"""),"Rotterdam, NL")</f>
        <v/>
      </c>
      <c r="R797" s="44">
        <f>IFERROR(__xludf.DUMMYFUNCTION("""COMPUTED_VALUE"""),45838)</f>
        <v/>
      </c>
      <c r="S797" s="44">
        <f>IFERROR(__xludf.DUMMYFUNCTION("""COMPUTED_VALUE"""),45892)</f>
        <v/>
      </c>
      <c r="T797" s="45">
        <f>IFERROR(__xludf.DUMMYFUNCTION("""COMPUTED_VALUE"""),"Rotterdam, NL")</f>
        <v/>
      </c>
      <c r="U797" s="45" t="n"/>
      <c r="V797" s="45" t="n"/>
      <c r="W797" s="45" t="n"/>
      <c r="X797" s="45" t="n"/>
      <c r="Y797" s="46">
        <f>IFERROR(__xludf.DUMMYFUNCTION("""COMPUTED_VALUE"""),45845)</f>
        <v/>
      </c>
      <c r="Z797" s="46">
        <f>IFERROR(__xludf.DUMMYFUNCTION("""COMPUTED_VALUE"""),45866)</f>
        <v/>
      </c>
      <c r="AA797" s="46">
        <f>IFERROR(__xludf.DUMMYFUNCTION("""COMPUTED_VALUE"""),45866)</f>
        <v/>
      </c>
      <c r="AB797" s="45">
        <f>IFERROR(__xludf.DUMMYFUNCTION("""COMPUTED_VALUE"""),"Conradweg 26")</f>
        <v/>
      </c>
      <c r="AC797" s="45" t="n"/>
      <c r="AD797" s="45">
        <f>IFERROR(__xludf.DUMMYFUNCTION("""COMPUTED_VALUE"""),"OCEAN")</f>
        <v/>
      </c>
      <c r="AE797" s="45">
        <f>IFERROR(__xludf.DUMMYFUNCTION("""COMPUTED_VALUE"""),"N")</f>
        <v/>
      </c>
      <c r="AF797" s="45">
        <f>IFERROR(__xludf.DUMMYFUNCTION("""COMPUTED_VALUE"""),"New Booking")</f>
        <v/>
      </c>
      <c r="AG797" s="49">
        <f>IFERROR(__xludf.DUMMYFUNCTION("IFNA(vlookup(H797,IMPORTRANGE(""1vUGwO1n0QQGx9kKbO0_M5gmuhXZ6-LaxQxgrmJnzgP0"",""'TP# look up'!A:C""),3,0),"""")"),"")</f>
        <v/>
      </c>
      <c r="AH797" s="49">
        <f>LEFT(J797,2)</f>
        <v/>
      </c>
    </row>
    <row r="798" ht="12.75" customHeight="1">
      <c r="A798" s="45">
        <f>IFERROR(__xludf.DUMMYFUNCTION("""COMPUTED_VALUE"""),"Colombo")</f>
        <v/>
      </c>
      <c r="B798" s="45" t="n"/>
      <c r="C798" s="45">
        <f>IFERROR(__xludf.DUMMYFUNCTION("""COMPUTED_VALUE"""),3259526)</f>
        <v/>
      </c>
      <c r="D798" s="45" t="n"/>
      <c r="E798" s="45">
        <f>IFERROR(__xludf.DUMMYFUNCTION("""COMPUTED_VALUE"""),"CFS")</f>
        <v/>
      </c>
      <c r="F798" s="45">
        <f>IFERROR(__xludf.DUMMYFUNCTION("""COMPUTED_VALUE"""),"Bodyline Trading (Private) Limited")</f>
        <v/>
      </c>
      <c r="G798" s="45">
        <f>IFERROR(__xludf.DUMMYFUNCTION("""COMPUTED_VALUE"""),"Bodyline (Private) Limited")</f>
        <v/>
      </c>
      <c r="H798" s="43">
        <f>IFERROR(__xludf.DUMMYFUNCTION("""COMPUTED_VALUE"""),456423429936)</f>
        <v/>
      </c>
      <c r="I798" s="45">
        <f>IFERROR(__xludf.DUMMYFUNCTION("""COMPUTED_VALUE"""),19828681)</f>
        <v/>
      </c>
      <c r="J798" s="45">
        <f>IFERROR(__xludf.DUMMYFUNCTION("""COMPUTED_VALUE"""),"LW2EB8S")</f>
        <v/>
      </c>
      <c r="K798" s="45">
        <f>IFERROR(__xludf.DUMMYFUNCTION("""COMPUTED_VALUE"""),"LW2EB8S-035487")</f>
        <v/>
      </c>
      <c r="L798" s="45">
        <f>IFERROR(__xludf.DUMMYFUNCTION("""COMPUTED_VALUE"""),3)</f>
        <v/>
      </c>
      <c r="M798" s="45">
        <f>IFERROR(__xludf.DUMMYFUNCTION("""COMPUTED_VALUE"""),100)</f>
        <v/>
      </c>
      <c r="N798" s="45">
        <f>IFERROR(__xludf.DUMMYFUNCTION("""COMPUTED_VALUE"""),15.916)</f>
        <v/>
      </c>
      <c r="O798" s="45">
        <f>IFERROR(__xludf.DUMMYFUNCTION("""COMPUTED_VALUE"""),0.205)</f>
        <v/>
      </c>
      <c r="P798" s="45">
        <f>IFERROR(__xludf.DUMMYFUNCTION("""COMPUTED_VALUE"""),"Colombo, LK")</f>
        <v/>
      </c>
      <c r="Q798" s="45">
        <f>IFERROR(__xludf.DUMMYFUNCTION("""COMPUTED_VALUE"""),"Rotterdam, NL")</f>
        <v/>
      </c>
      <c r="R798" s="44">
        <f>IFERROR(__xludf.DUMMYFUNCTION("""COMPUTED_VALUE"""),45838)</f>
        <v/>
      </c>
      <c r="S798" s="44">
        <f>IFERROR(__xludf.DUMMYFUNCTION("""COMPUTED_VALUE"""),45892)</f>
        <v/>
      </c>
      <c r="T798" s="45">
        <f>IFERROR(__xludf.DUMMYFUNCTION("""COMPUTED_VALUE"""),"Rotterdam, NL")</f>
        <v/>
      </c>
      <c r="U798" s="45" t="n"/>
      <c r="V798" s="45" t="n"/>
      <c r="W798" s="45" t="n"/>
      <c r="X798" s="45" t="n"/>
      <c r="Y798" s="46">
        <f>IFERROR(__xludf.DUMMYFUNCTION("""COMPUTED_VALUE"""),45845)</f>
        <v/>
      </c>
      <c r="Z798" s="46">
        <f>IFERROR(__xludf.DUMMYFUNCTION("""COMPUTED_VALUE"""),45866)</f>
        <v/>
      </c>
      <c r="AA798" s="46">
        <f>IFERROR(__xludf.DUMMYFUNCTION("""COMPUTED_VALUE"""),45866)</f>
        <v/>
      </c>
      <c r="AB798" s="45">
        <f>IFERROR(__xludf.DUMMYFUNCTION("""COMPUTED_VALUE"""),"Conradweg 26")</f>
        <v/>
      </c>
      <c r="AC798" s="45" t="n"/>
      <c r="AD798" s="45">
        <f>IFERROR(__xludf.DUMMYFUNCTION("""COMPUTED_VALUE"""),"OCEAN")</f>
        <v/>
      </c>
      <c r="AE798" s="45">
        <f>IFERROR(__xludf.DUMMYFUNCTION("""COMPUTED_VALUE"""),"N")</f>
        <v/>
      </c>
      <c r="AF798" s="45">
        <f>IFERROR(__xludf.DUMMYFUNCTION("""COMPUTED_VALUE"""),"New Booking")</f>
        <v/>
      </c>
      <c r="AG798" s="49">
        <f>IFERROR(__xludf.DUMMYFUNCTION("IFNA(vlookup(H798,IMPORTRANGE(""1vUGwO1n0QQGx9kKbO0_M5gmuhXZ6-LaxQxgrmJnzgP0"",""'TP# look up'!A:C""),3,0),"""")"),"")</f>
        <v/>
      </c>
      <c r="AH798" s="49">
        <f>LEFT(J798,2)</f>
        <v/>
      </c>
    </row>
    <row r="799" ht="12.75" customHeight="1">
      <c r="A799" s="45">
        <f>IFERROR(__xludf.DUMMYFUNCTION("""COMPUTED_VALUE"""),"Colombo")</f>
        <v/>
      </c>
      <c r="B799" s="45" t="n"/>
      <c r="C799" s="45">
        <f>IFERROR(__xludf.DUMMYFUNCTION("""COMPUTED_VALUE"""),3259526)</f>
        <v/>
      </c>
      <c r="D799" s="45" t="n"/>
      <c r="E799" s="45">
        <f>IFERROR(__xludf.DUMMYFUNCTION("""COMPUTED_VALUE"""),"CFS")</f>
        <v/>
      </c>
      <c r="F799" s="45">
        <f>IFERROR(__xludf.DUMMYFUNCTION("""COMPUTED_VALUE"""),"Bodyline Trading (Private) Limited")</f>
        <v/>
      </c>
      <c r="G799" s="45">
        <f>IFERROR(__xludf.DUMMYFUNCTION("""COMPUTED_VALUE"""),"Bodyline (Private) Limited")</f>
        <v/>
      </c>
      <c r="H799" s="43">
        <f>IFERROR(__xludf.DUMMYFUNCTION("""COMPUTED_VALUE"""),456424350006)</f>
        <v/>
      </c>
      <c r="I799" s="45">
        <f>IFERROR(__xludf.DUMMYFUNCTION("""COMPUTED_VALUE"""),19828723)</f>
        <v/>
      </c>
      <c r="J799" s="45">
        <f>IFERROR(__xludf.DUMMYFUNCTION("""COMPUTED_VALUE"""),"LW2EB9S")</f>
        <v/>
      </c>
      <c r="K799" s="45">
        <f>IFERROR(__xludf.DUMMYFUNCTION("""COMPUTED_VALUE"""),"LW2EB9S-035486")</f>
        <v/>
      </c>
      <c r="L799" s="45">
        <f>IFERROR(__xludf.DUMMYFUNCTION("""COMPUTED_VALUE"""),14)</f>
        <v/>
      </c>
      <c r="M799" s="45">
        <f>IFERROR(__xludf.DUMMYFUNCTION("""COMPUTED_VALUE"""),781)</f>
        <v/>
      </c>
      <c r="N799" s="45">
        <f>IFERROR(__xludf.DUMMYFUNCTION("""COMPUTED_VALUE"""),111.758)</f>
        <v/>
      </c>
      <c r="O799" s="45">
        <f>IFERROR(__xludf.DUMMYFUNCTION("""COMPUTED_VALUE"""),1.091)</f>
        <v/>
      </c>
      <c r="P799" s="45">
        <f>IFERROR(__xludf.DUMMYFUNCTION("""COMPUTED_VALUE"""),"Colombo, LK")</f>
        <v/>
      </c>
      <c r="Q799" s="45">
        <f>IFERROR(__xludf.DUMMYFUNCTION("""COMPUTED_VALUE"""),"Rotterdam, NL")</f>
        <v/>
      </c>
      <c r="R799" s="44">
        <f>IFERROR(__xludf.DUMMYFUNCTION("""COMPUTED_VALUE"""),45838)</f>
        <v/>
      </c>
      <c r="S799" s="44">
        <f>IFERROR(__xludf.DUMMYFUNCTION("""COMPUTED_VALUE"""),45892)</f>
        <v/>
      </c>
      <c r="T799" s="45">
        <f>IFERROR(__xludf.DUMMYFUNCTION("""COMPUTED_VALUE"""),"Rotterdam, NL")</f>
        <v/>
      </c>
      <c r="U799" s="45" t="n"/>
      <c r="V799" s="45" t="n"/>
      <c r="W799" s="45" t="n"/>
      <c r="X799" s="45" t="n"/>
      <c r="Y799" s="46">
        <f>IFERROR(__xludf.DUMMYFUNCTION("""COMPUTED_VALUE"""),45845)</f>
        <v/>
      </c>
      <c r="Z799" s="46">
        <f>IFERROR(__xludf.DUMMYFUNCTION("""COMPUTED_VALUE"""),45866)</f>
        <v/>
      </c>
      <c r="AA799" s="46">
        <f>IFERROR(__xludf.DUMMYFUNCTION("""COMPUTED_VALUE"""),45866)</f>
        <v/>
      </c>
      <c r="AB799" s="45">
        <f>IFERROR(__xludf.DUMMYFUNCTION("""COMPUTED_VALUE"""),"Conradweg 26")</f>
        <v/>
      </c>
      <c r="AC799" s="45" t="n"/>
      <c r="AD799" s="45">
        <f>IFERROR(__xludf.DUMMYFUNCTION("""COMPUTED_VALUE"""),"OCEAN")</f>
        <v/>
      </c>
      <c r="AE799" s="45">
        <f>IFERROR(__xludf.DUMMYFUNCTION("""COMPUTED_VALUE"""),"N")</f>
        <v/>
      </c>
      <c r="AF799" s="45">
        <f>IFERROR(__xludf.DUMMYFUNCTION("""COMPUTED_VALUE"""),"New Booking")</f>
        <v/>
      </c>
      <c r="AG799" s="49">
        <f>IFERROR(__xludf.DUMMYFUNCTION("IFNA(vlookup(H799,IMPORTRANGE(""1vUGwO1n0QQGx9kKbO0_M5gmuhXZ6-LaxQxgrmJnzgP0"",""'TP# look up'!A:C""),3,0),"""")"),"")</f>
        <v/>
      </c>
      <c r="AH799" s="49">
        <f>LEFT(J799,2)</f>
        <v/>
      </c>
    </row>
    <row r="800" ht="12.75" customHeight="1">
      <c r="A800" s="45">
        <f>IFERROR(__xludf.DUMMYFUNCTION("""COMPUTED_VALUE"""),"Colombo")</f>
        <v/>
      </c>
      <c r="B800" s="45" t="n"/>
      <c r="C800" s="45">
        <f>IFERROR(__xludf.DUMMYFUNCTION("""COMPUTED_VALUE"""),3259526)</f>
        <v/>
      </c>
      <c r="D800" s="45" t="n"/>
      <c r="E800" s="45">
        <f>IFERROR(__xludf.DUMMYFUNCTION("""COMPUTED_VALUE"""),"CFS")</f>
        <v/>
      </c>
      <c r="F800" s="45">
        <f>IFERROR(__xludf.DUMMYFUNCTION("""COMPUTED_VALUE"""),"Bodyline Trading (Private) Limited")</f>
        <v/>
      </c>
      <c r="G800" s="45">
        <f>IFERROR(__xludf.DUMMYFUNCTION("""COMPUTED_VALUE"""),"Bodyline (Private) Limited")</f>
        <v/>
      </c>
      <c r="H800" s="43">
        <f>IFERROR(__xludf.DUMMYFUNCTION("""COMPUTED_VALUE"""),456440352843)</f>
        <v/>
      </c>
      <c r="I800" s="45">
        <f>IFERROR(__xludf.DUMMYFUNCTION("""COMPUTED_VALUE"""),19820597)</f>
        <v/>
      </c>
      <c r="J800" s="45">
        <f>IFERROR(__xludf.DUMMYFUNCTION("""COMPUTED_VALUE"""),"LW1FM7S")</f>
        <v/>
      </c>
      <c r="K800" s="45">
        <f>IFERROR(__xludf.DUMMYFUNCTION("""COMPUTED_VALUE"""),"LW1FM7S-0001")</f>
        <v/>
      </c>
      <c r="L800" s="45">
        <f>IFERROR(__xludf.DUMMYFUNCTION("""COMPUTED_VALUE"""),4)</f>
        <v/>
      </c>
      <c r="M800" s="45">
        <f>IFERROR(__xludf.DUMMYFUNCTION("""COMPUTED_VALUE"""),200)</f>
        <v/>
      </c>
      <c r="N800" s="45">
        <f>IFERROR(__xludf.DUMMYFUNCTION("""COMPUTED_VALUE"""),19.978)</f>
        <v/>
      </c>
      <c r="O800" s="45">
        <f>IFERROR(__xludf.DUMMYFUNCTION("""COMPUTED_VALUE"""),0.176)</f>
        <v/>
      </c>
      <c r="P800" s="45">
        <f>IFERROR(__xludf.DUMMYFUNCTION("""COMPUTED_VALUE"""),"Colombo, LK")</f>
        <v/>
      </c>
      <c r="Q800" s="45">
        <f>IFERROR(__xludf.DUMMYFUNCTION("""COMPUTED_VALUE"""),"Rotterdam, NL")</f>
        <v/>
      </c>
      <c r="R800" s="44">
        <f>IFERROR(__xludf.DUMMYFUNCTION("""COMPUTED_VALUE"""),45838)</f>
        <v/>
      </c>
      <c r="S800" s="44">
        <f>IFERROR(__xludf.DUMMYFUNCTION("""COMPUTED_VALUE"""),45892)</f>
        <v/>
      </c>
      <c r="T800" s="45">
        <f>IFERROR(__xludf.DUMMYFUNCTION("""COMPUTED_VALUE"""),"Rotterdam, NL")</f>
        <v/>
      </c>
      <c r="U800" s="45" t="n"/>
      <c r="V800" s="45" t="n"/>
      <c r="W800" s="45" t="n"/>
      <c r="X800" s="45" t="n"/>
      <c r="Y800" s="46">
        <f>IFERROR(__xludf.DUMMYFUNCTION("""COMPUTED_VALUE"""),45845)</f>
        <v/>
      </c>
      <c r="Z800" s="46">
        <f>IFERROR(__xludf.DUMMYFUNCTION("""COMPUTED_VALUE"""),45866)</f>
        <v/>
      </c>
      <c r="AA800" s="46">
        <f>IFERROR(__xludf.DUMMYFUNCTION("""COMPUTED_VALUE"""),45866)</f>
        <v/>
      </c>
      <c r="AB800" s="45">
        <f>IFERROR(__xludf.DUMMYFUNCTION("""COMPUTED_VALUE"""),"Conradweg 26")</f>
        <v/>
      </c>
      <c r="AC800" s="45" t="n"/>
      <c r="AD800" s="45">
        <f>IFERROR(__xludf.DUMMYFUNCTION("""COMPUTED_VALUE"""),"OCEAN")</f>
        <v/>
      </c>
      <c r="AE800" s="45">
        <f>IFERROR(__xludf.DUMMYFUNCTION("""COMPUTED_VALUE"""),"N")</f>
        <v/>
      </c>
      <c r="AF800" s="45">
        <f>IFERROR(__xludf.DUMMYFUNCTION("""COMPUTED_VALUE"""),"New Booking")</f>
        <v/>
      </c>
      <c r="AG800" s="49">
        <f>IFERROR(__xludf.DUMMYFUNCTION("IFNA(vlookup(H800,IMPORTRANGE(""1vUGwO1n0QQGx9kKbO0_M5gmuhXZ6-LaxQxgrmJnzgP0"",""'TP# look up'!A:C""),3,0),"""")"),"")</f>
        <v/>
      </c>
      <c r="AH800" s="49">
        <f>LEFT(J800,2)</f>
        <v/>
      </c>
    </row>
    <row r="801" ht="12.75" customHeight="1">
      <c r="A801" s="45">
        <f>IFERROR(__xludf.DUMMYFUNCTION("""COMPUTED_VALUE"""),"Colombo")</f>
        <v/>
      </c>
      <c r="B801" s="45" t="n"/>
      <c r="C801" s="45">
        <f>IFERROR(__xludf.DUMMYFUNCTION("""COMPUTED_VALUE"""),3259526)</f>
        <v/>
      </c>
      <c r="D801" s="45" t="n"/>
      <c r="E801" s="45">
        <f>IFERROR(__xludf.DUMMYFUNCTION("""COMPUTED_VALUE"""),"CFS")</f>
        <v/>
      </c>
      <c r="F801" s="45">
        <f>IFERROR(__xludf.DUMMYFUNCTION("""COMPUTED_VALUE"""),"Bodyline Trading (Private) Limited")</f>
        <v/>
      </c>
      <c r="G801" s="45">
        <f>IFERROR(__xludf.DUMMYFUNCTION("""COMPUTED_VALUE"""),"Bodyline (Private) Limited")</f>
        <v/>
      </c>
      <c r="H801" s="43">
        <f>IFERROR(__xludf.DUMMYFUNCTION("""COMPUTED_VALUE"""),456440500796)</f>
        <v/>
      </c>
      <c r="I801" s="45">
        <f>IFERROR(__xludf.DUMMYFUNCTION("""COMPUTED_VALUE"""),19828466)</f>
        <v/>
      </c>
      <c r="J801" s="45">
        <f>IFERROR(__xludf.DUMMYFUNCTION("""COMPUTED_VALUE"""),"LW2DQ0S")</f>
        <v/>
      </c>
      <c r="K801" s="45">
        <f>IFERROR(__xludf.DUMMYFUNCTION("""COMPUTED_VALUE"""),"LW2DQ0S-0001")</f>
        <v/>
      </c>
      <c r="L801" s="45">
        <f>IFERROR(__xludf.DUMMYFUNCTION("""COMPUTED_VALUE"""),8)</f>
        <v/>
      </c>
      <c r="M801" s="45">
        <f>IFERROR(__xludf.DUMMYFUNCTION("""COMPUTED_VALUE"""),421)</f>
        <v/>
      </c>
      <c r="N801" s="45">
        <f>IFERROR(__xludf.DUMMYFUNCTION("""COMPUTED_VALUE"""),50.204)</f>
        <v/>
      </c>
      <c r="O801" s="45">
        <f>IFERROR(__xludf.DUMMYFUNCTION("""COMPUTED_VALUE"""),0.644)</f>
        <v/>
      </c>
      <c r="P801" s="45">
        <f>IFERROR(__xludf.DUMMYFUNCTION("""COMPUTED_VALUE"""),"Colombo, LK")</f>
        <v/>
      </c>
      <c r="Q801" s="45">
        <f>IFERROR(__xludf.DUMMYFUNCTION("""COMPUTED_VALUE"""),"Rotterdam, NL")</f>
        <v/>
      </c>
      <c r="R801" s="44">
        <f>IFERROR(__xludf.DUMMYFUNCTION("""COMPUTED_VALUE"""),45838)</f>
        <v/>
      </c>
      <c r="S801" s="44">
        <f>IFERROR(__xludf.DUMMYFUNCTION("""COMPUTED_VALUE"""),45892)</f>
        <v/>
      </c>
      <c r="T801" s="45">
        <f>IFERROR(__xludf.DUMMYFUNCTION("""COMPUTED_VALUE"""),"Rotterdam, NL")</f>
        <v/>
      </c>
      <c r="U801" s="45" t="n"/>
      <c r="V801" s="45" t="n"/>
      <c r="W801" s="45" t="n"/>
      <c r="X801" s="45" t="n"/>
      <c r="Y801" s="46">
        <f>IFERROR(__xludf.DUMMYFUNCTION("""COMPUTED_VALUE"""),45845)</f>
        <v/>
      </c>
      <c r="Z801" s="46">
        <f>IFERROR(__xludf.DUMMYFUNCTION("""COMPUTED_VALUE"""),45866)</f>
        <v/>
      </c>
      <c r="AA801" s="46">
        <f>IFERROR(__xludf.DUMMYFUNCTION("""COMPUTED_VALUE"""),45866)</f>
        <v/>
      </c>
      <c r="AB801" s="45">
        <f>IFERROR(__xludf.DUMMYFUNCTION("""COMPUTED_VALUE"""),"Conradweg 26")</f>
        <v/>
      </c>
      <c r="AC801" s="45" t="n"/>
      <c r="AD801" s="45">
        <f>IFERROR(__xludf.DUMMYFUNCTION("""COMPUTED_VALUE"""),"OCEAN")</f>
        <v/>
      </c>
      <c r="AE801" s="45">
        <f>IFERROR(__xludf.DUMMYFUNCTION("""COMPUTED_VALUE"""),"N")</f>
        <v/>
      </c>
      <c r="AF801" s="45">
        <f>IFERROR(__xludf.DUMMYFUNCTION("""COMPUTED_VALUE"""),"New Booking")</f>
        <v/>
      </c>
      <c r="AG801" s="49">
        <f>IFERROR(__xludf.DUMMYFUNCTION("IFNA(vlookup(H801,IMPORTRANGE(""1vUGwO1n0QQGx9kKbO0_M5gmuhXZ6-LaxQxgrmJnzgP0"",""'TP# look up'!A:C""),3,0),"""")"),"")</f>
        <v/>
      </c>
      <c r="AH801" s="49">
        <f>LEFT(J801,2)</f>
        <v/>
      </c>
    </row>
    <row r="802" ht="12.75" customHeight="1">
      <c r="A802" s="45">
        <f>IFERROR(__xludf.DUMMYFUNCTION("""COMPUTED_VALUE"""),"Colombo")</f>
        <v/>
      </c>
      <c r="B802" s="45" t="n"/>
      <c r="C802" s="45">
        <f>IFERROR(__xludf.DUMMYFUNCTION("""COMPUTED_VALUE"""),3259526)</f>
        <v/>
      </c>
      <c r="D802" s="45" t="n"/>
      <c r="E802" s="45">
        <f>IFERROR(__xludf.DUMMYFUNCTION("""COMPUTED_VALUE"""),"CFS")</f>
        <v/>
      </c>
      <c r="F802" s="45">
        <f>IFERROR(__xludf.DUMMYFUNCTION("""COMPUTED_VALUE"""),"Bodyline Trading (Private) Limited")</f>
        <v/>
      </c>
      <c r="G802" s="45">
        <f>IFERROR(__xludf.DUMMYFUNCTION("""COMPUTED_VALUE"""),"Bodyline (Private) Limited")</f>
        <v/>
      </c>
      <c r="H802" s="43">
        <f>IFERROR(__xludf.DUMMYFUNCTION("""COMPUTED_VALUE"""),456441153333)</f>
        <v/>
      </c>
      <c r="I802" s="45">
        <f>IFERROR(__xludf.DUMMYFUNCTION("""COMPUTED_VALUE"""),19828430)</f>
        <v/>
      </c>
      <c r="J802" s="45">
        <f>IFERROR(__xludf.DUMMYFUNCTION("""COMPUTED_VALUE"""),"LW2DPOS")</f>
        <v/>
      </c>
      <c r="K802" s="45">
        <f>IFERROR(__xludf.DUMMYFUNCTION("""COMPUTED_VALUE"""),"LW2DPOS-0001")</f>
        <v/>
      </c>
      <c r="L802" s="45">
        <f>IFERROR(__xludf.DUMMYFUNCTION("""COMPUTED_VALUE"""),7)</f>
        <v/>
      </c>
      <c r="M802" s="45">
        <f>IFERROR(__xludf.DUMMYFUNCTION("""COMPUTED_VALUE"""),337)</f>
        <v/>
      </c>
      <c r="N802" s="45">
        <f>IFERROR(__xludf.DUMMYFUNCTION("""COMPUTED_VALUE"""),49.477)</f>
        <v/>
      </c>
      <c r="O802" s="45">
        <f>IFERROR(__xludf.DUMMYFUNCTION("""COMPUTED_VALUE"""),0.527)</f>
        <v/>
      </c>
      <c r="P802" s="45">
        <f>IFERROR(__xludf.DUMMYFUNCTION("""COMPUTED_VALUE"""),"Colombo, LK")</f>
        <v/>
      </c>
      <c r="Q802" s="45">
        <f>IFERROR(__xludf.DUMMYFUNCTION("""COMPUTED_VALUE"""),"Rotterdam, NL")</f>
        <v/>
      </c>
      <c r="R802" s="44">
        <f>IFERROR(__xludf.DUMMYFUNCTION("""COMPUTED_VALUE"""),45838)</f>
        <v/>
      </c>
      <c r="S802" s="44">
        <f>IFERROR(__xludf.DUMMYFUNCTION("""COMPUTED_VALUE"""),45892)</f>
        <v/>
      </c>
      <c r="T802" s="45">
        <f>IFERROR(__xludf.DUMMYFUNCTION("""COMPUTED_VALUE"""),"Rotterdam, NL")</f>
        <v/>
      </c>
      <c r="U802" s="45" t="n"/>
      <c r="V802" s="45" t="n"/>
      <c r="W802" s="45" t="n"/>
      <c r="X802" s="45" t="n"/>
      <c r="Y802" s="46">
        <f>IFERROR(__xludf.DUMMYFUNCTION("""COMPUTED_VALUE"""),45845)</f>
        <v/>
      </c>
      <c r="Z802" s="46">
        <f>IFERROR(__xludf.DUMMYFUNCTION("""COMPUTED_VALUE"""),45866)</f>
        <v/>
      </c>
      <c r="AA802" s="46">
        <f>IFERROR(__xludf.DUMMYFUNCTION("""COMPUTED_VALUE"""),45866)</f>
        <v/>
      </c>
      <c r="AB802" s="45">
        <f>IFERROR(__xludf.DUMMYFUNCTION("""COMPUTED_VALUE"""),"Conradweg 26")</f>
        <v/>
      </c>
      <c r="AC802" s="45" t="n"/>
      <c r="AD802" s="45">
        <f>IFERROR(__xludf.DUMMYFUNCTION("""COMPUTED_VALUE"""),"OCEAN")</f>
        <v/>
      </c>
      <c r="AE802" s="45">
        <f>IFERROR(__xludf.DUMMYFUNCTION("""COMPUTED_VALUE"""),"N")</f>
        <v/>
      </c>
      <c r="AF802" s="45">
        <f>IFERROR(__xludf.DUMMYFUNCTION("""COMPUTED_VALUE"""),"New Booking")</f>
        <v/>
      </c>
      <c r="AG802" s="49">
        <f>IFERROR(__xludf.DUMMYFUNCTION("IFNA(vlookup(H802,IMPORTRANGE(""1vUGwO1n0QQGx9kKbO0_M5gmuhXZ6-LaxQxgrmJnzgP0"",""'TP# look up'!A:C""),3,0),"""")"),"")</f>
        <v/>
      </c>
      <c r="AH802" s="49">
        <f>LEFT(J802,2)</f>
        <v/>
      </c>
    </row>
    <row r="803" ht="12.75" customHeight="1">
      <c r="A803" s="45">
        <f>IFERROR(__xludf.DUMMYFUNCTION("""COMPUTED_VALUE"""),"Colombo")</f>
        <v/>
      </c>
      <c r="B803" s="45" t="n"/>
      <c r="C803" s="45">
        <f>IFERROR(__xludf.DUMMYFUNCTION("""COMPUTED_VALUE"""),3259526)</f>
        <v/>
      </c>
      <c r="D803" s="45" t="n"/>
      <c r="E803" s="45">
        <f>IFERROR(__xludf.DUMMYFUNCTION("""COMPUTED_VALUE"""),"CFS")</f>
        <v/>
      </c>
      <c r="F803" s="45">
        <f>IFERROR(__xludf.DUMMYFUNCTION("""COMPUTED_VALUE"""),"Bodyline Trading (Private) Limited")</f>
        <v/>
      </c>
      <c r="G803" s="45">
        <f>IFERROR(__xludf.DUMMYFUNCTION("""COMPUTED_VALUE"""),"Bodyline (Private) Limited")</f>
        <v/>
      </c>
      <c r="H803" s="43">
        <f>IFERROR(__xludf.DUMMYFUNCTION("""COMPUTED_VALUE"""),456443342677)</f>
        <v/>
      </c>
      <c r="I803" s="45">
        <f>IFERROR(__xludf.DUMMYFUNCTION("""COMPUTED_VALUE"""),19828283)</f>
        <v/>
      </c>
      <c r="J803" s="45">
        <f>IFERROR(__xludf.DUMMYFUNCTION("""COMPUTED_VALUE"""),"LW9DEOS")</f>
        <v/>
      </c>
      <c r="K803" s="45">
        <f>IFERROR(__xludf.DUMMYFUNCTION("""COMPUTED_VALUE"""),"LW9DEOS-070623")</f>
        <v/>
      </c>
      <c r="L803" s="45">
        <f>IFERROR(__xludf.DUMMYFUNCTION("""COMPUTED_VALUE"""),11)</f>
        <v/>
      </c>
      <c r="M803" s="45">
        <f>IFERROR(__xludf.DUMMYFUNCTION("""COMPUTED_VALUE"""),317)</f>
        <v/>
      </c>
      <c r="N803" s="45">
        <f>IFERROR(__xludf.DUMMYFUNCTION("""COMPUTED_VALUE"""),51.179)</f>
        <v/>
      </c>
      <c r="O803" s="45">
        <f>IFERROR(__xludf.DUMMYFUNCTION("""COMPUTED_VALUE"""),0.483)</f>
        <v/>
      </c>
      <c r="P803" s="45">
        <f>IFERROR(__xludf.DUMMYFUNCTION("""COMPUTED_VALUE"""),"Colombo, LK")</f>
        <v/>
      </c>
      <c r="Q803" s="45">
        <f>IFERROR(__xludf.DUMMYFUNCTION("""COMPUTED_VALUE"""),"Rotterdam, NL")</f>
        <v/>
      </c>
      <c r="R803" s="44">
        <f>IFERROR(__xludf.DUMMYFUNCTION("""COMPUTED_VALUE"""),45838)</f>
        <v/>
      </c>
      <c r="S803" s="44">
        <f>IFERROR(__xludf.DUMMYFUNCTION("""COMPUTED_VALUE"""),45892)</f>
        <v/>
      </c>
      <c r="T803" s="45">
        <f>IFERROR(__xludf.DUMMYFUNCTION("""COMPUTED_VALUE"""),"Rotterdam, NL")</f>
        <v/>
      </c>
      <c r="U803" s="45" t="n"/>
      <c r="V803" s="45" t="n"/>
      <c r="W803" s="45" t="n"/>
      <c r="X803" s="45" t="n"/>
      <c r="Y803" s="46">
        <f>IFERROR(__xludf.DUMMYFUNCTION("""COMPUTED_VALUE"""),45845)</f>
        <v/>
      </c>
      <c r="Z803" s="46">
        <f>IFERROR(__xludf.DUMMYFUNCTION("""COMPUTED_VALUE"""),45866)</f>
        <v/>
      </c>
      <c r="AA803" s="46">
        <f>IFERROR(__xludf.DUMMYFUNCTION("""COMPUTED_VALUE"""),45866)</f>
        <v/>
      </c>
      <c r="AB803" s="45">
        <f>IFERROR(__xludf.DUMMYFUNCTION("""COMPUTED_VALUE"""),"Conradweg 26")</f>
        <v/>
      </c>
      <c r="AC803" s="45" t="n"/>
      <c r="AD803" s="45">
        <f>IFERROR(__xludf.DUMMYFUNCTION("""COMPUTED_VALUE"""),"OCEAN")</f>
        <v/>
      </c>
      <c r="AE803" s="45">
        <f>IFERROR(__xludf.DUMMYFUNCTION("""COMPUTED_VALUE"""),"N")</f>
        <v/>
      </c>
      <c r="AF803" s="45">
        <f>IFERROR(__xludf.DUMMYFUNCTION("""COMPUTED_VALUE"""),"New Booking")</f>
        <v/>
      </c>
      <c r="AG803" s="49">
        <f>IFERROR(__xludf.DUMMYFUNCTION("IFNA(vlookup(H803,IMPORTRANGE(""1vUGwO1n0QQGx9kKbO0_M5gmuhXZ6-LaxQxgrmJnzgP0"",""'TP# look up'!A:C""),3,0),"""")"),"")</f>
        <v/>
      </c>
      <c r="AH803" s="49">
        <f>LEFT(J803,2)</f>
        <v/>
      </c>
    </row>
    <row r="804" ht="12.75" customHeight="1">
      <c r="A804" s="45">
        <f>IFERROR(__xludf.DUMMYFUNCTION("""COMPUTED_VALUE"""),"Colombo")</f>
        <v/>
      </c>
      <c r="B804" s="45" t="n"/>
      <c r="C804" s="45">
        <f>IFERROR(__xludf.DUMMYFUNCTION("""COMPUTED_VALUE"""),3259526)</f>
        <v/>
      </c>
      <c r="D804" s="45" t="n"/>
      <c r="E804" s="45">
        <f>IFERROR(__xludf.DUMMYFUNCTION("""COMPUTED_VALUE"""),"CFS")</f>
        <v/>
      </c>
      <c r="F804" s="45">
        <f>IFERROR(__xludf.DUMMYFUNCTION("""COMPUTED_VALUE"""),"Bodyline Trading (Private) Limited")</f>
        <v/>
      </c>
      <c r="G804" s="45">
        <f>IFERROR(__xludf.DUMMYFUNCTION("""COMPUTED_VALUE"""),"Bodyline (Private) Limited")</f>
        <v/>
      </c>
      <c r="H804" s="43">
        <f>IFERROR(__xludf.DUMMYFUNCTION("""COMPUTED_VALUE"""),456513125090)</f>
        <v/>
      </c>
      <c r="I804" s="45">
        <f>IFERROR(__xludf.DUMMYFUNCTION("""COMPUTED_VALUE"""),19828508)</f>
        <v/>
      </c>
      <c r="J804" s="45">
        <f>IFERROR(__xludf.DUMMYFUNCTION("""COMPUTED_VALUE"""),"LW2DQ0S")</f>
        <v/>
      </c>
      <c r="K804" s="45">
        <f>IFERROR(__xludf.DUMMYFUNCTION("""COMPUTED_VALUE"""),"LW2DQ0S-068585")</f>
        <v/>
      </c>
      <c r="L804" s="45">
        <f>IFERROR(__xludf.DUMMYFUNCTION("""COMPUTED_VALUE"""),1)</f>
        <v/>
      </c>
      <c r="M804" s="45">
        <f>IFERROR(__xludf.DUMMYFUNCTION("""COMPUTED_VALUE"""),46)</f>
        <v/>
      </c>
      <c r="N804" s="45">
        <f>IFERROR(__xludf.DUMMYFUNCTION("""COMPUTED_VALUE"""),5.666)</f>
        <v/>
      </c>
      <c r="O804" s="45">
        <f>IFERROR(__xludf.DUMMYFUNCTION("""COMPUTED_VALUE"""),0.081)</f>
        <v/>
      </c>
      <c r="P804" s="45">
        <f>IFERROR(__xludf.DUMMYFUNCTION("""COMPUTED_VALUE"""),"Colombo, LK")</f>
        <v/>
      </c>
      <c r="Q804" s="45">
        <f>IFERROR(__xludf.DUMMYFUNCTION("""COMPUTED_VALUE"""),"Rotterdam, NL")</f>
        <v/>
      </c>
      <c r="R804" s="44">
        <f>IFERROR(__xludf.DUMMYFUNCTION("""COMPUTED_VALUE"""),45838)</f>
        <v/>
      </c>
      <c r="S804" s="44">
        <f>IFERROR(__xludf.DUMMYFUNCTION("""COMPUTED_VALUE"""),45892)</f>
        <v/>
      </c>
      <c r="T804" s="45">
        <f>IFERROR(__xludf.DUMMYFUNCTION("""COMPUTED_VALUE"""),"Rotterdam, NL")</f>
        <v/>
      </c>
      <c r="U804" s="45" t="n"/>
      <c r="V804" s="45" t="n"/>
      <c r="W804" s="45" t="n"/>
      <c r="X804" s="45" t="n"/>
      <c r="Y804" s="46">
        <f>IFERROR(__xludf.DUMMYFUNCTION("""COMPUTED_VALUE"""),45845)</f>
        <v/>
      </c>
      <c r="Z804" s="46">
        <f>IFERROR(__xludf.DUMMYFUNCTION("""COMPUTED_VALUE"""),45866)</f>
        <v/>
      </c>
      <c r="AA804" s="46">
        <f>IFERROR(__xludf.DUMMYFUNCTION("""COMPUTED_VALUE"""),45866)</f>
        <v/>
      </c>
      <c r="AB804" s="45">
        <f>IFERROR(__xludf.DUMMYFUNCTION("""COMPUTED_VALUE"""),"Conradweg 26")</f>
        <v/>
      </c>
      <c r="AC804" s="45" t="n"/>
      <c r="AD804" s="45">
        <f>IFERROR(__xludf.DUMMYFUNCTION("""COMPUTED_VALUE"""),"OCEAN")</f>
        <v/>
      </c>
      <c r="AE804" s="45">
        <f>IFERROR(__xludf.DUMMYFUNCTION("""COMPUTED_VALUE"""),"N")</f>
        <v/>
      </c>
      <c r="AF804" s="45">
        <f>IFERROR(__xludf.DUMMYFUNCTION("""COMPUTED_VALUE"""),"New Booking")</f>
        <v/>
      </c>
      <c r="AG804" s="49">
        <f>IFERROR(__xludf.DUMMYFUNCTION("IFNA(vlookup(H804,IMPORTRANGE(""1vUGwO1n0QQGx9kKbO0_M5gmuhXZ6-LaxQxgrmJnzgP0"",""'TP# look up'!A:C""),3,0),"""")"),"")</f>
        <v/>
      </c>
      <c r="AH804" s="49">
        <f>LEFT(J804,2)</f>
        <v/>
      </c>
    </row>
    <row r="805" ht="12.75" customHeight="1">
      <c r="A805" s="45">
        <f>IFERROR(__xludf.DUMMYFUNCTION("""COMPUTED_VALUE"""),"Colombo")</f>
        <v/>
      </c>
      <c r="B805" s="45" t="n"/>
      <c r="C805" s="45">
        <f>IFERROR(__xludf.DUMMYFUNCTION("""COMPUTED_VALUE"""),3259526)</f>
        <v/>
      </c>
      <c r="D805" s="45" t="n"/>
      <c r="E805" s="45">
        <f>IFERROR(__xludf.DUMMYFUNCTION("""COMPUTED_VALUE"""),"CFS")</f>
        <v/>
      </c>
      <c r="F805" s="45">
        <f>IFERROR(__xludf.DUMMYFUNCTION("""COMPUTED_VALUE"""),"Bodyline Trading (Private) Limited")</f>
        <v/>
      </c>
      <c r="G805" s="45">
        <f>IFERROR(__xludf.DUMMYFUNCTION("""COMPUTED_VALUE"""),"Bodyline (Private) Limited")</f>
        <v/>
      </c>
      <c r="H805" s="43">
        <f>IFERROR(__xludf.DUMMYFUNCTION("""COMPUTED_VALUE"""),456514360626)</f>
        <v/>
      </c>
      <c r="I805" s="45">
        <f>IFERROR(__xludf.DUMMYFUNCTION("""COMPUTED_VALUE"""),19828503)</f>
        <v/>
      </c>
      <c r="J805" s="45">
        <f>IFERROR(__xludf.DUMMYFUNCTION("""COMPUTED_VALUE"""),"LW2DQ0S")</f>
        <v/>
      </c>
      <c r="K805" s="45">
        <f>IFERROR(__xludf.DUMMYFUNCTION("""COMPUTED_VALUE"""),"LW2DQ0S-068585")</f>
        <v/>
      </c>
      <c r="L805" s="45">
        <f>IFERROR(__xludf.DUMMYFUNCTION("""COMPUTED_VALUE"""),8)</f>
        <v/>
      </c>
      <c r="M805" s="45">
        <f>IFERROR(__xludf.DUMMYFUNCTION("""COMPUTED_VALUE"""),409)</f>
        <v/>
      </c>
      <c r="N805" s="45">
        <f>IFERROR(__xludf.DUMMYFUNCTION("""COMPUTED_VALUE"""),49.286)</f>
        <v/>
      </c>
      <c r="O805" s="45">
        <f>IFERROR(__xludf.DUMMYFUNCTION("""COMPUTED_VALUE"""),0.608)</f>
        <v/>
      </c>
      <c r="P805" s="45">
        <f>IFERROR(__xludf.DUMMYFUNCTION("""COMPUTED_VALUE"""),"Colombo, LK")</f>
        <v/>
      </c>
      <c r="Q805" s="45">
        <f>IFERROR(__xludf.DUMMYFUNCTION("""COMPUTED_VALUE"""),"Rotterdam, NL")</f>
        <v/>
      </c>
      <c r="R805" s="44">
        <f>IFERROR(__xludf.DUMMYFUNCTION("""COMPUTED_VALUE"""),45838)</f>
        <v/>
      </c>
      <c r="S805" s="44">
        <f>IFERROR(__xludf.DUMMYFUNCTION("""COMPUTED_VALUE"""),45892)</f>
        <v/>
      </c>
      <c r="T805" s="45">
        <f>IFERROR(__xludf.DUMMYFUNCTION("""COMPUTED_VALUE"""),"Rotterdam, NL")</f>
        <v/>
      </c>
      <c r="U805" s="45" t="n"/>
      <c r="V805" s="45" t="n"/>
      <c r="W805" s="45" t="n"/>
      <c r="X805" s="45" t="n"/>
      <c r="Y805" s="46">
        <f>IFERROR(__xludf.DUMMYFUNCTION("""COMPUTED_VALUE"""),45845)</f>
        <v/>
      </c>
      <c r="Z805" s="46">
        <f>IFERROR(__xludf.DUMMYFUNCTION("""COMPUTED_VALUE"""),45866)</f>
        <v/>
      </c>
      <c r="AA805" s="46">
        <f>IFERROR(__xludf.DUMMYFUNCTION("""COMPUTED_VALUE"""),45866)</f>
        <v/>
      </c>
      <c r="AB805" s="45">
        <f>IFERROR(__xludf.DUMMYFUNCTION("""COMPUTED_VALUE"""),"Conradweg 26")</f>
        <v/>
      </c>
      <c r="AC805" s="45" t="n"/>
      <c r="AD805" s="45">
        <f>IFERROR(__xludf.DUMMYFUNCTION("""COMPUTED_VALUE"""),"OCEAN")</f>
        <v/>
      </c>
      <c r="AE805" s="45">
        <f>IFERROR(__xludf.DUMMYFUNCTION("""COMPUTED_VALUE"""),"N")</f>
        <v/>
      </c>
      <c r="AF805" s="45">
        <f>IFERROR(__xludf.DUMMYFUNCTION("""COMPUTED_VALUE"""),"New Booking")</f>
        <v/>
      </c>
      <c r="AG805" s="49">
        <f>IFERROR(__xludf.DUMMYFUNCTION("IFNA(vlookup(H805,IMPORTRANGE(""1vUGwO1n0QQGx9kKbO0_M5gmuhXZ6-LaxQxgrmJnzgP0"",""'TP# look up'!A:C""),3,0),"""")"),"")</f>
        <v/>
      </c>
      <c r="AH805" s="49">
        <f>LEFT(J805,2)</f>
        <v/>
      </c>
    </row>
    <row r="806" ht="12.75" customHeight="1">
      <c r="A806" s="45">
        <f>IFERROR(__xludf.DUMMYFUNCTION("""COMPUTED_VALUE"""),"Colombo")</f>
        <v/>
      </c>
      <c r="B806" s="45" t="n"/>
      <c r="C806" s="45">
        <f>IFERROR(__xludf.DUMMYFUNCTION("""COMPUTED_VALUE"""),3259526)</f>
        <v/>
      </c>
      <c r="D806" s="45" t="n"/>
      <c r="E806" s="45">
        <f>IFERROR(__xludf.DUMMYFUNCTION("""COMPUTED_VALUE"""),"CFS")</f>
        <v/>
      </c>
      <c r="F806" s="45">
        <f>IFERROR(__xludf.DUMMYFUNCTION("""COMPUTED_VALUE"""),"Inqube Global (PVT) Ltd")</f>
        <v/>
      </c>
      <c r="G806" s="45">
        <f>IFERROR(__xludf.DUMMYFUNCTION("""COMPUTED_VALUE"""),"Brandix Apparel Solutions Limited - Minuwangoda")</f>
        <v/>
      </c>
      <c r="H806" s="43">
        <f>IFERROR(__xludf.DUMMYFUNCTION("""COMPUTED_VALUE"""),456604545124)</f>
        <v/>
      </c>
      <c r="I806" s="45">
        <f>IFERROR(__xludf.DUMMYFUNCTION("""COMPUTED_VALUE"""),19854991)</f>
        <v/>
      </c>
      <c r="J806" s="45">
        <f>IFERROR(__xludf.DUMMYFUNCTION("""COMPUTED_VALUE"""),"LW5GLNS")</f>
        <v/>
      </c>
      <c r="K806" s="45">
        <f>IFERROR(__xludf.DUMMYFUNCTION("""COMPUTED_VALUE"""),"LW5GLNS-071150")</f>
        <v/>
      </c>
      <c r="L806" s="45">
        <f>IFERROR(__xludf.DUMMYFUNCTION("""COMPUTED_VALUE"""),6)</f>
        <v/>
      </c>
      <c r="M806" s="45">
        <f>IFERROR(__xludf.DUMMYFUNCTION("""COMPUTED_VALUE"""),95)</f>
        <v/>
      </c>
      <c r="N806" s="45">
        <f>IFERROR(__xludf.DUMMYFUNCTION("""COMPUTED_VALUE"""),50.4)</f>
        <v/>
      </c>
      <c r="O806" s="45">
        <f>IFERROR(__xludf.DUMMYFUNCTION("""COMPUTED_VALUE"""),0.471)</f>
        <v/>
      </c>
      <c r="P806" s="45">
        <f>IFERROR(__xludf.DUMMYFUNCTION("""COMPUTED_VALUE"""),"Colombo, LK")</f>
        <v/>
      </c>
      <c r="Q806" s="45">
        <f>IFERROR(__xludf.DUMMYFUNCTION("""COMPUTED_VALUE"""),"Rotterdam, NL")</f>
        <v/>
      </c>
      <c r="R806" s="44">
        <f>IFERROR(__xludf.DUMMYFUNCTION("""COMPUTED_VALUE"""),45838)</f>
        <v/>
      </c>
      <c r="S806" s="44">
        <f>IFERROR(__xludf.DUMMYFUNCTION("""COMPUTED_VALUE"""),45892)</f>
        <v/>
      </c>
      <c r="T806" s="45">
        <f>IFERROR(__xludf.DUMMYFUNCTION("""COMPUTED_VALUE"""),"Rotterdam, NL")</f>
        <v/>
      </c>
      <c r="U806" s="45" t="n"/>
      <c r="V806" s="45" t="n"/>
      <c r="W806" s="45" t="n"/>
      <c r="X806" s="45" t="n"/>
      <c r="Y806" s="46">
        <f>IFERROR(__xludf.DUMMYFUNCTION("""COMPUTED_VALUE"""),45845)</f>
        <v/>
      </c>
      <c r="Z806" s="46">
        <f>IFERROR(__xludf.DUMMYFUNCTION("""COMPUTED_VALUE"""),45866)</f>
        <v/>
      </c>
      <c r="AA806" s="46">
        <f>IFERROR(__xludf.DUMMYFUNCTION("""COMPUTED_VALUE"""),45866)</f>
        <v/>
      </c>
      <c r="AB806" s="45">
        <f>IFERROR(__xludf.DUMMYFUNCTION("""COMPUTED_VALUE"""),"Conradweg 26")</f>
        <v/>
      </c>
      <c r="AC806" s="45" t="n"/>
      <c r="AD806" s="45">
        <f>IFERROR(__xludf.DUMMYFUNCTION("""COMPUTED_VALUE"""),"OCEAN")</f>
        <v/>
      </c>
      <c r="AE806" s="45">
        <f>IFERROR(__xludf.DUMMYFUNCTION("""COMPUTED_VALUE"""),"N")</f>
        <v/>
      </c>
      <c r="AF806" s="45">
        <f>IFERROR(__xludf.DUMMYFUNCTION("""COMPUTED_VALUE"""),"New Booking")</f>
        <v/>
      </c>
      <c r="AG806" s="49">
        <f>IFERROR(__xludf.DUMMYFUNCTION("IFNA(vlookup(H806,IMPORTRANGE(""1vUGwO1n0QQGx9kKbO0_M5gmuhXZ6-LaxQxgrmJnzgP0"",""'TP# look up'!A:C""),3,0),"""")"),"")</f>
        <v/>
      </c>
      <c r="AH806" s="49">
        <f>LEFT(J806,2)</f>
        <v/>
      </c>
    </row>
    <row r="807" ht="12.75" customHeight="1">
      <c r="A807" s="45">
        <f>IFERROR(__xludf.DUMMYFUNCTION("""COMPUTED_VALUE"""),"Colombo")</f>
        <v/>
      </c>
      <c r="B807" s="45" t="n"/>
      <c r="C807" s="45">
        <f>IFERROR(__xludf.DUMMYFUNCTION("""COMPUTED_VALUE"""),3259526)</f>
        <v/>
      </c>
      <c r="D807" s="45" t="n"/>
      <c r="E807" s="45">
        <f>IFERROR(__xludf.DUMMYFUNCTION("""COMPUTED_VALUE"""),"CFS")</f>
        <v/>
      </c>
      <c r="F807" s="45">
        <f>IFERROR(__xludf.DUMMYFUNCTION("""COMPUTED_VALUE"""),"Inqube Global (PVT) Ltd")</f>
        <v/>
      </c>
      <c r="G807" s="45">
        <f>IFERROR(__xludf.DUMMYFUNCTION("""COMPUTED_VALUE"""),"Brandix Apparel Solutions Limited - Minuwangoda")</f>
        <v/>
      </c>
      <c r="H807" s="43">
        <f>IFERROR(__xludf.DUMMYFUNCTION("""COMPUTED_VALUE"""),456881601911)</f>
        <v/>
      </c>
      <c r="I807" s="45">
        <f>IFERROR(__xludf.DUMMYFUNCTION("""COMPUTED_VALUE"""),19854960)</f>
        <v/>
      </c>
      <c r="J807" s="45">
        <f>IFERROR(__xludf.DUMMYFUNCTION("""COMPUTED_VALUE"""),"LW3ISMS")</f>
        <v/>
      </c>
      <c r="K807" s="45">
        <f>IFERROR(__xludf.DUMMYFUNCTION("""COMPUTED_VALUE"""),"LW3ISMS-020392")</f>
        <v/>
      </c>
      <c r="L807" s="45">
        <f>IFERROR(__xludf.DUMMYFUNCTION("""COMPUTED_VALUE"""),7)</f>
        <v/>
      </c>
      <c r="M807" s="45">
        <f>IFERROR(__xludf.DUMMYFUNCTION("""COMPUTED_VALUE"""),104)</f>
        <v/>
      </c>
      <c r="N807" s="45">
        <f>IFERROR(__xludf.DUMMYFUNCTION("""COMPUTED_VALUE"""),32.645)</f>
        <v/>
      </c>
      <c r="O807" s="45">
        <f>IFERROR(__xludf.DUMMYFUNCTION("""COMPUTED_VALUE"""),0.55)</f>
        <v/>
      </c>
      <c r="P807" s="45">
        <f>IFERROR(__xludf.DUMMYFUNCTION("""COMPUTED_VALUE"""),"Colombo, LK")</f>
        <v/>
      </c>
      <c r="Q807" s="45">
        <f>IFERROR(__xludf.DUMMYFUNCTION("""COMPUTED_VALUE"""),"Rotterdam, NL")</f>
        <v/>
      </c>
      <c r="R807" s="44">
        <f>IFERROR(__xludf.DUMMYFUNCTION("""COMPUTED_VALUE"""),45838)</f>
        <v/>
      </c>
      <c r="S807" s="44">
        <f>IFERROR(__xludf.DUMMYFUNCTION("""COMPUTED_VALUE"""),45892)</f>
        <v/>
      </c>
      <c r="T807" s="45">
        <f>IFERROR(__xludf.DUMMYFUNCTION("""COMPUTED_VALUE"""),"Rotterdam, NL")</f>
        <v/>
      </c>
      <c r="U807" s="45" t="n"/>
      <c r="V807" s="45" t="n"/>
      <c r="W807" s="45" t="n"/>
      <c r="X807" s="45" t="n"/>
      <c r="Y807" s="46">
        <f>IFERROR(__xludf.DUMMYFUNCTION("""COMPUTED_VALUE"""),45845)</f>
        <v/>
      </c>
      <c r="Z807" s="46">
        <f>IFERROR(__xludf.DUMMYFUNCTION("""COMPUTED_VALUE"""),45866)</f>
        <v/>
      </c>
      <c r="AA807" s="46">
        <f>IFERROR(__xludf.DUMMYFUNCTION("""COMPUTED_VALUE"""),45866)</f>
        <v/>
      </c>
      <c r="AB807" s="45">
        <f>IFERROR(__xludf.DUMMYFUNCTION("""COMPUTED_VALUE"""),"Conradweg 26")</f>
        <v/>
      </c>
      <c r="AC807" s="45" t="n"/>
      <c r="AD807" s="45">
        <f>IFERROR(__xludf.DUMMYFUNCTION("""COMPUTED_VALUE"""),"OCEAN")</f>
        <v/>
      </c>
      <c r="AE807" s="45">
        <f>IFERROR(__xludf.DUMMYFUNCTION("""COMPUTED_VALUE"""),"N")</f>
        <v/>
      </c>
      <c r="AF807" s="45">
        <f>IFERROR(__xludf.DUMMYFUNCTION("""COMPUTED_VALUE"""),"New Booking, Status changed from Submitted to Approved, Port of Loading changed from None to Colombo, LK, Dates Added, Dates Added")</f>
        <v/>
      </c>
      <c r="AG807" s="49">
        <f>IFERROR(__xludf.DUMMYFUNCTION("IFNA(vlookup(H807,IMPORTRANGE(""1vUGwO1n0QQGx9kKbO0_M5gmuhXZ6-LaxQxgrmJnzgP0"",""'TP# look up'!A:C""),3,0),"""")"),"")</f>
        <v/>
      </c>
      <c r="AH807" s="49">
        <f>LEFT(J807,2)</f>
        <v/>
      </c>
    </row>
    <row r="808" ht="12.75" customHeight="1">
      <c r="A808" s="45">
        <f>IFERROR(__xludf.DUMMYFUNCTION("""COMPUTED_VALUE"""),"Colombo")</f>
        <v/>
      </c>
      <c r="B808" s="45" t="n"/>
      <c r="C808" s="45">
        <f>IFERROR(__xludf.DUMMYFUNCTION("""COMPUTED_VALUE"""),3259526)</f>
        <v/>
      </c>
      <c r="D808" s="45" t="n"/>
      <c r="E808" s="45">
        <f>IFERROR(__xludf.DUMMYFUNCTION("""COMPUTED_VALUE"""),"CFS")</f>
        <v/>
      </c>
      <c r="F808" s="45">
        <f>IFERROR(__xludf.DUMMYFUNCTION("""COMPUTED_VALUE"""),"Inqube Global (PVT) Ltd")</f>
        <v/>
      </c>
      <c r="G808" s="45">
        <f>IFERROR(__xludf.DUMMYFUNCTION("""COMPUTED_VALUE"""),"BRANDIX APPAREL SOLUTION LTD - GIRITALE")</f>
        <v/>
      </c>
      <c r="H808" s="43">
        <f>IFERROR(__xludf.DUMMYFUNCTION("""COMPUTED_VALUE"""),455639587806)</f>
        <v/>
      </c>
      <c r="I808" s="45">
        <f>IFERROR(__xludf.DUMMYFUNCTION("""COMPUTED_VALUE"""),19807135)</f>
        <v/>
      </c>
      <c r="J808" s="45">
        <f>IFERROR(__xludf.DUMMYFUNCTION("""COMPUTED_VALUE"""),"LM5AXAS")</f>
        <v/>
      </c>
      <c r="K808" s="45">
        <f>IFERROR(__xludf.DUMMYFUNCTION("""COMPUTED_VALUE"""),"LM5AXAS-070108")</f>
        <v/>
      </c>
      <c r="L808" s="45">
        <f>IFERROR(__xludf.DUMMYFUNCTION("""COMPUTED_VALUE"""),5)</f>
        <v/>
      </c>
      <c r="M808" s="45">
        <f>IFERROR(__xludf.DUMMYFUNCTION("""COMPUTED_VALUE"""),119)</f>
        <v/>
      </c>
      <c r="N808" s="45">
        <f>IFERROR(__xludf.DUMMYFUNCTION("""COMPUTED_VALUE"""),47.67)</f>
        <v/>
      </c>
      <c r="O808" s="45">
        <f>IFERROR(__xludf.DUMMYFUNCTION("""COMPUTED_VALUE"""),0.413)</f>
        <v/>
      </c>
      <c r="P808" s="45">
        <f>IFERROR(__xludf.DUMMYFUNCTION("""COMPUTED_VALUE"""),"Colombo, LK")</f>
        <v/>
      </c>
      <c r="Q808" s="45">
        <f>IFERROR(__xludf.DUMMYFUNCTION("""COMPUTED_VALUE"""),"Rotterdam, NL")</f>
        <v/>
      </c>
      <c r="R808" s="44">
        <f>IFERROR(__xludf.DUMMYFUNCTION("""COMPUTED_VALUE"""),45838)</f>
        <v/>
      </c>
      <c r="S808" s="44">
        <f>IFERROR(__xludf.DUMMYFUNCTION("""COMPUTED_VALUE"""),45892)</f>
        <v/>
      </c>
      <c r="T808" s="45">
        <f>IFERROR(__xludf.DUMMYFUNCTION("""COMPUTED_VALUE"""),"Rotterdam, NL")</f>
        <v/>
      </c>
      <c r="U808" s="45" t="n"/>
      <c r="V808" s="45" t="n"/>
      <c r="W808" s="45" t="n"/>
      <c r="X808" s="45" t="n"/>
      <c r="Y808" s="46">
        <f>IFERROR(__xludf.DUMMYFUNCTION("""COMPUTED_VALUE"""),45845)</f>
        <v/>
      </c>
      <c r="Z808" s="46">
        <f>IFERROR(__xludf.DUMMYFUNCTION("""COMPUTED_VALUE"""),45866)</f>
        <v/>
      </c>
      <c r="AA808" s="46">
        <f>IFERROR(__xludf.DUMMYFUNCTION("""COMPUTED_VALUE"""),45866)</f>
        <v/>
      </c>
      <c r="AB808" s="45">
        <f>IFERROR(__xludf.DUMMYFUNCTION("""COMPUTED_VALUE"""),"Conradweg 26")</f>
        <v/>
      </c>
      <c r="AC808" s="45" t="n"/>
      <c r="AD808" s="45">
        <f>IFERROR(__xludf.DUMMYFUNCTION("""COMPUTED_VALUE"""),"OCEAN")</f>
        <v/>
      </c>
      <c r="AE808" s="45">
        <f>IFERROR(__xludf.DUMMYFUNCTION("""COMPUTED_VALUE"""),"N")</f>
        <v/>
      </c>
      <c r="AF808" s="45">
        <f>IFERROR(__xludf.DUMMYFUNCTION("""COMPUTED_VALUE"""),"New Booking")</f>
        <v/>
      </c>
      <c r="AG808" s="49">
        <f>IFERROR(__xludf.DUMMYFUNCTION("IFNA(vlookup(H808,IMPORTRANGE(""1vUGwO1n0QQGx9kKbO0_M5gmuhXZ6-LaxQxgrmJnzgP0"",""'TP# look up'!A:C""),3,0),"""")"),"")</f>
        <v/>
      </c>
      <c r="AH808" s="49">
        <f>LEFT(J808,2)</f>
        <v/>
      </c>
    </row>
    <row r="809" ht="12.75" customHeight="1">
      <c r="A809" s="45">
        <f>IFERROR(__xludf.DUMMYFUNCTION("""COMPUTED_VALUE"""),"Colombo")</f>
        <v/>
      </c>
      <c r="B809" s="45" t="n"/>
      <c r="C809" s="45">
        <f>IFERROR(__xludf.DUMMYFUNCTION("""COMPUTED_VALUE"""),3259528)</f>
        <v/>
      </c>
      <c r="D809" s="45" t="n"/>
      <c r="E809" s="45">
        <f>IFERROR(__xludf.DUMMYFUNCTION("""COMPUTED_VALUE"""),"CFS")</f>
        <v/>
      </c>
      <c r="F809" s="45">
        <f>IFERROR(__xludf.DUMMYFUNCTION("""COMPUTED_VALUE"""),"Inqube Global (PVT) Ltd")</f>
        <v/>
      </c>
      <c r="G809" s="45">
        <f>IFERROR(__xludf.DUMMYFUNCTION("""COMPUTED_VALUE"""),"BRANDIX APPAREL SOLUTION LTD - GIRITALE")</f>
        <v/>
      </c>
      <c r="H809" s="43">
        <f>IFERROR(__xludf.DUMMYFUNCTION("""COMPUTED_VALUE"""),455641464651)</f>
        <v/>
      </c>
      <c r="I809" s="45">
        <f>IFERROR(__xludf.DUMMYFUNCTION("""COMPUTED_VALUE"""),19855610)</f>
        <v/>
      </c>
      <c r="J809" s="45">
        <f>IFERROR(__xludf.DUMMYFUNCTION("""COMPUTED_VALUE"""),"LM5AO4S")</f>
        <v/>
      </c>
      <c r="K809" s="45">
        <f>IFERROR(__xludf.DUMMYFUNCTION("""COMPUTED_VALUE"""),"LM5AO4S-018615")</f>
        <v/>
      </c>
      <c r="L809" s="45">
        <f>IFERROR(__xludf.DUMMYFUNCTION("""COMPUTED_VALUE"""),1)</f>
        <v/>
      </c>
      <c r="M809" s="45">
        <f>IFERROR(__xludf.DUMMYFUNCTION("""COMPUTED_VALUE"""),41)</f>
        <v/>
      </c>
      <c r="N809" s="45">
        <f>IFERROR(__xludf.DUMMYFUNCTION("""COMPUTED_VALUE"""),18.35)</f>
        <v/>
      </c>
      <c r="O809" s="45">
        <f>IFERROR(__xludf.DUMMYFUNCTION("""COMPUTED_VALUE"""),0.083)</f>
        <v/>
      </c>
      <c r="P809" s="45">
        <f>IFERROR(__xludf.DUMMYFUNCTION("""COMPUTED_VALUE"""),"Colombo, LK")</f>
        <v/>
      </c>
      <c r="Q809" s="45">
        <f>IFERROR(__xludf.DUMMYFUNCTION("""COMPUTED_VALUE"""),"New York, NY, US")</f>
        <v/>
      </c>
      <c r="R809" s="44">
        <f>IFERROR(__xludf.DUMMYFUNCTION("""COMPUTED_VALUE"""),45838)</f>
        <v/>
      </c>
      <c r="S809" s="44">
        <f>IFERROR(__xludf.DUMMYFUNCTION("""COMPUTED_VALUE"""),45897)</f>
        <v/>
      </c>
      <c r="T809" s="45">
        <f>IFERROR(__xludf.DUMMYFUNCTION("""COMPUTED_VALUE"""),"Mississauga, ON, CA")</f>
        <v/>
      </c>
      <c r="U809" s="45" t="n"/>
      <c r="V809" s="45" t="n"/>
      <c r="W809" s="45" t="n"/>
      <c r="X809" s="45" t="n"/>
      <c r="Y809" s="46">
        <f>IFERROR(__xludf.DUMMYFUNCTION("""COMPUTED_VALUE"""),45845)</f>
        <v/>
      </c>
      <c r="Z809" s="46">
        <f>IFERROR(__xludf.DUMMYFUNCTION("""COMPUTED_VALUE"""),45866)</f>
        <v/>
      </c>
      <c r="AA809" s="46">
        <f>IFERROR(__xludf.DUMMYFUNCTION("""COMPUTED_VALUE"""),45866)</f>
        <v/>
      </c>
      <c r="AB809" s="45">
        <f>IFERROR(__xludf.DUMMYFUNCTION("""COMPUTED_VALUE"""),"3500 Argentia Road")</f>
        <v/>
      </c>
      <c r="AC809" s="45" t="n"/>
      <c r="AD809" s="45">
        <f>IFERROR(__xludf.DUMMYFUNCTION("""COMPUTED_VALUE"""),"OCEAN")</f>
        <v/>
      </c>
      <c r="AE809" s="45">
        <f>IFERROR(__xludf.DUMMYFUNCTION("""COMPUTED_VALUE"""),"N")</f>
        <v/>
      </c>
      <c r="AF809" s="45">
        <f>IFERROR(__xludf.DUMMYFUNCTION("""COMPUTED_VALUE"""),"New Booking")</f>
        <v/>
      </c>
      <c r="AG809" s="49">
        <f>IFERROR(__xludf.DUMMYFUNCTION("IFNA(vlookup(H809,IMPORTRANGE(""1vUGwO1n0QQGx9kKbO0_M5gmuhXZ6-LaxQxgrmJnzgP0"",""'TP# look up'!A:C""),3,0),"""")"),"")</f>
        <v/>
      </c>
      <c r="AH809" s="49">
        <f>LEFT(J809,2)</f>
        <v/>
      </c>
    </row>
    <row r="810" ht="12.75" customHeight="1">
      <c r="A810" s="45">
        <f>IFERROR(__xludf.DUMMYFUNCTION("""COMPUTED_VALUE"""),"Colombo")</f>
        <v/>
      </c>
      <c r="B810" s="45" t="n"/>
      <c r="C810" s="45">
        <f>IFERROR(__xludf.DUMMYFUNCTION("""COMPUTED_VALUE"""),3259528)</f>
        <v/>
      </c>
      <c r="D810" s="45" t="n"/>
      <c r="E810" s="45">
        <f>IFERROR(__xludf.DUMMYFUNCTION("""COMPUTED_VALUE"""),"CFS")</f>
        <v/>
      </c>
      <c r="F810" s="45">
        <f>IFERROR(__xludf.DUMMYFUNCTION("""COMPUTED_VALUE"""),"Inqube Global (PVT) Ltd")</f>
        <v/>
      </c>
      <c r="G810" s="45">
        <f>IFERROR(__xludf.DUMMYFUNCTION("""COMPUTED_VALUE"""),"BRANDIX APPAREL SOLUTION LTD - GIRITALE")</f>
        <v/>
      </c>
      <c r="H810" s="43">
        <f>IFERROR(__xludf.DUMMYFUNCTION("""COMPUTED_VALUE"""),455641955223)</f>
        <v/>
      </c>
      <c r="I810" s="45">
        <f>IFERROR(__xludf.DUMMYFUNCTION("""COMPUTED_VALUE"""),19855609)</f>
        <v/>
      </c>
      <c r="J810" s="45">
        <f>IFERROR(__xludf.DUMMYFUNCTION("""COMPUTED_VALUE"""),"LM5AO4S")</f>
        <v/>
      </c>
      <c r="K810" s="45">
        <f>IFERROR(__xludf.DUMMYFUNCTION("""COMPUTED_VALUE"""),"LM5AO4S-018615")</f>
        <v/>
      </c>
      <c r="L810" s="45">
        <f>IFERROR(__xludf.DUMMYFUNCTION("""COMPUTED_VALUE"""),6)</f>
        <v/>
      </c>
      <c r="M810" s="45">
        <f>IFERROR(__xludf.DUMMYFUNCTION("""COMPUTED_VALUE"""),111)</f>
        <v/>
      </c>
      <c r="N810" s="45">
        <f>IFERROR(__xludf.DUMMYFUNCTION("""COMPUTED_VALUE"""),52.39)</f>
        <v/>
      </c>
      <c r="O810" s="45">
        <f>IFERROR(__xludf.DUMMYFUNCTION("""COMPUTED_VALUE"""),0.295)</f>
        <v/>
      </c>
      <c r="P810" s="45">
        <f>IFERROR(__xludf.DUMMYFUNCTION("""COMPUTED_VALUE"""),"Colombo, LK")</f>
        <v/>
      </c>
      <c r="Q810" s="45">
        <f>IFERROR(__xludf.DUMMYFUNCTION("""COMPUTED_VALUE"""),"New York, NY, US")</f>
        <v/>
      </c>
      <c r="R810" s="44">
        <f>IFERROR(__xludf.DUMMYFUNCTION("""COMPUTED_VALUE"""),45838)</f>
        <v/>
      </c>
      <c r="S810" s="44">
        <f>IFERROR(__xludf.DUMMYFUNCTION("""COMPUTED_VALUE"""),45897)</f>
        <v/>
      </c>
      <c r="T810" s="45">
        <f>IFERROR(__xludf.DUMMYFUNCTION("""COMPUTED_VALUE"""),"Mississauga, ON, CA")</f>
        <v/>
      </c>
      <c r="U810" s="45" t="n"/>
      <c r="V810" s="45" t="n"/>
      <c r="W810" s="45" t="n"/>
      <c r="X810" s="45" t="n"/>
      <c r="Y810" s="46">
        <f>IFERROR(__xludf.DUMMYFUNCTION("""COMPUTED_VALUE"""),45845)</f>
        <v/>
      </c>
      <c r="Z810" s="46">
        <f>IFERROR(__xludf.DUMMYFUNCTION("""COMPUTED_VALUE"""),45866)</f>
        <v/>
      </c>
      <c r="AA810" s="46">
        <f>IFERROR(__xludf.DUMMYFUNCTION("""COMPUTED_VALUE"""),45866)</f>
        <v/>
      </c>
      <c r="AB810" s="45">
        <f>IFERROR(__xludf.DUMMYFUNCTION("""COMPUTED_VALUE"""),"3500 Argentia Road")</f>
        <v/>
      </c>
      <c r="AC810" s="45" t="n"/>
      <c r="AD810" s="45">
        <f>IFERROR(__xludf.DUMMYFUNCTION("""COMPUTED_VALUE"""),"OCEAN")</f>
        <v/>
      </c>
      <c r="AE810" s="45">
        <f>IFERROR(__xludf.DUMMYFUNCTION("""COMPUTED_VALUE"""),"N")</f>
        <v/>
      </c>
      <c r="AF810" s="45">
        <f>IFERROR(__xludf.DUMMYFUNCTION("""COMPUTED_VALUE"""),"New Booking")</f>
        <v/>
      </c>
      <c r="AG810" s="49">
        <f>IFERROR(__xludf.DUMMYFUNCTION("IFNA(vlookup(H810,IMPORTRANGE(""1vUGwO1n0QQGx9kKbO0_M5gmuhXZ6-LaxQxgrmJnzgP0"",""'TP# look up'!A:C""),3,0),"""")"),"")</f>
        <v/>
      </c>
      <c r="AH810" s="49">
        <f>LEFT(J810,2)</f>
        <v/>
      </c>
    </row>
    <row r="811" ht="12.75" customHeight="1">
      <c r="A811" s="45">
        <f>IFERROR(__xludf.DUMMYFUNCTION("""COMPUTED_VALUE"""),"Colombo")</f>
        <v/>
      </c>
      <c r="B811" s="45" t="n"/>
      <c r="C811" s="45">
        <f>IFERROR(__xludf.DUMMYFUNCTION("""COMPUTED_VALUE"""),3259528)</f>
        <v/>
      </c>
      <c r="D811" s="45" t="n"/>
      <c r="E811" s="45">
        <f>IFERROR(__xludf.DUMMYFUNCTION("""COMPUTED_VALUE"""),"CFS")</f>
        <v/>
      </c>
      <c r="F811" s="45">
        <f>IFERROR(__xludf.DUMMYFUNCTION("""COMPUTED_VALUE"""),"Inqube Global (PVT) Ltd")</f>
        <v/>
      </c>
      <c r="G811" s="45">
        <f>IFERROR(__xludf.DUMMYFUNCTION("""COMPUTED_VALUE"""),"BRANDIX APPAREL SOLUTION LTD - GIRITALE")</f>
        <v/>
      </c>
      <c r="H811" s="43">
        <f>IFERROR(__xludf.DUMMYFUNCTION("""COMPUTED_VALUE"""),455644205150)</f>
        <v/>
      </c>
      <c r="I811" s="45">
        <f>IFERROR(__xludf.DUMMYFUNCTION("""COMPUTED_VALUE"""),19855887)</f>
        <v/>
      </c>
      <c r="J811" s="45">
        <f>IFERROR(__xludf.DUMMYFUNCTION("""COMPUTED_VALUE"""),"LM5AO4S")</f>
        <v/>
      </c>
      <c r="K811" s="45">
        <f>IFERROR(__xludf.DUMMYFUNCTION("""COMPUTED_VALUE"""),"LM5AO4S-018615")</f>
        <v/>
      </c>
      <c r="L811" s="45">
        <f>IFERROR(__xludf.DUMMYFUNCTION("""COMPUTED_VALUE"""),9)</f>
        <v/>
      </c>
      <c r="M811" s="45">
        <f>IFERROR(__xludf.DUMMYFUNCTION("""COMPUTED_VALUE"""),248)</f>
        <v/>
      </c>
      <c r="N811" s="45">
        <f>IFERROR(__xludf.DUMMYFUNCTION("""COMPUTED_VALUE"""),114.46)</f>
        <v/>
      </c>
      <c r="O811" s="45">
        <f>IFERROR(__xludf.DUMMYFUNCTION("""COMPUTED_VALUE"""),0.623)</f>
        <v/>
      </c>
      <c r="P811" s="45">
        <f>IFERROR(__xludf.DUMMYFUNCTION("""COMPUTED_VALUE"""),"Colombo, LK")</f>
        <v/>
      </c>
      <c r="Q811" s="45">
        <f>IFERROR(__xludf.DUMMYFUNCTION("""COMPUTED_VALUE"""),"New York, NY, US")</f>
        <v/>
      </c>
      <c r="R811" s="44">
        <f>IFERROR(__xludf.DUMMYFUNCTION("""COMPUTED_VALUE"""),45838)</f>
        <v/>
      </c>
      <c r="S811" s="44">
        <f>IFERROR(__xludf.DUMMYFUNCTION("""COMPUTED_VALUE"""),45897)</f>
        <v/>
      </c>
      <c r="T811" s="45">
        <f>IFERROR(__xludf.DUMMYFUNCTION("""COMPUTED_VALUE"""),"Mississauga, ON, CA")</f>
        <v/>
      </c>
      <c r="U811" s="45" t="n"/>
      <c r="V811" s="45" t="n"/>
      <c r="W811" s="45" t="n"/>
      <c r="X811" s="45" t="n"/>
      <c r="Y811" s="46">
        <f>IFERROR(__xludf.DUMMYFUNCTION("""COMPUTED_VALUE"""),45845)</f>
        <v/>
      </c>
      <c r="Z811" s="46">
        <f>IFERROR(__xludf.DUMMYFUNCTION("""COMPUTED_VALUE"""),45866)</f>
        <v/>
      </c>
      <c r="AA811" s="46">
        <f>IFERROR(__xludf.DUMMYFUNCTION("""COMPUTED_VALUE"""),45866)</f>
        <v/>
      </c>
      <c r="AB811" s="45">
        <f>IFERROR(__xludf.DUMMYFUNCTION("""COMPUTED_VALUE"""),"3500 Argentia Road")</f>
        <v/>
      </c>
      <c r="AC811" s="45" t="n"/>
      <c r="AD811" s="45">
        <f>IFERROR(__xludf.DUMMYFUNCTION("""COMPUTED_VALUE"""),"OCEAN")</f>
        <v/>
      </c>
      <c r="AE811" s="45">
        <f>IFERROR(__xludf.DUMMYFUNCTION("""COMPUTED_VALUE"""),"N")</f>
        <v/>
      </c>
      <c r="AF811" s="45">
        <f>IFERROR(__xludf.DUMMYFUNCTION("""COMPUTED_VALUE"""),"New Booking")</f>
        <v/>
      </c>
      <c r="AG811" s="49">
        <f>IFERROR(__xludf.DUMMYFUNCTION("IFNA(vlookup(H811,IMPORTRANGE(""1vUGwO1n0QQGx9kKbO0_M5gmuhXZ6-LaxQxgrmJnzgP0"",""'TP# look up'!A:C""),3,0),"""")"),"")</f>
        <v/>
      </c>
      <c r="AH811" s="49">
        <f>LEFT(J811,2)</f>
        <v/>
      </c>
    </row>
    <row r="812" ht="12.75" customHeight="1">
      <c r="A812" s="45">
        <f>IFERROR(__xludf.DUMMYFUNCTION("""COMPUTED_VALUE"""),"Colombo")</f>
        <v/>
      </c>
      <c r="B812" s="45" t="n"/>
      <c r="C812" s="45">
        <f>IFERROR(__xludf.DUMMYFUNCTION("""COMPUTED_VALUE"""),3259528)</f>
        <v/>
      </c>
      <c r="D812" s="45" t="n"/>
      <c r="E812" s="45">
        <f>IFERROR(__xludf.DUMMYFUNCTION("""COMPUTED_VALUE"""),"CFS")</f>
        <v/>
      </c>
      <c r="F812" s="45">
        <f>IFERROR(__xludf.DUMMYFUNCTION("""COMPUTED_VALUE"""),"Inqube Global (PVT) Ltd")</f>
        <v/>
      </c>
      <c r="G812" s="45">
        <f>IFERROR(__xludf.DUMMYFUNCTION("""COMPUTED_VALUE"""),"BRANDIX APPAREL SOLUTION LTD - GIRITALE")</f>
        <v/>
      </c>
      <c r="H812" s="43">
        <f>IFERROR(__xludf.DUMMYFUNCTION("""COMPUTED_VALUE"""),455644207374)</f>
        <v/>
      </c>
      <c r="I812" s="45">
        <f>IFERROR(__xludf.DUMMYFUNCTION("""COMPUTED_VALUE"""),19855891)</f>
        <v/>
      </c>
      <c r="J812" s="45">
        <f>IFERROR(__xludf.DUMMYFUNCTION("""COMPUTED_VALUE"""),"LM5AO4S")</f>
        <v/>
      </c>
      <c r="K812" s="45">
        <f>IFERROR(__xludf.DUMMYFUNCTION("""COMPUTED_VALUE"""),"LM5AO4S-018615")</f>
        <v/>
      </c>
      <c r="L812" s="45">
        <f>IFERROR(__xludf.DUMMYFUNCTION("""COMPUTED_VALUE"""),7)</f>
        <v/>
      </c>
      <c r="M812" s="45">
        <f>IFERROR(__xludf.DUMMYFUNCTION("""COMPUTED_VALUE"""),210)</f>
        <v/>
      </c>
      <c r="N812" s="45">
        <f>IFERROR(__xludf.DUMMYFUNCTION("""COMPUTED_VALUE"""),95.81)</f>
        <v/>
      </c>
      <c r="O812" s="45">
        <f>IFERROR(__xludf.DUMMYFUNCTION("""COMPUTED_VALUE"""),0.498)</f>
        <v/>
      </c>
      <c r="P812" s="45">
        <f>IFERROR(__xludf.DUMMYFUNCTION("""COMPUTED_VALUE"""),"Colombo, LK")</f>
        <v/>
      </c>
      <c r="Q812" s="45">
        <f>IFERROR(__xludf.DUMMYFUNCTION("""COMPUTED_VALUE"""),"New York, NY, US")</f>
        <v/>
      </c>
      <c r="R812" s="44">
        <f>IFERROR(__xludf.DUMMYFUNCTION("""COMPUTED_VALUE"""),45838)</f>
        <v/>
      </c>
      <c r="S812" s="44">
        <f>IFERROR(__xludf.DUMMYFUNCTION("""COMPUTED_VALUE"""),45897)</f>
        <v/>
      </c>
      <c r="T812" s="45">
        <f>IFERROR(__xludf.DUMMYFUNCTION("""COMPUTED_VALUE"""),"Mississauga, ON, CA")</f>
        <v/>
      </c>
      <c r="U812" s="45" t="n"/>
      <c r="V812" s="45" t="n"/>
      <c r="W812" s="45" t="n"/>
      <c r="X812" s="45" t="n"/>
      <c r="Y812" s="46">
        <f>IFERROR(__xludf.DUMMYFUNCTION("""COMPUTED_VALUE"""),45845)</f>
        <v/>
      </c>
      <c r="Z812" s="46">
        <f>IFERROR(__xludf.DUMMYFUNCTION("""COMPUTED_VALUE"""),45866)</f>
        <v/>
      </c>
      <c r="AA812" s="46">
        <f>IFERROR(__xludf.DUMMYFUNCTION("""COMPUTED_VALUE"""),45866)</f>
        <v/>
      </c>
      <c r="AB812" s="45">
        <f>IFERROR(__xludf.DUMMYFUNCTION("""COMPUTED_VALUE"""),"3500 Argentia Road")</f>
        <v/>
      </c>
      <c r="AC812" s="45" t="n"/>
      <c r="AD812" s="45">
        <f>IFERROR(__xludf.DUMMYFUNCTION("""COMPUTED_VALUE"""),"OCEAN")</f>
        <v/>
      </c>
      <c r="AE812" s="45">
        <f>IFERROR(__xludf.DUMMYFUNCTION("""COMPUTED_VALUE"""),"N")</f>
        <v/>
      </c>
      <c r="AF812" s="45">
        <f>IFERROR(__xludf.DUMMYFUNCTION("""COMPUTED_VALUE"""),"New Booking")</f>
        <v/>
      </c>
      <c r="AG812" s="49">
        <f>IFERROR(__xludf.DUMMYFUNCTION("IFNA(vlookup(H812,IMPORTRANGE(""1vUGwO1n0QQGx9kKbO0_M5gmuhXZ6-LaxQxgrmJnzgP0"",""'TP# look up'!A:C""),3,0),"""")"),"")</f>
        <v/>
      </c>
      <c r="AH812" s="49">
        <f>LEFT(J812,2)</f>
        <v/>
      </c>
    </row>
    <row r="813" ht="12.75" customHeight="1">
      <c r="A813" s="45">
        <f>IFERROR(__xludf.DUMMYFUNCTION("""COMPUTED_VALUE"""),"Colombo")</f>
        <v/>
      </c>
      <c r="B813" s="45" t="n"/>
      <c r="C813" s="45">
        <f>IFERROR(__xludf.DUMMYFUNCTION("""COMPUTED_VALUE"""),3259528)</f>
        <v/>
      </c>
      <c r="D813" s="45" t="n"/>
      <c r="E813" s="45">
        <f>IFERROR(__xludf.DUMMYFUNCTION("""COMPUTED_VALUE"""),"CFS")</f>
        <v/>
      </c>
      <c r="F813" s="45">
        <f>IFERROR(__xludf.DUMMYFUNCTION("""COMPUTED_VALUE"""),"Inqube Global (PVT) Ltd")</f>
        <v/>
      </c>
      <c r="G813" s="45">
        <f>IFERROR(__xludf.DUMMYFUNCTION("""COMPUTED_VALUE"""),"BRANDIX APPAREL SOLUTION LTD - GIRITALE")</f>
        <v/>
      </c>
      <c r="H813" s="43">
        <f>IFERROR(__xludf.DUMMYFUNCTION("""COMPUTED_VALUE"""),455646927930)</f>
        <v/>
      </c>
      <c r="I813" s="45">
        <f>IFERROR(__xludf.DUMMYFUNCTION("""COMPUTED_VALUE"""),19855666)</f>
        <v/>
      </c>
      <c r="J813" s="45">
        <f>IFERROR(__xludf.DUMMYFUNCTION("""COMPUTED_VALUE"""),"LM5AQXS")</f>
        <v/>
      </c>
      <c r="K813" s="45">
        <f>IFERROR(__xludf.DUMMYFUNCTION("""COMPUTED_VALUE"""),"LM5AQXS-036763")</f>
        <v/>
      </c>
      <c r="L813" s="45">
        <f>IFERROR(__xludf.DUMMYFUNCTION("""COMPUTED_VALUE"""),4)</f>
        <v/>
      </c>
      <c r="M813" s="45">
        <f>IFERROR(__xludf.DUMMYFUNCTION("""COMPUTED_VALUE"""),77)</f>
        <v/>
      </c>
      <c r="N813" s="45">
        <f>IFERROR(__xludf.DUMMYFUNCTION("""COMPUTED_VALUE"""),31.61)</f>
        <v/>
      </c>
      <c r="O813" s="45">
        <f>IFERROR(__xludf.DUMMYFUNCTION("""COMPUTED_VALUE"""),0.21)</f>
        <v/>
      </c>
      <c r="P813" s="45">
        <f>IFERROR(__xludf.DUMMYFUNCTION("""COMPUTED_VALUE"""),"Colombo, LK")</f>
        <v/>
      </c>
      <c r="Q813" s="45">
        <f>IFERROR(__xludf.DUMMYFUNCTION("""COMPUTED_VALUE"""),"New York, NY, US")</f>
        <v/>
      </c>
      <c r="R813" s="44">
        <f>IFERROR(__xludf.DUMMYFUNCTION("""COMPUTED_VALUE"""),45838)</f>
        <v/>
      </c>
      <c r="S813" s="44">
        <f>IFERROR(__xludf.DUMMYFUNCTION("""COMPUTED_VALUE"""),45897)</f>
        <v/>
      </c>
      <c r="T813" s="45">
        <f>IFERROR(__xludf.DUMMYFUNCTION("""COMPUTED_VALUE"""),"Mississauga, ON, CA")</f>
        <v/>
      </c>
      <c r="U813" s="45" t="n"/>
      <c r="V813" s="45" t="n"/>
      <c r="W813" s="45" t="n"/>
      <c r="X813" s="45" t="n"/>
      <c r="Y813" s="46">
        <f>IFERROR(__xludf.DUMMYFUNCTION("""COMPUTED_VALUE"""),45845)</f>
        <v/>
      </c>
      <c r="Z813" s="46">
        <f>IFERROR(__xludf.DUMMYFUNCTION("""COMPUTED_VALUE"""),45866)</f>
        <v/>
      </c>
      <c r="AA813" s="46">
        <f>IFERROR(__xludf.DUMMYFUNCTION("""COMPUTED_VALUE"""),45866)</f>
        <v/>
      </c>
      <c r="AB813" s="45">
        <f>IFERROR(__xludf.DUMMYFUNCTION("""COMPUTED_VALUE"""),"3500 Argentia Road")</f>
        <v/>
      </c>
      <c r="AC813" s="45" t="n"/>
      <c r="AD813" s="45">
        <f>IFERROR(__xludf.DUMMYFUNCTION("""COMPUTED_VALUE"""),"OCEAN")</f>
        <v/>
      </c>
      <c r="AE813" s="45">
        <f>IFERROR(__xludf.DUMMYFUNCTION("""COMPUTED_VALUE"""),"N")</f>
        <v/>
      </c>
      <c r="AF813" s="45">
        <f>IFERROR(__xludf.DUMMYFUNCTION("""COMPUTED_VALUE"""),"New Booking")</f>
        <v/>
      </c>
      <c r="AG813" s="49">
        <f>IFERROR(__xludf.DUMMYFUNCTION("IFNA(vlookup(H813,IMPORTRANGE(""1vUGwO1n0QQGx9kKbO0_M5gmuhXZ6-LaxQxgrmJnzgP0"",""'TP# look up'!A:C""),3,0),"""")"),"")</f>
        <v/>
      </c>
      <c r="AH813" s="49">
        <f>LEFT(J813,2)</f>
        <v/>
      </c>
    </row>
    <row r="814" ht="12.75" customHeight="1">
      <c r="A814" s="45">
        <f>IFERROR(__xludf.DUMMYFUNCTION("""COMPUTED_VALUE"""),"Colombo")</f>
        <v/>
      </c>
      <c r="B814" s="45" t="n"/>
      <c r="C814" s="45">
        <f>IFERROR(__xludf.DUMMYFUNCTION("""COMPUTED_VALUE"""),3259528)</f>
        <v/>
      </c>
      <c r="D814" s="45" t="n"/>
      <c r="E814" s="45">
        <f>IFERROR(__xludf.DUMMYFUNCTION("""COMPUTED_VALUE"""),"CFS")</f>
        <v/>
      </c>
      <c r="F814" s="45">
        <f>IFERROR(__xludf.DUMMYFUNCTION("""COMPUTED_VALUE"""),"Inqube Global (PVT) Ltd")</f>
        <v/>
      </c>
      <c r="G814" s="45">
        <f>IFERROR(__xludf.DUMMYFUNCTION("""COMPUTED_VALUE"""),"BRANDIX APPAREL SOLUTION LTD - GIRITALE")</f>
        <v/>
      </c>
      <c r="H814" s="43">
        <f>IFERROR(__xludf.DUMMYFUNCTION("""COMPUTED_VALUE"""),455648854478)</f>
        <v/>
      </c>
      <c r="I814" s="45">
        <f>IFERROR(__xludf.DUMMYFUNCTION("""COMPUTED_VALUE"""),19856079)</f>
        <v/>
      </c>
      <c r="J814" s="45">
        <f>IFERROR(__xludf.DUMMYFUNCTION("""COMPUTED_VALUE"""),"LM5AQXS")</f>
        <v/>
      </c>
      <c r="K814" s="45">
        <f>IFERROR(__xludf.DUMMYFUNCTION("""COMPUTED_VALUE"""),"LM5AQXS-036763")</f>
        <v/>
      </c>
      <c r="L814" s="45">
        <f>IFERROR(__xludf.DUMMYFUNCTION("""COMPUTED_VALUE"""),7)</f>
        <v/>
      </c>
      <c r="M814" s="45">
        <f>IFERROR(__xludf.DUMMYFUNCTION("""COMPUTED_VALUE"""),145)</f>
        <v/>
      </c>
      <c r="N814" s="45">
        <f>IFERROR(__xludf.DUMMYFUNCTION("""COMPUTED_VALUE"""),59.14)</f>
        <v/>
      </c>
      <c r="O814" s="45">
        <f>IFERROR(__xludf.DUMMYFUNCTION("""COMPUTED_VALUE"""),0.418)</f>
        <v/>
      </c>
      <c r="P814" s="45">
        <f>IFERROR(__xludf.DUMMYFUNCTION("""COMPUTED_VALUE"""),"Colombo, LK")</f>
        <v/>
      </c>
      <c r="Q814" s="45">
        <f>IFERROR(__xludf.DUMMYFUNCTION("""COMPUTED_VALUE"""),"New York, NY, US")</f>
        <v/>
      </c>
      <c r="R814" s="44">
        <f>IFERROR(__xludf.DUMMYFUNCTION("""COMPUTED_VALUE"""),45838)</f>
        <v/>
      </c>
      <c r="S814" s="44">
        <f>IFERROR(__xludf.DUMMYFUNCTION("""COMPUTED_VALUE"""),45897)</f>
        <v/>
      </c>
      <c r="T814" s="45">
        <f>IFERROR(__xludf.DUMMYFUNCTION("""COMPUTED_VALUE"""),"Mississauga, ON, CA")</f>
        <v/>
      </c>
      <c r="U814" s="45" t="n"/>
      <c r="V814" s="45" t="n"/>
      <c r="W814" s="45" t="n"/>
      <c r="X814" s="45" t="n"/>
      <c r="Y814" s="46">
        <f>IFERROR(__xludf.DUMMYFUNCTION("""COMPUTED_VALUE"""),45845)</f>
        <v/>
      </c>
      <c r="Z814" s="46">
        <f>IFERROR(__xludf.DUMMYFUNCTION("""COMPUTED_VALUE"""),45866)</f>
        <v/>
      </c>
      <c r="AA814" s="46">
        <f>IFERROR(__xludf.DUMMYFUNCTION("""COMPUTED_VALUE"""),45866)</f>
        <v/>
      </c>
      <c r="AB814" s="45">
        <f>IFERROR(__xludf.DUMMYFUNCTION("""COMPUTED_VALUE"""),"3500 Argentia Road")</f>
        <v/>
      </c>
      <c r="AC814" s="45" t="n"/>
      <c r="AD814" s="45">
        <f>IFERROR(__xludf.DUMMYFUNCTION("""COMPUTED_VALUE"""),"OCEAN")</f>
        <v/>
      </c>
      <c r="AE814" s="45">
        <f>IFERROR(__xludf.DUMMYFUNCTION("""COMPUTED_VALUE"""),"N")</f>
        <v/>
      </c>
      <c r="AF814" s="45">
        <f>IFERROR(__xludf.DUMMYFUNCTION("""COMPUTED_VALUE"""),"New Booking")</f>
        <v/>
      </c>
      <c r="AG814" s="49">
        <f>IFERROR(__xludf.DUMMYFUNCTION("IFNA(vlookup(H814,IMPORTRANGE(""1vUGwO1n0QQGx9kKbO0_M5gmuhXZ6-LaxQxgrmJnzgP0"",""'TP# look up'!A:C""),3,0),"""")"),"")</f>
        <v/>
      </c>
      <c r="AH814" s="49">
        <f>LEFT(J814,2)</f>
        <v/>
      </c>
    </row>
    <row r="815" ht="12.75" customHeight="1">
      <c r="A815" s="45">
        <f>IFERROR(__xludf.DUMMYFUNCTION("""COMPUTED_VALUE"""),"Colombo")</f>
        <v/>
      </c>
      <c r="B815" s="45" t="n"/>
      <c r="C815" s="45">
        <f>IFERROR(__xludf.DUMMYFUNCTION("""COMPUTED_VALUE"""),3259528)</f>
        <v/>
      </c>
      <c r="D815" s="45" t="n"/>
      <c r="E815" s="45">
        <f>IFERROR(__xludf.DUMMYFUNCTION("""COMPUTED_VALUE"""),"CFS")</f>
        <v/>
      </c>
      <c r="F815" s="45">
        <f>IFERROR(__xludf.DUMMYFUNCTION("""COMPUTED_VALUE"""),"Inqube Global (PVT) Ltd")</f>
        <v/>
      </c>
      <c r="G815" s="45">
        <f>IFERROR(__xludf.DUMMYFUNCTION("""COMPUTED_VALUE"""),"BRANDIX APPAREL SOLUTION LTD - GIRITALE")</f>
        <v/>
      </c>
      <c r="H815" s="43">
        <f>IFERROR(__xludf.DUMMYFUNCTION("""COMPUTED_VALUE"""),455649558288)</f>
        <v/>
      </c>
      <c r="I815" s="45">
        <f>IFERROR(__xludf.DUMMYFUNCTION("""COMPUTED_VALUE"""),19856083)</f>
        <v/>
      </c>
      <c r="J815" s="45">
        <f>IFERROR(__xludf.DUMMYFUNCTION("""COMPUTED_VALUE"""),"LM5AQXS")</f>
        <v/>
      </c>
      <c r="K815" s="45">
        <f>IFERROR(__xludf.DUMMYFUNCTION("""COMPUTED_VALUE"""),"LM5AQXS-036763")</f>
        <v/>
      </c>
      <c r="L815" s="45">
        <f>IFERROR(__xludf.DUMMYFUNCTION("""COMPUTED_VALUE"""),5)</f>
        <v/>
      </c>
      <c r="M815" s="45">
        <f>IFERROR(__xludf.DUMMYFUNCTION("""COMPUTED_VALUE"""),90)</f>
        <v/>
      </c>
      <c r="N815" s="45">
        <f>IFERROR(__xludf.DUMMYFUNCTION("""COMPUTED_VALUE"""),37.02)</f>
        <v/>
      </c>
      <c r="O815" s="45">
        <f>IFERROR(__xludf.DUMMYFUNCTION("""COMPUTED_VALUE"""),0.253)</f>
        <v/>
      </c>
      <c r="P815" s="45">
        <f>IFERROR(__xludf.DUMMYFUNCTION("""COMPUTED_VALUE"""),"Colombo, LK")</f>
        <v/>
      </c>
      <c r="Q815" s="45">
        <f>IFERROR(__xludf.DUMMYFUNCTION("""COMPUTED_VALUE"""),"New York, NY, US")</f>
        <v/>
      </c>
      <c r="R815" s="44">
        <f>IFERROR(__xludf.DUMMYFUNCTION("""COMPUTED_VALUE"""),45838)</f>
        <v/>
      </c>
      <c r="S815" s="44">
        <f>IFERROR(__xludf.DUMMYFUNCTION("""COMPUTED_VALUE"""),45897)</f>
        <v/>
      </c>
      <c r="T815" s="45">
        <f>IFERROR(__xludf.DUMMYFUNCTION("""COMPUTED_VALUE"""),"Mississauga, ON, CA")</f>
        <v/>
      </c>
      <c r="U815" s="45" t="n"/>
      <c r="V815" s="45" t="n"/>
      <c r="W815" s="45" t="n"/>
      <c r="X815" s="45" t="n"/>
      <c r="Y815" s="46">
        <f>IFERROR(__xludf.DUMMYFUNCTION("""COMPUTED_VALUE"""),45845)</f>
        <v/>
      </c>
      <c r="Z815" s="46">
        <f>IFERROR(__xludf.DUMMYFUNCTION("""COMPUTED_VALUE"""),45866)</f>
        <v/>
      </c>
      <c r="AA815" s="46">
        <f>IFERROR(__xludf.DUMMYFUNCTION("""COMPUTED_VALUE"""),45866)</f>
        <v/>
      </c>
      <c r="AB815" s="45">
        <f>IFERROR(__xludf.DUMMYFUNCTION("""COMPUTED_VALUE"""),"3500 Argentia Road")</f>
        <v/>
      </c>
      <c r="AC815" s="45" t="n"/>
      <c r="AD815" s="45">
        <f>IFERROR(__xludf.DUMMYFUNCTION("""COMPUTED_VALUE"""),"OCEAN")</f>
        <v/>
      </c>
      <c r="AE815" s="45">
        <f>IFERROR(__xludf.DUMMYFUNCTION("""COMPUTED_VALUE"""),"N")</f>
        <v/>
      </c>
      <c r="AF815" s="45">
        <f>IFERROR(__xludf.DUMMYFUNCTION("""COMPUTED_VALUE"""),"New Booking")</f>
        <v/>
      </c>
      <c r="AG815" s="49">
        <f>IFERROR(__xludf.DUMMYFUNCTION("IFNA(vlookup(H815,IMPORTRANGE(""1vUGwO1n0QQGx9kKbO0_M5gmuhXZ6-LaxQxgrmJnzgP0"",""'TP# look up'!A:C""),3,0),"""")"),"")</f>
        <v/>
      </c>
      <c r="AH815" s="49">
        <f>LEFT(J815,2)</f>
        <v/>
      </c>
    </row>
    <row r="816" ht="12.75" customHeight="1">
      <c r="A816" s="45">
        <f>IFERROR(__xludf.DUMMYFUNCTION("""COMPUTED_VALUE"""),"Colombo")</f>
        <v/>
      </c>
      <c r="B816" s="45" t="n"/>
      <c r="C816" s="45">
        <f>IFERROR(__xludf.DUMMYFUNCTION("""COMPUTED_VALUE"""),3259528)</f>
        <v/>
      </c>
      <c r="D816" s="45" t="n"/>
      <c r="E816" s="45">
        <f>IFERROR(__xludf.DUMMYFUNCTION("""COMPUTED_VALUE"""),"CFS")</f>
        <v/>
      </c>
      <c r="F816" s="45">
        <f>IFERROR(__xludf.DUMMYFUNCTION("""COMPUTED_VALUE"""),"Inqube Global (PVT) Ltd")</f>
        <v/>
      </c>
      <c r="G816" s="45">
        <f>IFERROR(__xludf.DUMMYFUNCTION("""COMPUTED_VALUE"""),"BRANDIX APPAREL SOLUTION LTD - GIRITALE")</f>
        <v/>
      </c>
      <c r="H816" s="43">
        <f>IFERROR(__xludf.DUMMYFUNCTION("""COMPUTED_VALUE"""),455653460249)</f>
        <v/>
      </c>
      <c r="I816" s="45">
        <f>IFERROR(__xludf.DUMMYFUNCTION("""COMPUTED_VALUE"""),19855681)</f>
        <v/>
      </c>
      <c r="J816" s="45">
        <f>IFERROR(__xludf.DUMMYFUNCTION("""COMPUTED_VALUE"""),"LM5AQXS")</f>
        <v/>
      </c>
      <c r="K816" s="45">
        <f>IFERROR(__xludf.DUMMYFUNCTION("""COMPUTED_VALUE"""),"LM5AQXS-070108")</f>
        <v/>
      </c>
      <c r="L816" s="45">
        <f>IFERROR(__xludf.DUMMYFUNCTION("""COMPUTED_VALUE"""),1)</f>
        <v/>
      </c>
      <c r="M816" s="45">
        <f>IFERROR(__xludf.DUMMYFUNCTION("""COMPUTED_VALUE"""),20)</f>
        <v/>
      </c>
      <c r="N816" s="45">
        <f>IFERROR(__xludf.DUMMYFUNCTION("""COMPUTED_VALUE"""),8.1)</f>
        <v/>
      </c>
      <c r="O816" s="45">
        <f>IFERROR(__xludf.DUMMYFUNCTION("""COMPUTED_VALUE"""),0.043)</f>
        <v/>
      </c>
      <c r="P816" s="45">
        <f>IFERROR(__xludf.DUMMYFUNCTION("""COMPUTED_VALUE"""),"Colombo, LK")</f>
        <v/>
      </c>
      <c r="Q816" s="45">
        <f>IFERROR(__xludf.DUMMYFUNCTION("""COMPUTED_VALUE"""),"New York, NY, US")</f>
        <v/>
      </c>
      <c r="R816" s="44">
        <f>IFERROR(__xludf.DUMMYFUNCTION("""COMPUTED_VALUE"""),45838)</f>
        <v/>
      </c>
      <c r="S816" s="44">
        <f>IFERROR(__xludf.DUMMYFUNCTION("""COMPUTED_VALUE"""),45897)</f>
        <v/>
      </c>
      <c r="T816" s="45">
        <f>IFERROR(__xludf.DUMMYFUNCTION("""COMPUTED_VALUE"""),"Mississauga, ON, CA")</f>
        <v/>
      </c>
      <c r="U816" s="45" t="n"/>
      <c r="V816" s="45" t="n"/>
      <c r="W816" s="45" t="n"/>
      <c r="X816" s="45" t="n"/>
      <c r="Y816" s="46">
        <f>IFERROR(__xludf.DUMMYFUNCTION("""COMPUTED_VALUE"""),45845)</f>
        <v/>
      </c>
      <c r="Z816" s="46">
        <f>IFERROR(__xludf.DUMMYFUNCTION("""COMPUTED_VALUE"""),45866)</f>
        <v/>
      </c>
      <c r="AA816" s="46">
        <f>IFERROR(__xludf.DUMMYFUNCTION("""COMPUTED_VALUE"""),45866)</f>
        <v/>
      </c>
      <c r="AB816" s="45">
        <f>IFERROR(__xludf.DUMMYFUNCTION("""COMPUTED_VALUE"""),"3500 Argentia Road")</f>
        <v/>
      </c>
      <c r="AC816" s="45" t="n"/>
      <c r="AD816" s="45">
        <f>IFERROR(__xludf.DUMMYFUNCTION("""COMPUTED_VALUE"""),"OCEAN")</f>
        <v/>
      </c>
      <c r="AE816" s="45">
        <f>IFERROR(__xludf.DUMMYFUNCTION("""COMPUTED_VALUE"""),"N")</f>
        <v/>
      </c>
      <c r="AF816" s="45">
        <f>IFERROR(__xludf.DUMMYFUNCTION("""COMPUTED_VALUE"""),"New Booking")</f>
        <v/>
      </c>
      <c r="AG816" s="49">
        <f>IFERROR(__xludf.DUMMYFUNCTION("IFNA(vlookup(H816,IMPORTRANGE(""1vUGwO1n0QQGx9kKbO0_M5gmuhXZ6-LaxQxgrmJnzgP0"",""'TP# look up'!A:C""),3,0),"""")"),"")</f>
        <v/>
      </c>
      <c r="AH816" s="49">
        <f>LEFT(J816,2)</f>
        <v/>
      </c>
    </row>
    <row r="817" ht="12.75" customHeight="1">
      <c r="A817" s="45">
        <f>IFERROR(__xludf.DUMMYFUNCTION("""COMPUTED_VALUE"""),"Colombo")</f>
        <v/>
      </c>
      <c r="B817" s="45" t="n"/>
      <c r="C817" s="45">
        <f>IFERROR(__xludf.DUMMYFUNCTION("""COMPUTED_VALUE"""),3259528)</f>
        <v/>
      </c>
      <c r="D817" s="45" t="n"/>
      <c r="E817" s="45">
        <f>IFERROR(__xludf.DUMMYFUNCTION("""COMPUTED_VALUE"""),"CFS")</f>
        <v/>
      </c>
      <c r="F817" s="45">
        <f>IFERROR(__xludf.DUMMYFUNCTION("""COMPUTED_VALUE"""),"Inqube Global (PVT) Ltd")</f>
        <v/>
      </c>
      <c r="G817" s="45">
        <f>IFERROR(__xludf.DUMMYFUNCTION("""COMPUTED_VALUE"""),"BRANDIX APPAREL SOLUTION LTD - GIRITALE")</f>
        <v/>
      </c>
      <c r="H817" s="43">
        <f>IFERROR(__xludf.DUMMYFUNCTION("""COMPUTED_VALUE"""),455659946937)</f>
        <v/>
      </c>
      <c r="I817" s="45">
        <f>IFERROR(__xludf.DUMMYFUNCTION("""COMPUTED_VALUE"""),19855715)</f>
        <v/>
      </c>
      <c r="J817" s="45">
        <f>IFERROR(__xludf.DUMMYFUNCTION("""COMPUTED_VALUE"""),"LM5AQZS")</f>
        <v/>
      </c>
      <c r="K817" s="45">
        <f>IFERROR(__xludf.DUMMYFUNCTION("""COMPUTED_VALUE"""),"LM5AQZS-019222")</f>
        <v/>
      </c>
      <c r="L817" s="45">
        <f>IFERROR(__xludf.DUMMYFUNCTION("""COMPUTED_VALUE"""),4)</f>
        <v/>
      </c>
      <c r="M817" s="45">
        <f>IFERROR(__xludf.DUMMYFUNCTION("""COMPUTED_VALUE"""),81)</f>
        <v/>
      </c>
      <c r="N817" s="45">
        <f>IFERROR(__xludf.DUMMYFUNCTION("""COMPUTED_VALUE"""),37.15)</f>
        <v/>
      </c>
      <c r="O817" s="45">
        <f>IFERROR(__xludf.DUMMYFUNCTION("""COMPUTED_VALUE"""),0.21)</f>
        <v/>
      </c>
      <c r="P817" s="45">
        <f>IFERROR(__xludf.DUMMYFUNCTION("""COMPUTED_VALUE"""),"Colombo, LK")</f>
        <v/>
      </c>
      <c r="Q817" s="45">
        <f>IFERROR(__xludf.DUMMYFUNCTION("""COMPUTED_VALUE"""),"New York, NY, US")</f>
        <v/>
      </c>
      <c r="R817" s="44">
        <f>IFERROR(__xludf.DUMMYFUNCTION("""COMPUTED_VALUE"""),45838)</f>
        <v/>
      </c>
      <c r="S817" s="44">
        <f>IFERROR(__xludf.DUMMYFUNCTION("""COMPUTED_VALUE"""),45897)</f>
        <v/>
      </c>
      <c r="T817" s="45">
        <f>IFERROR(__xludf.DUMMYFUNCTION("""COMPUTED_VALUE"""),"Mississauga, ON, CA")</f>
        <v/>
      </c>
      <c r="U817" s="45" t="n"/>
      <c r="V817" s="45" t="n"/>
      <c r="W817" s="45" t="n"/>
      <c r="X817" s="45" t="n"/>
      <c r="Y817" s="46">
        <f>IFERROR(__xludf.DUMMYFUNCTION("""COMPUTED_VALUE"""),45845)</f>
        <v/>
      </c>
      <c r="Z817" s="46">
        <f>IFERROR(__xludf.DUMMYFUNCTION("""COMPUTED_VALUE"""),45866)</f>
        <v/>
      </c>
      <c r="AA817" s="46">
        <f>IFERROR(__xludf.DUMMYFUNCTION("""COMPUTED_VALUE"""),45866)</f>
        <v/>
      </c>
      <c r="AB817" s="45">
        <f>IFERROR(__xludf.DUMMYFUNCTION("""COMPUTED_VALUE"""),"3500 Argentia Road")</f>
        <v/>
      </c>
      <c r="AC817" s="45" t="n"/>
      <c r="AD817" s="45">
        <f>IFERROR(__xludf.DUMMYFUNCTION("""COMPUTED_VALUE"""),"OCEAN")</f>
        <v/>
      </c>
      <c r="AE817" s="45">
        <f>IFERROR(__xludf.DUMMYFUNCTION("""COMPUTED_VALUE"""),"N")</f>
        <v/>
      </c>
      <c r="AF817" s="45">
        <f>IFERROR(__xludf.DUMMYFUNCTION("""COMPUTED_VALUE"""),"New Booking")</f>
        <v/>
      </c>
      <c r="AG817" s="49">
        <f>IFERROR(__xludf.DUMMYFUNCTION("IFNA(vlookup(H817,IMPORTRANGE(""1vUGwO1n0QQGx9kKbO0_M5gmuhXZ6-LaxQxgrmJnzgP0"",""'TP# look up'!A:C""),3,0),"""")"),"")</f>
        <v/>
      </c>
      <c r="AH817" s="49">
        <f>LEFT(J817,2)</f>
        <v/>
      </c>
    </row>
    <row r="818" ht="12.75" customHeight="1">
      <c r="A818" s="45">
        <f>IFERROR(__xludf.DUMMYFUNCTION("""COMPUTED_VALUE"""),"Colombo")</f>
        <v/>
      </c>
      <c r="B818" s="45" t="n"/>
      <c r="C818" s="45">
        <f>IFERROR(__xludf.DUMMYFUNCTION("""COMPUTED_VALUE"""),3259528)</f>
        <v/>
      </c>
      <c r="D818" s="45" t="n"/>
      <c r="E818" s="45">
        <f>IFERROR(__xludf.DUMMYFUNCTION("""COMPUTED_VALUE"""),"CFS")</f>
        <v/>
      </c>
      <c r="F818" s="45">
        <f>IFERROR(__xludf.DUMMYFUNCTION("""COMPUTED_VALUE"""),"Inqube Global (PVT) Ltd")</f>
        <v/>
      </c>
      <c r="G818" s="45">
        <f>IFERROR(__xludf.DUMMYFUNCTION("""COMPUTED_VALUE"""),"BRANDIX APPAREL SOLUTION LTD - GIRITALE")</f>
        <v/>
      </c>
      <c r="H818" s="43">
        <f>IFERROR(__xludf.DUMMYFUNCTION("""COMPUTED_VALUE"""),455660341258)</f>
        <v/>
      </c>
      <c r="I818" s="45">
        <f>IFERROR(__xludf.DUMMYFUNCTION("""COMPUTED_VALUE"""),19856219)</f>
        <v/>
      </c>
      <c r="J818" s="45">
        <f>IFERROR(__xludf.DUMMYFUNCTION("""COMPUTED_VALUE"""),"LM5AQZS")</f>
        <v/>
      </c>
      <c r="K818" s="45">
        <f>IFERROR(__xludf.DUMMYFUNCTION("""COMPUTED_VALUE"""),"LM5AQZS-019222")</f>
        <v/>
      </c>
      <c r="L818" s="45">
        <f>IFERROR(__xludf.DUMMYFUNCTION("""COMPUTED_VALUE"""),13)</f>
        <v/>
      </c>
      <c r="M818" s="45">
        <f>IFERROR(__xludf.DUMMYFUNCTION("""COMPUTED_VALUE"""),394)</f>
        <v/>
      </c>
      <c r="N818" s="45">
        <f>IFERROR(__xludf.DUMMYFUNCTION("""COMPUTED_VALUE"""),176.87)</f>
        <v/>
      </c>
      <c r="O818" s="45">
        <f>IFERROR(__xludf.DUMMYFUNCTION("""COMPUTED_VALUE"""),0.913)</f>
        <v/>
      </c>
      <c r="P818" s="45">
        <f>IFERROR(__xludf.DUMMYFUNCTION("""COMPUTED_VALUE"""),"Colombo, LK")</f>
        <v/>
      </c>
      <c r="Q818" s="45">
        <f>IFERROR(__xludf.DUMMYFUNCTION("""COMPUTED_VALUE"""),"New York, NY, US")</f>
        <v/>
      </c>
      <c r="R818" s="44">
        <f>IFERROR(__xludf.DUMMYFUNCTION("""COMPUTED_VALUE"""),45838)</f>
        <v/>
      </c>
      <c r="S818" s="44">
        <f>IFERROR(__xludf.DUMMYFUNCTION("""COMPUTED_VALUE"""),45897)</f>
        <v/>
      </c>
      <c r="T818" s="45">
        <f>IFERROR(__xludf.DUMMYFUNCTION("""COMPUTED_VALUE"""),"Mississauga, ON, CA")</f>
        <v/>
      </c>
      <c r="U818" s="45" t="n"/>
      <c r="V818" s="45" t="n"/>
      <c r="W818" s="45" t="n"/>
      <c r="X818" s="45" t="n"/>
      <c r="Y818" s="46">
        <f>IFERROR(__xludf.DUMMYFUNCTION("""COMPUTED_VALUE"""),45845)</f>
        <v/>
      </c>
      <c r="Z818" s="46">
        <f>IFERROR(__xludf.DUMMYFUNCTION("""COMPUTED_VALUE"""),45866)</f>
        <v/>
      </c>
      <c r="AA818" s="46">
        <f>IFERROR(__xludf.DUMMYFUNCTION("""COMPUTED_VALUE"""),45866)</f>
        <v/>
      </c>
      <c r="AB818" s="45">
        <f>IFERROR(__xludf.DUMMYFUNCTION("""COMPUTED_VALUE"""),"3500 Argentia Road")</f>
        <v/>
      </c>
      <c r="AC818" s="45" t="n"/>
      <c r="AD818" s="45">
        <f>IFERROR(__xludf.DUMMYFUNCTION("""COMPUTED_VALUE"""),"OCEAN")</f>
        <v/>
      </c>
      <c r="AE818" s="45">
        <f>IFERROR(__xludf.DUMMYFUNCTION("""COMPUTED_VALUE"""),"N")</f>
        <v/>
      </c>
      <c r="AF818" s="45">
        <f>IFERROR(__xludf.DUMMYFUNCTION("""COMPUTED_VALUE"""),"New Booking")</f>
        <v/>
      </c>
      <c r="AG818" s="49">
        <f>IFERROR(__xludf.DUMMYFUNCTION("IFNA(vlookup(H818,IMPORTRANGE(""1vUGwO1n0QQGx9kKbO0_M5gmuhXZ6-LaxQxgrmJnzgP0"",""'TP# look up'!A:C""),3,0),"""")"),"")</f>
        <v/>
      </c>
      <c r="AH818" s="49">
        <f>LEFT(J818,2)</f>
        <v/>
      </c>
    </row>
    <row r="819" ht="12.75" customHeight="1">
      <c r="A819" s="45">
        <f>IFERROR(__xludf.DUMMYFUNCTION("""COMPUTED_VALUE"""),"Colombo")</f>
        <v/>
      </c>
      <c r="B819" s="45" t="n"/>
      <c r="C819" s="45">
        <f>IFERROR(__xludf.DUMMYFUNCTION("""COMPUTED_VALUE"""),3259528)</f>
        <v/>
      </c>
      <c r="D819" s="45" t="n"/>
      <c r="E819" s="45">
        <f>IFERROR(__xludf.DUMMYFUNCTION("""COMPUTED_VALUE"""),"CFS")</f>
        <v/>
      </c>
      <c r="F819" s="45">
        <f>IFERROR(__xludf.DUMMYFUNCTION("""COMPUTED_VALUE"""),"Inqube Global (PVT) Ltd")</f>
        <v/>
      </c>
      <c r="G819" s="45">
        <f>IFERROR(__xludf.DUMMYFUNCTION("""COMPUTED_VALUE"""),"BRANDIX APPAREL SOLUTION LTD - GIRITALE")</f>
        <v/>
      </c>
      <c r="H819" s="43">
        <f>IFERROR(__xludf.DUMMYFUNCTION("""COMPUTED_VALUE"""),455663683778)</f>
        <v/>
      </c>
      <c r="I819" s="45">
        <f>IFERROR(__xludf.DUMMYFUNCTION("""COMPUTED_VALUE"""),19855722)</f>
        <v/>
      </c>
      <c r="J819" s="45">
        <f>IFERROR(__xludf.DUMMYFUNCTION("""COMPUTED_VALUE"""),"LM5AR0T")</f>
        <v/>
      </c>
      <c r="K819" s="45">
        <f>IFERROR(__xludf.DUMMYFUNCTION("""COMPUTED_VALUE"""),"LM5AR0T-036763")</f>
        <v/>
      </c>
      <c r="L819" s="45">
        <f>IFERROR(__xludf.DUMMYFUNCTION("""COMPUTED_VALUE"""),4)</f>
        <v/>
      </c>
      <c r="M819" s="45">
        <f>IFERROR(__xludf.DUMMYFUNCTION("""COMPUTED_VALUE"""),68)</f>
        <v/>
      </c>
      <c r="N819" s="45">
        <f>IFERROR(__xludf.DUMMYFUNCTION("""COMPUTED_VALUE"""),34.81)</f>
        <v/>
      </c>
      <c r="O819" s="45">
        <f>IFERROR(__xludf.DUMMYFUNCTION("""COMPUTED_VALUE"""),0.21)</f>
        <v/>
      </c>
      <c r="P819" s="45">
        <f>IFERROR(__xludf.DUMMYFUNCTION("""COMPUTED_VALUE"""),"Colombo, LK")</f>
        <v/>
      </c>
      <c r="Q819" s="45">
        <f>IFERROR(__xludf.DUMMYFUNCTION("""COMPUTED_VALUE"""),"New York, NY, US")</f>
        <v/>
      </c>
      <c r="R819" s="44">
        <f>IFERROR(__xludf.DUMMYFUNCTION("""COMPUTED_VALUE"""),45838)</f>
        <v/>
      </c>
      <c r="S819" s="44">
        <f>IFERROR(__xludf.DUMMYFUNCTION("""COMPUTED_VALUE"""),45897)</f>
        <v/>
      </c>
      <c r="T819" s="45">
        <f>IFERROR(__xludf.DUMMYFUNCTION("""COMPUTED_VALUE"""),"Mississauga, ON, CA")</f>
        <v/>
      </c>
      <c r="U819" s="45" t="n"/>
      <c r="V819" s="45" t="n"/>
      <c r="W819" s="45" t="n"/>
      <c r="X819" s="45" t="n"/>
      <c r="Y819" s="46">
        <f>IFERROR(__xludf.DUMMYFUNCTION("""COMPUTED_VALUE"""),45845)</f>
        <v/>
      </c>
      <c r="Z819" s="46">
        <f>IFERROR(__xludf.DUMMYFUNCTION("""COMPUTED_VALUE"""),45866)</f>
        <v/>
      </c>
      <c r="AA819" s="46">
        <f>IFERROR(__xludf.DUMMYFUNCTION("""COMPUTED_VALUE"""),45866)</f>
        <v/>
      </c>
      <c r="AB819" s="45">
        <f>IFERROR(__xludf.DUMMYFUNCTION("""COMPUTED_VALUE"""),"3500 Argentia Road")</f>
        <v/>
      </c>
      <c r="AC819" s="45" t="n"/>
      <c r="AD819" s="45">
        <f>IFERROR(__xludf.DUMMYFUNCTION("""COMPUTED_VALUE"""),"OCEAN")</f>
        <v/>
      </c>
      <c r="AE819" s="45">
        <f>IFERROR(__xludf.DUMMYFUNCTION("""COMPUTED_VALUE"""),"N")</f>
        <v/>
      </c>
      <c r="AF819" s="45">
        <f>IFERROR(__xludf.DUMMYFUNCTION("""COMPUTED_VALUE"""),"New Booking")</f>
        <v/>
      </c>
      <c r="AG819" s="49">
        <f>IFERROR(__xludf.DUMMYFUNCTION("IFNA(vlookup(H819,IMPORTRANGE(""1vUGwO1n0QQGx9kKbO0_M5gmuhXZ6-LaxQxgrmJnzgP0"",""'TP# look up'!A:C""),3,0),"""")"),"")</f>
        <v/>
      </c>
      <c r="AH819" s="49">
        <f>LEFT(J819,2)</f>
        <v/>
      </c>
    </row>
    <row r="820" ht="12.75" customHeight="1">
      <c r="A820" s="45">
        <f>IFERROR(__xludf.DUMMYFUNCTION("""COMPUTED_VALUE"""),"Colombo")</f>
        <v/>
      </c>
      <c r="B820" s="45" t="n"/>
      <c r="C820" s="45">
        <f>IFERROR(__xludf.DUMMYFUNCTION("""COMPUTED_VALUE"""),3259528)</f>
        <v/>
      </c>
      <c r="D820" s="45" t="n"/>
      <c r="E820" s="45">
        <f>IFERROR(__xludf.DUMMYFUNCTION("""COMPUTED_VALUE"""),"CFS")</f>
        <v/>
      </c>
      <c r="F820" s="45">
        <f>IFERROR(__xludf.DUMMYFUNCTION("""COMPUTED_VALUE"""),"Inqube Global (PVT) Ltd")</f>
        <v/>
      </c>
      <c r="G820" s="45">
        <f>IFERROR(__xludf.DUMMYFUNCTION("""COMPUTED_VALUE"""),"BRANDIX APPAREL SOLUTION LTD - GIRITALE")</f>
        <v/>
      </c>
      <c r="H820" s="43">
        <f>IFERROR(__xludf.DUMMYFUNCTION("""COMPUTED_VALUE"""),455664115735)</f>
        <v/>
      </c>
      <c r="I820" s="45">
        <f>IFERROR(__xludf.DUMMYFUNCTION("""COMPUTED_VALUE"""),19856235)</f>
        <v/>
      </c>
      <c r="J820" s="45">
        <f>IFERROR(__xludf.DUMMYFUNCTION("""COMPUTED_VALUE"""),"LM5AR0T")</f>
        <v/>
      </c>
      <c r="K820" s="45">
        <f>IFERROR(__xludf.DUMMYFUNCTION("""COMPUTED_VALUE"""),"LM5AR0T-036763")</f>
        <v/>
      </c>
      <c r="L820" s="45">
        <f>IFERROR(__xludf.DUMMYFUNCTION("""COMPUTED_VALUE"""),8)</f>
        <v/>
      </c>
      <c r="M820" s="45">
        <f>IFERROR(__xludf.DUMMYFUNCTION("""COMPUTED_VALUE"""),193)</f>
        <v/>
      </c>
      <c r="N820" s="45">
        <f>IFERROR(__xludf.DUMMYFUNCTION("""COMPUTED_VALUE"""),96.79)</f>
        <v/>
      </c>
      <c r="O820" s="45">
        <f>IFERROR(__xludf.DUMMYFUNCTION("""COMPUTED_VALUE"""),0.58)</f>
        <v/>
      </c>
      <c r="P820" s="45">
        <f>IFERROR(__xludf.DUMMYFUNCTION("""COMPUTED_VALUE"""),"Colombo, LK")</f>
        <v/>
      </c>
      <c r="Q820" s="45">
        <f>IFERROR(__xludf.DUMMYFUNCTION("""COMPUTED_VALUE"""),"New York, NY, US")</f>
        <v/>
      </c>
      <c r="R820" s="44">
        <f>IFERROR(__xludf.DUMMYFUNCTION("""COMPUTED_VALUE"""),45838)</f>
        <v/>
      </c>
      <c r="S820" s="44">
        <f>IFERROR(__xludf.DUMMYFUNCTION("""COMPUTED_VALUE"""),45897)</f>
        <v/>
      </c>
      <c r="T820" s="45">
        <f>IFERROR(__xludf.DUMMYFUNCTION("""COMPUTED_VALUE"""),"Mississauga, ON, CA")</f>
        <v/>
      </c>
      <c r="U820" s="45" t="n"/>
      <c r="V820" s="45" t="n"/>
      <c r="W820" s="45" t="n"/>
      <c r="X820" s="45" t="n"/>
      <c r="Y820" s="46">
        <f>IFERROR(__xludf.DUMMYFUNCTION("""COMPUTED_VALUE"""),45845)</f>
        <v/>
      </c>
      <c r="Z820" s="46">
        <f>IFERROR(__xludf.DUMMYFUNCTION("""COMPUTED_VALUE"""),45866)</f>
        <v/>
      </c>
      <c r="AA820" s="46">
        <f>IFERROR(__xludf.DUMMYFUNCTION("""COMPUTED_VALUE"""),45866)</f>
        <v/>
      </c>
      <c r="AB820" s="45">
        <f>IFERROR(__xludf.DUMMYFUNCTION("""COMPUTED_VALUE"""),"3500 Argentia Road")</f>
        <v/>
      </c>
      <c r="AC820" s="45" t="n"/>
      <c r="AD820" s="45">
        <f>IFERROR(__xludf.DUMMYFUNCTION("""COMPUTED_VALUE"""),"OCEAN")</f>
        <v/>
      </c>
      <c r="AE820" s="45">
        <f>IFERROR(__xludf.DUMMYFUNCTION("""COMPUTED_VALUE"""),"N")</f>
        <v/>
      </c>
      <c r="AF820" s="45">
        <f>IFERROR(__xludf.DUMMYFUNCTION("""COMPUTED_VALUE"""),"New Booking")</f>
        <v/>
      </c>
      <c r="AG820" s="49">
        <f>IFERROR(__xludf.DUMMYFUNCTION("IFNA(vlookup(H820,IMPORTRANGE(""1vUGwO1n0QQGx9kKbO0_M5gmuhXZ6-LaxQxgrmJnzgP0"",""'TP# look up'!A:C""),3,0),"""")"),"")</f>
        <v/>
      </c>
      <c r="AH820" s="49">
        <f>LEFT(J820,2)</f>
        <v/>
      </c>
    </row>
    <row r="821" ht="12.75" customHeight="1">
      <c r="A821" s="45">
        <f>IFERROR(__xludf.DUMMYFUNCTION("""COMPUTED_VALUE"""),"Colombo")</f>
        <v/>
      </c>
      <c r="B821" s="45" t="n"/>
      <c r="C821" s="45">
        <f>IFERROR(__xludf.DUMMYFUNCTION("""COMPUTED_VALUE"""),3259528)</f>
        <v/>
      </c>
      <c r="D821" s="45" t="n"/>
      <c r="E821" s="45">
        <f>IFERROR(__xludf.DUMMYFUNCTION("""COMPUTED_VALUE"""),"CFS")</f>
        <v/>
      </c>
      <c r="F821" s="45">
        <f>IFERROR(__xludf.DUMMYFUNCTION("""COMPUTED_VALUE"""),"Inqube Global (PVT) Ltd")</f>
        <v/>
      </c>
      <c r="G821" s="45">
        <f>IFERROR(__xludf.DUMMYFUNCTION("""COMPUTED_VALUE"""),"BRANDIX APPAREL SOLUTION LTD - GIRITALE")</f>
        <v/>
      </c>
      <c r="H821" s="43">
        <f>IFERROR(__xludf.DUMMYFUNCTION("""COMPUTED_VALUE"""),455666584155)</f>
        <v/>
      </c>
      <c r="I821" s="45">
        <f>IFERROR(__xludf.DUMMYFUNCTION("""COMPUTED_VALUE"""),19855735)</f>
        <v/>
      </c>
      <c r="J821" s="45">
        <f>IFERROR(__xludf.DUMMYFUNCTION("""COMPUTED_VALUE"""),"LM5AR0T")</f>
        <v/>
      </c>
      <c r="K821" s="45">
        <f>IFERROR(__xludf.DUMMYFUNCTION("""COMPUTED_VALUE"""),"LM5AR0T-070108")</f>
        <v/>
      </c>
      <c r="L821" s="45">
        <f>IFERROR(__xludf.DUMMYFUNCTION("""COMPUTED_VALUE"""),1)</f>
        <v/>
      </c>
      <c r="M821" s="45">
        <f>IFERROR(__xludf.DUMMYFUNCTION("""COMPUTED_VALUE"""),12)</f>
        <v/>
      </c>
      <c r="N821" s="45">
        <f>IFERROR(__xludf.DUMMYFUNCTION("""COMPUTED_VALUE"""),6.37)</f>
        <v/>
      </c>
      <c r="O821" s="45">
        <f>IFERROR(__xludf.DUMMYFUNCTION("""COMPUTED_VALUE"""),0.043)</f>
        <v/>
      </c>
      <c r="P821" s="45">
        <f>IFERROR(__xludf.DUMMYFUNCTION("""COMPUTED_VALUE"""),"Colombo, LK")</f>
        <v/>
      </c>
      <c r="Q821" s="45">
        <f>IFERROR(__xludf.DUMMYFUNCTION("""COMPUTED_VALUE"""),"New York, NY, US")</f>
        <v/>
      </c>
      <c r="R821" s="44">
        <f>IFERROR(__xludf.DUMMYFUNCTION("""COMPUTED_VALUE"""),45838)</f>
        <v/>
      </c>
      <c r="S821" s="44">
        <f>IFERROR(__xludf.DUMMYFUNCTION("""COMPUTED_VALUE"""),45897)</f>
        <v/>
      </c>
      <c r="T821" s="45">
        <f>IFERROR(__xludf.DUMMYFUNCTION("""COMPUTED_VALUE"""),"Mississauga, ON, CA")</f>
        <v/>
      </c>
      <c r="U821" s="45" t="n"/>
      <c r="V821" s="45" t="n"/>
      <c r="W821" s="45" t="n"/>
      <c r="X821" s="45" t="n"/>
      <c r="Y821" s="46">
        <f>IFERROR(__xludf.DUMMYFUNCTION("""COMPUTED_VALUE"""),45845)</f>
        <v/>
      </c>
      <c r="Z821" s="46">
        <f>IFERROR(__xludf.DUMMYFUNCTION("""COMPUTED_VALUE"""),45866)</f>
        <v/>
      </c>
      <c r="AA821" s="46">
        <f>IFERROR(__xludf.DUMMYFUNCTION("""COMPUTED_VALUE"""),45866)</f>
        <v/>
      </c>
      <c r="AB821" s="45">
        <f>IFERROR(__xludf.DUMMYFUNCTION("""COMPUTED_VALUE"""),"3500 Argentia Road")</f>
        <v/>
      </c>
      <c r="AC821" s="45" t="n"/>
      <c r="AD821" s="45">
        <f>IFERROR(__xludf.DUMMYFUNCTION("""COMPUTED_VALUE"""),"OCEAN")</f>
        <v/>
      </c>
      <c r="AE821" s="45">
        <f>IFERROR(__xludf.DUMMYFUNCTION("""COMPUTED_VALUE"""),"N")</f>
        <v/>
      </c>
      <c r="AF821" s="45">
        <f>IFERROR(__xludf.DUMMYFUNCTION("""COMPUTED_VALUE"""),"New Booking")</f>
        <v/>
      </c>
      <c r="AG821" s="49">
        <f>IFERROR(__xludf.DUMMYFUNCTION("IFNA(vlookup(H821,IMPORTRANGE(""1vUGwO1n0QQGx9kKbO0_M5gmuhXZ6-LaxQxgrmJnzgP0"",""'TP# look up'!A:C""),3,0),"""")"),"")</f>
        <v/>
      </c>
      <c r="AH821" s="49">
        <f>LEFT(J821,2)</f>
        <v/>
      </c>
    </row>
    <row r="822" ht="12.75" customHeight="1">
      <c r="A822" s="45">
        <f>IFERROR(__xludf.DUMMYFUNCTION("""COMPUTED_VALUE"""),"Colombo")</f>
        <v/>
      </c>
      <c r="B822" s="45" t="n"/>
      <c r="C822" s="45">
        <f>IFERROR(__xludf.DUMMYFUNCTION("""COMPUTED_VALUE"""),3259528)</f>
        <v/>
      </c>
      <c r="D822" s="45" t="n"/>
      <c r="E822" s="45">
        <f>IFERROR(__xludf.DUMMYFUNCTION("""COMPUTED_VALUE"""),"CFS")</f>
        <v/>
      </c>
      <c r="F822" s="45">
        <f>IFERROR(__xludf.DUMMYFUNCTION("""COMPUTED_VALUE"""),"Inqube Global (PVT) Ltd")</f>
        <v/>
      </c>
      <c r="G822" s="45">
        <f>IFERROR(__xludf.DUMMYFUNCTION("""COMPUTED_VALUE"""),"BRANDIX APPAREL SOLUTION LTD - GIRITALE")</f>
        <v/>
      </c>
      <c r="H822" s="43">
        <f>IFERROR(__xludf.DUMMYFUNCTION("""COMPUTED_VALUE"""),455702156091)</f>
        <v/>
      </c>
      <c r="I822" s="45">
        <f>IFERROR(__xludf.DUMMYFUNCTION("""COMPUTED_VALUE"""),19856291)</f>
        <v/>
      </c>
      <c r="J822" s="45">
        <f>IFERROR(__xludf.DUMMYFUNCTION("""COMPUTED_VALUE"""),"LM5AR0T")</f>
        <v/>
      </c>
      <c r="K822" s="45">
        <f>IFERROR(__xludf.DUMMYFUNCTION("""COMPUTED_VALUE"""),"LM5AR0T-070108")</f>
        <v/>
      </c>
      <c r="L822" s="45">
        <f>IFERROR(__xludf.DUMMYFUNCTION("""COMPUTED_VALUE"""),8)</f>
        <v/>
      </c>
      <c r="M822" s="45">
        <f>IFERROR(__xludf.DUMMYFUNCTION("""COMPUTED_VALUE"""),208)</f>
        <v/>
      </c>
      <c r="N822" s="45">
        <f>IFERROR(__xludf.DUMMYFUNCTION("""COMPUTED_VALUE"""),103.7)</f>
        <v/>
      </c>
      <c r="O822" s="45">
        <f>IFERROR(__xludf.DUMMYFUNCTION("""COMPUTED_VALUE"""),0.58)</f>
        <v/>
      </c>
      <c r="P822" s="45">
        <f>IFERROR(__xludf.DUMMYFUNCTION("""COMPUTED_VALUE"""),"Colombo, LK")</f>
        <v/>
      </c>
      <c r="Q822" s="45">
        <f>IFERROR(__xludf.DUMMYFUNCTION("""COMPUTED_VALUE"""),"New York, NY, US")</f>
        <v/>
      </c>
      <c r="R822" s="44">
        <f>IFERROR(__xludf.DUMMYFUNCTION("""COMPUTED_VALUE"""),45838)</f>
        <v/>
      </c>
      <c r="S822" s="44">
        <f>IFERROR(__xludf.DUMMYFUNCTION("""COMPUTED_VALUE"""),45897)</f>
        <v/>
      </c>
      <c r="T822" s="45">
        <f>IFERROR(__xludf.DUMMYFUNCTION("""COMPUTED_VALUE"""),"Mississauga, ON, CA")</f>
        <v/>
      </c>
      <c r="U822" s="45" t="n"/>
      <c r="V822" s="45" t="n"/>
      <c r="W822" s="45" t="n"/>
      <c r="X822" s="45" t="n"/>
      <c r="Y822" s="46">
        <f>IFERROR(__xludf.DUMMYFUNCTION("""COMPUTED_VALUE"""),45831)</f>
        <v/>
      </c>
      <c r="Z822" s="46">
        <f>IFERROR(__xludf.DUMMYFUNCTION("""COMPUTED_VALUE"""),45852)</f>
        <v/>
      </c>
      <c r="AA822" s="46">
        <f>IFERROR(__xludf.DUMMYFUNCTION("""COMPUTED_VALUE"""),45852)</f>
        <v/>
      </c>
      <c r="AB822" s="45">
        <f>IFERROR(__xludf.DUMMYFUNCTION("""COMPUTED_VALUE"""),"3500 Argentia Road")</f>
        <v/>
      </c>
      <c r="AC822" s="45" t="n"/>
      <c r="AD822" s="45">
        <f>IFERROR(__xludf.DUMMYFUNCTION("""COMPUTED_VALUE"""),"OCEAN")</f>
        <v/>
      </c>
      <c r="AE822" s="45">
        <f>IFERROR(__xludf.DUMMYFUNCTION("""COMPUTED_VALUE"""),"N")</f>
        <v/>
      </c>
      <c r="AF822" s="45">
        <f>IFERROR(__xludf.DUMMYFUNCTION("""COMPUTED_VALUE"""),"New Booking")</f>
        <v/>
      </c>
      <c r="AG822" s="49">
        <f>IFERROR(__xludf.DUMMYFUNCTION("IFNA(vlookup(H822,IMPORTRANGE(""1vUGwO1n0QQGx9kKbO0_M5gmuhXZ6-LaxQxgrmJnzgP0"",""'TP# look up'!A:C""),3,0),"""")"),"")</f>
        <v/>
      </c>
      <c r="AH822" s="49">
        <f>LEFT(J822,2)</f>
        <v/>
      </c>
    </row>
    <row r="823" ht="12.75" customHeight="1">
      <c r="A823" s="45">
        <f>IFERROR(__xludf.DUMMYFUNCTION("""COMPUTED_VALUE"""),"Colombo")</f>
        <v/>
      </c>
      <c r="B823" s="45" t="n"/>
      <c r="C823" s="45">
        <f>IFERROR(__xludf.DUMMYFUNCTION("""COMPUTED_VALUE"""),3259528)</f>
        <v/>
      </c>
      <c r="D823" s="45" t="n"/>
      <c r="E823" s="45">
        <f>IFERROR(__xludf.DUMMYFUNCTION("""COMPUTED_VALUE"""),"CFS")</f>
        <v/>
      </c>
      <c r="F823" s="45">
        <f>IFERROR(__xludf.DUMMYFUNCTION("""COMPUTED_VALUE"""),"Inqube Global (PVT) Ltd")</f>
        <v/>
      </c>
      <c r="G823" s="45">
        <f>IFERROR(__xludf.DUMMYFUNCTION("""COMPUTED_VALUE"""),"BRANDIX APPAREL SOLUTION LTD - GIRITALE")</f>
        <v/>
      </c>
      <c r="H823" s="43">
        <f>IFERROR(__xludf.DUMMYFUNCTION("""COMPUTED_VALUE"""),455706896701)</f>
        <v/>
      </c>
      <c r="I823" s="45">
        <f>IFERROR(__xludf.DUMMYFUNCTION("""COMPUTED_VALUE"""),19855740)</f>
        <v/>
      </c>
      <c r="J823" s="45">
        <f>IFERROR(__xludf.DUMMYFUNCTION("""COMPUTED_VALUE"""),"LM5AXAS")</f>
        <v/>
      </c>
      <c r="K823" s="45">
        <f>IFERROR(__xludf.DUMMYFUNCTION("""COMPUTED_VALUE"""),"LM5AXAS-0001")</f>
        <v/>
      </c>
      <c r="L823" s="45">
        <f>IFERROR(__xludf.DUMMYFUNCTION("""COMPUTED_VALUE"""),6)</f>
        <v/>
      </c>
      <c r="M823" s="45">
        <f>IFERROR(__xludf.DUMMYFUNCTION("""COMPUTED_VALUE"""),186)</f>
        <v/>
      </c>
      <c r="N823" s="45">
        <f>IFERROR(__xludf.DUMMYFUNCTION("""COMPUTED_VALUE"""),72.63)</f>
        <v/>
      </c>
      <c r="O823" s="45">
        <f>IFERROR(__xludf.DUMMYFUNCTION("""COMPUTED_VALUE"""),0.455)</f>
        <v/>
      </c>
      <c r="P823" s="45">
        <f>IFERROR(__xludf.DUMMYFUNCTION("""COMPUTED_VALUE"""),"Colombo, LK")</f>
        <v/>
      </c>
      <c r="Q823" s="45">
        <f>IFERROR(__xludf.DUMMYFUNCTION("""COMPUTED_VALUE"""),"New York, NY, US")</f>
        <v/>
      </c>
      <c r="R823" s="44">
        <f>IFERROR(__xludf.DUMMYFUNCTION("""COMPUTED_VALUE"""),45838)</f>
        <v/>
      </c>
      <c r="S823" s="44">
        <f>IFERROR(__xludf.DUMMYFUNCTION("""COMPUTED_VALUE"""),45897)</f>
        <v/>
      </c>
      <c r="T823" s="45">
        <f>IFERROR(__xludf.DUMMYFUNCTION("""COMPUTED_VALUE"""),"Mississauga, ON, CA")</f>
        <v/>
      </c>
      <c r="U823" s="45" t="n"/>
      <c r="V823" s="45" t="n"/>
      <c r="W823" s="45" t="n"/>
      <c r="X823" s="45" t="n"/>
      <c r="Y823" s="46">
        <f>IFERROR(__xludf.DUMMYFUNCTION("""COMPUTED_VALUE"""),45831)</f>
        <v/>
      </c>
      <c r="Z823" s="46">
        <f>IFERROR(__xludf.DUMMYFUNCTION("""COMPUTED_VALUE"""),45852)</f>
        <v/>
      </c>
      <c r="AA823" s="46">
        <f>IFERROR(__xludf.DUMMYFUNCTION("""COMPUTED_VALUE"""),45852)</f>
        <v/>
      </c>
      <c r="AB823" s="45">
        <f>IFERROR(__xludf.DUMMYFUNCTION("""COMPUTED_VALUE"""),"3500 Argentia Road")</f>
        <v/>
      </c>
      <c r="AC823" s="45" t="n"/>
      <c r="AD823" s="45">
        <f>IFERROR(__xludf.DUMMYFUNCTION("""COMPUTED_VALUE"""),"OCEAN")</f>
        <v/>
      </c>
      <c r="AE823" s="45">
        <f>IFERROR(__xludf.DUMMYFUNCTION("""COMPUTED_VALUE"""),"N")</f>
        <v/>
      </c>
      <c r="AF823" s="45">
        <f>IFERROR(__xludf.DUMMYFUNCTION("""COMPUTED_VALUE"""),"New Booking")</f>
        <v/>
      </c>
      <c r="AG823" s="49">
        <f>IFERROR(__xludf.DUMMYFUNCTION("IFNA(vlookup(H823,IMPORTRANGE(""1vUGwO1n0QQGx9kKbO0_M5gmuhXZ6-LaxQxgrmJnzgP0"",""'TP# look up'!A:C""),3,0),"""")"),"")</f>
        <v/>
      </c>
      <c r="AH823" s="49">
        <f>LEFT(J823,2)</f>
        <v/>
      </c>
    </row>
    <row r="824" ht="12.75" customHeight="1">
      <c r="A824" s="45">
        <f>IFERROR(__xludf.DUMMYFUNCTION("""COMPUTED_VALUE"""),"Colombo")</f>
        <v/>
      </c>
      <c r="B824" s="45" t="n"/>
      <c r="C824" s="45">
        <f>IFERROR(__xludf.DUMMYFUNCTION("""COMPUTED_VALUE"""),3259528)</f>
        <v/>
      </c>
      <c r="D824" s="45" t="n"/>
      <c r="E824" s="45">
        <f>IFERROR(__xludf.DUMMYFUNCTION("""COMPUTED_VALUE"""),"CFS")</f>
        <v/>
      </c>
      <c r="F824" s="45">
        <f>IFERROR(__xludf.DUMMYFUNCTION("""COMPUTED_VALUE"""),"Inqube Global (PVT) Ltd")</f>
        <v/>
      </c>
      <c r="G824" s="45">
        <f>IFERROR(__xludf.DUMMYFUNCTION("""COMPUTED_VALUE"""),"BRANDIX APPAREL SOLUTION LTD - GIRITALE")</f>
        <v/>
      </c>
      <c r="H824" s="43">
        <f>IFERROR(__xludf.DUMMYFUNCTION("""COMPUTED_VALUE"""),455708952650)</f>
        <v/>
      </c>
      <c r="I824" s="45">
        <f>IFERROR(__xludf.DUMMYFUNCTION("""COMPUTED_VALUE"""),19856307)</f>
        <v/>
      </c>
      <c r="J824" s="45">
        <f>IFERROR(__xludf.DUMMYFUNCTION("""COMPUTED_VALUE"""),"LM5AXAS")</f>
        <v/>
      </c>
      <c r="K824" s="45">
        <f>IFERROR(__xludf.DUMMYFUNCTION("""COMPUTED_VALUE"""),"LM5AXAS-0001")</f>
        <v/>
      </c>
      <c r="L824" s="45">
        <f>IFERROR(__xludf.DUMMYFUNCTION("""COMPUTED_VALUE"""),8)</f>
        <v/>
      </c>
      <c r="M824" s="45">
        <f>IFERROR(__xludf.DUMMYFUNCTION("""COMPUTED_VALUE"""),209)</f>
        <v/>
      </c>
      <c r="N824" s="45">
        <f>IFERROR(__xludf.DUMMYFUNCTION("""COMPUTED_VALUE"""),87.69)</f>
        <v/>
      </c>
      <c r="O824" s="45">
        <f>IFERROR(__xludf.DUMMYFUNCTION("""COMPUTED_VALUE"""),0.54)</f>
        <v/>
      </c>
      <c r="P824" s="45">
        <f>IFERROR(__xludf.DUMMYFUNCTION("""COMPUTED_VALUE"""),"Colombo, LK")</f>
        <v/>
      </c>
      <c r="Q824" s="45">
        <f>IFERROR(__xludf.DUMMYFUNCTION("""COMPUTED_VALUE"""),"New York, NY, US")</f>
        <v/>
      </c>
      <c r="R824" s="44">
        <f>IFERROR(__xludf.DUMMYFUNCTION("""COMPUTED_VALUE"""),45838)</f>
        <v/>
      </c>
      <c r="S824" s="44">
        <f>IFERROR(__xludf.DUMMYFUNCTION("""COMPUTED_VALUE"""),45897)</f>
        <v/>
      </c>
      <c r="T824" s="45">
        <f>IFERROR(__xludf.DUMMYFUNCTION("""COMPUTED_VALUE"""),"Mississauga, ON, CA")</f>
        <v/>
      </c>
      <c r="U824" s="45" t="n"/>
      <c r="V824" s="45" t="n"/>
      <c r="W824" s="45" t="n"/>
      <c r="X824" s="45" t="n"/>
      <c r="Y824" s="46">
        <f>IFERROR(__xludf.DUMMYFUNCTION("""COMPUTED_VALUE"""),45845)</f>
        <v/>
      </c>
      <c r="Z824" s="46">
        <f>IFERROR(__xludf.DUMMYFUNCTION("""COMPUTED_VALUE"""),45866)</f>
        <v/>
      </c>
      <c r="AA824" s="46">
        <f>IFERROR(__xludf.DUMMYFUNCTION("""COMPUTED_VALUE"""),45866)</f>
        <v/>
      </c>
      <c r="AB824" s="45">
        <f>IFERROR(__xludf.DUMMYFUNCTION("""COMPUTED_VALUE"""),"3500 Argentia Road")</f>
        <v/>
      </c>
      <c r="AC824" s="45" t="n"/>
      <c r="AD824" s="45">
        <f>IFERROR(__xludf.DUMMYFUNCTION("""COMPUTED_VALUE"""),"OCEAN")</f>
        <v/>
      </c>
      <c r="AE824" s="45">
        <f>IFERROR(__xludf.DUMMYFUNCTION("""COMPUTED_VALUE"""),"N")</f>
        <v/>
      </c>
      <c r="AF824" s="45">
        <f>IFERROR(__xludf.DUMMYFUNCTION("""COMPUTED_VALUE"""),"New Booking, Status changed from Submitted to Approved, Port of Loading changed from None to Colombo, LK, Dates Added, Dates Added")</f>
        <v/>
      </c>
      <c r="AG824" s="49">
        <f>IFERROR(__xludf.DUMMYFUNCTION("IFNA(vlookup(H824,IMPORTRANGE(""1vUGwO1n0QQGx9kKbO0_M5gmuhXZ6-LaxQxgrmJnzgP0"",""'TP# look up'!A:C""),3,0),"""")"),"")</f>
        <v/>
      </c>
      <c r="AH824" s="49">
        <f>LEFT(J824,2)</f>
        <v/>
      </c>
    </row>
    <row r="825" ht="12.75" customHeight="1">
      <c r="A825" s="45">
        <f>IFERROR(__xludf.DUMMYFUNCTION("""COMPUTED_VALUE"""),"Colombo")</f>
        <v/>
      </c>
      <c r="B825" s="45" t="n"/>
      <c r="C825" s="45">
        <f>IFERROR(__xludf.DUMMYFUNCTION("""COMPUTED_VALUE"""),3259528)</f>
        <v/>
      </c>
      <c r="D825" s="45" t="n"/>
      <c r="E825" s="45">
        <f>IFERROR(__xludf.DUMMYFUNCTION("""COMPUTED_VALUE"""),"CFS")</f>
        <v/>
      </c>
      <c r="F825" s="45">
        <f>IFERROR(__xludf.DUMMYFUNCTION("""COMPUTED_VALUE"""),"Inqube Global (PVT) Ltd")</f>
        <v/>
      </c>
      <c r="G825" s="45">
        <f>IFERROR(__xludf.DUMMYFUNCTION("""COMPUTED_VALUE"""),"BRANDIX APPAREL SOLUTION LTD - GIRITALE")</f>
        <v/>
      </c>
      <c r="H825" s="43">
        <f>IFERROR(__xludf.DUMMYFUNCTION("""COMPUTED_VALUE"""),455728533514)</f>
        <v/>
      </c>
      <c r="I825" s="45">
        <f>IFERROR(__xludf.DUMMYFUNCTION("""COMPUTED_VALUE"""),19856308)</f>
        <v/>
      </c>
      <c r="J825" s="45">
        <f>IFERROR(__xludf.DUMMYFUNCTION("""COMPUTED_VALUE"""),"LM5AXAS")</f>
        <v/>
      </c>
      <c r="K825" s="45">
        <f>IFERROR(__xludf.DUMMYFUNCTION("""COMPUTED_VALUE"""),"LM5AXAS-0001")</f>
        <v/>
      </c>
      <c r="L825" s="45">
        <f>IFERROR(__xludf.DUMMYFUNCTION("""COMPUTED_VALUE"""),7)</f>
        <v/>
      </c>
      <c r="M825" s="45">
        <f>IFERROR(__xludf.DUMMYFUNCTION("""COMPUTED_VALUE"""),194)</f>
        <v/>
      </c>
      <c r="N825" s="45">
        <f>IFERROR(__xludf.DUMMYFUNCTION("""COMPUTED_VALUE"""),80.98)</f>
        <v/>
      </c>
      <c r="O825" s="45">
        <f>IFERROR(__xludf.DUMMYFUNCTION("""COMPUTED_VALUE"""),0.458)</f>
        <v/>
      </c>
      <c r="P825" s="45">
        <f>IFERROR(__xludf.DUMMYFUNCTION("""COMPUTED_VALUE"""),"Colombo, LK")</f>
        <v/>
      </c>
      <c r="Q825" s="45">
        <f>IFERROR(__xludf.DUMMYFUNCTION("""COMPUTED_VALUE"""),"New York, NY, US")</f>
        <v/>
      </c>
      <c r="R825" s="44">
        <f>IFERROR(__xludf.DUMMYFUNCTION("""COMPUTED_VALUE"""),45838)</f>
        <v/>
      </c>
      <c r="S825" s="44">
        <f>IFERROR(__xludf.DUMMYFUNCTION("""COMPUTED_VALUE"""),45897)</f>
        <v/>
      </c>
      <c r="T825" s="45">
        <f>IFERROR(__xludf.DUMMYFUNCTION("""COMPUTED_VALUE"""),"Mississauga, ON, CA")</f>
        <v/>
      </c>
      <c r="U825" s="45" t="n"/>
      <c r="V825" s="45" t="n"/>
      <c r="W825" s="45" t="n"/>
      <c r="X825" s="45" t="n"/>
      <c r="Y825" s="46">
        <f>IFERROR(__xludf.DUMMYFUNCTION("""COMPUTED_VALUE"""),45845)</f>
        <v/>
      </c>
      <c r="Z825" s="46">
        <f>IFERROR(__xludf.DUMMYFUNCTION("""COMPUTED_VALUE"""),45866)</f>
        <v/>
      </c>
      <c r="AA825" s="46">
        <f>IFERROR(__xludf.DUMMYFUNCTION("""COMPUTED_VALUE"""),45866)</f>
        <v/>
      </c>
      <c r="AB825" s="45">
        <f>IFERROR(__xludf.DUMMYFUNCTION("""COMPUTED_VALUE"""),"3500 Argentia Road")</f>
        <v/>
      </c>
      <c r="AC825" s="45" t="n"/>
      <c r="AD825" s="45">
        <f>IFERROR(__xludf.DUMMYFUNCTION("""COMPUTED_VALUE"""),"OCEAN")</f>
        <v/>
      </c>
      <c r="AE825" s="45">
        <f>IFERROR(__xludf.DUMMYFUNCTION("""COMPUTED_VALUE"""),"N")</f>
        <v/>
      </c>
      <c r="AF825" s="45">
        <f>IFERROR(__xludf.DUMMYFUNCTION("""COMPUTED_VALUE"""),"New Booking, Status changed from Submitted to Approved, Port of Loading changed from None to Colombo, LK, Dates Added, Dates Added")</f>
        <v/>
      </c>
      <c r="AG825" s="49">
        <f>IFERROR(__xludf.DUMMYFUNCTION("IFNA(vlookup(H825,IMPORTRANGE(""1vUGwO1n0QQGx9kKbO0_M5gmuhXZ6-LaxQxgrmJnzgP0"",""'TP# look up'!A:C""),3,0),"""")"),"")</f>
        <v/>
      </c>
      <c r="AH825" s="49">
        <f>LEFT(J825,2)</f>
        <v/>
      </c>
    </row>
    <row r="826" ht="12.75" customHeight="1">
      <c r="A826" s="45">
        <f>IFERROR(__xludf.DUMMYFUNCTION("""COMPUTED_VALUE"""),"Colombo")</f>
        <v/>
      </c>
      <c r="B826" s="45" t="n"/>
      <c r="C826" s="45">
        <f>IFERROR(__xludf.DUMMYFUNCTION("""COMPUTED_VALUE"""),3259528)</f>
        <v/>
      </c>
      <c r="D826" s="45" t="n"/>
      <c r="E826" s="45">
        <f>IFERROR(__xludf.DUMMYFUNCTION("""COMPUTED_VALUE"""),"CFS")</f>
        <v/>
      </c>
      <c r="F826" s="45">
        <f>IFERROR(__xludf.DUMMYFUNCTION("""COMPUTED_VALUE"""),"Inqube Global (PVT) Ltd")</f>
        <v/>
      </c>
      <c r="G826" s="45">
        <f>IFERROR(__xludf.DUMMYFUNCTION("""COMPUTED_VALUE"""),"BRANDIX APPAREL SOLUTION LTD - GIRITALE")</f>
        <v/>
      </c>
      <c r="H826" s="43">
        <f>IFERROR(__xludf.DUMMYFUNCTION("""COMPUTED_VALUE"""),455741616674)</f>
        <v/>
      </c>
      <c r="I826" s="45">
        <f>IFERROR(__xludf.DUMMYFUNCTION("""COMPUTED_VALUE"""),19856387)</f>
        <v/>
      </c>
      <c r="J826" s="45">
        <f>IFERROR(__xludf.DUMMYFUNCTION("""COMPUTED_VALUE"""),"LM5AXAS")</f>
        <v/>
      </c>
      <c r="K826" s="45">
        <f>IFERROR(__xludf.DUMMYFUNCTION("""COMPUTED_VALUE"""),"LM5AXAS-019222")</f>
        <v/>
      </c>
      <c r="L826" s="45">
        <f>IFERROR(__xludf.DUMMYFUNCTION("""COMPUTED_VALUE"""),9)</f>
        <v/>
      </c>
      <c r="M826" s="45">
        <f>IFERROR(__xludf.DUMMYFUNCTION("""COMPUTED_VALUE"""),273)</f>
        <v/>
      </c>
      <c r="N826" s="45">
        <f>IFERROR(__xludf.DUMMYFUNCTION("""COMPUTED_VALUE"""),109.48)</f>
        <v/>
      </c>
      <c r="O826" s="45">
        <f>IFERROR(__xludf.DUMMYFUNCTION("""COMPUTED_VALUE"""),0.623)</f>
        <v/>
      </c>
      <c r="P826" s="45">
        <f>IFERROR(__xludf.DUMMYFUNCTION("""COMPUTED_VALUE"""),"Colombo, LK")</f>
        <v/>
      </c>
      <c r="Q826" s="45">
        <f>IFERROR(__xludf.DUMMYFUNCTION("""COMPUTED_VALUE"""),"New York, NY, US")</f>
        <v/>
      </c>
      <c r="R826" s="44">
        <f>IFERROR(__xludf.DUMMYFUNCTION("""COMPUTED_VALUE"""),45838)</f>
        <v/>
      </c>
      <c r="S826" s="44">
        <f>IFERROR(__xludf.DUMMYFUNCTION("""COMPUTED_VALUE"""),45897)</f>
        <v/>
      </c>
      <c r="T826" s="45">
        <f>IFERROR(__xludf.DUMMYFUNCTION("""COMPUTED_VALUE"""),"Mississauga, ON, CA")</f>
        <v/>
      </c>
      <c r="U826" s="45" t="n"/>
      <c r="V826" s="45" t="n"/>
      <c r="W826" s="45" t="n"/>
      <c r="X826" s="45" t="n"/>
      <c r="Y826" s="46">
        <f>IFERROR(__xludf.DUMMYFUNCTION("""COMPUTED_VALUE"""),45845)</f>
        <v/>
      </c>
      <c r="Z826" s="46">
        <f>IFERROR(__xludf.DUMMYFUNCTION("""COMPUTED_VALUE"""),45866)</f>
        <v/>
      </c>
      <c r="AA826" s="46">
        <f>IFERROR(__xludf.DUMMYFUNCTION("""COMPUTED_VALUE"""),45866)</f>
        <v/>
      </c>
      <c r="AB826" s="45">
        <f>IFERROR(__xludf.DUMMYFUNCTION("""COMPUTED_VALUE"""),"3500 Argentia Road")</f>
        <v/>
      </c>
      <c r="AC826" s="45" t="n"/>
      <c r="AD826" s="45">
        <f>IFERROR(__xludf.DUMMYFUNCTION("""COMPUTED_VALUE"""),"OCEAN")</f>
        <v/>
      </c>
      <c r="AE826" s="45">
        <f>IFERROR(__xludf.DUMMYFUNCTION("""COMPUTED_VALUE"""),"N")</f>
        <v/>
      </c>
      <c r="AF826" s="45">
        <f>IFERROR(__xludf.DUMMYFUNCTION("""COMPUTED_VALUE"""),"New Booking, Status changed from Submitted to Approved, Port of Loading changed from None to Colombo, LK, Dates Added, Dates Added")</f>
        <v/>
      </c>
      <c r="AG826" s="49">
        <f>IFERROR(__xludf.DUMMYFUNCTION("IFNA(vlookup(H826,IMPORTRANGE(""1vUGwO1n0QQGx9kKbO0_M5gmuhXZ6-LaxQxgrmJnzgP0"",""'TP# look up'!A:C""),3,0),"""")"),"")</f>
        <v/>
      </c>
      <c r="AH826" s="49">
        <f>LEFT(J826,2)</f>
        <v/>
      </c>
    </row>
    <row r="827" ht="12.75" customHeight="1">
      <c r="A827" s="45">
        <f>IFERROR(__xludf.DUMMYFUNCTION("""COMPUTED_VALUE"""),"Colombo")</f>
        <v/>
      </c>
      <c r="B827" s="45" t="n"/>
      <c r="C827" s="45">
        <f>IFERROR(__xludf.DUMMYFUNCTION("""COMPUTED_VALUE"""),3259528)</f>
        <v/>
      </c>
      <c r="D827" s="45" t="n"/>
      <c r="E827" s="45">
        <f>IFERROR(__xludf.DUMMYFUNCTION("""COMPUTED_VALUE"""),"CFS")</f>
        <v/>
      </c>
      <c r="F827" s="45">
        <f>IFERROR(__xludf.DUMMYFUNCTION("""COMPUTED_VALUE"""),"Inqube Global (PVT) Ltd")</f>
        <v/>
      </c>
      <c r="G827" s="45">
        <f>IFERROR(__xludf.DUMMYFUNCTION("""COMPUTED_VALUE"""),"BRANDIX APPAREL SOLUTION LTD - GIRITALE")</f>
        <v/>
      </c>
      <c r="H827" s="43">
        <f>IFERROR(__xludf.DUMMYFUNCTION("""COMPUTED_VALUE"""),455741917791)</f>
        <v/>
      </c>
      <c r="I827" s="45">
        <f>IFERROR(__xludf.DUMMYFUNCTION("""COMPUTED_VALUE"""),19856383)</f>
        <v/>
      </c>
      <c r="J827" s="45">
        <f>IFERROR(__xludf.DUMMYFUNCTION("""COMPUTED_VALUE"""),"LM5AXAS")</f>
        <v/>
      </c>
      <c r="K827" s="45">
        <f>IFERROR(__xludf.DUMMYFUNCTION("""COMPUTED_VALUE"""),"LM5AXAS-019222")</f>
        <v/>
      </c>
      <c r="L827" s="45">
        <f>IFERROR(__xludf.DUMMYFUNCTION("""COMPUTED_VALUE"""),12)</f>
        <v/>
      </c>
      <c r="M827" s="45">
        <f>IFERROR(__xludf.DUMMYFUNCTION("""COMPUTED_VALUE"""),382)</f>
        <v/>
      </c>
      <c r="N827" s="45">
        <f>IFERROR(__xludf.DUMMYFUNCTION("""COMPUTED_VALUE"""),153.59)</f>
        <v/>
      </c>
      <c r="O827" s="45">
        <f>IFERROR(__xludf.DUMMYFUNCTION("""COMPUTED_VALUE"""),0.95)</f>
        <v/>
      </c>
      <c r="P827" s="45">
        <f>IFERROR(__xludf.DUMMYFUNCTION("""COMPUTED_VALUE"""),"Colombo, LK")</f>
        <v/>
      </c>
      <c r="Q827" s="45">
        <f>IFERROR(__xludf.DUMMYFUNCTION("""COMPUTED_VALUE"""),"New York, NY, US")</f>
        <v/>
      </c>
      <c r="R827" s="44">
        <f>IFERROR(__xludf.DUMMYFUNCTION("""COMPUTED_VALUE"""),45838)</f>
        <v/>
      </c>
      <c r="S827" s="44">
        <f>IFERROR(__xludf.DUMMYFUNCTION("""COMPUTED_VALUE"""),45897)</f>
        <v/>
      </c>
      <c r="T827" s="45">
        <f>IFERROR(__xludf.DUMMYFUNCTION("""COMPUTED_VALUE"""),"Mississauga, ON, CA")</f>
        <v/>
      </c>
      <c r="U827" s="45" t="n"/>
      <c r="V827" s="45" t="n"/>
      <c r="W827" s="45" t="n"/>
      <c r="X827" s="45" t="n"/>
      <c r="Y827" s="46">
        <f>IFERROR(__xludf.DUMMYFUNCTION("""COMPUTED_VALUE"""),45845)</f>
        <v/>
      </c>
      <c r="Z827" s="46">
        <f>IFERROR(__xludf.DUMMYFUNCTION("""COMPUTED_VALUE"""),45866)</f>
        <v/>
      </c>
      <c r="AA827" s="46">
        <f>IFERROR(__xludf.DUMMYFUNCTION("""COMPUTED_VALUE"""),45866)</f>
        <v/>
      </c>
      <c r="AB827" s="45">
        <f>IFERROR(__xludf.DUMMYFUNCTION("""COMPUTED_VALUE"""),"3500 Argentia Road")</f>
        <v/>
      </c>
      <c r="AC827" s="45" t="n"/>
      <c r="AD827" s="45">
        <f>IFERROR(__xludf.DUMMYFUNCTION("""COMPUTED_VALUE"""),"OCEAN")</f>
        <v/>
      </c>
      <c r="AE827" s="45">
        <f>IFERROR(__xludf.DUMMYFUNCTION("""COMPUTED_VALUE"""),"N")</f>
        <v/>
      </c>
      <c r="AF827" s="45">
        <f>IFERROR(__xludf.DUMMYFUNCTION("""COMPUTED_VALUE"""),"New Booking, Status changed from Submitted to Approved, Port of Loading changed from None to Colombo, LK, Dates Added, Dates Added")</f>
        <v/>
      </c>
      <c r="AG827" s="49">
        <f>IFERROR(__xludf.DUMMYFUNCTION("IFNA(vlookup(H827,IMPORTRANGE(""1vUGwO1n0QQGx9kKbO0_M5gmuhXZ6-LaxQxgrmJnzgP0"",""'TP# look up'!A:C""),3,0),"""")"),"")</f>
        <v/>
      </c>
      <c r="AH827" s="49">
        <f>LEFT(J827,2)</f>
        <v/>
      </c>
    </row>
    <row r="828" ht="12.75" customHeight="1">
      <c r="A828" s="45">
        <f>IFERROR(__xludf.DUMMYFUNCTION("""COMPUTED_VALUE"""),"Colombo")</f>
        <v/>
      </c>
      <c r="B828" s="45" t="n"/>
      <c r="C828" s="45">
        <f>IFERROR(__xludf.DUMMYFUNCTION("""COMPUTED_VALUE"""),3259528)</f>
        <v/>
      </c>
      <c r="D828" s="45" t="n"/>
      <c r="E828" s="45">
        <f>IFERROR(__xludf.DUMMYFUNCTION("""COMPUTED_VALUE"""),"CFS")</f>
        <v/>
      </c>
      <c r="F828" s="45">
        <f>IFERROR(__xludf.DUMMYFUNCTION("""COMPUTED_VALUE"""),"Inqube Global (PVT) Ltd")</f>
        <v/>
      </c>
      <c r="G828" s="45">
        <f>IFERROR(__xludf.DUMMYFUNCTION("""COMPUTED_VALUE"""),"BRANDIX APPAREL SOLUTION LTD - GIRITALE")</f>
        <v/>
      </c>
      <c r="H828" s="43">
        <f>IFERROR(__xludf.DUMMYFUNCTION("""COMPUTED_VALUE"""),455742905333)</f>
        <v/>
      </c>
      <c r="I828" s="45">
        <f>IFERROR(__xludf.DUMMYFUNCTION("""COMPUTED_VALUE"""),19855761)</f>
        <v/>
      </c>
      <c r="J828" s="45">
        <f>IFERROR(__xludf.DUMMYFUNCTION("""COMPUTED_VALUE"""),"LM5AXAS")</f>
        <v/>
      </c>
      <c r="K828" s="45">
        <f>IFERROR(__xludf.DUMMYFUNCTION("""COMPUTED_VALUE"""),"LM5AXAS-031382")</f>
        <v/>
      </c>
      <c r="L828" s="45">
        <f>IFERROR(__xludf.DUMMYFUNCTION("""COMPUTED_VALUE"""),3)</f>
        <v/>
      </c>
      <c r="M828" s="45">
        <f>IFERROR(__xludf.DUMMYFUNCTION("""COMPUTED_VALUE"""),62)</f>
        <v/>
      </c>
      <c r="N828" s="45">
        <f>IFERROR(__xludf.DUMMYFUNCTION("""COMPUTED_VALUE"""),25.21)</f>
        <v/>
      </c>
      <c r="O828" s="45">
        <f>IFERROR(__xludf.DUMMYFUNCTION("""COMPUTED_VALUE"""),0.168)</f>
        <v/>
      </c>
      <c r="P828" s="45">
        <f>IFERROR(__xludf.DUMMYFUNCTION("""COMPUTED_VALUE"""),"Colombo, LK")</f>
        <v/>
      </c>
      <c r="Q828" s="45">
        <f>IFERROR(__xludf.DUMMYFUNCTION("""COMPUTED_VALUE"""),"New York, NY, US")</f>
        <v/>
      </c>
      <c r="R828" s="44">
        <f>IFERROR(__xludf.DUMMYFUNCTION("""COMPUTED_VALUE"""),45838)</f>
        <v/>
      </c>
      <c r="S828" s="44">
        <f>IFERROR(__xludf.DUMMYFUNCTION("""COMPUTED_VALUE"""),45897)</f>
        <v/>
      </c>
      <c r="T828" s="45">
        <f>IFERROR(__xludf.DUMMYFUNCTION("""COMPUTED_VALUE"""),"Mississauga, ON, CA")</f>
        <v/>
      </c>
      <c r="U828" s="45" t="n"/>
      <c r="V828" s="45" t="n"/>
      <c r="W828" s="45" t="n"/>
      <c r="X828" s="45" t="n"/>
      <c r="Y828" s="46">
        <f>IFERROR(__xludf.DUMMYFUNCTION("""COMPUTED_VALUE"""),45845)</f>
        <v/>
      </c>
      <c r="Z828" s="46">
        <f>IFERROR(__xludf.DUMMYFUNCTION("""COMPUTED_VALUE"""),45866)</f>
        <v/>
      </c>
      <c r="AA828" s="46">
        <f>IFERROR(__xludf.DUMMYFUNCTION("""COMPUTED_VALUE"""),45866)</f>
        <v/>
      </c>
      <c r="AB828" s="45">
        <f>IFERROR(__xludf.DUMMYFUNCTION("""COMPUTED_VALUE"""),"3500 Argentia Road")</f>
        <v/>
      </c>
      <c r="AC828" s="45" t="n"/>
      <c r="AD828" s="45">
        <f>IFERROR(__xludf.DUMMYFUNCTION("""COMPUTED_VALUE"""),"OCEAN")</f>
        <v/>
      </c>
      <c r="AE828" s="45">
        <f>IFERROR(__xludf.DUMMYFUNCTION("""COMPUTED_VALUE"""),"N")</f>
        <v/>
      </c>
      <c r="AF828" s="45">
        <f>IFERROR(__xludf.DUMMYFUNCTION("""COMPUTED_VALUE"""),"New Booking, Status changed from Submitted to Approved, Port of Loading changed from None to Colombo, LK, Dates Added, Dates Added")</f>
        <v/>
      </c>
      <c r="AG828" s="49">
        <f>IFERROR(__xludf.DUMMYFUNCTION("IFNA(vlookup(H828,IMPORTRANGE(""1vUGwO1n0QQGx9kKbO0_M5gmuhXZ6-LaxQxgrmJnzgP0"",""'TP# look up'!A:C""),3,0),"""")"),"")</f>
        <v/>
      </c>
      <c r="AH828" s="49">
        <f>LEFT(J828,2)</f>
        <v/>
      </c>
    </row>
    <row r="829" ht="12.75" customHeight="1">
      <c r="A829" s="45">
        <f>IFERROR(__xludf.DUMMYFUNCTION("""COMPUTED_VALUE"""),"Colombo")</f>
        <v/>
      </c>
      <c r="B829" s="45" t="n"/>
      <c r="C829" s="45">
        <f>IFERROR(__xludf.DUMMYFUNCTION("""COMPUTED_VALUE"""),3259528)</f>
        <v/>
      </c>
      <c r="D829" s="45" t="n"/>
      <c r="E829" s="45">
        <f>IFERROR(__xludf.DUMMYFUNCTION("""COMPUTED_VALUE"""),"CFS")</f>
        <v/>
      </c>
      <c r="F829" s="45">
        <f>IFERROR(__xludf.DUMMYFUNCTION("""COMPUTED_VALUE"""),"Inqube Global (PVT) Ltd")</f>
        <v/>
      </c>
      <c r="G829" s="45">
        <f>IFERROR(__xludf.DUMMYFUNCTION("""COMPUTED_VALUE"""),"BRANDIX APPAREL SOLUTION LTD - GIRITALE")</f>
        <v/>
      </c>
      <c r="H829" s="43">
        <f>IFERROR(__xludf.DUMMYFUNCTION("""COMPUTED_VALUE"""),455989892498)</f>
        <v/>
      </c>
      <c r="I829" s="45">
        <f>IFERROR(__xludf.DUMMYFUNCTION("""COMPUTED_VALUE"""),19855744)</f>
        <v/>
      </c>
      <c r="J829" s="45">
        <f>IFERROR(__xludf.DUMMYFUNCTION("""COMPUTED_VALUE"""),"LM5AXAS")</f>
        <v/>
      </c>
      <c r="K829" s="45">
        <f>IFERROR(__xludf.DUMMYFUNCTION("""COMPUTED_VALUE"""),"LM5AXAS-033454")</f>
        <v/>
      </c>
      <c r="L829" s="45">
        <f>IFERROR(__xludf.DUMMYFUNCTION("""COMPUTED_VALUE"""),3)</f>
        <v/>
      </c>
      <c r="M829" s="45">
        <f>IFERROR(__xludf.DUMMYFUNCTION("""COMPUTED_VALUE"""),53)</f>
        <v/>
      </c>
      <c r="N829" s="45">
        <f>IFERROR(__xludf.DUMMYFUNCTION("""COMPUTED_VALUE"""),22.25)</f>
        <v/>
      </c>
      <c r="O829" s="45">
        <f>IFERROR(__xludf.DUMMYFUNCTION("""COMPUTED_VALUE"""),0.168)</f>
        <v/>
      </c>
      <c r="P829" s="45">
        <f>IFERROR(__xludf.DUMMYFUNCTION("""COMPUTED_VALUE"""),"Colombo, LK")</f>
        <v/>
      </c>
      <c r="Q829" s="45">
        <f>IFERROR(__xludf.DUMMYFUNCTION("""COMPUTED_VALUE"""),"New York, NY, US")</f>
        <v/>
      </c>
      <c r="R829" s="44">
        <f>IFERROR(__xludf.DUMMYFUNCTION("""COMPUTED_VALUE"""),45838)</f>
        <v/>
      </c>
      <c r="S829" s="44">
        <f>IFERROR(__xludf.DUMMYFUNCTION("""COMPUTED_VALUE"""),45897)</f>
        <v/>
      </c>
      <c r="T829" s="45">
        <f>IFERROR(__xludf.DUMMYFUNCTION("""COMPUTED_VALUE"""),"Mississauga, ON, CA")</f>
        <v/>
      </c>
      <c r="U829" s="45" t="n"/>
      <c r="V829" s="45" t="n"/>
      <c r="W829" s="45" t="n"/>
      <c r="X829" s="45" t="n"/>
      <c r="Y829" s="46">
        <f>IFERROR(__xludf.DUMMYFUNCTION("""COMPUTED_VALUE"""),45845)</f>
        <v/>
      </c>
      <c r="Z829" s="46">
        <f>IFERROR(__xludf.DUMMYFUNCTION("""COMPUTED_VALUE"""),45866)</f>
        <v/>
      </c>
      <c r="AA829" s="46">
        <f>IFERROR(__xludf.DUMMYFUNCTION("""COMPUTED_VALUE"""),45866)</f>
        <v/>
      </c>
      <c r="AB829" s="45">
        <f>IFERROR(__xludf.DUMMYFUNCTION("""COMPUTED_VALUE"""),"3500 Argentia Road")</f>
        <v/>
      </c>
      <c r="AC829" s="45" t="n"/>
      <c r="AD829" s="45">
        <f>IFERROR(__xludf.DUMMYFUNCTION("""COMPUTED_VALUE"""),"OCEAN")</f>
        <v/>
      </c>
      <c r="AE829" s="45">
        <f>IFERROR(__xludf.DUMMYFUNCTION("""COMPUTED_VALUE"""),"N")</f>
        <v/>
      </c>
      <c r="AF829" s="45">
        <f>IFERROR(__xludf.DUMMYFUNCTION("""COMPUTED_VALUE"""),"New Booking")</f>
        <v/>
      </c>
      <c r="AG829" s="49">
        <f>IFERROR(__xludf.DUMMYFUNCTION("IFNA(vlookup(H829,IMPORTRANGE(""1vUGwO1n0QQGx9kKbO0_M5gmuhXZ6-LaxQxgrmJnzgP0"",""'TP# look up'!A:C""),3,0),"""")"),"")</f>
        <v/>
      </c>
      <c r="AH829" s="49">
        <f>LEFT(J829,2)</f>
        <v/>
      </c>
    </row>
    <row r="830" ht="12.75" customHeight="1">
      <c r="A830" s="45">
        <f>IFERROR(__xludf.DUMMYFUNCTION("""COMPUTED_VALUE"""),"Colombo")</f>
        <v/>
      </c>
      <c r="B830" s="45" t="n"/>
      <c r="C830" s="45">
        <f>IFERROR(__xludf.DUMMYFUNCTION("""COMPUTED_VALUE"""),3259528)</f>
        <v/>
      </c>
      <c r="D830" s="45" t="n"/>
      <c r="E830" s="45">
        <f>IFERROR(__xludf.DUMMYFUNCTION("""COMPUTED_VALUE"""),"CFS")</f>
        <v/>
      </c>
      <c r="F830" s="45">
        <f>IFERROR(__xludf.DUMMYFUNCTION("""COMPUTED_VALUE"""),"Inqube Global (PVT) Ltd")</f>
        <v/>
      </c>
      <c r="G830" s="45">
        <f>IFERROR(__xludf.DUMMYFUNCTION("""COMPUTED_VALUE"""),"BRANDIX APPAREL SOLUTION LTD - GIRITALE")</f>
        <v/>
      </c>
      <c r="H830" s="43">
        <f>IFERROR(__xludf.DUMMYFUNCTION("""COMPUTED_VALUE"""),455990403431)</f>
        <v/>
      </c>
      <c r="I830" s="45">
        <f>IFERROR(__xludf.DUMMYFUNCTION("""COMPUTED_VALUE"""),19855743)</f>
        <v/>
      </c>
      <c r="J830" s="45">
        <f>IFERROR(__xludf.DUMMYFUNCTION("""COMPUTED_VALUE"""),"LM5AXAS")</f>
        <v/>
      </c>
      <c r="K830" s="45">
        <f>IFERROR(__xludf.DUMMYFUNCTION("""COMPUTED_VALUE"""),"LM5AXAS-033454")</f>
        <v/>
      </c>
      <c r="L830" s="45">
        <f>IFERROR(__xludf.DUMMYFUNCTION("""COMPUTED_VALUE"""),4)</f>
        <v/>
      </c>
      <c r="M830" s="45">
        <f>IFERROR(__xludf.DUMMYFUNCTION("""COMPUTED_VALUE"""),79)</f>
        <v/>
      </c>
      <c r="N830" s="45">
        <f>IFERROR(__xludf.DUMMYFUNCTION("""COMPUTED_VALUE"""),32.57)</f>
        <v/>
      </c>
      <c r="O830" s="45">
        <f>IFERROR(__xludf.DUMMYFUNCTION("""COMPUTED_VALUE"""),0.21)</f>
        <v/>
      </c>
      <c r="P830" s="45">
        <f>IFERROR(__xludf.DUMMYFUNCTION("""COMPUTED_VALUE"""),"Colombo, LK")</f>
        <v/>
      </c>
      <c r="Q830" s="45">
        <f>IFERROR(__xludf.DUMMYFUNCTION("""COMPUTED_VALUE"""),"New York, NY, US")</f>
        <v/>
      </c>
      <c r="R830" s="44">
        <f>IFERROR(__xludf.DUMMYFUNCTION("""COMPUTED_VALUE"""),45838)</f>
        <v/>
      </c>
      <c r="S830" s="44">
        <f>IFERROR(__xludf.DUMMYFUNCTION("""COMPUTED_VALUE"""),45897)</f>
        <v/>
      </c>
      <c r="T830" s="45">
        <f>IFERROR(__xludf.DUMMYFUNCTION("""COMPUTED_VALUE"""),"Mississauga, ON, CA")</f>
        <v/>
      </c>
      <c r="U830" s="45" t="n"/>
      <c r="V830" s="45" t="n"/>
      <c r="W830" s="45" t="n"/>
      <c r="X830" s="45" t="n"/>
      <c r="Y830" s="46">
        <f>IFERROR(__xludf.DUMMYFUNCTION("""COMPUTED_VALUE"""),45845)</f>
        <v/>
      </c>
      <c r="Z830" s="46">
        <f>IFERROR(__xludf.DUMMYFUNCTION("""COMPUTED_VALUE"""),45866)</f>
        <v/>
      </c>
      <c r="AA830" s="46">
        <f>IFERROR(__xludf.DUMMYFUNCTION("""COMPUTED_VALUE"""),45866)</f>
        <v/>
      </c>
      <c r="AB830" s="45">
        <f>IFERROR(__xludf.DUMMYFUNCTION("""COMPUTED_VALUE"""),"3500 Argentia Road")</f>
        <v/>
      </c>
      <c r="AC830" s="45" t="n"/>
      <c r="AD830" s="45">
        <f>IFERROR(__xludf.DUMMYFUNCTION("""COMPUTED_VALUE"""),"OCEAN")</f>
        <v/>
      </c>
      <c r="AE830" s="45">
        <f>IFERROR(__xludf.DUMMYFUNCTION("""COMPUTED_VALUE"""),"N")</f>
        <v/>
      </c>
      <c r="AF830" s="45">
        <f>IFERROR(__xludf.DUMMYFUNCTION("""COMPUTED_VALUE"""),"New Booking")</f>
        <v/>
      </c>
      <c r="AG830" s="49">
        <f>IFERROR(__xludf.DUMMYFUNCTION("IFNA(vlookup(H830,IMPORTRANGE(""1vUGwO1n0QQGx9kKbO0_M5gmuhXZ6-LaxQxgrmJnzgP0"",""'TP# look up'!A:C""),3,0),"""")"),"")</f>
        <v/>
      </c>
      <c r="AH830" s="49">
        <f>LEFT(J830,2)</f>
        <v/>
      </c>
    </row>
    <row r="831" ht="12.75" customHeight="1">
      <c r="A831" s="45">
        <f>IFERROR(__xludf.DUMMYFUNCTION("""COMPUTED_VALUE"""),"Colombo")</f>
        <v/>
      </c>
      <c r="B831" s="45" t="n"/>
      <c r="C831" s="45">
        <f>IFERROR(__xludf.DUMMYFUNCTION("""COMPUTED_VALUE"""),3259528)</f>
        <v/>
      </c>
      <c r="D831" s="45" t="n"/>
      <c r="E831" s="45">
        <f>IFERROR(__xludf.DUMMYFUNCTION("""COMPUTED_VALUE"""),"CFS")</f>
        <v/>
      </c>
      <c r="F831" s="45">
        <f>IFERROR(__xludf.DUMMYFUNCTION("""COMPUTED_VALUE"""),"Inqube Global (PVT) Ltd")</f>
        <v/>
      </c>
      <c r="G831" s="45">
        <f>IFERROR(__xludf.DUMMYFUNCTION("""COMPUTED_VALUE"""),"BRANDIX APPAREL SOLUTION LTD - GIRITALE")</f>
        <v/>
      </c>
      <c r="H831" s="43">
        <f>IFERROR(__xludf.DUMMYFUNCTION("""COMPUTED_VALUE"""),455993024220)</f>
        <v/>
      </c>
      <c r="I831" s="45">
        <f>IFERROR(__xludf.DUMMYFUNCTION("""COMPUTED_VALUE"""),19856319)</f>
        <v/>
      </c>
      <c r="J831" s="45">
        <f>IFERROR(__xludf.DUMMYFUNCTION("""COMPUTED_VALUE"""),"LM5AXAS")</f>
        <v/>
      </c>
      <c r="K831" s="45">
        <f>IFERROR(__xludf.DUMMYFUNCTION("""COMPUTED_VALUE"""),"LM5AXAS-033454")</f>
        <v/>
      </c>
      <c r="L831" s="45">
        <f>IFERROR(__xludf.DUMMYFUNCTION("""COMPUTED_VALUE"""),8)</f>
        <v/>
      </c>
      <c r="M831" s="45">
        <f>IFERROR(__xludf.DUMMYFUNCTION("""COMPUTED_VALUE"""),231)</f>
        <v/>
      </c>
      <c r="N831" s="45">
        <f>IFERROR(__xludf.DUMMYFUNCTION("""COMPUTED_VALUE"""),93.38)</f>
        <v/>
      </c>
      <c r="O831" s="45">
        <f>IFERROR(__xludf.DUMMYFUNCTION("""COMPUTED_VALUE"""),0.58)</f>
        <v/>
      </c>
      <c r="P831" s="45">
        <f>IFERROR(__xludf.DUMMYFUNCTION("""COMPUTED_VALUE"""),"Colombo, LK")</f>
        <v/>
      </c>
      <c r="Q831" s="45">
        <f>IFERROR(__xludf.DUMMYFUNCTION("""COMPUTED_VALUE"""),"New York, NY, US")</f>
        <v/>
      </c>
      <c r="R831" s="44">
        <f>IFERROR(__xludf.DUMMYFUNCTION("""COMPUTED_VALUE"""),45838)</f>
        <v/>
      </c>
      <c r="S831" s="44">
        <f>IFERROR(__xludf.DUMMYFUNCTION("""COMPUTED_VALUE"""),45897)</f>
        <v/>
      </c>
      <c r="T831" s="45">
        <f>IFERROR(__xludf.DUMMYFUNCTION("""COMPUTED_VALUE"""),"Mississauga, ON, CA")</f>
        <v/>
      </c>
      <c r="U831" s="45" t="n"/>
      <c r="V831" s="45" t="n"/>
      <c r="W831" s="45" t="n"/>
      <c r="X831" s="45" t="n"/>
      <c r="Y831" s="46">
        <f>IFERROR(__xludf.DUMMYFUNCTION("""COMPUTED_VALUE"""),45845)</f>
        <v/>
      </c>
      <c r="Z831" s="46">
        <f>IFERROR(__xludf.DUMMYFUNCTION("""COMPUTED_VALUE"""),45866)</f>
        <v/>
      </c>
      <c r="AA831" s="46">
        <f>IFERROR(__xludf.DUMMYFUNCTION("""COMPUTED_VALUE"""),45866)</f>
        <v/>
      </c>
      <c r="AB831" s="45">
        <f>IFERROR(__xludf.DUMMYFUNCTION("""COMPUTED_VALUE"""),"3500 Argentia Road")</f>
        <v/>
      </c>
      <c r="AC831" s="45" t="n"/>
      <c r="AD831" s="45">
        <f>IFERROR(__xludf.DUMMYFUNCTION("""COMPUTED_VALUE"""),"OCEAN")</f>
        <v/>
      </c>
      <c r="AE831" s="45">
        <f>IFERROR(__xludf.DUMMYFUNCTION("""COMPUTED_VALUE"""),"N")</f>
        <v/>
      </c>
      <c r="AF831" s="45">
        <f>IFERROR(__xludf.DUMMYFUNCTION("""COMPUTED_VALUE"""),"New Booking")</f>
        <v/>
      </c>
      <c r="AG831" s="49">
        <f>IFERROR(__xludf.DUMMYFUNCTION("IFNA(vlookup(H831,IMPORTRANGE(""1vUGwO1n0QQGx9kKbO0_M5gmuhXZ6-LaxQxgrmJnzgP0"",""'TP# look up'!A:C""),3,0),"""")"),"")</f>
        <v/>
      </c>
      <c r="AH831" s="49">
        <f>LEFT(J831,2)</f>
        <v/>
      </c>
    </row>
    <row r="832" ht="12.75" customHeight="1">
      <c r="A832" s="45">
        <f>IFERROR(__xludf.DUMMYFUNCTION("""COMPUTED_VALUE"""),"Colombo")</f>
        <v/>
      </c>
      <c r="B832" s="45" t="n"/>
      <c r="C832" s="45">
        <f>IFERROR(__xludf.DUMMYFUNCTION("""COMPUTED_VALUE"""),3259528)</f>
        <v/>
      </c>
      <c r="D832" s="45" t="n"/>
      <c r="E832" s="45">
        <f>IFERROR(__xludf.DUMMYFUNCTION("""COMPUTED_VALUE"""),"CFS")</f>
        <v/>
      </c>
      <c r="F832" s="45">
        <f>IFERROR(__xludf.DUMMYFUNCTION("""COMPUTED_VALUE"""),"Inqube Global (PVT) Ltd")</f>
        <v/>
      </c>
      <c r="G832" s="45">
        <f>IFERROR(__xludf.DUMMYFUNCTION("""COMPUTED_VALUE"""),"BRANDIX APPAREL SOLUTION LTD - GIRITALE")</f>
        <v/>
      </c>
      <c r="H832" s="43">
        <f>IFERROR(__xludf.DUMMYFUNCTION("""COMPUTED_VALUE"""),455993811031)</f>
        <v/>
      </c>
      <c r="I832" s="45">
        <f>IFERROR(__xludf.DUMMYFUNCTION("""COMPUTED_VALUE"""),19856323)</f>
        <v/>
      </c>
      <c r="J832" s="45">
        <f>IFERROR(__xludf.DUMMYFUNCTION("""COMPUTED_VALUE"""),"LM5AXAS")</f>
        <v/>
      </c>
      <c r="K832" s="45">
        <f>IFERROR(__xludf.DUMMYFUNCTION("""COMPUTED_VALUE"""),"LM5AXAS-033454")</f>
        <v/>
      </c>
      <c r="L832" s="45">
        <f>IFERROR(__xludf.DUMMYFUNCTION("""COMPUTED_VALUE"""),7)</f>
        <v/>
      </c>
      <c r="M832" s="45">
        <f>IFERROR(__xludf.DUMMYFUNCTION("""COMPUTED_VALUE"""),222)</f>
        <v/>
      </c>
      <c r="N832" s="45">
        <f>IFERROR(__xludf.DUMMYFUNCTION("""COMPUTED_VALUE"""),88.87)</f>
        <v/>
      </c>
      <c r="O832" s="45">
        <f>IFERROR(__xludf.DUMMYFUNCTION("""COMPUTED_VALUE"""),0.498)</f>
        <v/>
      </c>
      <c r="P832" s="45">
        <f>IFERROR(__xludf.DUMMYFUNCTION("""COMPUTED_VALUE"""),"Colombo, LK")</f>
        <v/>
      </c>
      <c r="Q832" s="45">
        <f>IFERROR(__xludf.DUMMYFUNCTION("""COMPUTED_VALUE"""),"New York, NY, US")</f>
        <v/>
      </c>
      <c r="R832" s="44">
        <f>IFERROR(__xludf.DUMMYFUNCTION("""COMPUTED_VALUE"""),45838)</f>
        <v/>
      </c>
      <c r="S832" s="44">
        <f>IFERROR(__xludf.DUMMYFUNCTION("""COMPUTED_VALUE"""),45897)</f>
        <v/>
      </c>
      <c r="T832" s="45">
        <f>IFERROR(__xludf.DUMMYFUNCTION("""COMPUTED_VALUE"""),"Mississauga, ON, CA")</f>
        <v/>
      </c>
      <c r="U832" s="45" t="n"/>
      <c r="V832" s="45" t="n"/>
      <c r="W832" s="45" t="n"/>
      <c r="X832" s="45" t="n"/>
      <c r="Y832" s="46">
        <f>IFERROR(__xludf.DUMMYFUNCTION("""COMPUTED_VALUE"""),45845)</f>
        <v/>
      </c>
      <c r="Z832" s="46">
        <f>IFERROR(__xludf.DUMMYFUNCTION("""COMPUTED_VALUE"""),45866)</f>
        <v/>
      </c>
      <c r="AA832" s="46">
        <f>IFERROR(__xludf.DUMMYFUNCTION("""COMPUTED_VALUE"""),45866)</f>
        <v/>
      </c>
      <c r="AB832" s="45">
        <f>IFERROR(__xludf.DUMMYFUNCTION("""COMPUTED_VALUE"""),"3500 Argentia Road")</f>
        <v/>
      </c>
      <c r="AC832" s="45" t="n"/>
      <c r="AD832" s="45">
        <f>IFERROR(__xludf.DUMMYFUNCTION("""COMPUTED_VALUE"""),"OCEAN")</f>
        <v/>
      </c>
      <c r="AE832" s="45">
        <f>IFERROR(__xludf.DUMMYFUNCTION("""COMPUTED_VALUE"""),"N")</f>
        <v/>
      </c>
      <c r="AF832" s="45">
        <f>IFERROR(__xludf.DUMMYFUNCTION("""COMPUTED_VALUE"""),"New Booking")</f>
        <v/>
      </c>
      <c r="AG832" s="49">
        <f>IFERROR(__xludf.DUMMYFUNCTION("IFNA(vlookup(H832,IMPORTRANGE(""1vUGwO1n0QQGx9kKbO0_M5gmuhXZ6-LaxQxgrmJnzgP0"",""'TP# look up'!A:C""),3,0),"""")"),"")</f>
        <v/>
      </c>
      <c r="AH832" s="49">
        <f>LEFT(J832,2)</f>
        <v/>
      </c>
    </row>
    <row r="833" ht="12.75" customHeight="1">
      <c r="A833" s="45">
        <f>IFERROR(__xludf.DUMMYFUNCTION("""COMPUTED_VALUE"""),"Colombo")</f>
        <v/>
      </c>
      <c r="B833" s="45" t="n"/>
      <c r="C833" s="45">
        <f>IFERROR(__xludf.DUMMYFUNCTION("""COMPUTED_VALUE"""),3259528)</f>
        <v/>
      </c>
      <c r="D833" s="45" t="n"/>
      <c r="E833" s="45">
        <f>IFERROR(__xludf.DUMMYFUNCTION("""COMPUTED_VALUE"""),"CFS")</f>
        <v/>
      </c>
      <c r="F833" s="45">
        <f>IFERROR(__xludf.DUMMYFUNCTION("""COMPUTED_VALUE"""),"Inqube Global (PVT) Ltd")</f>
        <v/>
      </c>
      <c r="G833" s="45">
        <f>IFERROR(__xludf.DUMMYFUNCTION("""COMPUTED_VALUE"""),"BRANDIX APPAREL SOLUTION LTD - GIRITALE")</f>
        <v/>
      </c>
      <c r="H833" s="43">
        <f>IFERROR(__xludf.DUMMYFUNCTION("""COMPUTED_VALUE"""),455996257117)</f>
        <v/>
      </c>
      <c r="I833" s="45">
        <f>IFERROR(__xludf.DUMMYFUNCTION("""COMPUTED_VALUE"""),19856349)</f>
        <v/>
      </c>
      <c r="J833" s="45">
        <f>IFERROR(__xludf.DUMMYFUNCTION("""COMPUTED_VALUE"""),"LM5AXAS")</f>
        <v/>
      </c>
      <c r="K833" s="45">
        <f>IFERROR(__xludf.DUMMYFUNCTION("""COMPUTED_VALUE"""),"LM5AXAS-038426")</f>
        <v/>
      </c>
      <c r="L833" s="45">
        <f>IFERROR(__xludf.DUMMYFUNCTION("""COMPUTED_VALUE"""),6)</f>
        <v/>
      </c>
      <c r="M833" s="45">
        <f>IFERROR(__xludf.DUMMYFUNCTION("""COMPUTED_VALUE"""),160)</f>
        <v/>
      </c>
      <c r="N833" s="45">
        <f>IFERROR(__xludf.DUMMYFUNCTION("""COMPUTED_VALUE"""),64.9)</f>
        <v/>
      </c>
      <c r="O833" s="45">
        <f>IFERROR(__xludf.DUMMYFUNCTION("""COMPUTED_VALUE"""),0.415)</f>
        <v/>
      </c>
      <c r="P833" s="45">
        <f>IFERROR(__xludf.DUMMYFUNCTION("""COMPUTED_VALUE"""),"Colombo, LK")</f>
        <v/>
      </c>
      <c r="Q833" s="45">
        <f>IFERROR(__xludf.DUMMYFUNCTION("""COMPUTED_VALUE"""),"New York, NY, US")</f>
        <v/>
      </c>
      <c r="R833" s="44">
        <f>IFERROR(__xludf.DUMMYFUNCTION("""COMPUTED_VALUE"""),45838)</f>
        <v/>
      </c>
      <c r="S833" s="44">
        <f>IFERROR(__xludf.DUMMYFUNCTION("""COMPUTED_VALUE"""),45897)</f>
        <v/>
      </c>
      <c r="T833" s="45">
        <f>IFERROR(__xludf.DUMMYFUNCTION("""COMPUTED_VALUE"""),"Mississauga, ON, CA")</f>
        <v/>
      </c>
      <c r="U833" s="45" t="n"/>
      <c r="V833" s="45" t="n"/>
      <c r="W833" s="45" t="n"/>
      <c r="X833" s="45" t="n"/>
      <c r="Y833" s="46">
        <f>IFERROR(__xludf.DUMMYFUNCTION("""COMPUTED_VALUE"""),45845)</f>
        <v/>
      </c>
      <c r="Z833" s="46">
        <f>IFERROR(__xludf.DUMMYFUNCTION("""COMPUTED_VALUE"""),45866)</f>
        <v/>
      </c>
      <c r="AA833" s="46">
        <f>IFERROR(__xludf.DUMMYFUNCTION("""COMPUTED_VALUE"""),45866)</f>
        <v/>
      </c>
      <c r="AB833" s="45">
        <f>IFERROR(__xludf.DUMMYFUNCTION("""COMPUTED_VALUE"""),"3500 Argentia Road")</f>
        <v/>
      </c>
      <c r="AC833" s="45" t="n"/>
      <c r="AD833" s="45">
        <f>IFERROR(__xludf.DUMMYFUNCTION("""COMPUTED_VALUE"""),"OCEAN")</f>
        <v/>
      </c>
      <c r="AE833" s="45">
        <f>IFERROR(__xludf.DUMMYFUNCTION("""COMPUTED_VALUE"""),"N")</f>
        <v/>
      </c>
      <c r="AF833" s="45">
        <f>IFERROR(__xludf.DUMMYFUNCTION("""COMPUTED_VALUE"""),"New Booking")</f>
        <v/>
      </c>
      <c r="AG833" s="49">
        <f>IFERROR(__xludf.DUMMYFUNCTION("IFNA(vlookup(H833,IMPORTRANGE(""1vUGwO1n0QQGx9kKbO0_M5gmuhXZ6-LaxQxgrmJnzgP0"",""'TP# look up'!A:C""),3,0),"""")"),"")</f>
        <v/>
      </c>
      <c r="AH833" s="49">
        <f>LEFT(J833,2)</f>
        <v/>
      </c>
    </row>
    <row r="834" ht="12.75" customHeight="1">
      <c r="A834" s="45">
        <f>IFERROR(__xludf.DUMMYFUNCTION("""COMPUTED_VALUE"""),"Colombo")</f>
        <v/>
      </c>
      <c r="B834" s="45" t="n"/>
      <c r="C834" s="45">
        <f>IFERROR(__xludf.DUMMYFUNCTION("""COMPUTED_VALUE"""),3259528)</f>
        <v/>
      </c>
      <c r="D834" s="45" t="n"/>
      <c r="E834" s="45">
        <f>IFERROR(__xludf.DUMMYFUNCTION("""COMPUTED_VALUE"""),"CFS")</f>
        <v/>
      </c>
      <c r="F834" s="45">
        <f>IFERROR(__xludf.DUMMYFUNCTION("""COMPUTED_VALUE"""),"Inqube Global (PVT) Ltd")</f>
        <v/>
      </c>
      <c r="G834" s="45">
        <f>IFERROR(__xludf.DUMMYFUNCTION("""COMPUTED_VALUE"""),"BRANDIX APPAREL SOLUTION LTD - GIRITALE")</f>
        <v/>
      </c>
      <c r="H834" s="43">
        <f>IFERROR(__xludf.DUMMYFUNCTION("""COMPUTED_VALUE"""),455996303630)</f>
        <v/>
      </c>
      <c r="I834" s="45">
        <f>IFERROR(__xludf.DUMMYFUNCTION("""COMPUTED_VALUE"""),19856353)</f>
        <v/>
      </c>
      <c r="J834" s="45">
        <f>IFERROR(__xludf.DUMMYFUNCTION("""COMPUTED_VALUE"""),"LM5AXAS")</f>
        <v/>
      </c>
      <c r="K834" s="45">
        <f>IFERROR(__xludf.DUMMYFUNCTION("""COMPUTED_VALUE"""),"LM5AXAS-038426")</f>
        <v/>
      </c>
      <c r="L834" s="45">
        <f>IFERROR(__xludf.DUMMYFUNCTION("""COMPUTED_VALUE"""),6)</f>
        <v/>
      </c>
      <c r="M834" s="45">
        <f>IFERROR(__xludf.DUMMYFUNCTION("""COMPUTED_VALUE"""),153)</f>
        <v/>
      </c>
      <c r="N834" s="45">
        <f>IFERROR(__xludf.DUMMYFUNCTION("""COMPUTED_VALUE"""),62.38)</f>
        <v/>
      </c>
      <c r="O834" s="45">
        <f>IFERROR(__xludf.DUMMYFUNCTION("""COMPUTED_VALUE"""),0.415)</f>
        <v/>
      </c>
      <c r="P834" s="45">
        <f>IFERROR(__xludf.DUMMYFUNCTION("""COMPUTED_VALUE"""),"Colombo, LK")</f>
        <v/>
      </c>
      <c r="Q834" s="45">
        <f>IFERROR(__xludf.DUMMYFUNCTION("""COMPUTED_VALUE"""),"New York, NY, US")</f>
        <v/>
      </c>
      <c r="R834" s="44">
        <f>IFERROR(__xludf.DUMMYFUNCTION("""COMPUTED_VALUE"""),45838)</f>
        <v/>
      </c>
      <c r="S834" s="44">
        <f>IFERROR(__xludf.DUMMYFUNCTION("""COMPUTED_VALUE"""),45897)</f>
        <v/>
      </c>
      <c r="T834" s="45">
        <f>IFERROR(__xludf.DUMMYFUNCTION("""COMPUTED_VALUE"""),"Mississauga, ON, CA")</f>
        <v/>
      </c>
      <c r="U834" s="45" t="n"/>
      <c r="V834" s="45" t="n"/>
      <c r="W834" s="45" t="n"/>
      <c r="X834" s="45" t="n"/>
      <c r="Y834" s="46">
        <f>IFERROR(__xludf.DUMMYFUNCTION("""COMPUTED_VALUE"""),45845)</f>
        <v/>
      </c>
      <c r="Z834" s="46">
        <f>IFERROR(__xludf.DUMMYFUNCTION("""COMPUTED_VALUE"""),45866)</f>
        <v/>
      </c>
      <c r="AA834" s="46">
        <f>IFERROR(__xludf.DUMMYFUNCTION("""COMPUTED_VALUE"""),45866)</f>
        <v/>
      </c>
      <c r="AB834" s="45">
        <f>IFERROR(__xludf.DUMMYFUNCTION("""COMPUTED_VALUE"""),"3500 Argentia Road")</f>
        <v/>
      </c>
      <c r="AC834" s="45" t="n"/>
      <c r="AD834" s="45">
        <f>IFERROR(__xludf.DUMMYFUNCTION("""COMPUTED_VALUE"""),"OCEAN")</f>
        <v/>
      </c>
      <c r="AE834" s="45">
        <f>IFERROR(__xludf.DUMMYFUNCTION("""COMPUTED_VALUE"""),"N")</f>
        <v/>
      </c>
      <c r="AF834" s="45">
        <f>IFERROR(__xludf.DUMMYFUNCTION("""COMPUTED_VALUE"""),"New Booking")</f>
        <v/>
      </c>
      <c r="AG834" s="49">
        <f>IFERROR(__xludf.DUMMYFUNCTION("IFNA(vlookup(H834,IMPORTRANGE(""1vUGwO1n0QQGx9kKbO0_M5gmuhXZ6-LaxQxgrmJnzgP0"",""'TP# look up'!A:C""),3,0),"""")"),"")</f>
        <v/>
      </c>
      <c r="AH834" s="49">
        <f>LEFT(J834,2)</f>
        <v/>
      </c>
    </row>
    <row r="835" ht="12.75" customHeight="1">
      <c r="A835" s="45">
        <f>IFERROR(__xludf.DUMMYFUNCTION("""COMPUTED_VALUE"""),"Colombo")</f>
        <v/>
      </c>
      <c r="B835" s="45" t="n"/>
      <c r="C835" s="45">
        <f>IFERROR(__xludf.DUMMYFUNCTION("""COMPUTED_VALUE"""),3259528)</f>
        <v/>
      </c>
      <c r="D835" s="45" t="n"/>
      <c r="E835" s="45">
        <f>IFERROR(__xludf.DUMMYFUNCTION("""COMPUTED_VALUE"""),"CFS")</f>
        <v/>
      </c>
      <c r="F835" s="45">
        <f>IFERROR(__xludf.DUMMYFUNCTION("""COMPUTED_VALUE"""),"Inqube Global (PVT) Ltd")</f>
        <v/>
      </c>
      <c r="G835" s="45">
        <f>IFERROR(__xludf.DUMMYFUNCTION("""COMPUTED_VALUE"""),"BRANDIX APPAREL SOLUTION LTD - GIRITALE")</f>
        <v/>
      </c>
      <c r="H835" s="43">
        <f>IFERROR(__xludf.DUMMYFUNCTION("""COMPUTED_VALUE"""),455997830971)</f>
        <v/>
      </c>
      <c r="I835" s="45">
        <f>IFERROR(__xludf.DUMMYFUNCTION("""COMPUTED_VALUE"""),19856401)</f>
        <v/>
      </c>
      <c r="J835" s="45">
        <f>IFERROR(__xludf.DUMMYFUNCTION("""COMPUTED_VALUE"""),"LM5AXAS")</f>
        <v/>
      </c>
      <c r="K835" s="45">
        <f>IFERROR(__xludf.DUMMYFUNCTION("""COMPUTED_VALUE"""),"LM5AXAS-070108")</f>
        <v/>
      </c>
      <c r="L835" s="45">
        <f>IFERROR(__xludf.DUMMYFUNCTION("""COMPUTED_VALUE"""),8)</f>
        <v/>
      </c>
      <c r="M835" s="45">
        <f>IFERROR(__xludf.DUMMYFUNCTION("""COMPUTED_VALUE"""),248)</f>
        <v/>
      </c>
      <c r="N835" s="45">
        <f>IFERROR(__xludf.DUMMYFUNCTION("""COMPUTED_VALUE"""),99.62)</f>
        <v/>
      </c>
      <c r="O835" s="45">
        <f>IFERROR(__xludf.DUMMYFUNCTION("""COMPUTED_VALUE"""),0.58)</f>
        <v/>
      </c>
      <c r="P835" s="45">
        <f>IFERROR(__xludf.DUMMYFUNCTION("""COMPUTED_VALUE"""),"Colombo, LK")</f>
        <v/>
      </c>
      <c r="Q835" s="45">
        <f>IFERROR(__xludf.DUMMYFUNCTION("""COMPUTED_VALUE"""),"New York, NY, US")</f>
        <v/>
      </c>
      <c r="R835" s="44">
        <f>IFERROR(__xludf.DUMMYFUNCTION("""COMPUTED_VALUE"""),45838)</f>
        <v/>
      </c>
      <c r="S835" s="44">
        <f>IFERROR(__xludf.DUMMYFUNCTION("""COMPUTED_VALUE"""),45897)</f>
        <v/>
      </c>
      <c r="T835" s="45">
        <f>IFERROR(__xludf.DUMMYFUNCTION("""COMPUTED_VALUE"""),"Mississauga, ON, CA")</f>
        <v/>
      </c>
      <c r="U835" s="45" t="n"/>
      <c r="V835" s="45" t="n"/>
      <c r="W835" s="45" t="n"/>
      <c r="X835" s="45" t="n"/>
      <c r="Y835" s="46">
        <f>IFERROR(__xludf.DUMMYFUNCTION("""COMPUTED_VALUE"""),45845)</f>
        <v/>
      </c>
      <c r="Z835" s="46">
        <f>IFERROR(__xludf.DUMMYFUNCTION("""COMPUTED_VALUE"""),45866)</f>
        <v/>
      </c>
      <c r="AA835" s="46">
        <f>IFERROR(__xludf.DUMMYFUNCTION("""COMPUTED_VALUE"""),45866)</f>
        <v/>
      </c>
      <c r="AB835" s="45">
        <f>IFERROR(__xludf.DUMMYFUNCTION("""COMPUTED_VALUE"""),"3500 Argentia Road")</f>
        <v/>
      </c>
      <c r="AC835" s="45" t="n"/>
      <c r="AD835" s="45">
        <f>IFERROR(__xludf.DUMMYFUNCTION("""COMPUTED_VALUE"""),"OCEAN")</f>
        <v/>
      </c>
      <c r="AE835" s="45">
        <f>IFERROR(__xludf.DUMMYFUNCTION("""COMPUTED_VALUE"""),"N")</f>
        <v/>
      </c>
      <c r="AF835" s="45">
        <f>IFERROR(__xludf.DUMMYFUNCTION("""COMPUTED_VALUE"""),"New Booking")</f>
        <v/>
      </c>
      <c r="AG835" s="49">
        <f>IFERROR(__xludf.DUMMYFUNCTION("IFNA(vlookup(H835,IMPORTRANGE(""1vUGwO1n0QQGx9kKbO0_M5gmuhXZ6-LaxQxgrmJnzgP0"",""'TP# look up'!A:C""),3,0),"""")"),"")</f>
        <v/>
      </c>
      <c r="AH835" s="49">
        <f>LEFT(J835,2)</f>
        <v/>
      </c>
    </row>
    <row r="836" ht="12.75" customHeight="1">
      <c r="A836" s="45">
        <f>IFERROR(__xludf.DUMMYFUNCTION("""COMPUTED_VALUE"""),"Colombo")</f>
        <v/>
      </c>
      <c r="B836" s="45" t="n"/>
      <c r="C836" s="45">
        <f>IFERROR(__xludf.DUMMYFUNCTION("""COMPUTED_VALUE"""),3259528)</f>
        <v/>
      </c>
      <c r="D836" s="45" t="n"/>
      <c r="E836" s="45">
        <f>IFERROR(__xludf.DUMMYFUNCTION("""COMPUTED_VALUE"""),"CFS")</f>
        <v/>
      </c>
      <c r="F836" s="45">
        <f>IFERROR(__xludf.DUMMYFUNCTION("""COMPUTED_VALUE"""),"Inqube Global (PVT) Ltd")</f>
        <v/>
      </c>
      <c r="G836" s="45">
        <f>IFERROR(__xludf.DUMMYFUNCTION("""COMPUTED_VALUE"""),"BRANDIX APPAREL SOLUTION LTD - GIRITALE")</f>
        <v/>
      </c>
      <c r="H836" s="43">
        <f>IFERROR(__xludf.DUMMYFUNCTION("""COMPUTED_VALUE"""),455998781382)</f>
        <v/>
      </c>
      <c r="I836" s="45">
        <f>IFERROR(__xludf.DUMMYFUNCTION("""COMPUTED_VALUE"""),19856405)</f>
        <v/>
      </c>
      <c r="J836" s="45">
        <f>IFERROR(__xludf.DUMMYFUNCTION("""COMPUTED_VALUE"""),"LM5AXAS")</f>
        <v/>
      </c>
      <c r="K836" s="45">
        <f>IFERROR(__xludf.DUMMYFUNCTION("""COMPUTED_VALUE"""),"LM5AXAS-070108")</f>
        <v/>
      </c>
      <c r="L836" s="45">
        <f>IFERROR(__xludf.DUMMYFUNCTION("""COMPUTED_VALUE"""),6)</f>
        <v/>
      </c>
      <c r="M836" s="45">
        <f>IFERROR(__xludf.DUMMYFUNCTION("""COMPUTED_VALUE"""),178)</f>
        <v/>
      </c>
      <c r="N836" s="45">
        <f>IFERROR(__xludf.DUMMYFUNCTION("""COMPUTED_VALUE"""),71.85)</f>
        <v/>
      </c>
      <c r="O836" s="45">
        <f>IFERROR(__xludf.DUMMYFUNCTION("""COMPUTED_VALUE"""),0.455)</f>
        <v/>
      </c>
      <c r="P836" s="45">
        <f>IFERROR(__xludf.DUMMYFUNCTION("""COMPUTED_VALUE"""),"Colombo, LK")</f>
        <v/>
      </c>
      <c r="Q836" s="45">
        <f>IFERROR(__xludf.DUMMYFUNCTION("""COMPUTED_VALUE"""),"New York, NY, US")</f>
        <v/>
      </c>
      <c r="R836" s="44">
        <f>IFERROR(__xludf.DUMMYFUNCTION("""COMPUTED_VALUE"""),45838)</f>
        <v/>
      </c>
      <c r="S836" s="44">
        <f>IFERROR(__xludf.DUMMYFUNCTION("""COMPUTED_VALUE"""),45897)</f>
        <v/>
      </c>
      <c r="T836" s="45">
        <f>IFERROR(__xludf.DUMMYFUNCTION("""COMPUTED_VALUE"""),"Mississauga, ON, CA")</f>
        <v/>
      </c>
      <c r="U836" s="45" t="n"/>
      <c r="V836" s="45" t="n"/>
      <c r="W836" s="45" t="n"/>
      <c r="X836" s="45" t="n"/>
      <c r="Y836" s="46">
        <f>IFERROR(__xludf.DUMMYFUNCTION("""COMPUTED_VALUE"""),45845)</f>
        <v/>
      </c>
      <c r="Z836" s="46">
        <f>IFERROR(__xludf.DUMMYFUNCTION("""COMPUTED_VALUE"""),45866)</f>
        <v/>
      </c>
      <c r="AA836" s="46">
        <f>IFERROR(__xludf.DUMMYFUNCTION("""COMPUTED_VALUE"""),45866)</f>
        <v/>
      </c>
      <c r="AB836" s="45">
        <f>IFERROR(__xludf.DUMMYFUNCTION("""COMPUTED_VALUE"""),"3500 Argentia Road")</f>
        <v/>
      </c>
      <c r="AC836" s="45" t="n"/>
      <c r="AD836" s="45">
        <f>IFERROR(__xludf.DUMMYFUNCTION("""COMPUTED_VALUE"""),"OCEAN")</f>
        <v/>
      </c>
      <c r="AE836" s="45">
        <f>IFERROR(__xludf.DUMMYFUNCTION("""COMPUTED_VALUE"""),"N")</f>
        <v/>
      </c>
      <c r="AF836" s="45">
        <f>IFERROR(__xludf.DUMMYFUNCTION("""COMPUTED_VALUE"""),"New Booking")</f>
        <v/>
      </c>
      <c r="AG836" s="49">
        <f>IFERROR(__xludf.DUMMYFUNCTION("IFNA(vlookup(H836,IMPORTRANGE(""1vUGwO1n0QQGx9kKbO0_M5gmuhXZ6-LaxQxgrmJnzgP0"",""'TP# look up'!A:C""),3,0),"""")"),"")</f>
        <v/>
      </c>
      <c r="AH836" s="49">
        <f>LEFT(J836,2)</f>
        <v/>
      </c>
    </row>
    <row r="837" ht="12.75" customHeight="1">
      <c r="A837" s="45">
        <f>IFERROR(__xludf.DUMMYFUNCTION("""COMPUTED_VALUE"""),"Colombo")</f>
        <v/>
      </c>
      <c r="B837" s="45" t="n"/>
      <c r="C837" s="45">
        <f>IFERROR(__xludf.DUMMYFUNCTION("""COMPUTED_VALUE"""),3259528)</f>
        <v/>
      </c>
      <c r="D837" s="45" t="n"/>
      <c r="E837" s="45">
        <f>IFERROR(__xludf.DUMMYFUNCTION("""COMPUTED_VALUE"""),"CFS")</f>
        <v/>
      </c>
      <c r="F837" s="45">
        <f>IFERROR(__xludf.DUMMYFUNCTION("""COMPUTED_VALUE"""),"Inqube Global (PVT) Ltd")</f>
        <v/>
      </c>
      <c r="G837" s="45">
        <f>IFERROR(__xludf.DUMMYFUNCTION("""COMPUTED_VALUE"""),"BRANDIX APPAREL SOLUTION LTD - GIRITALE")</f>
        <v/>
      </c>
      <c r="H837" s="43">
        <f>IFERROR(__xludf.DUMMYFUNCTION("""COMPUTED_VALUE"""),455998920416)</f>
        <v/>
      </c>
      <c r="I837" s="45">
        <f>IFERROR(__xludf.DUMMYFUNCTION("""COMPUTED_VALUE"""),19856337)</f>
        <v/>
      </c>
      <c r="J837" s="45">
        <f>IFERROR(__xludf.DUMMYFUNCTION("""COMPUTED_VALUE"""),"LM5AXAS")</f>
        <v/>
      </c>
      <c r="K837" s="45">
        <f>IFERROR(__xludf.DUMMYFUNCTION("""COMPUTED_VALUE"""),"LM5AXAS-071148")</f>
        <v/>
      </c>
      <c r="L837" s="45">
        <f>IFERROR(__xludf.DUMMYFUNCTION("""COMPUTED_VALUE"""),6)</f>
        <v/>
      </c>
      <c r="M837" s="45">
        <f>IFERROR(__xludf.DUMMYFUNCTION("""COMPUTED_VALUE"""),183)</f>
        <v/>
      </c>
      <c r="N837" s="45">
        <f>IFERROR(__xludf.DUMMYFUNCTION("""COMPUTED_VALUE"""),73.65)</f>
        <v/>
      </c>
      <c r="O837" s="45">
        <f>IFERROR(__xludf.DUMMYFUNCTION("""COMPUTED_VALUE"""),0.455)</f>
        <v/>
      </c>
      <c r="P837" s="45">
        <f>IFERROR(__xludf.DUMMYFUNCTION("""COMPUTED_VALUE"""),"Colombo, LK")</f>
        <v/>
      </c>
      <c r="Q837" s="45">
        <f>IFERROR(__xludf.DUMMYFUNCTION("""COMPUTED_VALUE"""),"New York, NY, US")</f>
        <v/>
      </c>
      <c r="R837" s="44">
        <f>IFERROR(__xludf.DUMMYFUNCTION("""COMPUTED_VALUE"""),45838)</f>
        <v/>
      </c>
      <c r="S837" s="44">
        <f>IFERROR(__xludf.DUMMYFUNCTION("""COMPUTED_VALUE"""),45897)</f>
        <v/>
      </c>
      <c r="T837" s="45">
        <f>IFERROR(__xludf.DUMMYFUNCTION("""COMPUTED_VALUE"""),"Mississauga, ON, CA")</f>
        <v/>
      </c>
      <c r="U837" s="45" t="n"/>
      <c r="V837" s="45" t="n"/>
      <c r="W837" s="45" t="n"/>
      <c r="X837" s="45" t="n"/>
      <c r="Y837" s="46">
        <f>IFERROR(__xludf.DUMMYFUNCTION("""COMPUTED_VALUE"""),45845)</f>
        <v/>
      </c>
      <c r="Z837" s="46">
        <f>IFERROR(__xludf.DUMMYFUNCTION("""COMPUTED_VALUE"""),45866)</f>
        <v/>
      </c>
      <c r="AA837" s="46">
        <f>IFERROR(__xludf.DUMMYFUNCTION("""COMPUTED_VALUE"""),45866)</f>
        <v/>
      </c>
      <c r="AB837" s="45">
        <f>IFERROR(__xludf.DUMMYFUNCTION("""COMPUTED_VALUE"""),"3500 Argentia Road")</f>
        <v/>
      </c>
      <c r="AC837" s="45" t="n"/>
      <c r="AD837" s="45">
        <f>IFERROR(__xludf.DUMMYFUNCTION("""COMPUTED_VALUE"""),"OCEAN")</f>
        <v/>
      </c>
      <c r="AE837" s="45">
        <f>IFERROR(__xludf.DUMMYFUNCTION("""COMPUTED_VALUE"""),"N")</f>
        <v/>
      </c>
      <c r="AF837" s="45">
        <f>IFERROR(__xludf.DUMMYFUNCTION("""COMPUTED_VALUE"""),"New Booking")</f>
        <v/>
      </c>
      <c r="AG837" s="49">
        <f>IFERROR(__xludf.DUMMYFUNCTION("IFNA(vlookup(H837,IMPORTRANGE(""1vUGwO1n0QQGx9kKbO0_M5gmuhXZ6-LaxQxgrmJnzgP0"",""'TP# look up'!A:C""),3,0),"""")"),"")</f>
        <v/>
      </c>
      <c r="AH837" s="49">
        <f>LEFT(J837,2)</f>
        <v/>
      </c>
    </row>
    <row r="838" ht="12.75" customHeight="1">
      <c r="A838" s="45">
        <f>IFERROR(__xludf.DUMMYFUNCTION("""COMPUTED_VALUE"""),"Colombo")</f>
        <v/>
      </c>
      <c r="B838" s="45" t="n"/>
      <c r="C838" s="45">
        <f>IFERROR(__xludf.DUMMYFUNCTION("""COMPUTED_VALUE"""),3259528)</f>
        <v/>
      </c>
      <c r="D838" s="45" t="n"/>
      <c r="E838" s="45">
        <f>IFERROR(__xludf.DUMMYFUNCTION("""COMPUTED_VALUE"""),"CFS")</f>
        <v/>
      </c>
      <c r="F838" s="45">
        <f>IFERROR(__xludf.DUMMYFUNCTION("""COMPUTED_VALUE"""),"Inqube Global (PVT) Ltd")</f>
        <v/>
      </c>
      <c r="G838" s="45">
        <f>IFERROR(__xludf.DUMMYFUNCTION("""COMPUTED_VALUE"""),"BRANDIX APPAREL SOLUTION LTD - GIRITALE")</f>
        <v/>
      </c>
      <c r="H838" s="43">
        <f>IFERROR(__xludf.DUMMYFUNCTION("""COMPUTED_VALUE"""),455999509851)</f>
        <v/>
      </c>
      <c r="I838" s="45">
        <f>IFERROR(__xludf.DUMMYFUNCTION("""COMPUTED_VALUE"""),19856341)</f>
        <v/>
      </c>
      <c r="J838" s="45">
        <f>IFERROR(__xludf.DUMMYFUNCTION("""COMPUTED_VALUE"""),"LM5AXAS")</f>
        <v/>
      </c>
      <c r="K838" s="45">
        <f>IFERROR(__xludf.DUMMYFUNCTION("""COMPUTED_VALUE"""),"LM5AXAS-071148")</f>
        <v/>
      </c>
      <c r="L838" s="45">
        <f>IFERROR(__xludf.DUMMYFUNCTION("""COMPUTED_VALUE"""),5)</f>
        <v/>
      </c>
      <c r="M838" s="45">
        <f>IFERROR(__xludf.DUMMYFUNCTION("""COMPUTED_VALUE"""),130)</f>
        <v/>
      </c>
      <c r="N838" s="45">
        <f>IFERROR(__xludf.DUMMYFUNCTION("""COMPUTED_VALUE"""),53.02)</f>
        <v/>
      </c>
      <c r="O838" s="45">
        <f>IFERROR(__xludf.DUMMYFUNCTION("""COMPUTED_VALUE"""),0.373)</f>
        <v/>
      </c>
      <c r="P838" s="45">
        <f>IFERROR(__xludf.DUMMYFUNCTION("""COMPUTED_VALUE"""),"Colombo, LK")</f>
        <v/>
      </c>
      <c r="Q838" s="45">
        <f>IFERROR(__xludf.DUMMYFUNCTION("""COMPUTED_VALUE"""),"New York, NY, US")</f>
        <v/>
      </c>
      <c r="R838" s="44">
        <f>IFERROR(__xludf.DUMMYFUNCTION("""COMPUTED_VALUE"""),45838)</f>
        <v/>
      </c>
      <c r="S838" s="44">
        <f>IFERROR(__xludf.DUMMYFUNCTION("""COMPUTED_VALUE"""),45897)</f>
        <v/>
      </c>
      <c r="T838" s="45">
        <f>IFERROR(__xludf.DUMMYFUNCTION("""COMPUTED_VALUE"""),"Mississauga, ON, CA")</f>
        <v/>
      </c>
      <c r="U838" s="45" t="n"/>
      <c r="V838" s="45" t="n"/>
      <c r="W838" s="45" t="n"/>
      <c r="X838" s="45" t="n"/>
      <c r="Y838" s="46">
        <f>IFERROR(__xludf.DUMMYFUNCTION("""COMPUTED_VALUE"""),45845)</f>
        <v/>
      </c>
      <c r="Z838" s="46">
        <f>IFERROR(__xludf.DUMMYFUNCTION("""COMPUTED_VALUE"""),45866)</f>
        <v/>
      </c>
      <c r="AA838" s="46">
        <f>IFERROR(__xludf.DUMMYFUNCTION("""COMPUTED_VALUE"""),45866)</f>
        <v/>
      </c>
      <c r="AB838" s="45">
        <f>IFERROR(__xludf.DUMMYFUNCTION("""COMPUTED_VALUE"""),"3500 Argentia Road")</f>
        <v/>
      </c>
      <c r="AC838" s="45" t="n"/>
      <c r="AD838" s="45">
        <f>IFERROR(__xludf.DUMMYFUNCTION("""COMPUTED_VALUE"""),"OCEAN")</f>
        <v/>
      </c>
      <c r="AE838" s="45">
        <f>IFERROR(__xludf.DUMMYFUNCTION("""COMPUTED_VALUE"""),"N")</f>
        <v/>
      </c>
      <c r="AF838" s="45">
        <f>IFERROR(__xludf.DUMMYFUNCTION("""COMPUTED_VALUE"""),"New Booking")</f>
        <v/>
      </c>
      <c r="AG838" s="49">
        <f>IFERROR(__xludf.DUMMYFUNCTION("IFNA(vlookup(H838,IMPORTRANGE(""1vUGwO1n0QQGx9kKbO0_M5gmuhXZ6-LaxQxgrmJnzgP0"",""'TP# look up'!A:C""),3,0),"""")"),"")</f>
        <v/>
      </c>
      <c r="AH838" s="49">
        <f>LEFT(J838,2)</f>
        <v/>
      </c>
    </row>
    <row r="839" ht="12.75" customHeight="1">
      <c r="A839" s="45">
        <f>IFERROR(__xludf.DUMMYFUNCTION("""COMPUTED_VALUE"""),"Colombo")</f>
        <v/>
      </c>
      <c r="B839" s="45" t="n"/>
      <c r="C839" s="45">
        <f>IFERROR(__xludf.DUMMYFUNCTION("""COMPUTED_VALUE"""),3259528)</f>
        <v/>
      </c>
      <c r="D839" s="45" t="n"/>
      <c r="E839" s="45">
        <f>IFERROR(__xludf.DUMMYFUNCTION("""COMPUTED_VALUE"""),"CFS")</f>
        <v/>
      </c>
      <c r="F839" s="45">
        <f>IFERROR(__xludf.DUMMYFUNCTION("""COMPUTED_VALUE"""),"Inqube Global (PVT) Ltd")</f>
        <v/>
      </c>
      <c r="G839" s="45">
        <f>IFERROR(__xludf.DUMMYFUNCTION("""COMPUTED_VALUE"""),"BRANDIX APPAREL SOLUTION LTD - GIRITALE")</f>
        <v/>
      </c>
      <c r="H839" s="43">
        <f>IFERROR(__xludf.DUMMYFUNCTION("""COMPUTED_VALUE"""),456040828830)</f>
        <v/>
      </c>
      <c r="I839" s="45">
        <f>IFERROR(__xludf.DUMMYFUNCTION("""COMPUTED_VALUE"""),19855738)</f>
        <v/>
      </c>
      <c r="J839" s="45">
        <f>IFERROR(__xludf.DUMMYFUNCTION("""COMPUTED_VALUE"""),"LM5AXAS")</f>
        <v/>
      </c>
      <c r="K839" s="45">
        <f>IFERROR(__xludf.DUMMYFUNCTION("""COMPUTED_VALUE"""),"LM5AXAS-0001")</f>
        <v/>
      </c>
      <c r="L839" s="45">
        <f>IFERROR(__xludf.DUMMYFUNCTION("""COMPUTED_VALUE"""),1)</f>
        <v/>
      </c>
      <c r="M839" s="45">
        <f>IFERROR(__xludf.DUMMYFUNCTION("""COMPUTED_VALUE"""),29)</f>
        <v/>
      </c>
      <c r="N839" s="45">
        <f>IFERROR(__xludf.DUMMYFUNCTION("""COMPUTED_VALUE"""),14.21)</f>
        <v/>
      </c>
      <c r="O839" s="45">
        <f>IFERROR(__xludf.DUMMYFUNCTION("""COMPUTED_VALUE"""),0.083)</f>
        <v/>
      </c>
      <c r="P839" s="45">
        <f>IFERROR(__xludf.DUMMYFUNCTION("""COMPUTED_VALUE"""),"Colombo, LK")</f>
        <v/>
      </c>
      <c r="Q839" s="45">
        <f>IFERROR(__xludf.DUMMYFUNCTION("""COMPUTED_VALUE"""),"New York, NY, US")</f>
        <v/>
      </c>
      <c r="R839" s="44">
        <f>IFERROR(__xludf.DUMMYFUNCTION("""COMPUTED_VALUE"""),45838)</f>
        <v/>
      </c>
      <c r="S839" s="44">
        <f>IFERROR(__xludf.DUMMYFUNCTION("""COMPUTED_VALUE"""),45897)</f>
        <v/>
      </c>
      <c r="T839" s="45">
        <f>IFERROR(__xludf.DUMMYFUNCTION("""COMPUTED_VALUE"""),"Milton, ON, CA")</f>
        <v/>
      </c>
      <c r="U839" s="45" t="n"/>
      <c r="V839" s="45" t="n"/>
      <c r="W839" s="45" t="n"/>
      <c r="X839" s="45" t="n"/>
      <c r="Y839" s="46">
        <f>IFERROR(__xludf.DUMMYFUNCTION("""COMPUTED_VALUE"""),45845)</f>
        <v/>
      </c>
      <c r="Z839" s="46">
        <f>IFERROR(__xludf.DUMMYFUNCTION("""COMPUTED_VALUE"""),45866)</f>
        <v/>
      </c>
      <c r="AA839" s="46">
        <f>IFERROR(__xludf.DUMMYFUNCTION("""COMPUTED_VALUE"""),45866)</f>
        <v/>
      </c>
      <c r="AB839" s="45">
        <f>IFERROR(__xludf.DUMMYFUNCTION("""COMPUTED_VALUE"""),"7211 Fifth Line")</f>
        <v/>
      </c>
      <c r="AC839" s="45" t="n"/>
      <c r="AD839" s="45">
        <f>IFERROR(__xludf.DUMMYFUNCTION("""COMPUTED_VALUE"""),"OCEAN")</f>
        <v/>
      </c>
      <c r="AE839" s="45">
        <f>IFERROR(__xludf.DUMMYFUNCTION("""COMPUTED_VALUE"""),"N")</f>
        <v/>
      </c>
      <c r="AF839" s="45">
        <f>IFERROR(__xludf.DUMMYFUNCTION("""COMPUTED_VALUE"""),"New Booking")</f>
        <v/>
      </c>
      <c r="AG839" s="49">
        <f>IFERROR(__xludf.DUMMYFUNCTION("IFNA(vlookup(H839,IMPORTRANGE(""1vUGwO1n0QQGx9kKbO0_M5gmuhXZ6-LaxQxgrmJnzgP0"",""'TP# look up'!A:C""),3,0),"""")"),"")</f>
        <v/>
      </c>
      <c r="AH839" s="49">
        <f>LEFT(J839,2)</f>
        <v/>
      </c>
    </row>
    <row r="840" ht="12.75" customHeight="1">
      <c r="A840" s="45">
        <f>IFERROR(__xludf.DUMMYFUNCTION("""COMPUTED_VALUE"""),"Colombo")</f>
        <v/>
      </c>
      <c r="B840" s="45" t="n"/>
      <c r="C840" s="45">
        <f>IFERROR(__xludf.DUMMYFUNCTION("""COMPUTED_VALUE"""),3259528)</f>
        <v/>
      </c>
      <c r="D840" s="45" t="n"/>
      <c r="E840" s="45">
        <f>IFERROR(__xludf.DUMMYFUNCTION("""COMPUTED_VALUE"""),"CFS")</f>
        <v/>
      </c>
      <c r="F840" s="45">
        <f>IFERROR(__xludf.DUMMYFUNCTION("""COMPUTED_VALUE"""),"Inqube Global (PVT) Ltd")</f>
        <v/>
      </c>
      <c r="G840" s="45">
        <f>IFERROR(__xludf.DUMMYFUNCTION("""COMPUTED_VALUE"""),"BRANDIX APPAREL SOLUTION LTD - GIRITALE")</f>
        <v/>
      </c>
      <c r="H840" s="43">
        <f>IFERROR(__xludf.DUMMYFUNCTION("""COMPUTED_VALUE"""),456046897130)</f>
        <v/>
      </c>
      <c r="I840" s="45">
        <f>IFERROR(__xludf.DUMMYFUNCTION("""COMPUTED_VALUE"""),19855763)</f>
        <v/>
      </c>
      <c r="J840" s="45">
        <f>IFERROR(__xludf.DUMMYFUNCTION("""COMPUTED_VALUE"""),"LM5AXAS")</f>
        <v/>
      </c>
      <c r="K840" s="45">
        <f>IFERROR(__xludf.DUMMYFUNCTION("""COMPUTED_VALUE"""),"LM5AXAS-019222")</f>
        <v/>
      </c>
      <c r="L840" s="45">
        <f>IFERROR(__xludf.DUMMYFUNCTION("""COMPUTED_VALUE"""),1)</f>
        <v/>
      </c>
      <c r="M840" s="45">
        <f>IFERROR(__xludf.DUMMYFUNCTION("""COMPUTED_VALUE"""),35)</f>
        <v/>
      </c>
      <c r="N840" s="45">
        <f>IFERROR(__xludf.DUMMYFUNCTION("""COMPUTED_VALUE"""),16.19)</f>
        <v/>
      </c>
      <c r="O840" s="45">
        <f>IFERROR(__xludf.DUMMYFUNCTION("""COMPUTED_VALUE"""),0.083)</f>
        <v/>
      </c>
      <c r="P840" s="45">
        <f>IFERROR(__xludf.DUMMYFUNCTION("""COMPUTED_VALUE"""),"Colombo, LK")</f>
        <v/>
      </c>
      <c r="Q840" s="45">
        <f>IFERROR(__xludf.DUMMYFUNCTION("""COMPUTED_VALUE"""),"New York, NY, US")</f>
        <v/>
      </c>
      <c r="R840" s="44">
        <f>IFERROR(__xludf.DUMMYFUNCTION("""COMPUTED_VALUE"""),45838)</f>
        <v/>
      </c>
      <c r="S840" s="44">
        <f>IFERROR(__xludf.DUMMYFUNCTION("""COMPUTED_VALUE"""),45897)</f>
        <v/>
      </c>
      <c r="T840" s="45">
        <f>IFERROR(__xludf.DUMMYFUNCTION("""COMPUTED_VALUE"""),"Milton, ON, CA")</f>
        <v/>
      </c>
      <c r="U840" s="45" t="n"/>
      <c r="V840" s="45" t="n"/>
      <c r="W840" s="45" t="n"/>
      <c r="X840" s="45" t="n"/>
      <c r="Y840" s="46">
        <f>IFERROR(__xludf.DUMMYFUNCTION("""COMPUTED_VALUE"""),45845)</f>
        <v/>
      </c>
      <c r="Z840" s="46">
        <f>IFERROR(__xludf.DUMMYFUNCTION("""COMPUTED_VALUE"""),45866)</f>
        <v/>
      </c>
      <c r="AA840" s="46">
        <f>IFERROR(__xludf.DUMMYFUNCTION("""COMPUTED_VALUE"""),45866)</f>
        <v/>
      </c>
      <c r="AB840" s="45">
        <f>IFERROR(__xludf.DUMMYFUNCTION("""COMPUTED_VALUE"""),"7211 Fifth Line")</f>
        <v/>
      </c>
      <c r="AC840" s="45" t="n"/>
      <c r="AD840" s="45">
        <f>IFERROR(__xludf.DUMMYFUNCTION("""COMPUTED_VALUE"""),"OCEAN")</f>
        <v/>
      </c>
      <c r="AE840" s="45">
        <f>IFERROR(__xludf.DUMMYFUNCTION("""COMPUTED_VALUE"""),"N")</f>
        <v/>
      </c>
      <c r="AF840" s="45">
        <f>IFERROR(__xludf.DUMMYFUNCTION("""COMPUTED_VALUE"""),"New Booking")</f>
        <v/>
      </c>
      <c r="AG840" s="49">
        <f>IFERROR(__xludf.DUMMYFUNCTION("IFNA(vlookup(H840,IMPORTRANGE(""1vUGwO1n0QQGx9kKbO0_M5gmuhXZ6-LaxQxgrmJnzgP0"",""'TP# look up'!A:C""),3,0),"""")"),"")</f>
        <v/>
      </c>
      <c r="AH840" s="49">
        <f>LEFT(J840,2)</f>
        <v/>
      </c>
    </row>
    <row r="841" ht="12.75" customHeight="1">
      <c r="A841" s="45">
        <f>IFERROR(__xludf.DUMMYFUNCTION("""COMPUTED_VALUE"""),"Colombo")</f>
        <v/>
      </c>
      <c r="B841" s="45" t="n"/>
      <c r="C841" s="45">
        <f>IFERROR(__xludf.DUMMYFUNCTION("""COMPUTED_VALUE"""),3259528)</f>
        <v/>
      </c>
      <c r="D841" s="45" t="n"/>
      <c r="E841" s="45">
        <f>IFERROR(__xludf.DUMMYFUNCTION("""COMPUTED_VALUE"""),"CFS")</f>
        <v/>
      </c>
      <c r="F841" s="45">
        <f>IFERROR(__xludf.DUMMYFUNCTION("""COMPUTED_VALUE"""),"Inqube Global (PVT) Ltd")</f>
        <v/>
      </c>
      <c r="G841" s="45">
        <f>IFERROR(__xludf.DUMMYFUNCTION("""COMPUTED_VALUE"""),"BRANDIX APPAREL SOLUTION LTD - GIRITALE")</f>
        <v/>
      </c>
      <c r="H841" s="43">
        <f>IFERROR(__xludf.DUMMYFUNCTION("""COMPUTED_VALUE"""),456048354140)</f>
        <v/>
      </c>
      <c r="I841" s="45">
        <f>IFERROR(__xludf.DUMMYFUNCTION("""COMPUTED_VALUE"""),19855767)</f>
        <v/>
      </c>
      <c r="J841" s="45">
        <f>IFERROR(__xludf.DUMMYFUNCTION("""COMPUTED_VALUE"""),"LM5AXAS")</f>
        <v/>
      </c>
      <c r="K841" s="45">
        <f>IFERROR(__xludf.DUMMYFUNCTION("""COMPUTED_VALUE"""),"LM5AXAS-019222")</f>
        <v/>
      </c>
      <c r="L841" s="45">
        <f>IFERROR(__xludf.DUMMYFUNCTION("""COMPUTED_VALUE"""),4)</f>
        <v/>
      </c>
      <c r="M841" s="45">
        <f>IFERROR(__xludf.DUMMYFUNCTION("""COMPUTED_VALUE"""),83)</f>
        <v/>
      </c>
      <c r="N841" s="45">
        <f>IFERROR(__xludf.DUMMYFUNCTION("""COMPUTED_VALUE"""),39.53)</f>
        <v/>
      </c>
      <c r="O841" s="45">
        <f>IFERROR(__xludf.DUMMYFUNCTION("""COMPUTED_VALUE"""),0.21)</f>
        <v/>
      </c>
      <c r="P841" s="45">
        <f>IFERROR(__xludf.DUMMYFUNCTION("""COMPUTED_VALUE"""),"Colombo, LK")</f>
        <v/>
      </c>
      <c r="Q841" s="45">
        <f>IFERROR(__xludf.DUMMYFUNCTION("""COMPUTED_VALUE"""),"New York, NY, US")</f>
        <v/>
      </c>
      <c r="R841" s="44">
        <f>IFERROR(__xludf.DUMMYFUNCTION("""COMPUTED_VALUE"""),45838)</f>
        <v/>
      </c>
      <c r="S841" s="44">
        <f>IFERROR(__xludf.DUMMYFUNCTION("""COMPUTED_VALUE"""),45897)</f>
        <v/>
      </c>
      <c r="T841" s="45">
        <f>IFERROR(__xludf.DUMMYFUNCTION("""COMPUTED_VALUE"""),"Mississauga, ON, CA")</f>
        <v/>
      </c>
      <c r="U841" s="45" t="n"/>
      <c r="V841" s="45" t="n"/>
      <c r="W841" s="45" t="n"/>
      <c r="X841" s="45" t="n"/>
      <c r="Y841" s="46">
        <f>IFERROR(__xludf.DUMMYFUNCTION("""COMPUTED_VALUE"""),45845)</f>
        <v/>
      </c>
      <c r="Z841" s="46">
        <f>IFERROR(__xludf.DUMMYFUNCTION("""COMPUTED_VALUE"""),45866)</f>
        <v/>
      </c>
      <c r="AA841" s="46">
        <f>IFERROR(__xludf.DUMMYFUNCTION("""COMPUTED_VALUE"""),45866)</f>
        <v/>
      </c>
      <c r="AB841" s="45">
        <f>IFERROR(__xludf.DUMMYFUNCTION("""COMPUTED_VALUE"""),"3500 Argentia Road")</f>
        <v/>
      </c>
      <c r="AC841" s="45" t="n"/>
      <c r="AD841" s="45">
        <f>IFERROR(__xludf.DUMMYFUNCTION("""COMPUTED_VALUE"""),"OCEAN")</f>
        <v/>
      </c>
      <c r="AE841" s="45">
        <f>IFERROR(__xludf.DUMMYFUNCTION("""COMPUTED_VALUE"""),"N")</f>
        <v/>
      </c>
      <c r="AF841" s="45">
        <f>IFERROR(__xludf.DUMMYFUNCTION("""COMPUTED_VALUE"""),"New Booking")</f>
        <v/>
      </c>
      <c r="AG841" s="49">
        <f>IFERROR(__xludf.DUMMYFUNCTION("IFNA(vlookup(H841,IMPORTRANGE(""1vUGwO1n0QQGx9kKbO0_M5gmuhXZ6-LaxQxgrmJnzgP0"",""'TP# look up'!A:C""),3,0),"""")"),"")</f>
        <v/>
      </c>
      <c r="AH841" s="49">
        <f>LEFT(J841,2)</f>
        <v/>
      </c>
    </row>
    <row r="842" ht="12.75" customHeight="1">
      <c r="A842" s="45">
        <f>IFERROR(__xludf.DUMMYFUNCTION("""COMPUTED_VALUE"""),"Colombo")</f>
        <v/>
      </c>
      <c r="B842" s="45" t="n"/>
      <c r="C842" s="45">
        <f>IFERROR(__xludf.DUMMYFUNCTION("""COMPUTED_VALUE"""),3259528)</f>
        <v/>
      </c>
      <c r="D842" s="45" t="n"/>
      <c r="E842" s="45">
        <f>IFERROR(__xludf.DUMMYFUNCTION("""COMPUTED_VALUE"""),"CFS")</f>
        <v/>
      </c>
      <c r="F842" s="45">
        <f>IFERROR(__xludf.DUMMYFUNCTION("""COMPUTED_VALUE"""),"Inqube Global (PVT) Ltd")</f>
        <v/>
      </c>
      <c r="G842" s="45">
        <f>IFERROR(__xludf.DUMMYFUNCTION("""COMPUTED_VALUE"""),"BRANDIX APPAREL SOLUTION LTD - GIRITALE")</f>
        <v/>
      </c>
      <c r="H842" s="43">
        <f>IFERROR(__xludf.DUMMYFUNCTION("""COMPUTED_VALUE"""),456048799756)</f>
        <v/>
      </c>
      <c r="I842" s="45">
        <f>IFERROR(__xludf.DUMMYFUNCTION("""COMPUTED_VALUE"""),19855768)</f>
        <v/>
      </c>
      <c r="J842" s="45">
        <f>IFERROR(__xludf.DUMMYFUNCTION("""COMPUTED_VALUE"""),"LM5AXAS")</f>
        <v/>
      </c>
      <c r="K842" s="45">
        <f>IFERROR(__xludf.DUMMYFUNCTION("""COMPUTED_VALUE"""),"LM5AXAS-019222")</f>
        <v/>
      </c>
      <c r="L842" s="45">
        <f>IFERROR(__xludf.DUMMYFUNCTION("""COMPUTED_VALUE"""),3)</f>
        <v/>
      </c>
      <c r="M842" s="45">
        <f>IFERROR(__xludf.DUMMYFUNCTION("""COMPUTED_VALUE"""),60)</f>
        <v/>
      </c>
      <c r="N842" s="45">
        <f>IFERROR(__xludf.DUMMYFUNCTION("""COMPUTED_VALUE"""),28.77)</f>
        <v/>
      </c>
      <c r="O842" s="45">
        <f>IFERROR(__xludf.DUMMYFUNCTION("""COMPUTED_VALUE"""),0.168)</f>
        <v/>
      </c>
      <c r="P842" s="45">
        <f>IFERROR(__xludf.DUMMYFUNCTION("""COMPUTED_VALUE"""),"Colombo, LK")</f>
        <v/>
      </c>
      <c r="Q842" s="45">
        <f>IFERROR(__xludf.DUMMYFUNCTION("""COMPUTED_VALUE"""),"New York, NY, US")</f>
        <v/>
      </c>
      <c r="R842" s="44">
        <f>IFERROR(__xludf.DUMMYFUNCTION("""COMPUTED_VALUE"""),45838)</f>
        <v/>
      </c>
      <c r="S842" s="44">
        <f>IFERROR(__xludf.DUMMYFUNCTION("""COMPUTED_VALUE"""),45897)</f>
        <v/>
      </c>
      <c r="T842" s="45">
        <f>IFERROR(__xludf.DUMMYFUNCTION("""COMPUTED_VALUE"""),"Mississauga, ON, CA")</f>
        <v/>
      </c>
      <c r="U842" s="45" t="n"/>
      <c r="V842" s="45" t="n"/>
      <c r="W842" s="45" t="n"/>
      <c r="X842" s="45" t="n"/>
      <c r="Y842" s="46">
        <f>IFERROR(__xludf.DUMMYFUNCTION("""COMPUTED_VALUE"""),45845)</f>
        <v/>
      </c>
      <c r="Z842" s="46">
        <f>IFERROR(__xludf.DUMMYFUNCTION("""COMPUTED_VALUE"""),45866)</f>
        <v/>
      </c>
      <c r="AA842" s="46">
        <f>IFERROR(__xludf.DUMMYFUNCTION("""COMPUTED_VALUE"""),45866)</f>
        <v/>
      </c>
      <c r="AB842" s="45">
        <f>IFERROR(__xludf.DUMMYFUNCTION("""COMPUTED_VALUE"""),"3500 Argentia Road")</f>
        <v/>
      </c>
      <c r="AC842" s="45" t="n"/>
      <c r="AD842" s="45">
        <f>IFERROR(__xludf.DUMMYFUNCTION("""COMPUTED_VALUE"""),"OCEAN")</f>
        <v/>
      </c>
      <c r="AE842" s="45">
        <f>IFERROR(__xludf.DUMMYFUNCTION("""COMPUTED_VALUE"""),"N")</f>
        <v/>
      </c>
      <c r="AF842" s="45">
        <f>IFERROR(__xludf.DUMMYFUNCTION("""COMPUTED_VALUE"""),"New Booking")</f>
        <v/>
      </c>
      <c r="AG842" s="49">
        <f>IFERROR(__xludf.DUMMYFUNCTION("IFNA(vlookup(H842,IMPORTRANGE(""1vUGwO1n0QQGx9kKbO0_M5gmuhXZ6-LaxQxgrmJnzgP0"",""'TP# look up'!A:C""),3,0),"""")"),"")</f>
        <v/>
      </c>
      <c r="AH842" s="49">
        <f>LEFT(J842,2)</f>
        <v/>
      </c>
    </row>
    <row r="843" ht="12.75" customHeight="1">
      <c r="A843" s="45">
        <f>IFERROR(__xludf.DUMMYFUNCTION("""COMPUTED_VALUE"""),"Colombo")</f>
        <v/>
      </c>
      <c r="B843" s="45" t="n"/>
      <c r="C843" s="45">
        <f>IFERROR(__xludf.DUMMYFUNCTION("""COMPUTED_VALUE"""),3259528)</f>
        <v/>
      </c>
      <c r="D843" s="45" t="n"/>
      <c r="E843" s="45">
        <f>IFERROR(__xludf.DUMMYFUNCTION("""COMPUTED_VALUE"""),"CFS")</f>
        <v/>
      </c>
      <c r="F843" s="45">
        <f>IFERROR(__xludf.DUMMYFUNCTION("""COMPUTED_VALUE"""),"Inqube Global (PVT) Ltd")</f>
        <v/>
      </c>
      <c r="G843" s="45">
        <f>IFERROR(__xludf.DUMMYFUNCTION("""COMPUTED_VALUE"""),"BRANDIX APPAREL SOLUTION LTD - GIRITALE")</f>
        <v/>
      </c>
      <c r="H843" s="43">
        <f>IFERROR(__xludf.DUMMYFUNCTION("""COMPUTED_VALUE"""),456054214019)</f>
        <v/>
      </c>
      <c r="I843" s="45">
        <f>IFERROR(__xludf.DUMMYFUNCTION("""COMPUTED_VALUE"""),19855755)</f>
        <v/>
      </c>
      <c r="J843" s="45">
        <f>IFERROR(__xludf.DUMMYFUNCTION("""COMPUTED_VALUE"""),"LM5AXAS")</f>
        <v/>
      </c>
      <c r="K843" s="45">
        <f>IFERROR(__xludf.DUMMYFUNCTION("""COMPUTED_VALUE"""),"LM5AXAS-038426")</f>
        <v/>
      </c>
      <c r="L843" s="45">
        <f>IFERROR(__xludf.DUMMYFUNCTION("""COMPUTED_VALUE"""),4)</f>
        <v/>
      </c>
      <c r="M843" s="45">
        <f>IFERROR(__xludf.DUMMYFUNCTION("""COMPUTED_VALUE"""),64)</f>
        <v/>
      </c>
      <c r="N843" s="45">
        <f>IFERROR(__xludf.DUMMYFUNCTION("""COMPUTED_VALUE"""),31.27)</f>
        <v/>
      </c>
      <c r="O843" s="45">
        <f>IFERROR(__xludf.DUMMYFUNCTION("""COMPUTED_VALUE"""),0.21)</f>
        <v/>
      </c>
      <c r="P843" s="45">
        <f>IFERROR(__xludf.DUMMYFUNCTION("""COMPUTED_VALUE"""),"Colombo, LK")</f>
        <v/>
      </c>
      <c r="Q843" s="45">
        <f>IFERROR(__xludf.DUMMYFUNCTION("""COMPUTED_VALUE"""),"New York, NY, US")</f>
        <v/>
      </c>
      <c r="R843" s="44">
        <f>IFERROR(__xludf.DUMMYFUNCTION("""COMPUTED_VALUE"""),45838)</f>
        <v/>
      </c>
      <c r="S843" s="44">
        <f>IFERROR(__xludf.DUMMYFUNCTION("""COMPUTED_VALUE"""),45897)</f>
        <v/>
      </c>
      <c r="T843" s="45">
        <f>IFERROR(__xludf.DUMMYFUNCTION("""COMPUTED_VALUE"""),"Mississauga, ON, CA")</f>
        <v/>
      </c>
      <c r="U843" s="45" t="n"/>
      <c r="V843" s="45" t="n"/>
      <c r="W843" s="45" t="n"/>
      <c r="X843" s="45" t="n"/>
      <c r="Y843" s="46">
        <f>IFERROR(__xludf.DUMMYFUNCTION("""COMPUTED_VALUE"""),45845)</f>
        <v/>
      </c>
      <c r="Z843" s="46">
        <f>IFERROR(__xludf.DUMMYFUNCTION("""COMPUTED_VALUE"""),45866)</f>
        <v/>
      </c>
      <c r="AA843" s="46">
        <f>IFERROR(__xludf.DUMMYFUNCTION("""COMPUTED_VALUE"""),45866)</f>
        <v/>
      </c>
      <c r="AB843" s="45">
        <f>IFERROR(__xludf.DUMMYFUNCTION("""COMPUTED_VALUE"""),"3500 Argentia Road")</f>
        <v/>
      </c>
      <c r="AC843" s="45" t="n"/>
      <c r="AD843" s="45">
        <f>IFERROR(__xludf.DUMMYFUNCTION("""COMPUTED_VALUE"""),"OCEAN")</f>
        <v/>
      </c>
      <c r="AE843" s="45">
        <f>IFERROR(__xludf.DUMMYFUNCTION("""COMPUTED_VALUE"""),"N")</f>
        <v/>
      </c>
      <c r="AF843" s="45">
        <f>IFERROR(__xludf.DUMMYFUNCTION("""COMPUTED_VALUE"""),"New Booking")</f>
        <v/>
      </c>
      <c r="AG843" s="49">
        <f>IFERROR(__xludf.DUMMYFUNCTION("IFNA(vlookup(H843,IMPORTRANGE(""1vUGwO1n0QQGx9kKbO0_M5gmuhXZ6-LaxQxgrmJnzgP0"",""'TP# look up'!A:C""),3,0),"""")"),"")</f>
        <v/>
      </c>
      <c r="AH843" s="49">
        <f>LEFT(J843,2)</f>
        <v/>
      </c>
    </row>
    <row r="844" ht="12.75" customHeight="1">
      <c r="A844" s="45">
        <f>IFERROR(__xludf.DUMMYFUNCTION("""COMPUTED_VALUE"""),"Colombo")</f>
        <v/>
      </c>
      <c r="B844" s="45" t="n"/>
      <c r="C844" s="45">
        <f>IFERROR(__xludf.DUMMYFUNCTION("""COMPUTED_VALUE"""),3259528)</f>
        <v/>
      </c>
      <c r="D844" s="45" t="n"/>
      <c r="E844" s="45">
        <f>IFERROR(__xludf.DUMMYFUNCTION("""COMPUTED_VALUE"""),"CFS")</f>
        <v/>
      </c>
      <c r="F844" s="45">
        <f>IFERROR(__xludf.DUMMYFUNCTION("""COMPUTED_VALUE"""),"Inqube Global (PVT) Ltd")</f>
        <v/>
      </c>
      <c r="G844" s="45">
        <f>IFERROR(__xludf.DUMMYFUNCTION("""COMPUTED_VALUE"""),"BRANDIX APPAREL SOLUTION LTD - GIRITALE")</f>
        <v/>
      </c>
      <c r="H844" s="43">
        <f>IFERROR(__xludf.DUMMYFUNCTION("""COMPUTED_VALUE"""),456054891295)</f>
        <v/>
      </c>
      <c r="I844" s="45">
        <f>IFERROR(__xludf.DUMMYFUNCTION("""COMPUTED_VALUE"""),19855756)</f>
        <v/>
      </c>
      <c r="J844" s="45">
        <f>IFERROR(__xludf.DUMMYFUNCTION("""COMPUTED_VALUE"""),"LM5AXAS")</f>
        <v/>
      </c>
      <c r="K844" s="45">
        <f>IFERROR(__xludf.DUMMYFUNCTION("""COMPUTED_VALUE"""),"LM5AXAS-038426")</f>
        <v/>
      </c>
      <c r="L844" s="45">
        <f>IFERROR(__xludf.DUMMYFUNCTION("""COMPUTED_VALUE"""),1)</f>
        <v/>
      </c>
      <c r="M844" s="45">
        <f>IFERROR(__xludf.DUMMYFUNCTION("""COMPUTED_VALUE"""),36)</f>
        <v/>
      </c>
      <c r="N844" s="45">
        <f>IFERROR(__xludf.DUMMYFUNCTION("""COMPUTED_VALUE"""),16.67)</f>
        <v/>
      </c>
      <c r="O844" s="45">
        <f>IFERROR(__xludf.DUMMYFUNCTION("""COMPUTED_VALUE"""),0.083)</f>
        <v/>
      </c>
      <c r="P844" s="45">
        <f>IFERROR(__xludf.DUMMYFUNCTION("""COMPUTED_VALUE"""),"Colombo, LK")</f>
        <v/>
      </c>
      <c r="Q844" s="45">
        <f>IFERROR(__xludf.DUMMYFUNCTION("""COMPUTED_VALUE"""),"New York, NY, US")</f>
        <v/>
      </c>
      <c r="R844" s="44">
        <f>IFERROR(__xludf.DUMMYFUNCTION("""COMPUTED_VALUE"""),45838)</f>
        <v/>
      </c>
      <c r="S844" s="44">
        <f>IFERROR(__xludf.DUMMYFUNCTION("""COMPUTED_VALUE"""),45897)</f>
        <v/>
      </c>
      <c r="T844" s="45">
        <f>IFERROR(__xludf.DUMMYFUNCTION("""COMPUTED_VALUE"""),"Mississauga, ON, CA")</f>
        <v/>
      </c>
      <c r="U844" s="45" t="n"/>
      <c r="V844" s="45" t="n"/>
      <c r="W844" s="45" t="n"/>
      <c r="X844" s="45" t="n"/>
      <c r="Y844" s="46">
        <f>IFERROR(__xludf.DUMMYFUNCTION("""COMPUTED_VALUE"""),45845)</f>
        <v/>
      </c>
      <c r="Z844" s="46">
        <f>IFERROR(__xludf.DUMMYFUNCTION("""COMPUTED_VALUE"""),45866)</f>
        <v/>
      </c>
      <c r="AA844" s="46">
        <f>IFERROR(__xludf.DUMMYFUNCTION("""COMPUTED_VALUE"""),45866)</f>
        <v/>
      </c>
      <c r="AB844" s="45">
        <f>IFERROR(__xludf.DUMMYFUNCTION("""COMPUTED_VALUE"""),"3500 Argentia Road")</f>
        <v/>
      </c>
      <c r="AC844" s="45" t="n"/>
      <c r="AD844" s="45">
        <f>IFERROR(__xludf.DUMMYFUNCTION("""COMPUTED_VALUE"""),"OCEAN")</f>
        <v/>
      </c>
      <c r="AE844" s="45">
        <f>IFERROR(__xludf.DUMMYFUNCTION("""COMPUTED_VALUE"""),"N")</f>
        <v/>
      </c>
      <c r="AF844" s="45">
        <f>IFERROR(__xludf.DUMMYFUNCTION("""COMPUTED_VALUE"""),"New Booking")</f>
        <v/>
      </c>
      <c r="AG844" s="49">
        <f>IFERROR(__xludf.DUMMYFUNCTION("IFNA(vlookup(H844,IMPORTRANGE(""1vUGwO1n0QQGx9kKbO0_M5gmuhXZ6-LaxQxgrmJnzgP0"",""'TP# look up'!A:C""),3,0),"""")"),"")</f>
        <v/>
      </c>
      <c r="AH844" s="49">
        <f>LEFT(J844,2)</f>
        <v/>
      </c>
    </row>
    <row r="845" ht="12.75" customHeight="1">
      <c r="A845" s="45">
        <f>IFERROR(__xludf.DUMMYFUNCTION("""COMPUTED_VALUE"""),"Colombo")</f>
        <v/>
      </c>
      <c r="B845" s="45" t="n"/>
      <c r="C845" s="45">
        <f>IFERROR(__xludf.DUMMYFUNCTION("""COMPUTED_VALUE"""),3259528)</f>
        <v/>
      </c>
      <c r="D845" s="45" t="n"/>
      <c r="E845" s="45">
        <f>IFERROR(__xludf.DUMMYFUNCTION("""COMPUTED_VALUE"""),"CFS")</f>
        <v/>
      </c>
      <c r="F845" s="45">
        <f>IFERROR(__xludf.DUMMYFUNCTION("""COMPUTED_VALUE"""),"Inqube Global (PVT) Ltd")</f>
        <v/>
      </c>
      <c r="G845" s="45">
        <f>IFERROR(__xludf.DUMMYFUNCTION("""COMPUTED_VALUE"""),"BRANDIX APPAREL SOLUTION LTD - GIRITALE")</f>
        <v/>
      </c>
      <c r="H845" s="43">
        <f>IFERROR(__xludf.DUMMYFUNCTION("""COMPUTED_VALUE"""),456058247314)</f>
        <v/>
      </c>
      <c r="I845" s="45">
        <f>IFERROR(__xludf.DUMMYFUNCTION("""COMPUTED_VALUE"""),19855773)</f>
        <v/>
      </c>
      <c r="J845" s="45">
        <f>IFERROR(__xludf.DUMMYFUNCTION("""COMPUTED_VALUE"""),"LM5AXAS")</f>
        <v/>
      </c>
      <c r="K845" s="45">
        <f>IFERROR(__xludf.DUMMYFUNCTION("""COMPUTED_VALUE"""),"LM5AXAS-070108")</f>
        <v/>
      </c>
      <c r="L845" s="45">
        <f>IFERROR(__xludf.DUMMYFUNCTION("""COMPUTED_VALUE"""),1)</f>
        <v/>
      </c>
      <c r="M845" s="45">
        <f>IFERROR(__xludf.DUMMYFUNCTION("""COMPUTED_VALUE"""),30)</f>
        <v/>
      </c>
      <c r="N845" s="45">
        <f>IFERROR(__xludf.DUMMYFUNCTION("""COMPUTED_VALUE"""),14.01)</f>
        <v/>
      </c>
      <c r="O845" s="45">
        <f>IFERROR(__xludf.DUMMYFUNCTION("""COMPUTED_VALUE"""),0.083)</f>
        <v/>
      </c>
      <c r="P845" s="45">
        <f>IFERROR(__xludf.DUMMYFUNCTION("""COMPUTED_VALUE"""),"Colombo, LK")</f>
        <v/>
      </c>
      <c r="Q845" s="45">
        <f>IFERROR(__xludf.DUMMYFUNCTION("""COMPUTED_VALUE"""),"New York, NY, US")</f>
        <v/>
      </c>
      <c r="R845" s="44">
        <f>IFERROR(__xludf.DUMMYFUNCTION("""COMPUTED_VALUE"""),45838)</f>
        <v/>
      </c>
      <c r="S845" s="44">
        <f>IFERROR(__xludf.DUMMYFUNCTION("""COMPUTED_VALUE"""),45897)</f>
        <v/>
      </c>
      <c r="T845" s="45">
        <f>IFERROR(__xludf.DUMMYFUNCTION("""COMPUTED_VALUE"""),"Milton, ON, CA")</f>
        <v/>
      </c>
      <c r="U845" s="45" t="n"/>
      <c r="V845" s="45" t="n"/>
      <c r="W845" s="45" t="n"/>
      <c r="X845" s="45" t="n"/>
      <c r="Y845" s="46">
        <f>IFERROR(__xludf.DUMMYFUNCTION("""COMPUTED_VALUE"""),45845)</f>
        <v/>
      </c>
      <c r="Z845" s="46">
        <f>IFERROR(__xludf.DUMMYFUNCTION("""COMPUTED_VALUE"""),45866)</f>
        <v/>
      </c>
      <c r="AA845" s="46">
        <f>IFERROR(__xludf.DUMMYFUNCTION("""COMPUTED_VALUE"""),45866)</f>
        <v/>
      </c>
      <c r="AB845" s="45">
        <f>IFERROR(__xludf.DUMMYFUNCTION("""COMPUTED_VALUE"""),"7211 Fifth Line")</f>
        <v/>
      </c>
      <c r="AC845" s="45" t="n"/>
      <c r="AD845" s="45">
        <f>IFERROR(__xludf.DUMMYFUNCTION("""COMPUTED_VALUE"""),"OCEAN")</f>
        <v/>
      </c>
      <c r="AE845" s="45">
        <f>IFERROR(__xludf.DUMMYFUNCTION("""COMPUTED_VALUE"""),"N")</f>
        <v/>
      </c>
      <c r="AF845" s="45">
        <f>IFERROR(__xludf.DUMMYFUNCTION("""COMPUTED_VALUE"""),"New Booking")</f>
        <v/>
      </c>
      <c r="AG845" s="49">
        <f>IFERROR(__xludf.DUMMYFUNCTION("IFNA(vlookup(H845,IMPORTRANGE(""1vUGwO1n0QQGx9kKbO0_M5gmuhXZ6-LaxQxgrmJnzgP0"",""'TP# look up'!A:C""),3,0),"""")"),"")</f>
        <v/>
      </c>
      <c r="AH845" s="49">
        <f>LEFT(J845,2)</f>
        <v/>
      </c>
    </row>
    <row r="846" ht="12.75" customHeight="1">
      <c r="A846" s="45">
        <f>IFERROR(__xludf.DUMMYFUNCTION("""COMPUTED_VALUE"""),"Colombo")</f>
        <v/>
      </c>
      <c r="B846" s="45" t="n"/>
      <c r="C846" s="45">
        <f>IFERROR(__xludf.DUMMYFUNCTION("""COMPUTED_VALUE"""),3259528)</f>
        <v/>
      </c>
      <c r="D846" s="45" t="n"/>
      <c r="E846" s="45">
        <f>IFERROR(__xludf.DUMMYFUNCTION("""COMPUTED_VALUE"""),"CFS")</f>
        <v/>
      </c>
      <c r="F846" s="45">
        <f>IFERROR(__xludf.DUMMYFUNCTION("""COMPUTED_VALUE"""),"Inqube Global (PVT) Ltd")</f>
        <v/>
      </c>
      <c r="G846" s="45">
        <f>IFERROR(__xludf.DUMMYFUNCTION("""COMPUTED_VALUE"""),"BRANDIX APPAREL SOLUTION LTD - GIRITALE")</f>
        <v/>
      </c>
      <c r="H846" s="43">
        <f>IFERROR(__xludf.DUMMYFUNCTION("""COMPUTED_VALUE"""),456059263781)</f>
        <v/>
      </c>
      <c r="I846" s="45">
        <f>IFERROR(__xludf.DUMMYFUNCTION("""COMPUTED_VALUE"""),19855777)</f>
        <v/>
      </c>
      <c r="J846" s="45">
        <f>IFERROR(__xludf.DUMMYFUNCTION("""COMPUTED_VALUE"""),"LM5AXAS")</f>
        <v/>
      </c>
      <c r="K846" s="45">
        <f>IFERROR(__xludf.DUMMYFUNCTION("""COMPUTED_VALUE"""),"LM5AXAS-070108")</f>
        <v/>
      </c>
      <c r="L846" s="45">
        <f>IFERROR(__xludf.DUMMYFUNCTION("""COMPUTED_VALUE"""),5)</f>
        <v/>
      </c>
      <c r="M846" s="45">
        <f>IFERROR(__xludf.DUMMYFUNCTION("""COMPUTED_VALUE"""),95)</f>
        <v/>
      </c>
      <c r="N846" s="45">
        <f>IFERROR(__xludf.DUMMYFUNCTION("""COMPUTED_VALUE"""),45.63)</f>
        <v/>
      </c>
      <c r="O846" s="45">
        <f>IFERROR(__xludf.DUMMYFUNCTION("""COMPUTED_VALUE"""),0.253)</f>
        <v/>
      </c>
      <c r="P846" s="45">
        <f>IFERROR(__xludf.DUMMYFUNCTION("""COMPUTED_VALUE"""),"Colombo, LK")</f>
        <v/>
      </c>
      <c r="Q846" s="45">
        <f>IFERROR(__xludf.DUMMYFUNCTION("""COMPUTED_VALUE"""),"New York, NY, US")</f>
        <v/>
      </c>
      <c r="R846" s="44">
        <f>IFERROR(__xludf.DUMMYFUNCTION("""COMPUTED_VALUE"""),45838)</f>
        <v/>
      </c>
      <c r="S846" s="44">
        <f>IFERROR(__xludf.DUMMYFUNCTION("""COMPUTED_VALUE"""),45897)</f>
        <v/>
      </c>
      <c r="T846" s="45">
        <f>IFERROR(__xludf.DUMMYFUNCTION("""COMPUTED_VALUE"""),"Mississauga, ON, CA")</f>
        <v/>
      </c>
      <c r="U846" s="45" t="n"/>
      <c r="V846" s="45" t="n"/>
      <c r="W846" s="45" t="n"/>
      <c r="X846" s="45" t="n"/>
      <c r="Y846" s="46">
        <f>IFERROR(__xludf.DUMMYFUNCTION("""COMPUTED_VALUE"""),45845)</f>
        <v/>
      </c>
      <c r="Z846" s="46">
        <f>IFERROR(__xludf.DUMMYFUNCTION("""COMPUTED_VALUE"""),45866)</f>
        <v/>
      </c>
      <c r="AA846" s="46">
        <f>IFERROR(__xludf.DUMMYFUNCTION("""COMPUTED_VALUE"""),45866)</f>
        <v/>
      </c>
      <c r="AB846" s="45">
        <f>IFERROR(__xludf.DUMMYFUNCTION("""COMPUTED_VALUE"""),"3500 Argentia Road")</f>
        <v/>
      </c>
      <c r="AC846" s="45" t="n"/>
      <c r="AD846" s="45">
        <f>IFERROR(__xludf.DUMMYFUNCTION("""COMPUTED_VALUE"""),"OCEAN")</f>
        <v/>
      </c>
      <c r="AE846" s="45">
        <f>IFERROR(__xludf.DUMMYFUNCTION("""COMPUTED_VALUE"""),"N")</f>
        <v/>
      </c>
      <c r="AF846" s="45">
        <f>IFERROR(__xludf.DUMMYFUNCTION("""COMPUTED_VALUE"""),"New Booking")</f>
        <v/>
      </c>
      <c r="AG846" s="49">
        <f>IFERROR(__xludf.DUMMYFUNCTION("IFNA(vlookup(H846,IMPORTRANGE(""1vUGwO1n0QQGx9kKbO0_M5gmuhXZ6-LaxQxgrmJnzgP0"",""'TP# look up'!A:C""),3,0),"""")"),"")</f>
        <v/>
      </c>
      <c r="AH846" s="49">
        <f>LEFT(J846,2)</f>
        <v/>
      </c>
    </row>
    <row r="847" ht="12.75" customHeight="1">
      <c r="A847" s="45">
        <f>IFERROR(__xludf.DUMMYFUNCTION("""COMPUTED_VALUE"""),"Colombo")</f>
        <v/>
      </c>
      <c r="B847" s="45" t="n"/>
      <c r="C847" s="45">
        <f>IFERROR(__xludf.DUMMYFUNCTION("""COMPUTED_VALUE"""),3259528)</f>
        <v/>
      </c>
      <c r="D847" s="45" t="n"/>
      <c r="E847" s="45">
        <f>IFERROR(__xludf.DUMMYFUNCTION("""COMPUTED_VALUE"""),"CFS")</f>
        <v/>
      </c>
      <c r="F847" s="45">
        <f>IFERROR(__xludf.DUMMYFUNCTION("""COMPUTED_VALUE"""),"Inqube Global (PVT) Ltd")</f>
        <v/>
      </c>
      <c r="G847" s="45">
        <f>IFERROR(__xludf.DUMMYFUNCTION("""COMPUTED_VALUE"""),"BRANDIX APPAREL SOLUTION LTD - GIRITALE")</f>
        <v/>
      </c>
      <c r="H847" s="43">
        <f>IFERROR(__xludf.DUMMYFUNCTION("""COMPUTED_VALUE"""),456059818078)</f>
        <v/>
      </c>
      <c r="I847" s="45">
        <f>IFERROR(__xludf.DUMMYFUNCTION("""COMPUTED_VALUE"""),19855778)</f>
        <v/>
      </c>
      <c r="J847" s="45">
        <f>IFERROR(__xludf.DUMMYFUNCTION("""COMPUTED_VALUE"""),"LM5AXAS")</f>
        <v/>
      </c>
      <c r="K847" s="45">
        <f>IFERROR(__xludf.DUMMYFUNCTION("""COMPUTED_VALUE"""),"LM5AXAS-070108")</f>
        <v/>
      </c>
      <c r="L847" s="45">
        <f>IFERROR(__xludf.DUMMYFUNCTION("""COMPUTED_VALUE"""),2)</f>
        <v/>
      </c>
      <c r="M847" s="45">
        <f>IFERROR(__xludf.DUMMYFUNCTION("""COMPUTED_VALUE"""),40)</f>
        <v/>
      </c>
      <c r="N847" s="45">
        <f>IFERROR(__xludf.DUMMYFUNCTION("""COMPUTED_VALUE"""),19.23)</f>
        <v/>
      </c>
      <c r="O847" s="45">
        <f>IFERROR(__xludf.DUMMYFUNCTION("""COMPUTED_VALUE"""),0.125)</f>
        <v/>
      </c>
      <c r="P847" s="45">
        <f>IFERROR(__xludf.DUMMYFUNCTION("""COMPUTED_VALUE"""),"Colombo, LK")</f>
        <v/>
      </c>
      <c r="Q847" s="45">
        <f>IFERROR(__xludf.DUMMYFUNCTION("""COMPUTED_VALUE"""),"New York, NY, US")</f>
        <v/>
      </c>
      <c r="R847" s="44">
        <f>IFERROR(__xludf.DUMMYFUNCTION("""COMPUTED_VALUE"""),45838)</f>
        <v/>
      </c>
      <c r="S847" s="44">
        <f>IFERROR(__xludf.DUMMYFUNCTION("""COMPUTED_VALUE"""),45897)</f>
        <v/>
      </c>
      <c r="T847" s="45">
        <f>IFERROR(__xludf.DUMMYFUNCTION("""COMPUTED_VALUE"""),"Mississauga, ON, CA")</f>
        <v/>
      </c>
      <c r="U847" s="45" t="n"/>
      <c r="V847" s="45" t="n"/>
      <c r="W847" s="45" t="n"/>
      <c r="X847" s="45" t="n"/>
      <c r="Y847" s="46">
        <f>IFERROR(__xludf.DUMMYFUNCTION("""COMPUTED_VALUE"""),45845)</f>
        <v/>
      </c>
      <c r="Z847" s="46">
        <f>IFERROR(__xludf.DUMMYFUNCTION("""COMPUTED_VALUE"""),45866)</f>
        <v/>
      </c>
      <c r="AA847" s="46">
        <f>IFERROR(__xludf.DUMMYFUNCTION("""COMPUTED_VALUE"""),45866)</f>
        <v/>
      </c>
      <c r="AB847" s="45">
        <f>IFERROR(__xludf.DUMMYFUNCTION("""COMPUTED_VALUE"""),"3500 Argentia Road")</f>
        <v/>
      </c>
      <c r="AC847" s="45" t="n"/>
      <c r="AD847" s="45">
        <f>IFERROR(__xludf.DUMMYFUNCTION("""COMPUTED_VALUE"""),"OCEAN")</f>
        <v/>
      </c>
      <c r="AE847" s="45">
        <f>IFERROR(__xludf.DUMMYFUNCTION("""COMPUTED_VALUE"""),"N")</f>
        <v/>
      </c>
      <c r="AF847" s="45">
        <f>IFERROR(__xludf.DUMMYFUNCTION("""COMPUTED_VALUE"""),"New Booking")</f>
        <v/>
      </c>
      <c r="AG847" s="49">
        <f>IFERROR(__xludf.DUMMYFUNCTION("IFNA(vlookup(H847,IMPORTRANGE(""1vUGwO1n0QQGx9kKbO0_M5gmuhXZ6-LaxQxgrmJnzgP0"",""'TP# look up'!A:C""),3,0),"""")"),"")</f>
        <v/>
      </c>
      <c r="AH847" s="49">
        <f>LEFT(J847,2)</f>
        <v/>
      </c>
    </row>
    <row r="848" ht="12.75" customHeight="1">
      <c r="A848" s="45">
        <f>IFERROR(__xludf.DUMMYFUNCTION("""COMPUTED_VALUE"""),"Colombo")</f>
        <v/>
      </c>
      <c r="B848" s="45" t="n"/>
      <c r="C848" s="45">
        <f>IFERROR(__xludf.DUMMYFUNCTION("""COMPUTED_VALUE"""),3259528)</f>
        <v/>
      </c>
      <c r="D848" s="45" t="n"/>
      <c r="E848" s="45">
        <f>IFERROR(__xludf.DUMMYFUNCTION("""COMPUTED_VALUE"""),"CFS")</f>
        <v/>
      </c>
      <c r="F848" s="45">
        <f>IFERROR(__xludf.DUMMYFUNCTION("""COMPUTED_VALUE"""),"Inqube Global (PVT) Ltd")</f>
        <v/>
      </c>
      <c r="G848" s="45">
        <f>IFERROR(__xludf.DUMMYFUNCTION("""COMPUTED_VALUE"""),"BRANDIX APPAREL SOLUTION LTD - GIRITALE")</f>
        <v/>
      </c>
      <c r="H848" s="43">
        <f>IFERROR(__xludf.DUMMYFUNCTION("""COMPUTED_VALUE"""),456064957731)</f>
        <v/>
      </c>
      <c r="I848" s="45">
        <f>IFERROR(__xludf.DUMMYFUNCTION("""COMPUTED_VALUE"""),19855747)</f>
        <v/>
      </c>
      <c r="J848" s="45">
        <f>IFERROR(__xludf.DUMMYFUNCTION("""COMPUTED_VALUE"""),"LM5AXAS")</f>
        <v/>
      </c>
      <c r="K848" s="45">
        <f>IFERROR(__xludf.DUMMYFUNCTION("""COMPUTED_VALUE"""),"LM5AXAS-071148")</f>
        <v/>
      </c>
      <c r="L848" s="45">
        <f>IFERROR(__xludf.DUMMYFUNCTION("""COMPUTED_VALUE"""),1)</f>
        <v/>
      </c>
      <c r="M848" s="45">
        <f>IFERROR(__xludf.DUMMYFUNCTION("""COMPUTED_VALUE"""),29)</f>
        <v/>
      </c>
      <c r="N848" s="45">
        <f>IFERROR(__xludf.DUMMYFUNCTION("""COMPUTED_VALUE"""),13.71)</f>
        <v/>
      </c>
      <c r="O848" s="45">
        <f>IFERROR(__xludf.DUMMYFUNCTION("""COMPUTED_VALUE"""),0.083)</f>
        <v/>
      </c>
      <c r="P848" s="45">
        <f>IFERROR(__xludf.DUMMYFUNCTION("""COMPUTED_VALUE"""),"Colombo, LK")</f>
        <v/>
      </c>
      <c r="Q848" s="45">
        <f>IFERROR(__xludf.DUMMYFUNCTION("""COMPUTED_VALUE"""),"New York, NY, US")</f>
        <v/>
      </c>
      <c r="R848" s="44">
        <f>IFERROR(__xludf.DUMMYFUNCTION("""COMPUTED_VALUE"""),45838)</f>
        <v/>
      </c>
      <c r="S848" s="44">
        <f>IFERROR(__xludf.DUMMYFUNCTION("""COMPUTED_VALUE"""),45897)</f>
        <v/>
      </c>
      <c r="T848" s="45">
        <f>IFERROR(__xludf.DUMMYFUNCTION("""COMPUTED_VALUE"""),"Milton, ON, CA")</f>
        <v/>
      </c>
      <c r="U848" s="45" t="n"/>
      <c r="V848" s="45" t="n"/>
      <c r="W848" s="45" t="n"/>
      <c r="X848" s="45" t="n"/>
      <c r="Y848" s="46">
        <f>IFERROR(__xludf.DUMMYFUNCTION("""COMPUTED_VALUE"""),45845)</f>
        <v/>
      </c>
      <c r="Z848" s="46">
        <f>IFERROR(__xludf.DUMMYFUNCTION("""COMPUTED_VALUE"""),45866)</f>
        <v/>
      </c>
      <c r="AA848" s="46">
        <f>IFERROR(__xludf.DUMMYFUNCTION("""COMPUTED_VALUE"""),45866)</f>
        <v/>
      </c>
      <c r="AB848" s="45">
        <f>IFERROR(__xludf.DUMMYFUNCTION("""COMPUTED_VALUE"""),"7211 Fifth Line")</f>
        <v/>
      </c>
      <c r="AC848" s="45" t="n"/>
      <c r="AD848" s="45">
        <f>IFERROR(__xludf.DUMMYFUNCTION("""COMPUTED_VALUE"""),"OCEAN")</f>
        <v/>
      </c>
      <c r="AE848" s="45">
        <f>IFERROR(__xludf.DUMMYFUNCTION("""COMPUTED_VALUE"""),"N")</f>
        <v/>
      </c>
      <c r="AF848" s="45">
        <f>IFERROR(__xludf.DUMMYFUNCTION("""COMPUTED_VALUE"""),"New Booking")</f>
        <v/>
      </c>
      <c r="AG848" s="49">
        <f>IFERROR(__xludf.DUMMYFUNCTION("IFNA(vlookup(H848,IMPORTRANGE(""1vUGwO1n0QQGx9kKbO0_M5gmuhXZ6-LaxQxgrmJnzgP0"",""'TP# look up'!A:C""),3,0),"""")"),"")</f>
        <v/>
      </c>
      <c r="AH848" s="49">
        <f>LEFT(J848,2)</f>
        <v/>
      </c>
    </row>
    <row r="849" ht="12.75" customHeight="1">
      <c r="A849" s="45">
        <f>IFERROR(__xludf.DUMMYFUNCTION("""COMPUTED_VALUE"""),"Colombo")</f>
        <v/>
      </c>
      <c r="B849" s="45" t="n"/>
      <c r="C849" s="45">
        <f>IFERROR(__xludf.DUMMYFUNCTION("""COMPUTED_VALUE"""),3259528)</f>
        <v/>
      </c>
      <c r="D849" s="45" t="n"/>
      <c r="E849" s="45">
        <f>IFERROR(__xludf.DUMMYFUNCTION("""COMPUTED_VALUE"""),"CFS")</f>
        <v/>
      </c>
      <c r="F849" s="45">
        <f>IFERROR(__xludf.DUMMYFUNCTION("""COMPUTED_VALUE"""),"Inqube Global (PVT) Ltd")</f>
        <v/>
      </c>
      <c r="G849" s="45">
        <f>IFERROR(__xludf.DUMMYFUNCTION("""COMPUTED_VALUE"""),"BRANDIX APPAREL SOLUTION LTD - GIRITALE")</f>
        <v/>
      </c>
      <c r="H849" s="43">
        <f>IFERROR(__xludf.DUMMYFUNCTION("""COMPUTED_VALUE"""),456066885277)</f>
        <v/>
      </c>
      <c r="I849" s="45">
        <f>IFERROR(__xludf.DUMMYFUNCTION("""COMPUTED_VALUE"""),19855751)</f>
        <v/>
      </c>
      <c r="J849" s="45">
        <f>IFERROR(__xludf.DUMMYFUNCTION("""COMPUTED_VALUE"""),"LM5AXAS")</f>
        <v/>
      </c>
      <c r="K849" s="45">
        <f>IFERROR(__xludf.DUMMYFUNCTION("""COMPUTED_VALUE"""),"LM5AXAS-071148")</f>
        <v/>
      </c>
      <c r="L849" s="45">
        <f>IFERROR(__xludf.DUMMYFUNCTION("""COMPUTED_VALUE"""),4)</f>
        <v/>
      </c>
      <c r="M849" s="45">
        <f>IFERROR(__xludf.DUMMYFUNCTION("""COMPUTED_VALUE"""),69)</f>
        <v/>
      </c>
      <c r="N849" s="45">
        <f>IFERROR(__xludf.DUMMYFUNCTION("""COMPUTED_VALUE"""),33.47)</f>
        <v/>
      </c>
      <c r="O849" s="45">
        <f>IFERROR(__xludf.DUMMYFUNCTION("""COMPUTED_VALUE"""),0.21)</f>
        <v/>
      </c>
      <c r="P849" s="45">
        <f>IFERROR(__xludf.DUMMYFUNCTION("""COMPUTED_VALUE"""),"Colombo, LK")</f>
        <v/>
      </c>
      <c r="Q849" s="45">
        <f>IFERROR(__xludf.DUMMYFUNCTION("""COMPUTED_VALUE"""),"New York, NY, US")</f>
        <v/>
      </c>
      <c r="R849" s="44">
        <f>IFERROR(__xludf.DUMMYFUNCTION("""COMPUTED_VALUE"""),45838)</f>
        <v/>
      </c>
      <c r="S849" s="44">
        <f>IFERROR(__xludf.DUMMYFUNCTION("""COMPUTED_VALUE"""),45897)</f>
        <v/>
      </c>
      <c r="T849" s="45">
        <f>IFERROR(__xludf.DUMMYFUNCTION("""COMPUTED_VALUE"""),"Mississauga, ON, CA")</f>
        <v/>
      </c>
      <c r="U849" s="45" t="n"/>
      <c r="V849" s="45" t="n"/>
      <c r="W849" s="45" t="n"/>
      <c r="X849" s="45" t="n"/>
      <c r="Y849" s="46">
        <f>IFERROR(__xludf.DUMMYFUNCTION("""COMPUTED_VALUE"""),45845)</f>
        <v/>
      </c>
      <c r="Z849" s="46">
        <f>IFERROR(__xludf.DUMMYFUNCTION("""COMPUTED_VALUE"""),45866)</f>
        <v/>
      </c>
      <c r="AA849" s="46">
        <f>IFERROR(__xludf.DUMMYFUNCTION("""COMPUTED_VALUE"""),45866)</f>
        <v/>
      </c>
      <c r="AB849" s="45">
        <f>IFERROR(__xludf.DUMMYFUNCTION("""COMPUTED_VALUE"""),"3500 Argentia Road")</f>
        <v/>
      </c>
      <c r="AC849" s="45" t="n"/>
      <c r="AD849" s="45">
        <f>IFERROR(__xludf.DUMMYFUNCTION("""COMPUTED_VALUE"""),"OCEAN")</f>
        <v/>
      </c>
      <c r="AE849" s="45">
        <f>IFERROR(__xludf.DUMMYFUNCTION("""COMPUTED_VALUE"""),"N")</f>
        <v/>
      </c>
      <c r="AF849" s="45">
        <f>IFERROR(__xludf.DUMMYFUNCTION("""COMPUTED_VALUE"""),"New Booking")</f>
        <v/>
      </c>
      <c r="AG849" s="49">
        <f>IFERROR(__xludf.DUMMYFUNCTION("IFNA(vlookup(H849,IMPORTRANGE(""1vUGwO1n0QQGx9kKbO0_M5gmuhXZ6-LaxQxgrmJnzgP0"",""'TP# look up'!A:C""),3,0),"""")"),"")</f>
        <v/>
      </c>
      <c r="AH849" s="49">
        <f>LEFT(J849,2)</f>
        <v/>
      </c>
    </row>
    <row r="850" ht="12.75" customHeight="1">
      <c r="A850" s="45">
        <f>IFERROR(__xludf.DUMMYFUNCTION("""COMPUTED_VALUE"""),"Colombo")</f>
        <v/>
      </c>
      <c r="B850" s="45" t="n"/>
      <c r="C850" s="45">
        <f>IFERROR(__xludf.DUMMYFUNCTION("""COMPUTED_VALUE"""),3259528)</f>
        <v/>
      </c>
      <c r="D850" s="45" t="n"/>
      <c r="E850" s="45">
        <f>IFERROR(__xludf.DUMMYFUNCTION("""COMPUTED_VALUE"""),"CFS")</f>
        <v/>
      </c>
      <c r="F850" s="45">
        <f>IFERROR(__xludf.DUMMYFUNCTION("""COMPUTED_VALUE"""),"Inqube Global (PVT) Ltd")</f>
        <v/>
      </c>
      <c r="G850" s="45">
        <f>IFERROR(__xludf.DUMMYFUNCTION("""COMPUTED_VALUE"""),"BRANDIX APPAREL SOLUTION LTD - GIRITALE")</f>
        <v/>
      </c>
      <c r="H850" s="43">
        <f>IFERROR(__xludf.DUMMYFUNCTION("""COMPUTED_VALUE"""),456067281405)</f>
        <v/>
      </c>
      <c r="I850" s="45">
        <f>IFERROR(__xludf.DUMMYFUNCTION("""COMPUTED_VALUE"""),19855752)</f>
        <v/>
      </c>
      <c r="J850" s="45">
        <f>IFERROR(__xludf.DUMMYFUNCTION("""COMPUTED_VALUE"""),"LM5AXAS")</f>
        <v/>
      </c>
      <c r="K850" s="45">
        <f>IFERROR(__xludf.DUMMYFUNCTION("""COMPUTED_VALUE"""),"LM5AXAS-071148")</f>
        <v/>
      </c>
      <c r="L850" s="45">
        <f>IFERROR(__xludf.DUMMYFUNCTION("""COMPUTED_VALUE"""),1)</f>
        <v/>
      </c>
      <c r="M850" s="45">
        <f>IFERROR(__xludf.DUMMYFUNCTION("""COMPUTED_VALUE"""),32)</f>
        <v/>
      </c>
      <c r="N850" s="45">
        <f>IFERROR(__xludf.DUMMYFUNCTION("""COMPUTED_VALUE"""),14.97)</f>
        <v/>
      </c>
      <c r="O850" s="45">
        <f>IFERROR(__xludf.DUMMYFUNCTION("""COMPUTED_VALUE"""),0.083)</f>
        <v/>
      </c>
      <c r="P850" s="45">
        <f>IFERROR(__xludf.DUMMYFUNCTION("""COMPUTED_VALUE"""),"Colombo, LK")</f>
        <v/>
      </c>
      <c r="Q850" s="45">
        <f>IFERROR(__xludf.DUMMYFUNCTION("""COMPUTED_VALUE"""),"New York, NY, US")</f>
        <v/>
      </c>
      <c r="R850" s="44">
        <f>IFERROR(__xludf.DUMMYFUNCTION("""COMPUTED_VALUE"""),45838)</f>
        <v/>
      </c>
      <c r="S850" s="44">
        <f>IFERROR(__xludf.DUMMYFUNCTION("""COMPUTED_VALUE"""),45897)</f>
        <v/>
      </c>
      <c r="T850" s="45">
        <f>IFERROR(__xludf.DUMMYFUNCTION("""COMPUTED_VALUE"""),"Mississauga, ON, CA")</f>
        <v/>
      </c>
      <c r="U850" s="45" t="n"/>
      <c r="V850" s="45" t="n"/>
      <c r="W850" s="45" t="n"/>
      <c r="X850" s="45" t="n"/>
      <c r="Y850" s="46">
        <f>IFERROR(__xludf.DUMMYFUNCTION("""COMPUTED_VALUE"""),45845)</f>
        <v/>
      </c>
      <c r="Z850" s="46">
        <f>IFERROR(__xludf.DUMMYFUNCTION("""COMPUTED_VALUE"""),45866)</f>
        <v/>
      </c>
      <c r="AA850" s="46">
        <f>IFERROR(__xludf.DUMMYFUNCTION("""COMPUTED_VALUE"""),45866)</f>
        <v/>
      </c>
      <c r="AB850" s="45">
        <f>IFERROR(__xludf.DUMMYFUNCTION("""COMPUTED_VALUE"""),"3500 Argentia Road")</f>
        <v/>
      </c>
      <c r="AC850" s="45" t="n"/>
      <c r="AD850" s="45">
        <f>IFERROR(__xludf.DUMMYFUNCTION("""COMPUTED_VALUE"""),"OCEAN")</f>
        <v/>
      </c>
      <c r="AE850" s="45">
        <f>IFERROR(__xludf.DUMMYFUNCTION("""COMPUTED_VALUE"""),"N")</f>
        <v/>
      </c>
      <c r="AF850" s="45">
        <f>IFERROR(__xludf.DUMMYFUNCTION("""COMPUTED_VALUE"""),"New Booking")</f>
        <v/>
      </c>
      <c r="AG850" s="49">
        <f>IFERROR(__xludf.DUMMYFUNCTION("IFNA(vlookup(H850,IMPORTRANGE(""1vUGwO1n0QQGx9kKbO0_M5gmuhXZ6-LaxQxgrmJnzgP0"",""'TP# look up'!A:C""),3,0),"""")"),"")</f>
        <v/>
      </c>
      <c r="AH850" s="49">
        <f>LEFT(J850,2)</f>
        <v/>
      </c>
    </row>
    <row r="851" ht="12.75" customHeight="1">
      <c r="A851" s="45">
        <f>IFERROR(__xludf.DUMMYFUNCTION("""COMPUTED_VALUE"""),"Colombo")</f>
        <v/>
      </c>
      <c r="B851" s="45" t="n"/>
      <c r="C851" s="45">
        <f>IFERROR(__xludf.DUMMYFUNCTION("""COMPUTED_VALUE"""),3259528)</f>
        <v/>
      </c>
      <c r="D851" s="45" t="n"/>
      <c r="E851" s="45">
        <f>IFERROR(__xludf.DUMMYFUNCTION("""COMPUTED_VALUE"""),"CFS")</f>
        <v/>
      </c>
      <c r="F851" s="45">
        <f>IFERROR(__xludf.DUMMYFUNCTION("""COMPUTED_VALUE"""),"Inqube Global (PVT) Ltd")</f>
        <v/>
      </c>
      <c r="G851" s="45">
        <f>IFERROR(__xludf.DUMMYFUNCTION("""COMPUTED_VALUE"""),"BRANDIX APPAREL SOLUTION LTD - GIRITALE")</f>
        <v/>
      </c>
      <c r="H851" s="43">
        <f>IFERROR(__xludf.DUMMYFUNCTION("""COMPUTED_VALUE"""),456072496743)</f>
        <v/>
      </c>
      <c r="I851" s="45">
        <f>IFERROR(__xludf.DUMMYFUNCTION("""COMPUTED_VALUE"""),19855789)</f>
        <v/>
      </c>
      <c r="J851" s="45">
        <f>IFERROR(__xludf.DUMMYFUNCTION("""COMPUTED_VALUE"""),"LM5AXBS")</f>
        <v/>
      </c>
      <c r="K851" s="45">
        <f>IFERROR(__xludf.DUMMYFUNCTION("""COMPUTED_VALUE"""),"LM5AXBS-019222")</f>
        <v/>
      </c>
      <c r="L851" s="45">
        <f>IFERROR(__xludf.DUMMYFUNCTION("""COMPUTED_VALUE"""),4)</f>
        <v/>
      </c>
      <c r="M851" s="45">
        <f>IFERROR(__xludf.DUMMYFUNCTION("""COMPUTED_VALUE"""),67)</f>
        <v/>
      </c>
      <c r="N851" s="45">
        <f>IFERROR(__xludf.DUMMYFUNCTION("""COMPUTED_VALUE"""),36.73)</f>
        <v/>
      </c>
      <c r="O851" s="45">
        <f>IFERROR(__xludf.DUMMYFUNCTION("""COMPUTED_VALUE"""),0.21)</f>
        <v/>
      </c>
      <c r="P851" s="45">
        <f>IFERROR(__xludf.DUMMYFUNCTION("""COMPUTED_VALUE"""),"Colombo, LK")</f>
        <v/>
      </c>
      <c r="Q851" s="45">
        <f>IFERROR(__xludf.DUMMYFUNCTION("""COMPUTED_VALUE"""),"New York, NY, US")</f>
        <v/>
      </c>
      <c r="R851" s="44">
        <f>IFERROR(__xludf.DUMMYFUNCTION("""COMPUTED_VALUE"""),45838)</f>
        <v/>
      </c>
      <c r="S851" s="44">
        <f>IFERROR(__xludf.DUMMYFUNCTION("""COMPUTED_VALUE"""),45897)</f>
        <v/>
      </c>
      <c r="T851" s="45">
        <f>IFERROR(__xludf.DUMMYFUNCTION("""COMPUTED_VALUE"""),"Mississauga, ON, CA")</f>
        <v/>
      </c>
      <c r="U851" s="45" t="n"/>
      <c r="V851" s="45" t="n"/>
      <c r="W851" s="45" t="n"/>
      <c r="X851" s="45" t="n"/>
      <c r="Y851" s="46">
        <f>IFERROR(__xludf.DUMMYFUNCTION("""COMPUTED_VALUE"""),45845)</f>
        <v/>
      </c>
      <c r="Z851" s="46">
        <f>IFERROR(__xludf.DUMMYFUNCTION("""COMPUTED_VALUE"""),45866)</f>
        <v/>
      </c>
      <c r="AA851" s="46">
        <f>IFERROR(__xludf.DUMMYFUNCTION("""COMPUTED_VALUE"""),45866)</f>
        <v/>
      </c>
      <c r="AB851" s="45">
        <f>IFERROR(__xludf.DUMMYFUNCTION("""COMPUTED_VALUE"""),"3500 Argentia Road")</f>
        <v/>
      </c>
      <c r="AC851" s="45" t="n"/>
      <c r="AD851" s="45">
        <f>IFERROR(__xludf.DUMMYFUNCTION("""COMPUTED_VALUE"""),"OCEAN")</f>
        <v/>
      </c>
      <c r="AE851" s="45">
        <f>IFERROR(__xludf.DUMMYFUNCTION("""COMPUTED_VALUE"""),"N")</f>
        <v/>
      </c>
      <c r="AF851" s="45">
        <f>IFERROR(__xludf.DUMMYFUNCTION("""COMPUTED_VALUE"""),"New Booking")</f>
        <v/>
      </c>
      <c r="AG851" s="49">
        <f>IFERROR(__xludf.DUMMYFUNCTION("IFNA(vlookup(H851,IMPORTRANGE(""1vUGwO1n0QQGx9kKbO0_M5gmuhXZ6-LaxQxgrmJnzgP0"",""'TP# look up'!A:C""),3,0),"""")"),"")</f>
        <v/>
      </c>
      <c r="AH851" s="49">
        <f>LEFT(J851,2)</f>
        <v/>
      </c>
    </row>
    <row r="852" ht="12.75" customHeight="1">
      <c r="A852" s="45">
        <f>IFERROR(__xludf.DUMMYFUNCTION("""COMPUTED_VALUE"""),"Colombo")</f>
        <v/>
      </c>
      <c r="B852" s="45" t="n"/>
      <c r="C852" s="45">
        <f>IFERROR(__xludf.DUMMYFUNCTION("""COMPUTED_VALUE"""),3259528)</f>
        <v/>
      </c>
      <c r="D852" s="45" t="n"/>
      <c r="E852" s="45">
        <f>IFERROR(__xludf.DUMMYFUNCTION("""COMPUTED_VALUE"""),"CFS")</f>
        <v/>
      </c>
      <c r="F852" s="45">
        <f>IFERROR(__xludf.DUMMYFUNCTION("""COMPUTED_VALUE"""),"Inqube Global (PVT) Ltd")</f>
        <v/>
      </c>
      <c r="G852" s="45">
        <f>IFERROR(__xludf.DUMMYFUNCTION("""COMPUTED_VALUE"""),"BRANDIX APPAREL SOLUTION LTD - GIRITALE")</f>
        <v/>
      </c>
      <c r="H852" s="43">
        <f>IFERROR(__xludf.DUMMYFUNCTION("""COMPUTED_VALUE"""),456082683249)</f>
        <v/>
      </c>
      <c r="I852" s="45">
        <f>IFERROR(__xludf.DUMMYFUNCTION("""COMPUTED_VALUE"""),19856449)</f>
        <v/>
      </c>
      <c r="J852" s="45">
        <f>IFERROR(__xludf.DUMMYFUNCTION("""COMPUTED_VALUE"""),"LM5AXBS")</f>
        <v/>
      </c>
      <c r="K852" s="45">
        <f>IFERROR(__xludf.DUMMYFUNCTION("""COMPUTED_VALUE"""),"LM5AXBS-019222")</f>
        <v/>
      </c>
      <c r="L852" s="45">
        <f>IFERROR(__xludf.DUMMYFUNCTION("""COMPUTED_VALUE"""),9)</f>
        <v/>
      </c>
      <c r="M852" s="45">
        <f>IFERROR(__xludf.DUMMYFUNCTION("""COMPUTED_VALUE"""),279)</f>
        <v/>
      </c>
      <c r="N852" s="45">
        <f>IFERROR(__xludf.DUMMYFUNCTION("""COMPUTED_VALUE"""),147.1)</f>
        <v/>
      </c>
      <c r="O852" s="45">
        <f>IFERROR(__xludf.DUMMYFUNCTION("""COMPUTED_VALUE"""),0.623)</f>
        <v/>
      </c>
      <c r="P852" s="45">
        <f>IFERROR(__xludf.DUMMYFUNCTION("""COMPUTED_VALUE"""),"Colombo, LK")</f>
        <v/>
      </c>
      <c r="Q852" s="45">
        <f>IFERROR(__xludf.DUMMYFUNCTION("""COMPUTED_VALUE"""),"New York, NY, US")</f>
        <v/>
      </c>
      <c r="R852" s="44">
        <f>IFERROR(__xludf.DUMMYFUNCTION("""COMPUTED_VALUE"""),45838)</f>
        <v/>
      </c>
      <c r="S852" s="44">
        <f>IFERROR(__xludf.DUMMYFUNCTION("""COMPUTED_VALUE"""),45897)</f>
        <v/>
      </c>
      <c r="T852" s="45">
        <f>IFERROR(__xludf.DUMMYFUNCTION("""COMPUTED_VALUE"""),"Mississauga, ON, CA")</f>
        <v/>
      </c>
      <c r="U852" s="45" t="n"/>
      <c r="V852" s="45" t="n"/>
      <c r="W852" s="45" t="n"/>
      <c r="X852" s="45" t="n"/>
      <c r="Y852" s="46">
        <f>IFERROR(__xludf.DUMMYFUNCTION("""COMPUTED_VALUE"""),45845)</f>
        <v/>
      </c>
      <c r="Z852" s="46">
        <f>IFERROR(__xludf.DUMMYFUNCTION("""COMPUTED_VALUE"""),45866)</f>
        <v/>
      </c>
      <c r="AA852" s="46">
        <f>IFERROR(__xludf.DUMMYFUNCTION("""COMPUTED_VALUE"""),45866)</f>
        <v/>
      </c>
      <c r="AB852" s="45">
        <f>IFERROR(__xludf.DUMMYFUNCTION("""COMPUTED_VALUE"""),"3500 Argentia Road")</f>
        <v/>
      </c>
      <c r="AC852" s="45" t="n"/>
      <c r="AD852" s="45">
        <f>IFERROR(__xludf.DUMMYFUNCTION("""COMPUTED_VALUE"""),"OCEAN")</f>
        <v/>
      </c>
      <c r="AE852" s="45">
        <f>IFERROR(__xludf.DUMMYFUNCTION("""COMPUTED_VALUE"""),"N")</f>
        <v/>
      </c>
      <c r="AF852" s="45">
        <f>IFERROR(__xludf.DUMMYFUNCTION("""COMPUTED_VALUE"""),"New Booking")</f>
        <v/>
      </c>
      <c r="AG852" s="49">
        <f>IFERROR(__xludf.DUMMYFUNCTION("IFNA(vlookup(H852,IMPORTRANGE(""1vUGwO1n0QQGx9kKbO0_M5gmuhXZ6-LaxQxgrmJnzgP0"",""'TP# look up'!A:C""),3,0),"""")"),"")</f>
        <v/>
      </c>
      <c r="AH852" s="49">
        <f>LEFT(J852,2)</f>
        <v/>
      </c>
    </row>
    <row r="853" ht="12.75" customHeight="1">
      <c r="A853" s="45">
        <f>IFERROR(__xludf.DUMMYFUNCTION("""COMPUTED_VALUE"""),"Colombo")</f>
        <v/>
      </c>
      <c r="B853" s="45" t="n"/>
      <c r="C853" s="45">
        <f>IFERROR(__xludf.DUMMYFUNCTION("""COMPUTED_VALUE"""),3259528)</f>
        <v/>
      </c>
      <c r="D853" s="45" t="n"/>
      <c r="E853" s="45">
        <f>IFERROR(__xludf.DUMMYFUNCTION("""COMPUTED_VALUE"""),"CFS")</f>
        <v/>
      </c>
      <c r="F853" s="45">
        <f>IFERROR(__xludf.DUMMYFUNCTION("""COMPUTED_VALUE"""),"Inqube Global (PVT) Ltd")</f>
        <v/>
      </c>
      <c r="G853" s="45">
        <f>IFERROR(__xludf.DUMMYFUNCTION("""COMPUTED_VALUE"""),"BRANDIX APPAREL SOLUTION LTD - GIRITALE")</f>
        <v/>
      </c>
      <c r="H853" s="43">
        <f>IFERROR(__xludf.DUMMYFUNCTION("""COMPUTED_VALUE"""),456083951145)</f>
        <v/>
      </c>
      <c r="I853" s="45">
        <f>IFERROR(__xludf.DUMMYFUNCTION("""COMPUTED_VALUE"""),19856453)</f>
        <v/>
      </c>
      <c r="J853" s="45">
        <f>IFERROR(__xludf.DUMMYFUNCTION("""COMPUTED_VALUE"""),"LM5AXBS")</f>
        <v/>
      </c>
      <c r="K853" s="45">
        <f>IFERROR(__xludf.DUMMYFUNCTION("""COMPUTED_VALUE"""),"LM5AXBS-019222")</f>
        <v/>
      </c>
      <c r="L853" s="45">
        <f>IFERROR(__xludf.DUMMYFUNCTION("""COMPUTED_VALUE"""),5)</f>
        <v/>
      </c>
      <c r="M853" s="45">
        <f>IFERROR(__xludf.DUMMYFUNCTION("""COMPUTED_VALUE"""),118)</f>
        <v/>
      </c>
      <c r="N853" s="45">
        <f>IFERROR(__xludf.DUMMYFUNCTION("""COMPUTED_VALUE"""),63.67)</f>
        <v/>
      </c>
      <c r="O853" s="45">
        <f>IFERROR(__xludf.DUMMYFUNCTION("""COMPUTED_VALUE"""),0.333)</f>
        <v/>
      </c>
      <c r="P853" s="45">
        <f>IFERROR(__xludf.DUMMYFUNCTION("""COMPUTED_VALUE"""),"Colombo, LK")</f>
        <v/>
      </c>
      <c r="Q853" s="45">
        <f>IFERROR(__xludf.DUMMYFUNCTION("""COMPUTED_VALUE"""),"New York, NY, US")</f>
        <v/>
      </c>
      <c r="R853" s="44">
        <f>IFERROR(__xludf.DUMMYFUNCTION("""COMPUTED_VALUE"""),45838)</f>
        <v/>
      </c>
      <c r="S853" s="44">
        <f>IFERROR(__xludf.DUMMYFUNCTION("""COMPUTED_VALUE"""),45897)</f>
        <v/>
      </c>
      <c r="T853" s="45">
        <f>IFERROR(__xludf.DUMMYFUNCTION("""COMPUTED_VALUE"""),"Mississauga, ON, CA")</f>
        <v/>
      </c>
      <c r="U853" s="45" t="n"/>
      <c r="V853" s="45" t="n"/>
      <c r="W853" s="45" t="n"/>
      <c r="X853" s="45" t="n"/>
      <c r="Y853" s="46">
        <f>IFERROR(__xludf.DUMMYFUNCTION("""COMPUTED_VALUE"""),45845)</f>
        <v/>
      </c>
      <c r="Z853" s="46">
        <f>IFERROR(__xludf.DUMMYFUNCTION("""COMPUTED_VALUE"""),45866)</f>
        <v/>
      </c>
      <c r="AA853" s="46">
        <f>IFERROR(__xludf.DUMMYFUNCTION("""COMPUTED_VALUE"""),45866)</f>
        <v/>
      </c>
      <c r="AB853" s="45">
        <f>IFERROR(__xludf.DUMMYFUNCTION("""COMPUTED_VALUE"""),"3500 Argentia Road")</f>
        <v/>
      </c>
      <c r="AC853" s="45" t="n"/>
      <c r="AD853" s="45">
        <f>IFERROR(__xludf.DUMMYFUNCTION("""COMPUTED_VALUE"""),"OCEAN")</f>
        <v/>
      </c>
      <c r="AE853" s="45">
        <f>IFERROR(__xludf.DUMMYFUNCTION("""COMPUTED_VALUE"""),"N")</f>
        <v/>
      </c>
      <c r="AF853" s="45">
        <f>IFERROR(__xludf.DUMMYFUNCTION("""COMPUTED_VALUE"""),"New Booking")</f>
        <v/>
      </c>
      <c r="AG853" s="49">
        <f>IFERROR(__xludf.DUMMYFUNCTION("IFNA(vlookup(H853,IMPORTRANGE(""1vUGwO1n0QQGx9kKbO0_M5gmuhXZ6-LaxQxgrmJnzgP0"",""'TP# look up'!A:C""),3,0),"""")"),"")</f>
        <v/>
      </c>
      <c r="AH853" s="49">
        <f>LEFT(J853,2)</f>
        <v/>
      </c>
    </row>
    <row r="854" ht="12.75" customHeight="1">
      <c r="A854" s="45">
        <f>IFERROR(__xludf.DUMMYFUNCTION("""COMPUTED_VALUE"""),"Colombo")</f>
        <v/>
      </c>
      <c r="B854" s="45" t="n"/>
      <c r="C854" s="45">
        <f>IFERROR(__xludf.DUMMYFUNCTION("""COMPUTED_VALUE"""),3259528)</f>
        <v/>
      </c>
      <c r="D854" s="45" t="n"/>
      <c r="E854" s="45">
        <f>IFERROR(__xludf.DUMMYFUNCTION("""COMPUTED_VALUE"""),"CFS")</f>
        <v/>
      </c>
      <c r="F854" s="45">
        <f>IFERROR(__xludf.DUMMYFUNCTION("""COMPUTED_VALUE"""),"Inqube Global (PVT) Ltd")</f>
        <v/>
      </c>
      <c r="G854" s="45">
        <f>IFERROR(__xludf.DUMMYFUNCTION("""COMPUTED_VALUE"""),"BRANDIX APPAREL SOLUTION LTD - GIRITALE")</f>
        <v/>
      </c>
      <c r="H854" s="43">
        <f>IFERROR(__xludf.DUMMYFUNCTION("""COMPUTED_VALUE"""),456098107197)</f>
        <v/>
      </c>
      <c r="I854" s="45">
        <f>IFERROR(__xludf.DUMMYFUNCTION("""COMPUTED_VALUE"""),19855787)</f>
        <v/>
      </c>
      <c r="J854" s="45">
        <f>IFERROR(__xludf.DUMMYFUNCTION("""COMPUTED_VALUE"""),"LM5AXBS")</f>
        <v/>
      </c>
      <c r="K854" s="45">
        <f>IFERROR(__xludf.DUMMYFUNCTION("""COMPUTED_VALUE"""),"LM5AXBS-031382")</f>
        <v/>
      </c>
      <c r="L854" s="45">
        <f>IFERROR(__xludf.DUMMYFUNCTION("""COMPUTED_VALUE"""),4)</f>
        <v/>
      </c>
      <c r="M854" s="45">
        <f>IFERROR(__xludf.DUMMYFUNCTION("""COMPUTED_VALUE"""),69)</f>
        <v/>
      </c>
      <c r="N854" s="45">
        <f>IFERROR(__xludf.DUMMYFUNCTION("""COMPUTED_VALUE"""),37.79)</f>
        <v/>
      </c>
      <c r="O854" s="45">
        <f>IFERROR(__xludf.DUMMYFUNCTION("""COMPUTED_VALUE"""),0.21)</f>
        <v/>
      </c>
      <c r="P854" s="45">
        <f>IFERROR(__xludf.DUMMYFUNCTION("""COMPUTED_VALUE"""),"Colombo, LK")</f>
        <v/>
      </c>
      <c r="Q854" s="45">
        <f>IFERROR(__xludf.DUMMYFUNCTION("""COMPUTED_VALUE"""),"New York, NY, US")</f>
        <v/>
      </c>
      <c r="R854" s="44">
        <f>IFERROR(__xludf.DUMMYFUNCTION("""COMPUTED_VALUE"""),45838)</f>
        <v/>
      </c>
      <c r="S854" s="44">
        <f>IFERROR(__xludf.DUMMYFUNCTION("""COMPUTED_VALUE"""),45897)</f>
        <v/>
      </c>
      <c r="T854" s="45">
        <f>IFERROR(__xludf.DUMMYFUNCTION("""COMPUTED_VALUE"""),"Mississauga, ON, CA")</f>
        <v/>
      </c>
      <c r="U854" s="45" t="n"/>
      <c r="V854" s="45" t="n"/>
      <c r="W854" s="45" t="n"/>
      <c r="X854" s="45" t="n"/>
      <c r="Y854" s="46">
        <f>IFERROR(__xludf.DUMMYFUNCTION("""COMPUTED_VALUE"""),45845)</f>
        <v/>
      </c>
      <c r="Z854" s="46">
        <f>IFERROR(__xludf.DUMMYFUNCTION("""COMPUTED_VALUE"""),45866)</f>
        <v/>
      </c>
      <c r="AA854" s="46">
        <f>IFERROR(__xludf.DUMMYFUNCTION("""COMPUTED_VALUE"""),45866)</f>
        <v/>
      </c>
      <c r="AB854" s="45">
        <f>IFERROR(__xludf.DUMMYFUNCTION("""COMPUTED_VALUE"""),"3500 Argentia Road")</f>
        <v/>
      </c>
      <c r="AC854" s="45" t="n"/>
      <c r="AD854" s="45">
        <f>IFERROR(__xludf.DUMMYFUNCTION("""COMPUTED_VALUE"""),"OCEAN")</f>
        <v/>
      </c>
      <c r="AE854" s="45">
        <f>IFERROR(__xludf.DUMMYFUNCTION("""COMPUTED_VALUE"""),"N")</f>
        <v/>
      </c>
      <c r="AF854" s="45">
        <f>IFERROR(__xludf.DUMMYFUNCTION("""COMPUTED_VALUE"""),"New Booking")</f>
        <v/>
      </c>
      <c r="AG854" s="49">
        <f>IFERROR(__xludf.DUMMYFUNCTION("IFNA(vlookup(H854,IMPORTRANGE(""1vUGwO1n0QQGx9kKbO0_M5gmuhXZ6-LaxQxgrmJnzgP0"",""'TP# look up'!A:C""),3,0),"""")"),"")</f>
        <v/>
      </c>
      <c r="AH854" s="49">
        <f>LEFT(J854,2)</f>
        <v/>
      </c>
    </row>
    <row r="855" ht="12.75" customHeight="1">
      <c r="A855" s="45">
        <f>IFERROR(__xludf.DUMMYFUNCTION("""COMPUTED_VALUE"""),"Colombo")</f>
        <v/>
      </c>
      <c r="B855" s="45" t="n"/>
      <c r="C855" s="45">
        <f>IFERROR(__xludf.DUMMYFUNCTION("""COMPUTED_VALUE"""),3259528)</f>
        <v/>
      </c>
      <c r="D855" s="45" t="n"/>
      <c r="E855" s="45">
        <f>IFERROR(__xludf.DUMMYFUNCTION("""COMPUTED_VALUE"""),"CFS")</f>
        <v/>
      </c>
      <c r="F855" s="45">
        <f>IFERROR(__xludf.DUMMYFUNCTION("""COMPUTED_VALUE"""),"Inqube Global (PVT) Ltd")</f>
        <v/>
      </c>
      <c r="G855" s="45">
        <f>IFERROR(__xludf.DUMMYFUNCTION("""COMPUTED_VALUE"""),"BRANDIX APPAREL SOLUTION LTD - GIRITALE")</f>
        <v/>
      </c>
      <c r="H855" s="43">
        <f>IFERROR(__xludf.DUMMYFUNCTION("""COMPUTED_VALUE"""),456098404172)</f>
        <v/>
      </c>
      <c r="I855" s="45">
        <f>IFERROR(__xludf.DUMMYFUNCTION("""COMPUTED_VALUE"""),19856441)</f>
        <v/>
      </c>
      <c r="J855" s="45">
        <f>IFERROR(__xludf.DUMMYFUNCTION("""COMPUTED_VALUE"""),"LM5AXBS")</f>
        <v/>
      </c>
      <c r="K855" s="45">
        <f>IFERROR(__xludf.DUMMYFUNCTION("""COMPUTED_VALUE"""),"LM5AXBS-031382")</f>
        <v/>
      </c>
      <c r="L855" s="45">
        <f>IFERROR(__xludf.DUMMYFUNCTION("""COMPUTED_VALUE"""),8)</f>
        <v/>
      </c>
      <c r="M855" s="45">
        <f>IFERROR(__xludf.DUMMYFUNCTION("""COMPUTED_VALUE"""),217)</f>
        <v/>
      </c>
      <c r="N855" s="45">
        <f>IFERROR(__xludf.DUMMYFUNCTION("""COMPUTED_VALUE"""),115.57)</f>
        <v/>
      </c>
      <c r="O855" s="45">
        <f>IFERROR(__xludf.DUMMYFUNCTION("""COMPUTED_VALUE"""),0.54)</f>
        <v/>
      </c>
      <c r="P855" s="45">
        <f>IFERROR(__xludf.DUMMYFUNCTION("""COMPUTED_VALUE"""),"Colombo, LK")</f>
        <v/>
      </c>
      <c r="Q855" s="45">
        <f>IFERROR(__xludf.DUMMYFUNCTION("""COMPUTED_VALUE"""),"New York, NY, US")</f>
        <v/>
      </c>
      <c r="R855" s="44">
        <f>IFERROR(__xludf.DUMMYFUNCTION("""COMPUTED_VALUE"""),45838)</f>
        <v/>
      </c>
      <c r="S855" s="44">
        <f>IFERROR(__xludf.DUMMYFUNCTION("""COMPUTED_VALUE"""),45897)</f>
        <v/>
      </c>
      <c r="T855" s="45">
        <f>IFERROR(__xludf.DUMMYFUNCTION("""COMPUTED_VALUE"""),"Mississauga, ON, CA")</f>
        <v/>
      </c>
      <c r="U855" s="45" t="n"/>
      <c r="V855" s="45" t="n"/>
      <c r="W855" s="45" t="n"/>
      <c r="X855" s="45" t="n"/>
      <c r="Y855" s="46">
        <f>IFERROR(__xludf.DUMMYFUNCTION("""COMPUTED_VALUE"""),45845)</f>
        <v/>
      </c>
      <c r="Z855" s="46">
        <f>IFERROR(__xludf.DUMMYFUNCTION("""COMPUTED_VALUE"""),45866)</f>
        <v/>
      </c>
      <c r="AA855" s="46">
        <f>IFERROR(__xludf.DUMMYFUNCTION("""COMPUTED_VALUE"""),45866)</f>
        <v/>
      </c>
      <c r="AB855" s="45">
        <f>IFERROR(__xludf.DUMMYFUNCTION("""COMPUTED_VALUE"""),"3500 Argentia Road")</f>
        <v/>
      </c>
      <c r="AC855" s="45" t="n"/>
      <c r="AD855" s="45">
        <f>IFERROR(__xludf.DUMMYFUNCTION("""COMPUTED_VALUE"""),"OCEAN")</f>
        <v/>
      </c>
      <c r="AE855" s="45">
        <f>IFERROR(__xludf.DUMMYFUNCTION("""COMPUTED_VALUE"""),"N")</f>
        <v/>
      </c>
      <c r="AF855" s="45">
        <f>IFERROR(__xludf.DUMMYFUNCTION("""COMPUTED_VALUE"""),"New Booking")</f>
        <v/>
      </c>
      <c r="AG855" s="49">
        <f>IFERROR(__xludf.DUMMYFUNCTION("IFNA(vlookup(H855,IMPORTRANGE(""1vUGwO1n0QQGx9kKbO0_M5gmuhXZ6-LaxQxgrmJnzgP0"",""'TP# look up'!A:C""),3,0),"""")"),"")</f>
        <v/>
      </c>
      <c r="AH855" s="49">
        <f>LEFT(J855,2)</f>
        <v/>
      </c>
    </row>
    <row r="856" ht="12.75" customHeight="1">
      <c r="A856" s="45">
        <f>IFERROR(__xludf.DUMMYFUNCTION("""COMPUTED_VALUE"""),"Colombo")</f>
        <v/>
      </c>
      <c r="B856" s="45" t="n"/>
      <c r="C856" s="45">
        <f>IFERROR(__xludf.DUMMYFUNCTION("""COMPUTED_VALUE"""),3259528)</f>
        <v/>
      </c>
      <c r="D856" s="45" t="n"/>
      <c r="E856" s="45">
        <f>IFERROR(__xludf.DUMMYFUNCTION("""COMPUTED_VALUE"""),"CFS")</f>
        <v/>
      </c>
      <c r="F856" s="45">
        <f>IFERROR(__xludf.DUMMYFUNCTION("""COMPUTED_VALUE"""),"Inqube Global (PVT) Ltd")</f>
        <v/>
      </c>
      <c r="G856" s="45">
        <f>IFERROR(__xludf.DUMMYFUNCTION("""COMPUTED_VALUE"""),"BRANDIX APPAREL SOLUTION LTD - GIRITALE")</f>
        <v/>
      </c>
      <c r="H856" s="43">
        <f>IFERROR(__xludf.DUMMYFUNCTION("""COMPUTED_VALUE"""),456101186994)</f>
        <v/>
      </c>
      <c r="I856" s="45">
        <f>IFERROR(__xludf.DUMMYFUNCTION("""COMPUTED_VALUE"""),19855781)</f>
        <v/>
      </c>
      <c r="J856" s="45">
        <f>IFERROR(__xludf.DUMMYFUNCTION("""COMPUTED_VALUE"""),"LM5AXBS")</f>
        <v/>
      </c>
      <c r="K856" s="45">
        <f>IFERROR(__xludf.DUMMYFUNCTION("""COMPUTED_VALUE"""),"LM5AXBS-033454")</f>
        <v/>
      </c>
      <c r="L856" s="45">
        <f>IFERROR(__xludf.DUMMYFUNCTION("""COMPUTED_VALUE"""),4)</f>
        <v/>
      </c>
      <c r="M856" s="45">
        <f>IFERROR(__xludf.DUMMYFUNCTION("""COMPUTED_VALUE"""),69)</f>
        <v/>
      </c>
      <c r="N856" s="45">
        <f>IFERROR(__xludf.DUMMYFUNCTION("""COMPUTED_VALUE"""),37.79)</f>
        <v/>
      </c>
      <c r="O856" s="45">
        <f>IFERROR(__xludf.DUMMYFUNCTION("""COMPUTED_VALUE"""),0.21)</f>
        <v/>
      </c>
      <c r="P856" s="45">
        <f>IFERROR(__xludf.DUMMYFUNCTION("""COMPUTED_VALUE"""),"Colombo, LK")</f>
        <v/>
      </c>
      <c r="Q856" s="45">
        <f>IFERROR(__xludf.DUMMYFUNCTION("""COMPUTED_VALUE"""),"New York, NY, US")</f>
        <v/>
      </c>
      <c r="R856" s="44">
        <f>IFERROR(__xludf.DUMMYFUNCTION("""COMPUTED_VALUE"""),45838)</f>
        <v/>
      </c>
      <c r="S856" s="44">
        <f>IFERROR(__xludf.DUMMYFUNCTION("""COMPUTED_VALUE"""),45897)</f>
        <v/>
      </c>
      <c r="T856" s="45">
        <f>IFERROR(__xludf.DUMMYFUNCTION("""COMPUTED_VALUE"""),"Mississauga, ON, CA")</f>
        <v/>
      </c>
      <c r="U856" s="45" t="n"/>
      <c r="V856" s="45" t="n"/>
      <c r="W856" s="45" t="n"/>
      <c r="X856" s="45" t="n"/>
      <c r="Y856" s="46">
        <f>IFERROR(__xludf.DUMMYFUNCTION("""COMPUTED_VALUE"""),45845)</f>
        <v/>
      </c>
      <c r="Z856" s="46">
        <f>IFERROR(__xludf.DUMMYFUNCTION("""COMPUTED_VALUE"""),45866)</f>
        <v/>
      </c>
      <c r="AA856" s="46">
        <f>IFERROR(__xludf.DUMMYFUNCTION("""COMPUTED_VALUE"""),45866)</f>
        <v/>
      </c>
      <c r="AB856" s="45">
        <f>IFERROR(__xludf.DUMMYFUNCTION("""COMPUTED_VALUE"""),"3500 Argentia Road")</f>
        <v/>
      </c>
      <c r="AC856" s="45" t="n"/>
      <c r="AD856" s="45">
        <f>IFERROR(__xludf.DUMMYFUNCTION("""COMPUTED_VALUE"""),"OCEAN")</f>
        <v/>
      </c>
      <c r="AE856" s="45">
        <f>IFERROR(__xludf.DUMMYFUNCTION("""COMPUTED_VALUE"""),"N")</f>
        <v/>
      </c>
      <c r="AF856" s="45">
        <f>IFERROR(__xludf.DUMMYFUNCTION("""COMPUTED_VALUE"""),"New Booking")</f>
        <v/>
      </c>
      <c r="AG856" s="49">
        <f>IFERROR(__xludf.DUMMYFUNCTION("IFNA(vlookup(H856,IMPORTRANGE(""1vUGwO1n0QQGx9kKbO0_M5gmuhXZ6-LaxQxgrmJnzgP0"",""'TP# look up'!A:C""),3,0),"""")"),"")</f>
        <v/>
      </c>
      <c r="AH856" s="49">
        <f>LEFT(J856,2)</f>
        <v/>
      </c>
    </row>
    <row r="857" ht="12.75" customHeight="1">
      <c r="A857" s="45">
        <f>IFERROR(__xludf.DUMMYFUNCTION("""COMPUTED_VALUE"""),"Colombo")</f>
        <v/>
      </c>
      <c r="B857" s="45" t="n"/>
      <c r="C857" s="45">
        <f>IFERROR(__xludf.DUMMYFUNCTION("""COMPUTED_VALUE"""),3259528)</f>
        <v/>
      </c>
      <c r="D857" s="45" t="n"/>
      <c r="E857" s="45">
        <f>IFERROR(__xludf.DUMMYFUNCTION("""COMPUTED_VALUE"""),"CFS")</f>
        <v/>
      </c>
      <c r="F857" s="45">
        <f>IFERROR(__xludf.DUMMYFUNCTION("""COMPUTED_VALUE"""),"Inqube Global (PVT) Ltd")</f>
        <v/>
      </c>
      <c r="G857" s="45">
        <f>IFERROR(__xludf.DUMMYFUNCTION("""COMPUTED_VALUE"""),"BRANDIX APPAREL SOLUTION LTD - GIRITALE")</f>
        <v/>
      </c>
      <c r="H857" s="43">
        <f>IFERROR(__xludf.DUMMYFUNCTION("""COMPUTED_VALUE"""),456102250080)</f>
        <v/>
      </c>
      <c r="I857" s="45">
        <f>IFERROR(__xludf.DUMMYFUNCTION("""COMPUTED_VALUE"""),19856413)</f>
        <v/>
      </c>
      <c r="J857" s="45">
        <f>IFERROR(__xludf.DUMMYFUNCTION("""COMPUTED_VALUE"""),"LM5AXBS")</f>
        <v/>
      </c>
      <c r="K857" s="45">
        <f>IFERROR(__xludf.DUMMYFUNCTION("""COMPUTED_VALUE"""),"LM5AXBS-033454")</f>
        <v/>
      </c>
      <c r="L857" s="45">
        <f>IFERROR(__xludf.DUMMYFUNCTION("""COMPUTED_VALUE"""),6)</f>
        <v/>
      </c>
      <c r="M857" s="45">
        <f>IFERROR(__xludf.DUMMYFUNCTION("""COMPUTED_VALUE"""),128)</f>
        <v/>
      </c>
      <c r="N857" s="45">
        <f>IFERROR(__xludf.DUMMYFUNCTION("""COMPUTED_VALUE"""),68.86)</f>
        <v/>
      </c>
      <c r="O857" s="45">
        <f>IFERROR(__xludf.DUMMYFUNCTION("""COMPUTED_VALUE"""),0.335)</f>
        <v/>
      </c>
      <c r="P857" s="45">
        <f>IFERROR(__xludf.DUMMYFUNCTION("""COMPUTED_VALUE"""),"Colombo, LK")</f>
        <v/>
      </c>
      <c r="Q857" s="45">
        <f>IFERROR(__xludf.DUMMYFUNCTION("""COMPUTED_VALUE"""),"New York, NY, US")</f>
        <v/>
      </c>
      <c r="R857" s="44">
        <f>IFERROR(__xludf.DUMMYFUNCTION("""COMPUTED_VALUE"""),45838)</f>
        <v/>
      </c>
      <c r="S857" s="44">
        <f>IFERROR(__xludf.DUMMYFUNCTION("""COMPUTED_VALUE"""),45897)</f>
        <v/>
      </c>
      <c r="T857" s="45">
        <f>IFERROR(__xludf.DUMMYFUNCTION("""COMPUTED_VALUE"""),"Mississauga, ON, CA")</f>
        <v/>
      </c>
      <c r="U857" s="45" t="n"/>
      <c r="V857" s="45" t="n"/>
      <c r="W857" s="45" t="n"/>
      <c r="X857" s="45" t="n"/>
      <c r="Y857" s="46">
        <f>IFERROR(__xludf.DUMMYFUNCTION("""COMPUTED_VALUE"""),45845)</f>
        <v/>
      </c>
      <c r="Z857" s="46">
        <f>IFERROR(__xludf.DUMMYFUNCTION("""COMPUTED_VALUE"""),45866)</f>
        <v/>
      </c>
      <c r="AA857" s="46">
        <f>IFERROR(__xludf.DUMMYFUNCTION("""COMPUTED_VALUE"""),45866)</f>
        <v/>
      </c>
      <c r="AB857" s="45">
        <f>IFERROR(__xludf.DUMMYFUNCTION("""COMPUTED_VALUE"""),"3500 Argentia Road")</f>
        <v/>
      </c>
      <c r="AC857" s="45" t="n"/>
      <c r="AD857" s="45">
        <f>IFERROR(__xludf.DUMMYFUNCTION("""COMPUTED_VALUE"""),"OCEAN")</f>
        <v/>
      </c>
      <c r="AE857" s="45">
        <f>IFERROR(__xludf.DUMMYFUNCTION("""COMPUTED_VALUE"""),"N")</f>
        <v/>
      </c>
      <c r="AF857" s="45">
        <f>IFERROR(__xludf.DUMMYFUNCTION("""COMPUTED_VALUE"""),"New Booking")</f>
        <v/>
      </c>
      <c r="AG857" s="49">
        <f>IFERROR(__xludf.DUMMYFUNCTION("IFNA(vlookup(H857,IMPORTRANGE(""1vUGwO1n0QQGx9kKbO0_M5gmuhXZ6-LaxQxgrmJnzgP0"",""'TP# look up'!A:C""),3,0),"""")"),"")</f>
        <v/>
      </c>
      <c r="AH857" s="49">
        <f>LEFT(J857,2)</f>
        <v/>
      </c>
    </row>
    <row r="858" ht="12.75" customHeight="1">
      <c r="A858" s="45">
        <f>IFERROR(__xludf.DUMMYFUNCTION("""COMPUTED_VALUE"""),"Colombo")</f>
        <v/>
      </c>
      <c r="B858" s="45" t="n"/>
      <c r="C858" s="45">
        <f>IFERROR(__xludf.DUMMYFUNCTION("""COMPUTED_VALUE"""),3259528)</f>
        <v/>
      </c>
      <c r="D858" s="45" t="n"/>
      <c r="E858" s="45">
        <f>IFERROR(__xludf.DUMMYFUNCTION("""COMPUTED_VALUE"""),"CFS")</f>
        <v/>
      </c>
      <c r="F858" s="45">
        <f>IFERROR(__xludf.DUMMYFUNCTION("""COMPUTED_VALUE"""),"Inqube Global (PVT) Ltd")</f>
        <v/>
      </c>
      <c r="G858" s="45">
        <f>IFERROR(__xludf.DUMMYFUNCTION("""COMPUTED_VALUE"""),"BRANDIX APPAREL SOLUTION LTD - GIRITALE")</f>
        <v/>
      </c>
      <c r="H858" s="43">
        <f>IFERROR(__xludf.DUMMYFUNCTION("""COMPUTED_VALUE"""),456103158667)</f>
        <v/>
      </c>
      <c r="I858" s="45">
        <f>IFERROR(__xludf.DUMMYFUNCTION("""COMPUTED_VALUE"""),19856417)</f>
        <v/>
      </c>
      <c r="J858" s="45">
        <f>IFERROR(__xludf.DUMMYFUNCTION("""COMPUTED_VALUE"""),"LM5AXBS")</f>
        <v/>
      </c>
      <c r="K858" s="45">
        <f>IFERROR(__xludf.DUMMYFUNCTION("""COMPUTED_VALUE"""),"LM5AXBS-033454")</f>
        <v/>
      </c>
      <c r="L858" s="45">
        <f>IFERROR(__xludf.DUMMYFUNCTION("""COMPUTED_VALUE"""),4)</f>
        <v/>
      </c>
      <c r="M858" s="45">
        <f>IFERROR(__xludf.DUMMYFUNCTION("""COMPUTED_VALUE"""),85)</f>
        <v/>
      </c>
      <c r="N858" s="45">
        <f>IFERROR(__xludf.DUMMYFUNCTION("""COMPUTED_VALUE"""),45.83)</f>
        <v/>
      </c>
      <c r="O858" s="45">
        <f>IFERROR(__xludf.DUMMYFUNCTION("""COMPUTED_VALUE"""),0.21)</f>
        <v/>
      </c>
      <c r="P858" s="45">
        <f>IFERROR(__xludf.DUMMYFUNCTION("""COMPUTED_VALUE"""),"Colombo, LK")</f>
        <v/>
      </c>
      <c r="Q858" s="45">
        <f>IFERROR(__xludf.DUMMYFUNCTION("""COMPUTED_VALUE"""),"New York, NY, US")</f>
        <v/>
      </c>
      <c r="R858" s="44">
        <f>IFERROR(__xludf.DUMMYFUNCTION("""COMPUTED_VALUE"""),45838)</f>
        <v/>
      </c>
      <c r="S858" s="44">
        <f>IFERROR(__xludf.DUMMYFUNCTION("""COMPUTED_VALUE"""),45897)</f>
        <v/>
      </c>
      <c r="T858" s="45">
        <f>IFERROR(__xludf.DUMMYFUNCTION("""COMPUTED_VALUE"""),"Mississauga, ON, CA")</f>
        <v/>
      </c>
      <c r="U858" s="45" t="n"/>
      <c r="V858" s="45" t="n"/>
      <c r="W858" s="45" t="n"/>
      <c r="X858" s="45" t="n"/>
      <c r="Y858" s="46">
        <f>IFERROR(__xludf.DUMMYFUNCTION("""COMPUTED_VALUE"""),45845)</f>
        <v/>
      </c>
      <c r="Z858" s="46">
        <f>IFERROR(__xludf.DUMMYFUNCTION("""COMPUTED_VALUE"""),45866)</f>
        <v/>
      </c>
      <c r="AA858" s="46">
        <f>IFERROR(__xludf.DUMMYFUNCTION("""COMPUTED_VALUE"""),45866)</f>
        <v/>
      </c>
      <c r="AB858" s="45">
        <f>IFERROR(__xludf.DUMMYFUNCTION("""COMPUTED_VALUE"""),"3500 Argentia Road")</f>
        <v/>
      </c>
      <c r="AC858" s="45" t="n"/>
      <c r="AD858" s="45">
        <f>IFERROR(__xludf.DUMMYFUNCTION("""COMPUTED_VALUE"""),"OCEAN")</f>
        <v/>
      </c>
      <c r="AE858" s="45">
        <f>IFERROR(__xludf.DUMMYFUNCTION("""COMPUTED_VALUE"""),"N")</f>
        <v/>
      </c>
      <c r="AF858" s="45">
        <f>IFERROR(__xludf.DUMMYFUNCTION("""COMPUTED_VALUE"""),"New Booking")</f>
        <v/>
      </c>
      <c r="AG858" s="49">
        <f>IFERROR(__xludf.DUMMYFUNCTION("IFNA(vlookup(H858,IMPORTRANGE(""1vUGwO1n0QQGx9kKbO0_M5gmuhXZ6-LaxQxgrmJnzgP0"",""'TP# look up'!A:C""),3,0),"""")"),"")</f>
        <v/>
      </c>
      <c r="AH858" s="49">
        <f>LEFT(J858,2)</f>
        <v/>
      </c>
    </row>
    <row r="859" ht="12.75" customHeight="1">
      <c r="A859" s="45">
        <f>IFERROR(__xludf.DUMMYFUNCTION("""COMPUTED_VALUE"""),"Colombo")</f>
        <v/>
      </c>
      <c r="B859" s="45" t="n"/>
      <c r="C859" s="45">
        <f>IFERROR(__xludf.DUMMYFUNCTION("""COMPUTED_VALUE"""),3259528)</f>
        <v/>
      </c>
      <c r="D859" s="45" t="n"/>
      <c r="E859" s="45">
        <f>IFERROR(__xludf.DUMMYFUNCTION("""COMPUTED_VALUE"""),"CFS")</f>
        <v/>
      </c>
      <c r="F859" s="45">
        <f>IFERROR(__xludf.DUMMYFUNCTION("""COMPUTED_VALUE"""),"Inqube Global (PVT) Ltd")</f>
        <v/>
      </c>
      <c r="G859" s="45">
        <f>IFERROR(__xludf.DUMMYFUNCTION("""COMPUTED_VALUE"""),"BRANDIX APPAREL SOLUTION LTD - GIRITALE")</f>
        <v/>
      </c>
      <c r="H859" s="43">
        <f>IFERROR(__xludf.DUMMYFUNCTION("""COMPUTED_VALUE"""),456131632012)</f>
        <v/>
      </c>
      <c r="I859" s="45">
        <f>IFERROR(__xludf.DUMMYFUNCTION("""COMPUTED_VALUE"""),19855785)</f>
        <v/>
      </c>
      <c r="J859" s="45">
        <f>IFERROR(__xludf.DUMMYFUNCTION("""COMPUTED_VALUE"""),"LM5AXBS")</f>
        <v/>
      </c>
      <c r="K859" s="45">
        <f>IFERROR(__xludf.DUMMYFUNCTION("""COMPUTED_VALUE"""),"LM5AXBS-038426")</f>
        <v/>
      </c>
      <c r="L859" s="45">
        <f>IFERROR(__xludf.DUMMYFUNCTION("""COMPUTED_VALUE"""),4)</f>
        <v/>
      </c>
      <c r="M859" s="45">
        <f>IFERROR(__xludf.DUMMYFUNCTION("""COMPUTED_VALUE"""),69)</f>
        <v/>
      </c>
      <c r="N859" s="45">
        <f>IFERROR(__xludf.DUMMYFUNCTION("""COMPUTED_VALUE"""),37.79)</f>
        <v/>
      </c>
      <c r="O859" s="45">
        <f>IFERROR(__xludf.DUMMYFUNCTION("""COMPUTED_VALUE"""),0.21)</f>
        <v/>
      </c>
      <c r="P859" s="45">
        <f>IFERROR(__xludf.DUMMYFUNCTION("""COMPUTED_VALUE"""),"Colombo, LK")</f>
        <v/>
      </c>
      <c r="Q859" s="45">
        <f>IFERROR(__xludf.DUMMYFUNCTION("""COMPUTED_VALUE"""),"New York, NY, US")</f>
        <v/>
      </c>
      <c r="R859" s="44">
        <f>IFERROR(__xludf.DUMMYFUNCTION("""COMPUTED_VALUE"""),45838)</f>
        <v/>
      </c>
      <c r="S859" s="44">
        <f>IFERROR(__xludf.DUMMYFUNCTION("""COMPUTED_VALUE"""),45897)</f>
        <v/>
      </c>
      <c r="T859" s="45">
        <f>IFERROR(__xludf.DUMMYFUNCTION("""COMPUTED_VALUE"""),"Mississauga, ON, CA")</f>
        <v/>
      </c>
      <c r="U859" s="45" t="n"/>
      <c r="V859" s="45" t="n"/>
      <c r="W859" s="45" t="n"/>
      <c r="X859" s="45" t="n"/>
      <c r="Y859" s="46">
        <f>IFERROR(__xludf.DUMMYFUNCTION("""COMPUTED_VALUE"""),45845)</f>
        <v/>
      </c>
      <c r="Z859" s="46">
        <f>IFERROR(__xludf.DUMMYFUNCTION("""COMPUTED_VALUE"""),45866)</f>
        <v/>
      </c>
      <c r="AA859" s="46">
        <f>IFERROR(__xludf.DUMMYFUNCTION("""COMPUTED_VALUE"""),45866)</f>
        <v/>
      </c>
      <c r="AB859" s="45">
        <f>IFERROR(__xludf.DUMMYFUNCTION("""COMPUTED_VALUE"""),"3500 Argentia Road")</f>
        <v/>
      </c>
      <c r="AC859" s="45" t="n"/>
      <c r="AD859" s="45">
        <f>IFERROR(__xludf.DUMMYFUNCTION("""COMPUTED_VALUE"""),"OCEAN")</f>
        <v/>
      </c>
      <c r="AE859" s="45">
        <f>IFERROR(__xludf.DUMMYFUNCTION("""COMPUTED_VALUE"""),"N")</f>
        <v/>
      </c>
      <c r="AF859" s="45">
        <f>IFERROR(__xludf.DUMMYFUNCTION("""COMPUTED_VALUE"""),"New Booking")</f>
        <v/>
      </c>
      <c r="AG859" s="49">
        <f>IFERROR(__xludf.DUMMYFUNCTION("IFNA(vlookup(H859,IMPORTRANGE(""1vUGwO1n0QQGx9kKbO0_M5gmuhXZ6-LaxQxgrmJnzgP0"",""'TP# look up'!A:C""),3,0),"""")"),"")</f>
        <v/>
      </c>
      <c r="AH859" s="49">
        <f>LEFT(J859,2)</f>
        <v/>
      </c>
    </row>
    <row r="860" ht="12.75" customHeight="1">
      <c r="A860" s="45">
        <f>IFERROR(__xludf.DUMMYFUNCTION("""COMPUTED_VALUE"""),"Colombo")</f>
        <v/>
      </c>
      <c r="B860" s="45" t="n"/>
      <c r="C860" s="45">
        <f>IFERROR(__xludf.DUMMYFUNCTION("""COMPUTED_VALUE"""),3259528)</f>
        <v/>
      </c>
      <c r="D860" s="45" t="n"/>
      <c r="E860" s="45">
        <f>IFERROR(__xludf.DUMMYFUNCTION("""COMPUTED_VALUE"""),"CFS")</f>
        <v/>
      </c>
      <c r="F860" s="45">
        <f>IFERROR(__xludf.DUMMYFUNCTION("""COMPUTED_VALUE"""),"Inqube Global (PVT) Ltd")</f>
        <v/>
      </c>
      <c r="G860" s="45">
        <f>IFERROR(__xludf.DUMMYFUNCTION("""COMPUTED_VALUE"""),"BRANDIX APPAREL SOLUTION LTD - GIRITALE")</f>
        <v/>
      </c>
      <c r="H860" s="43">
        <f>IFERROR(__xludf.DUMMYFUNCTION("""COMPUTED_VALUE"""),456132849316)</f>
        <v/>
      </c>
      <c r="I860" s="45">
        <f>IFERROR(__xludf.DUMMYFUNCTION("""COMPUTED_VALUE"""),19856433)</f>
        <v/>
      </c>
      <c r="J860" s="45">
        <f>IFERROR(__xludf.DUMMYFUNCTION("""COMPUTED_VALUE"""),"LM5AXBS")</f>
        <v/>
      </c>
      <c r="K860" s="45">
        <f>IFERROR(__xludf.DUMMYFUNCTION("""COMPUTED_VALUE"""),"LM5AXBS-038426")</f>
        <v/>
      </c>
      <c r="L860" s="45">
        <f>IFERROR(__xludf.DUMMYFUNCTION("""COMPUTED_VALUE"""),8)</f>
        <v/>
      </c>
      <c r="M860" s="45">
        <f>IFERROR(__xludf.DUMMYFUNCTION("""COMPUTED_VALUE"""),224)</f>
        <v/>
      </c>
      <c r="N860" s="45">
        <f>IFERROR(__xludf.DUMMYFUNCTION("""COMPUTED_VALUE"""),118.93)</f>
        <v/>
      </c>
      <c r="O860" s="45">
        <f>IFERROR(__xludf.DUMMYFUNCTION("""COMPUTED_VALUE"""),0.54)</f>
        <v/>
      </c>
      <c r="P860" s="45">
        <f>IFERROR(__xludf.DUMMYFUNCTION("""COMPUTED_VALUE"""),"Colombo, LK")</f>
        <v/>
      </c>
      <c r="Q860" s="45">
        <f>IFERROR(__xludf.DUMMYFUNCTION("""COMPUTED_VALUE"""),"New York, NY, US")</f>
        <v/>
      </c>
      <c r="R860" s="44">
        <f>IFERROR(__xludf.DUMMYFUNCTION("""COMPUTED_VALUE"""),45838)</f>
        <v/>
      </c>
      <c r="S860" s="44">
        <f>IFERROR(__xludf.DUMMYFUNCTION("""COMPUTED_VALUE"""),45897)</f>
        <v/>
      </c>
      <c r="T860" s="45">
        <f>IFERROR(__xludf.DUMMYFUNCTION("""COMPUTED_VALUE"""),"Mississauga, ON, CA")</f>
        <v/>
      </c>
      <c r="U860" s="45" t="n"/>
      <c r="V860" s="45" t="n"/>
      <c r="W860" s="45" t="n"/>
      <c r="X860" s="45" t="n"/>
      <c r="Y860" s="46">
        <f>IFERROR(__xludf.DUMMYFUNCTION("""COMPUTED_VALUE"""),45845)</f>
        <v/>
      </c>
      <c r="Z860" s="46">
        <f>IFERROR(__xludf.DUMMYFUNCTION("""COMPUTED_VALUE"""),45866)</f>
        <v/>
      </c>
      <c r="AA860" s="46">
        <f>IFERROR(__xludf.DUMMYFUNCTION("""COMPUTED_VALUE"""),45866)</f>
        <v/>
      </c>
      <c r="AB860" s="45">
        <f>IFERROR(__xludf.DUMMYFUNCTION("""COMPUTED_VALUE"""),"3500 Argentia Road")</f>
        <v/>
      </c>
      <c r="AC860" s="45" t="n"/>
      <c r="AD860" s="45">
        <f>IFERROR(__xludf.DUMMYFUNCTION("""COMPUTED_VALUE"""),"OCEAN")</f>
        <v/>
      </c>
      <c r="AE860" s="45">
        <f>IFERROR(__xludf.DUMMYFUNCTION("""COMPUTED_VALUE"""),"N")</f>
        <v/>
      </c>
      <c r="AF860" s="45">
        <f>IFERROR(__xludf.DUMMYFUNCTION("""COMPUTED_VALUE"""),"New Booking")</f>
        <v/>
      </c>
      <c r="AG860" s="49">
        <f>IFERROR(__xludf.DUMMYFUNCTION("IFNA(vlookup(H860,IMPORTRANGE(""1vUGwO1n0QQGx9kKbO0_M5gmuhXZ6-LaxQxgrmJnzgP0"",""'TP# look up'!A:C""),3,0),"""")"),"")</f>
        <v/>
      </c>
      <c r="AH860" s="49">
        <f>LEFT(J860,2)</f>
        <v/>
      </c>
    </row>
    <row r="861" ht="12.75" customHeight="1">
      <c r="A861" s="45">
        <f>IFERROR(__xludf.DUMMYFUNCTION("""COMPUTED_VALUE"""),"Colombo")</f>
        <v/>
      </c>
      <c r="B861" s="45" t="n"/>
      <c r="C861" s="45">
        <f>IFERROR(__xludf.DUMMYFUNCTION("""COMPUTED_VALUE"""),3259528)</f>
        <v/>
      </c>
      <c r="D861" s="45" t="n"/>
      <c r="E861" s="45">
        <f>IFERROR(__xludf.DUMMYFUNCTION("""COMPUTED_VALUE"""),"CFS")</f>
        <v/>
      </c>
      <c r="F861" s="45">
        <f>IFERROR(__xludf.DUMMYFUNCTION("""COMPUTED_VALUE"""),"Inqube Global (PVT) Ltd")</f>
        <v/>
      </c>
      <c r="G861" s="45">
        <f>IFERROR(__xludf.DUMMYFUNCTION("""COMPUTED_VALUE"""),"BRANDIX APPAREL SOLUTION LTD - GIRITALE")</f>
        <v/>
      </c>
      <c r="H861" s="43">
        <f>IFERROR(__xludf.DUMMYFUNCTION("""COMPUTED_VALUE"""),456133120252)</f>
        <v/>
      </c>
      <c r="I861" s="45">
        <f>IFERROR(__xludf.DUMMYFUNCTION("""COMPUTED_VALUE"""),19855793)</f>
        <v/>
      </c>
      <c r="J861" s="45">
        <f>IFERROR(__xludf.DUMMYFUNCTION("""COMPUTED_VALUE"""),"LM5AXBS")</f>
        <v/>
      </c>
      <c r="K861" s="45">
        <f>IFERROR(__xludf.DUMMYFUNCTION("""COMPUTED_VALUE"""),"LM5AXBS-070108")</f>
        <v/>
      </c>
      <c r="L861" s="45">
        <f>IFERROR(__xludf.DUMMYFUNCTION("""COMPUTED_VALUE"""),4)</f>
        <v/>
      </c>
      <c r="M861" s="45">
        <f>IFERROR(__xludf.DUMMYFUNCTION("""COMPUTED_VALUE"""),69)</f>
        <v/>
      </c>
      <c r="N861" s="45">
        <f>IFERROR(__xludf.DUMMYFUNCTION("""COMPUTED_VALUE"""),37.79)</f>
        <v/>
      </c>
      <c r="O861" s="45">
        <f>IFERROR(__xludf.DUMMYFUNCTION("""COMPUTED_VALUE"""),0.21)</f>
        <v/>
      </c>
      <c r="P861" s="45">
        <f>IFERROR(__xludf.DUMMYFUNCTION("""COMPUTED_VALUE"""),"Colombo, LK")</f>
        <v/>
      </c>
      <c r="Q861" s="45">
        <f>IFERROR(__xludf.DUMMYFUNCTION("""COMPUTED_VALUE"""),"New York, NY, US")</f>
        <v/>
      </c>
      <c r="R861" s="44">
        <f>IFERROR(__xludf.DUMMYFUNCTION("""COMPUTED_VALUE"""),45838)</f>
        <v/>
      </c>
      <c r="S861" s="44">
        <f>IFERROR(__xludf.DUMMYFUNCTION("""COMPUTED_VALUE"""),45897)</f>
        <v/>
      </c>
      <c r="T861" s="45">
        <f>IFERROR(__xludf.DUMMYFUNCTION("""COMPUTED_VALUE"""),"Mississauga, ON, CA")</f>
        <v/>
      </c>
      <c r="U861" s="45" t="n"/>
      <c r="V861" s="45" t="n"/>
      <c r="W861" s="45" t="n"/>
      <c r="X861" s="45" t="n"/>
      <c r="Y861" s="46">
        <f>IFERROR(__xludf.DUMMYFUNCTION("""COMPUTED_VALUE"""),45845)</f>
        <v/>
      </c>
      <c r="Z861" s="46">
        <f>IFERROR(__xludf.DUMMYFUNCTION("""COMPUTED_VALUE"""),45866)</f>
        <v/>
      </c>
      <c r="AA861" s="46">
        <f>IFERROR(__xludf.DUMMYFUNCTION("""COMPUTED_VALUE"""),45866)</f>
        <v/>
      </c>
      <c r="AB861" s="45">
        <f>IFERROR(__xludf.DUMMYFUNCTION("""COMPUTED_VALUE"""),"3500 Argentia Road")</f>
        <v/>
      </c>
      <c r="AC861" s="45" t="n"/>
      <c r="AD861" s="45">
        <f>IFERROR(__xludf.DUMMYFUNCTION("""COMPUTED_VALUE"""),"OCEAN")</f>
        <v/>
      </c>
      <c r="AE861" s="45">
        <f>IFERROR(__xludf.DUMMYFUNCTION("""COMPUTED_VALUE"""),"N")</f>
        <v/>
      </c>
      <c r="AF861" s="45">
        <f>IFERROR(__xludf.DUMMYFUNCTION("""COMPUTED_VALUE"""),"New Booking")</f>
        <v/>
      </c>
      <c r="AG861" s="49">
        <f>IFERROR(__xludf.DUMMYFUNCTION("IFNA(vlookup(H861,IMPORTRANGE(""1vUGwO1n0QQGx9kKbO0_M5gmuhXZ6-LaxQxgrmJnzgP0"",""'TP# look up'!A:C""),3,0),"""")"),"")</f>
        <v/>
      </c>
      <c r="AH861" s="49">
        <f>LEFT(J861,2)</f>
        <v/>
      </c>
    </row>
    <row r="862" ht="12.75" customHeight="1">
      <c r="A862" s="45">
        <f>IFERROR(__xludf.DUMMYFUNCTION("""COMPUTED_VALUE"""),"Colombo")</f>
        <v/>
      </c>
      <c r="B862" s="45" t="n"/>
      <c r="C862" s="45">
        <f>IFERROR(__xludf.DUMMYFUNCTION("""COMPUTED_VALUE"""),3259528)</f>
        <v/>
      </c>
      <c r="D862" s="45" t="n"/>
      <c r="E862" s="45">
        <f>IFERROR(__xludf.DUMMYFUNCTION("""COMPUTED_VALUE"""),"CFS")</f>
        <v/>
      </c>
      <c r="F862" s="45">
        <f>IFERROR(__xludf.DUMMYFUNCTION("""COMPUTED_VALUE"""),"Inqube Global (PVT) Ltd")</f>
        <v/>
      </c>
      <c r="G862" s="45">
        <f>IFERROR(__xludf.DUMMYFUNCTION("""COMPUTED_VALUE"""),"BRANDIX APPAREL SOLUTION LTD - GIRITALE")</f>
        <v/>
      </c>
      <c r="H862" s="43">
        <f>IFERROR(__xludf.DUMMYFUNCTION("""COMPUTED_VALUE"""),456135450115)</f>
        <v/>
      </c>
      <c r="I862" s="45">
        <f>IFERROR(__xludf.DUMMYFUNCTION("""COMPUTED_VALUE"""),19856465)</f>
        <v/>
      </c>
      <c r="J862" s="45">
        <f>IFERROR(__xludf.DUMMYFUNCTION("""COMPUTED_VALUE"""),"LM5AXBS")</f>
        <v/>
      </c>
      <c r="K862" s="45">
        <f>IFERROR(__xludf.DUMMYFUNCTION("""COMPUTED_VALUE"""),"LM5AXBS-070108")</f>
        <v/>
      </c>
      <c r="L862" s="45">
        <f>IFERROR(__xludf.DUMMYFUNCTION("""COMPUTED_VALUE"""),3)</f>
        <v/>
      </c>
      <c r="M862" s="45">
        <f>IFERROR(__xludf.DUMMYFUNCTION("""COMPUTED_VALUE"""),59)</f>
        <v/>
      </c>
      <c r="N862" s="45">
        <f>IFERROR(__xludf.DUMMYFUNCTION("""COMPUTED_VALUE"""),32.07)</f>
        <v/>
      </c>
      <c r="O862" s="45">
        <f>IFERROR(__xludf.DUMMYFUNCTION("""COMPUTED_VALUE"""),0.168)</f>
        <v/>
      </c>
      <c r="P862" s="45">
        <f>IFERROR(__xludf.DUMMYFUNCTION("""COMPUTED_VALUE"""),"Colombo, LK")</f>
        <v/>
      </c>
      <c r="Q862" s="45">
        <f>IFERROR(__xludf.DUMMYFUNCTION("""COMPUTED_VALUE"""),"New York, NY, US")</f>
        <v/>
      </c>
      <c r="R862" s="44">
        <f>IFERROR(__xludf.DUMMYFUNCTION("""COMPUTED_VALUE"""),45838)</f>
        <v/>
      </c>
      <c r="S862" s="44">
        <f>IFERROR(__xludf.DUMMYFUNCTION("""COMPUTED_VALUE"""),45897)</f>
        <v/>
      </c>
      <c r="T862" s="45">
        <f>IFERROR(__xludf.DUMMYFUNCTION("""COMPUTED_VALUE"""),"Mississauga, ON, CA")</f>
        <v/>
      </c>
      <c r="U862" s="45" t="n"/>
      <c r="V862" s="45" t="n"/>
      <c r="W862" s="45" t="n"/>
      <c r="X862" s="45" t="n"/>
      <c r="Y862" s="46">
        <f>IFERROR(__xludf.DUMMYFUNCTION("""COMPUTED_VALUE"""),45845)</f>
        <v/>
      </c>
      <c r="Z862" s="46">
        <f>IFERROR(__xludf.DUMMYFUNCTION("""COMPUTED_VALUE"""),45866)</f>
        <v/>
      </c>
      <c r="AA862" s="46">
        <f>IFERROR(__xludf.DUMMYFUNCTION("""COMPUTED_VALUE"""),45866)</f>
        <v/>
      </c>
      <c r="AB862" s="45">
        <f>IFERROR(__xludf.DUMMYFUNCTION("""COMPUTED_VALUE"""),"3500 Argentia Road")</f>
        <v/>
      </c>
      <c r="AC862" s="45" t="n"/>
      <c r="AD862" s="45">
        <f>IFERROR(__xludf.DUMMYFUNCTION("""COMPUTED_VALUE"""),"OCEAN")</f>
        <v/>
      </c>
      <c r="AE862" s="45">
        <f>IFERROR(__xludf.DUMMYFUNCTION("""COMPUTED_VALUE"""),"N")</f>
        <v/>
      </c>
      <c r="AF862" s="45">
        <f>IFERROR(__xludf.DUMMYFUNCTION("""COMPUTED_VALUE"""),"New Booking")</f>
        <v/>
      </c>
      <c r="AG862" s="49">
        <f>IFERROR(__xludf.DUMMYFUNCTION("IFNA(vlookup(H862,IMPORTRANGE(""1vUGwO1n0QQGx9kKbO0_M5gmuhXZ6-LaxQxgrmJnzgP0"",""'TP# look up'!A:C""),3,0),"""")"),"")</f>
        <v/>
      </c>
      <c r="AH862" s="49">
        <f>LEFT(J862,2)</f>
        <v/>
      </c>
    </row>
    <row r="863" ht="12.75" customHeight="1">
      <c r="A863" s="45">
        <f>IFERROR(__xludf.DUMMYFUNCTION("""COMPUTED_VALUE"""),"Colombo")</f>
        <v/>
      </c>
      <c r="B863" s="45" t="n"/>
      <c r="C863" s="45">
        <f>IFERROR(__xludf.DUMMYFUNCTION("""COMPUTED_VALUE"""),3259528)</f>
        <v/>
      </c>
      <c r="D863" s="45" t="n"/>
      <c r="E863" s="45">
        <f>IFERROR(__xludf.DUMMYFUNCTION("""COMPUTED_VALUE"""),"CFS")</f>
        <v/>
      </c>
      <c r="F863" s="45">
        <f>IFERROR(__xludf.DUMMYFUNCTION("""COMPUTED_VALUE"""),"Inqube Global (PVT) Ltd")</f>
        <v/>
      </c>
      <c r="G863" s="45">
        <f>IFERROR(__xludf.DUMMYFUNCTION("""COMPUTED_VALUE"""),"BRANDIX APPAREL SOLUTION LTD - GIRITALE")</f>
        <v/>
      </c>
      <c r="H863" s="43">
        <f>IFERROR(__xludf.DUMMYFUNCTION("""COMPUTED_VALUE"""),456135628203)</f>
        <v/>
      </c>
      <c r="I863" s="45">
        <f>IFERROR(__xludf.DUMMYFUNCTION("""COMPUTED_VALUE"""),19856461)</f>
        <v/>
      </c>
      <c r="J863" s="45">
        <f>IFERROR(__xludf.DUMMYFUNCTION("""COMPUTED_VALUE"""),"LM5AXBS")</f>
        <v/>
      </c>
      <c r="K863" s="45">
        <f>IFERROR(__xludf.DUMMYFUNCTION("""COMPUTED_VALUE"""),"LM5AXBS-070108")</f>
        <v/>
      </c>
      <c r="L863" s="45">
        <f>IFERROR(__xludf.DUMMYFUNCTION("""COMPUTED_VALUE"""),8)</f>
        <v/>
      </c>
      <c r="M863" s="45">
        <f>IFERROR(__xludf.DUMMYFUNCTION("""COMPUTED_VALUE"""),184)</f>
        <v/>
      </c>
      <c r="N863" s="45">
        <f>IFERROR(__xludf.DUMMYFUNCTION("""COMPUTED_VALUE"""),98.97)</f>
        <v/>
      </c>
      <c r="O863" s="45">
        <f>IFERROR(__xludf.DUMMYFUNCTION("""COMPUTED_VALUE"""),0.54)</f>
        <v/>
      </c>
      <c r="P863" s="45">
        <f>IFERROR(__xludf.DUMMYFUNCTION("""COMPUTED_VALUE"""),"Colombo, LK")</f>
        <v/>
      </c>
      <c r="Q863" s="45">
        <f>IFERROR(__xludf.DUMMYFUNCTION("""COMPUTED_VALUE"""),"New York, NY, US")</f>
        <v/>
      </c>
      <c r="R863" s="44">
        <f>IFERROR(__xludf.DUMMYFUNCTION("""COMPUTED_VALUE"""),45838)</f>
        <v/>
      </c>
      <c r="S863" s="44">
        <f>IFERROR(__xludf.DUMMYFUNCTION("""COMPUTED_VALUE"""),45897)</f>
        <v/>
      </c>
      <c r="T863" s="45">
        <f>IFERROR(__xludf.DUMMYFUNCTION("""COMPUTED_VALUE"""),"Mississauga, ON, CA")</f>
        <v/>
      </c>
      <c r="U863" s="45" t="n"/>
      <c r="V863" s="45" t="n"/>
      <c r="W863" s="45" t="n"/>
      <c r="X863" s="45" t="n"/>
      <c r="Y863" s="46">
        <f>IFERROR(__xludf.DUMMYFUNCTION("""COMPUTED_VALUE"""),45845)</f>
        <v/>
      </c>
      <c r="Z863" s="46">
        <f>IFERROR(__xludf.DUMMYFUNCTION("""COMPUTED_VALUE"""),45866)</f>
        <v/>
      </c>
      <c r="AA863" s="46">
        <f>IFERROR(__xludf.DUMMYFUNCTION("""COMPUTED_VALUE"""),45866)</f>
        <v/>
      </c>
      <c r="AB863" s="45">
        <f>IFERROR(__xludf.DUMMYFUNCTION("""COMPUTED_VALUE"""),"3500 Argentia Road")</f>
        <v/>
      </c>
      <c r="AC863" s="45" t="n"/>
      <c r="AD863" s="45">
        <f>IFERROR(__xludf.DUMMYFUNCTION("""COMPUTED_VALUE"""),"OCEAN")</f>
        <v/>
      </c>
      <c r="AE863" s="45">
        <f>IFERROR(__xludf.DUMMYFUNCTION("""COMPUTED_VALUE"""),"N")</f>
        <v/>
      </c>
      <c r="AF863" s="45">
        <f>IFERROR(__xludf.DUMMYFUNCTION("""COMPUTED_VALUE"""),"New Booking")</f>
        <v/>
      </c>
      <c r="AG863" s="49">
        <f>IFERROR(__xludf.DUMMYFUNCTION("IFNA(vlookup(H863,IMPORTRANGE(""1vUGwO1n0QQGx9kKbO0_M5gmuhXZ6-LaxQxgrmJnzgP0"",""'TP# look up'!A:C""),3,0),"""")"),"")</f>
        <v/>
      </c>
      <c r="AH863" s="49">
        <f>LEFT(J863,2)</f>
        <v/>
      </c>
    </row>
    <row r="864" ht="12.75" customHeight="1">
      <c r="A864" s="45">
        <f>IFERROR(__xludf.DUMMYFUNCTION("""COMPUTED_VALUE"""),"Colombo")</f>
        <v/>
      </c>
      <c r="B864" s="45" t="n"/>
      <c r="C864" s="45">
        <f>IFERROR(__xludf.DUMMYFUNCTION("""COMPUTED_VALUE"""),3259528)</f>
        <v/>
      </c>
      <c r="D864" s="45" t="n"/>
      <c r="E864" s="45">
        <f>IFERROR(__xludf.DUMMYFUNCTION("""COMPUTED_VALUE"""),"CFS")</f>
        <v/>
      </c>
      <c r="F864" s="45">
        <f>IFERROR(__xludf.DUMMYFUNCTION("""COMPUTED_VALUE"""),"Inqube Global (PVT) Ltd")</f>
        <v/>
      </c>
      <c r="G864" s="45">
        <f>IFERROR(__xludf.DUMMYFUNCTION("""COMPUTED_VALUE"""),"BRANDIX APPAREL SOLUTION LTD - GIRITALE")</f>
        <v/>
      </c>
      <c r="H864" s="43">
        <f>IFERROR(__xludf.DUMMYFUNCTION("""COMPUTED_VALUE"""),456137844133)</f>
        <v/>
      </c>
      <c r="I864" s="45">
        <f>IFERROR(__xludf.DUMMYFUNCTION("""COMPUTED_VALUE"""),19855783)</f>
        <v/>
      </c>
      <c r="J864" s="45">
        <f>IFERROR(__xludf.DUMMYFUNCTION("""COMPUTED_VALUE"""),"LM5AXBS")</f>
        <v/>
      </c>
      <c r="K864" s="45">
        <f>IFERROR(__xludf.DUMMYFUNCTION("""COMPUTED_VALUE"""),"LM5AXBS-071148")</f>
        <v/>
      </c>
      <c r="L864" s="45">
        <f>IFERROR(__xludf.DUMMYFUNCTION("""COMPUTED_VALUE"""),4)</f>
        <v/>
      </c>
      <c r="M864" s="45">
        <f>IFERROR(__xludf.DUMMYFUNCTION("""COMPUTED_VALUE"""),69)</f>
        <v/>
      </c>
      <c r="N864" s="45">
        <f>IFERROR(__xludf.DUMMYFUNCTION("""COMPUTED_VALUE"""),37.79)</f>
        <v/>
      </c>
      <c r="O864" s="45">
        <f>IFERROR(__xludf.DUMMYFUNCTION("""COMPUTED_VALUE"""),0.21)</f>
        <v/>
      </c>
      <c r="P864" s="45">
        <f>IFERROR(__xludf.DUMMYFUNCTION("""COMPUTED_VALUE"""),"Colombo, LK")</f>
        <v/>
      </c>
      <c r="Q864" s="45">
        <f>IFERROR(__xludf.DUMMYFUNCTION("""COMPUTED_VALUE"""),"New York, NY, US")</f>
        <v/>
      </c>
      <c r="R864" s="44">
        <f>IFERROR(__xludf.DUMMYFUNCTION("""COMPUTED_VALUE"""),45838)</f>
        <v/>
      </c>
      <c r="S864" s="44">
        <f>IFERROR(__xludf.DUMMYFUNCTION("""COMPUTED_VALUE"""),45897)</f>
        <v/>
      </c>
      <c r="T864" s="45">
        <f>IFERROR(__xludf.DUMMYFUNCTION("""COMPUTED_VALUE"""),"Mississauga, ON, CA")</f>
        <v/>
      </c>
      <c r="U864" s="45" t="n"/>
      <c r="V864" s="45" t="n"/>
      <c r="W864" s="45" t="n"/>
      <c r="X864" s="45" t="n"/>
      <c r="Y864" s="46">
        <f>IFERROR(__xludf.DUMMYFUNCTION("""COMPUTED_VALUE"""),45845)</f>
        <v/>
      </c>
      <c r="Z864" s="46">
        <f>IFERROR(__xludf.DUMMYFUNCTION("""COMPUTED_VALUE"""),45866)</f>
        <v/>
      </c>
      <c r="AA864" s="46">
        <f>IFERROR(__xludf.DUMMYFUNCTION("""COMPUTED_VALUE"""),45866)</f>
        <v/>
      </c>
      <c r="AB864" s="45">
        <f>IFERROR(__xludf.DUMMYFUNCTION("""COMPUTED_VALUE"""),"3500 Argentia Road")</f>
        <v/>
      </c>
      <c r="AC864" s="45" t="n"/>
      <c r="AD864" s="45">
        <f>IFERROR(__xludf.DUMMYFUNCTION("""COMPUTED_VALUE"""),"OCEAN")</f>
        <v/>
      </c>
      <c r="AE864" s="45">
        <f>IFERROR(__xludf.DUMMYFUNCTION("""COMPUTED_VALUE"""),"N")</f>
        <v/>
      </c>
      <c r="AF864" s="45">
        <f>IFERROR(__xludf.DUMMYFUNCTION("""COMPUTED_VALUE"""),"New Booking")</f>
        <v/>
      </c>
      <c r="AG864" s="49">
        <f>IFERROR(__xludf.DUMMYFUNCTION("IFNA(vlookup(H864,IMPORTRANGE(""1vUGwO1n0QQGx9kKbO0_M5gmuhXZ6-LaxQxgrmJnzgP0"",""'TP# look up'!A:C""),3,0),"""")"),"")</f>
        <v/>
      </c>
      <c r="AH864" s="49">
        <f>LEFT(J864,2)</f>
        <v/>
      </c>
    </row>
    <row r="865" ht="12.75" customHeight="1">
      <c r="A865" s="45">
        <f>IFERROR(__xludf.DUMMYFUNCTION("""COMPUTED_VALUE"""),"Colombo")</f>
        <v/>
      </c>
      <c r="B865" s="45" t="n"/>
      <c r="C865" s="45">
        <f>IFERROR(__xludf.DUMMYFUNCTION("""COMPUTED_VALUE"""),3259528)</f>
        <v/>
      </c>
      <c r="D865" s="45" t="n"/>
      <c r="E865" s="45">
        <f>IFERROR(__xludf.DUMMYFUNCTION("""COMPUTED_VALUE"""),"CFS")</f>
        <v/>
      </c>
      <c r="F865" s="45">
        <f>IFERROR(__xludf.DUMMYFUNCTION("""COMPUTED_VALUE"""),"Inqube Global (PVT) Ltd")</f>
        <v/>
      </c>
      <c r="G865" s="45">
        <f>IFERROR(__xludf.DUMMYFUNCTION("""COMPUTED_VALUE"""),"BRANDIX APPAREL SOLUTION LTD - GIRITALE")</f>
        <v/>
      </c>
      <c r="H865" s="43">
        <f>IFERROR(__xludf.DUMMYFUNCTION("""COMPUTED_VALUE"""),456139212207)</f>
        <v/>
      </c>
      <c r="I865" s="45">
        <f>IFERROR(__xludf.DUMMYFUNCTION("""COMPUTED_VALUE"""),19855805)</f>
        <v/>
      </c>
      <c r="J865" s="45">
        <f>IFERROR(__xludf.DUMMYFUNCTION("""COMPUTED_VALUE"""),"LM5B67S")</f>
        <v/>
      </c>
      <c r="K865" s="45">
        <f>IFERROR(__xludf.DUMMYFUNCTION("""COMPUTED_VALUE"""),"LM5B67S-019222")</f>
        <v/>
      </c>
      <c r="L865" s="45">
        <f>IFERROR(__xludf.DUMMYFUNCTION("""COMPUTED_VALUE"""),7)</f>
        <v/>
      </c>
      <c r="M865" s="45">
        <f>IFERROR(__xludf.DUMMYFUNCTION("""COMPUTED_VALUE"""),185)</f>
        <v/>
      </c>
      <c r="N865" s="45">
        <f>IFERROR(__xludf.DUMMYFUNCTION("""COMPUTED_VALUE"""),97.07)</f>
        <v/>
      </c>
      <c r="O865" s="45">
        <f>IFERROR(__xludf.DUMMYFUNCTION("""COMPUTED_VALUE"""),0.498)</f>
        <v/>
      </c>
      <c r="P865" s="45">
        <f>IFERROR(__xludf.DUMMYFUNCTION("""COMPUTED_VALUE"""),"Colombo, LK")</f>
        <v/>
      </c>
      <c r="Q865" s="45">
        <f>IFERROR(__xludf.DUMMYFUNCTION("""COMPUTED_VALUE"""),"New York, NY, US")</f>
        <v/>
      </c>
      <c r="R865" s="44">
        <f>IFERROR(__xludf.DUMMYFUNCTION("""COMPUTED_VALUE"""),45838)</f>
        <v/>
      </c>
      <c r="S865" s="44">
        <f>IFERROR(__xludf.DUMMYFUNCTION("""COMPUTED_VALUE"""),45897)</f>
        <v/>
      </c>
      <c r="T865" s="45">
        <f>IFERROR(__xludf.DUMMYFUNCTION("""COMPUTED_VALUE"""),"Mississauga, ON, CA")</f>
        <v/>
      </c>
      <c r="U865" s="45" t="n"/>
      <c r="V865" s="45" t="n"/>
      <c r="W865" s="45" t="n"/>
      <c r="X865" s="45" t="n"/>
      <c r="Y865" s="46">
        <f>IFERROR(__xludf.DUMMYFUNCTION("""COMPUTED_VALUE"""),45845)</f>
        <v/>
      </c>
      <c r="Z865" s="46">
        <f>IFERROR(__xludf.DUMMYFUNCTION("""COMPUTED_VALUE"""),45866)</f>
        <v/>
      </c>
      <c r="AA865" s="46">
        <f>IFERROR(__xludf.DUMMYFUNCTION("""COMPUTED_VALUE"""),45866)</f>
        <v/>
      </c>
      <c r="AB865" s="45">
        <f>IFERROR(__xludf.DUMMYFUNCTION("""COMPUTED_VALUE"""),"3500 Argentia Road")</f>
        <v/>
      </c>
      <c r="AC865" s="45" t="n"/>
      <c r="AD865" s="45">
        <f>IFERROR(__xludf.DUMMYFUNCTION("""COMPUTED_VALUE"""),"OCEAN")</f>
        <v/>
      </c>
      <c r="AE865" s="45">
        <f>IFERROR(__xludf.DUMMYFUNCTION("""COMPUTED_VALUE"""),"N")</f>
        <v/>
      </c>
      <c r="AF865" s="45">
        <f>IFERROR(__xludf.DUMMYFUNCTION("""COMPUTED_VALUE"""),"New Booking, Status changed from Submitted to Approved, Port of Loading changed from None to Colombo, LK, Dates Added, Dates Added")</f>
        <v/>
      </c>
      <c r="AG865" s="49">
        <f>IFERROR(__xludf.DUMMYFUNCTION("IFNA(vlookup(H865,IMPORTRANGE(""1vUGwO1n0QQGx9kKbO0_M5gmuhXZ6-LaxQxgrmJnzgP0"",""'TP# look up'!A:C""),3,0),"""")"),"")</f>
        <v/>
      </c>
      <c r="AH865" s="49">
        <f>LEFT(J865,2)</f>
        <v/>
      </c>
    </row>
    <row r="866" ht="12.75" customHeight="1">
      <c r="A866" s="45">
        <f>IFERROR(__xludf.DUMMYFUNCTION("""COMPUTED_VALUE"""),"Colombo")</f>
        <v/>
      </c>
      <c r="B866" s="45" t="n"/>
      <c r="C866" s="45">
        <f>IFERROR(__xludf.DUMMYFUNCTION("""COMPUTED_VALUE"""),3259528)</f>
        <v/>
      </c>
      <c r="D866" s="45" t="n"/>
      <c r="E866" s="45">
        <f>IFERROR(__xludf.DUMMYFUNCTION("""COMPUTED_VALUE"""),"CFS")</f>
        <v/>
      </c>
      <c r="F866" s="45">
        <f>IFERROR(__xludf.DUMMYFUNCTION("""COMPUTED_VALUE"""),"Inqube Global (PVT) Ltd")</f>
        <v/>
      </c>
      <c r="G866" s="45">
        <f>IFERROR(__xludf.DUMMYFUNCTION("""COMPUTED_VALUE"""),"BRANDIX APPAREL SOLUTION LTD - GIRITALE")</f>
        <v/>
      </c>
      <c r="H866" s="43">
        <f>IFERROR(__xludf.DUMMYFUNCTION("""COMPUTED_VALUE"""),456140157896)</f>
        <v/>
      </c>
      <c r="I866" s="45">
        <f>IFERROR(__xludf.DUMMYFUNCTION("""COMPUTED_VALUE"""),19856425)</f>
        <v/>
      </c>
      <c r="J866" s="45">
        <f>IFERROR(__xludf.DUMMYFUNCTION("""COMPUTED_VALUE"""),"LM5AXBS")</f>
        <v/>
      </c>
      <c r="K866" s="45">
        <f>IFERROR(__xludf.DUMMYFUNCTION("""COMPUTED_VALUE"""),"LM5AXBS-071148")</f>
        <v/>
      </c>
      <c r="L866" s="45">
        <f>IFERROR(__xludf.DUMMYFUNCTION("""COMPUTED_VALUE"""),8)</f>
        <v/>
      </c>
      <c r="M866" s="45">
        <f>IFERROR(__xludf.DUMMYFUNCTION("""COMPUTED_VALUE"""),208)</f>
        <v/>
      </c>
      <c r="N866" s="45">
        <f>IFERROR(__xludf.DUMMYFUNCTION("""COMPUTED_VALUE"""),111.01)</f>
        <v/>
      </c>
      <c r="O866" s="45">
        <f>IFERROR(__xludf.DUMMYFUNCTION("""COMPUTED_VALUE"""),0.54)</f>
        <v/>
      </c>
      <c r="P866" s="45">
        <f>IFERROR(__xludf.DUMMYFUNCTION("""COMPUTED_VALUE"""),"Colombo, LK")</f>
        <v/>
      </c>
      <c r="Q866" s="45">
        <f>IFERROR(__xludf.DUMMYFUNCTION("""COMPUTED_VALUE"""),"New York, NY, US")</f>
        <v/>
      </c>
      <c r="R866" s="44">
        <f>IFERROR(__xludf.DUMMYFUNCTION("""COMPUTED_VALUE"""),45838)</f>
        <v/>
      </c>
      <c r="S866" s="44">
        <f>IFERROR(__xludf.DUMMYFUNCTION("""COMPUTED_VALUE"""),45897)</f>
        <v/>
      </c>
      <c r="T866" s="45">
        <f>IFERROR(__xludf.DUMMYFUNCTION("""COMPUTED_VALUE"""),"Mississauga, ON, CA")</f>
        <v/>
      </c>
      <c r="U866" s="45" t="n"/>
      <c r="V866" s="45" t="n"/>
      <c r="W866" s="45" t="n"/>
      <c r="X866" s="45" t="n"/>
      <c r="Y866" s="46">
        <f>IFERROR(__xludf.DUMMYFUNCTION("""COMPUTED_VALUE"""),45845)</f>
        <v/>
      </c>
      <c r="Z866" s="46">
        <f>IFERROR(__xludf.DUMMYFUNCTION("""COMPUTED_VALUE"""),45866)</f>
        <v/>
      </c>
      <c r="AA866" s="46">
        <f>IFERROR(__xludf.DUMMYFUNCTION("""COMPUTED_VALUE"""),45866)</f>
        <v/>
      </c>
      <c r="AB866" s="45">
        <f>IFERROR(__xludf.DUMMYFUNCTION("""COMPUTED_VALUE"""),"3500 Argentia Road")</f>
        <v/>
      </c>
      <c r="AC866" s="45" t="n"/>
      <c r="AD866" s="45">
        <f>IFERROR(__xludf.DUMMYFUNCTION("""COMPUTED_VALUE"""),"OCEAN")</f>
        <v/>
      </c>
      <c r="AE866" s="45">
        <f>IFERROR(__xludf.DUMMYFUNCTION("""COMPUTED_VALUE"""),"N")</f>
        <v/>
      </c>
      <c r="AF866" s="45">
        <f>IFERROR(__xludf.DUMMYFUNCTION("""COMPUTED_VALUE"""),"New Booking")</f>
        <v/>
      </c>
      <c r="AG866" s="49">
        <f>IFERROR(__xludf.DUMMYFUNCTION("IFNA(vlookup(H866,IMPORTRANGE(""1vUGwO1n0QQGx9kKbO0_M5gmuhXZ6-LaxQxgrmJnzgP0"",""'TP# look up'!A:C""),3,0),"""")"),"")</f>
        <v/>
      </c>
      <c r="AH866" s="49">
        <f>LEFT(J866,2)</f>
        <v/>
      </c>
    </row>
    <row r="867" ht="12.75" customHeight="1">
      <c r="A867" s="45">
        <f>IFERROR(__xludf.DUMMYFUNCTION("""COMPUTED_VALUE"""),"Colombo")</f>
        <v/>
      </c>
      <c r="B867" s="45" t="n"/>
      <c r="C867" s="45">
        <f>IFERROR(__xludf.DUMMYFUNCTION("""COMPUTED_VALUE"""),3259528)</f>
        <v/>
      </c>
      <c r="D867" s="45" t="n"/>
      <c r="E867" s="45">
        <f>IFERROR(__xludf.DUMMYFUNCTION("""COMPUTED_VALUE"""),"CFS")</f>
        <v/>
      </c>
      <c r="F867" s="45">
        <f>IFERROR(__xludf.DUMMYFUNCTION("""COMPUTED_VALUE"""),"Inqube Global (PVT) Ltd")</f>
        <v/>
      </c>
      <c r="G867" s="45">
        <f>IFERROR(__xludf.DUMMYFUNCTION("""COMPUTED_VALUE"""),"BRANDIX APPAREL SOLUTION LTD - GIRITALE")</f>
        <v/>
      </c>
      <c r="H867" s="43">
        <f>IFERROR(__xludf.DUMMYFUNCTION("""COMPUTED_VALUE"""),456169217651)</f>
        <v/>
      </c>
      <c r="I867" s="45">
        <f>IFERROR(__xludf.DUMMYFUNCTION("""COMPUTED_VALUE"""),19856509)</f>
        <v/>
      </c>
      <c r="J867" s="45">
        <f>IFERROR(__xludf.DUMMYFUNCTION("""COMPUTED_VALUE"""),"LM5B67S")</f>
        <v/>
      </c>
      <c r="K867" s="45">
        <f>IFERROR(__xludf.DUMMYFUNCTION("""COMPUTED_VALUE"""),"LM5B67S-019222")</f>
        <v/>
      </c>
      <c r="L867" s="45">
        <f>IFERROR(__xludf.DUMMYFUNCTION("""COMPUTED_VALUE"""),23)</f>
        <v/>
      </c>
      <c r="M867" s="45">
        <f>IFERROR(__xludf.DUMMYFUNCTION("""COMPUTED_VALUE"""),823)</f>
        <v/>
      </c>
      <c r="N867" s="45">
        <f>IFERROR(__xludf.DUMMYFUNCTION("""COMPUTED_VALUE"""),424.87)</f>
        <v/>
      </c>
      <c r="O867" s="45">
        <f>IFERROR(__xludf.DUMMYFUNCTION("""COMPUTED_VALUE"""),1.818)</f>
        <v/>
      </c>
      <c r="P867" s="45">
        <f>IFERROR(__xludf.DUMMYFUNCTION("""COMPUTED_VALUE"""),"Colombo, LK")</f>
        <v/>
      </c>
      <c r="Q867" s="45">
        <f>IFERROR(__xludf.DUMMYFUNCTION("""COMPUTED_VALUE"""),"New York, NY, US")</f>
        <v/>
      </c>
      <c r="R867" s="44">
        <f>IFERROR(__xludf.DUMMYFUNCTION("""COMPUTED_VALUE"""),45838)</f>
        <v/>
      </c>
      <c r="S867" s="44">
        <f>IFERROR(__xludf.DUMMYFUNCTION("""COMPUTED_VALUE"""),45897)</f>
        <v/>
      </c>
      <c r="T867" s="45">
        <f>IFERROR(__xludf.DUMMYFUNCTION("""COMPUTED_VALUE"""),"Mississauga, ON, CA")</f>
        <v/>
      </c>
      <c r="U867" s="45" t="n"/>
      <c r="V867" s="45" t="n"/>
      <c r="W867" s="45" t="n"/>
      <c r="X867" s="45" t="n"/>
      <c r="Y867" s="46">
        <f>IFERROR(__xludf.DUMMYFUNCTION("""COMPUTED_VALUE"""),45845)</f>
        <v/>
      </c>
      <c r="Z867" s="46">
        <f>IFERROR(__xludf.DUMMYFUNCTION("""COMPUTED_VALUE"""),45866)</f>
        <v/>
      </c>
      <c r="AA867" s="46">
        <f>IFERROR(__xludf.DUMMYFUNCTION("""COMPUTED_VALUE"""),45866)</f>
        <v/>
      </c>
      <c r="AB867" s="45">
        <f>IFERROR(__xludf.DUMMYFUNCTION("""COMPUTED_VALUE"""),"3500 Argentia Road")</f>
        <v/>
      </c>
      <c r="AC867" s="45" t="n"/>
      <c r="AD867" s="45">
        <f>IFERROR(__xludf.DUMMYFUNCTION("""COMPUTED_VALUE"""),"OCEAN")</f>
        <v/>
      </c>
      <c r="AE867" s="45">
        <f>IFERROR(__xludf.DUMMYFUNCTION("""COMPUTED_VALUE"""),"N")</f>
        <v/>
      </c>
      <c r="AF867" s="45">
        <f>IFERROR(__xludf.DUMMYFUNCTION("""COMPUTED_VALUE"""),"New Booking, Status changed from Submitted to Approved, Port of Loading changed from None to Colombo, LK, Dates Added, Dates Added")</f>
        <v/>
      </c>
      <c r="AG867" s="49">
        <f>IFERROR(__xludf.DUMMYFUNCTION("IFNA(vlookup(H867,IMPORTRANGE(""1vUGwO1n0QQGx9kKbO0_M5gmuhXZ6-LaxQxgrmJnzgP0"",""'TP# look up'!A:C""),3,0),"""")"),"")</f>
        <v/>
      </c>
      <c r="AH867" s="49">
        <f>LEFT(J867,2)</f>
        <v/>
      </c>
    </row>
    <row r="868" ht="12.75" customHeight="1">
      <c r="A868" s="45">
        <f>IFERROR(__xludf.DUMMYFUNCTION("""COMPUTED_VALUE"""),"Colombo")</f>
        <v/>
      </c>
      <c r="B868" s="45" t="n"/>
      <c r="C868" s="45">
        <f>IFERROR(__xludf.DUMMYFUNCTION("""COMPUTED_VALUE"""),3259528)</f>
        <v/>
      </c>
      <c r="D868" s="45" t="n"/>
      <c r="E868" s="45">
        <f>IFERROR(__xludf.DUMMYFUNCTION("""COMPUTED_VALUE"""),"CFS")</f>
        <v/>
      </c>
      <c r="F868" s="45">
        <f>IFERROR(__xludf.DUMMYFUNCTION("""COMPUTED_VALUE"""),"Inqube Global (PVT) Ltd")</f>
        <v/>
      </c>
      <c r="G868" s="45">
        <f>IFERROR(__xludf.DUMMYFUNCTION("""COMPUTED_VALUE"""),"BRANDIX APPAREL SOLUTION LTD - GIRITALE")</f>
        <v/>
      </c>
      <c r="H868" s="43">
        <f>IFERROR(__xludf.DUMMYFUNCTION("""COMPUTED_VALUE"""),456169397620)</f>
        <v/>
      </c>
      <c r="I868" s="45">
        <f>IFERROR(__xludf.DUMMYFUNCTION("""COMPUTED_VALUE"""),19856513)</f>
        <v/>
      </c>
      <c r="J868" s="45">
        <f>IFERROR(__xludf.DUMMYFUNCTION("""COMPUTED_VALUE"""),"LM5B67S")</f>
        <v/>
      </c>
      <c r="K868" s="45">
        <f>IFERROR(__xludf.DUMMYFUNCTION("""COMPUTED_VALUE"""),"LM5B67S-019222")</f>
        <v/>
      </c>
      <c r="L868" s="45">
        <f>IFERROR(__xludf.DUMMYFUNCTION("""COMPUTED_VALUE"""),8)</f>
        <v/>
      </c>
      <c r="M868" s="45">
        <f>IFERROR(__xludf.DUMMYFUNCTION("""COMPUTED_VALUE"""),250)</f>
        <v/>
      </c>
      <c r="N868" s="45">
        <f>IFERROR(__xludf.DUMMYFUNCTION("""COMPUTED_VALUE"""),129.95)</f>
        <v/>
      </c>
      <c r="O868" s="45">
        <f>IFERROR(__xludf.DUMMYFUNCTION("""COMPUTED_VALUE"""),0.62)</f>
        <v/>
      </c>
      <c r="P868" s="45">
        <f>IFERROR(__xludf.DUMMYFUNCTION("""COMPUTED_VALUE"""),"Colombo, LK")</f>
        <v/>
      </c>
      <c r="Q868" s="45">
        <f>IFERROR(__xludf.DUMMYFUNCTION("""COMPUTED_VALUE"""),"New York, NY, US")</f>
        <v/>
      </c>
      <c r="R868" s="44">
        <f>IFERROR(__xludf.DUMMYFUNCTION("""COMPUTED_VALUE"""),45838)</f>
        <v/>
      </c>
      <c r="S868" s="44">
        <f>IFERROR(__xludf.DUMMYFUNCTION("""COMPUTED_VALUE"""),45897)</f>
        <v/>
      </c>
      <c r="T868" s="45">
        <f>IFERROR(__xludf.DUMMYFUNCTION("""COMPUTED_VALUE"""),"Mississauga, ON, CA")</f>
        <v/>
      </c>
      <c r="U868" s="45" t="n"/>
      <c r="V868" s="45" t="n"/>
      <c r="W868" s="45" t="n"/>
      <c r="X868" s="45" t="n"/>
      <c r="Y868" s="46">
        <f>IFERROR(__xludf.DUMMYFUNCTION("""COMPUTED_VALUE"""),45845)</f>
        <v/>
      </c>
      <c r="Z868" s="46">
        <f>IFERROR(__xludf.DUMMYFUNCTION("""COMPUTED_VALUE"""),45866)</f>
        <v/>
      </c>
      <c r="AA868" s="46">
        <f>IFERROR(__xludf.DUMMYFUNCTION("""COMPUTED_VALUE"""),45866)</f>
        <v/>
      </c>
      <c r="AB868" s="45">
        <f>IFERROR(__xludf.DUMMYFUNCTION("""COMPUTED_VALUE"""),"3500 Argentia Road")</f>
        <v/>
      </c>
      <c r="AC868" s="45" t="n"/>
      <c r="AD868" s="45">
        <f>IFERROR(__xludf.DUMMYFUNCTION("""COMPUTED_VALUE"""),"OCEAN")</f>
        <v/>
      </c>
      <c r="AE868" s="45">
        <f>IFERROR(__xludf.DUMMYFUNCTION("""COMPUTED_VALUE"""),"N")</f>
        <v/>
      </c>
      <c r="AF868" s="45">
        <f>IFERROR(__xludf.DUMMYFUNCTION("""COMPUTED_VALUE"""),"New Booking, Status changed from Submitted to Approved, Port of Loading changed from None to Colombo, LK, Dates Added, Dates Added")</f>
        <v/>
      </c>
      <c r="AG868" s="49">
        <f>IFERROR(__xludf.DUMMYFUNCTION("IFNA(vlookup(H868,IMPORTRANGE(""1vUGwO1n0QQGx9kKbO0_M5gmuhXZ6-LaxQxgrmJnzgP0"",""'TP# look up'!A:C""),3,0),"""")"),"")</f>
        <v/>
      </c>
      <c r="AH868" s="49">
        <f>LEFT(J868,2)</f>
        <v/>
      </c>
    </row>
    <row r="869" ht="12.75" customHeight="1">
      <c r="A869" s="45">
        <f>IFERROR(__xludf.DUMMYFUNCTION("""COMPUTED_VALUE"""),"Colombo")</f>
        <v/>
      </c>
      <c r="B869" s="45" t="n"/>
      <c r="C869" s="45">
        <f>IFERROR(__xludf.DUMMYFUNCTION("""COMPUTED_VALUE"""),3259528)</f>
        <v/>
      </c>
      <c r="D869" s="45" t="n"/>
      <c r="E869" s="45">
        <f>IFERROR(__xludf.DUMMYFUNCTION("""COMPUTED_VALUE"""),"CFS")</f>
        <v/>
      </c>
      <c r="F869" s="45">
        <f>IFERROR(__xludf.DUMMYFUNCTION("""COMPUTED_VALUE"""),"Inqube Global (PVT) Ltd")</f>
        <v/>
      </c>
      <c r="G869" s="45">
        <f>IFERROR(__xludf.DUMMYFUNCTION("""COMPUTED_VALUE"""),"BRANDIX APPAREL SOLUTION LTD - GIRITALE")</f>
        <v/>
      </c>
      <c r="H869" s="43">
        <f>IFERROR(__xludf.DUMMYFUNCTION("""COMPUTED_VALUE"""),456174906486)</f>
        <v/>
      </c>
      <c r="I869" s="45">
        <f>IFERROR(__xludf.DUMMYFUNCTION("""COMPUTED_VALUE"""),19855796)</f>
        <v/>
      </c>
      <c r="J869" s="45">
        <f>IFERROR(__xludf.DUMMYFUNCTION("""COMPUTED_VALUE"""),"LM5B67S")</f>
        <v/>
      </c>
      <c r="K869" s="45">
        <f>IFERROR(__xludf.DUMMYFUNCTION("""COMPUTED_VALUE"""),"LM5B67S-033454")</f>
        <v/>
      </c>
      <c r="L869" s="45">
        <f>IFERROR(__xludf.DUMMYFUNCTION("""COMPUTED_VALUE"""),2)</f>
        <v/>
      </c>
      <c r="M869" s="45">
        <f>IFERROR(__xludf.DUMMYFUNCTION("""COMPUTED_VALUE"""),44)</f>
        <v/>
      </c>
      <c r="N869" s="45">
        <f>IFERROR(__xludf.DUMMYFUNCTION("""COMPUTED_VALUE"""),23.29)</f>
        <v/>
      </c>
      <c r="O869" s="45">
        <f>IFERROR(__xludf.DUMMYFUNCTION("""COMPUTED_VALUE"""),0.125)</f>
        <v/>
      </c>
      <c r="P869" s="45">
        <f>IFERROR(__xludf.DUMMYFUNCTION("""COMPUTED_VALUE"""),"Colombo, LK")</f>
        <v/>
      </c>
      <c r="Q869" s="45">
        <f>IFERROR(__xludf.DUMMYFUNCTION("""COMPUTED_VALUE"""),"New York, NY, US")</f>
        <v/>
      </c>
      <c r="R869" s="44">
        <f>IFERROR(__xludf.DUMMYFUNCTION("""COMPUTED_VALUE"""),45838)</f>
        <v/>
      </c>
      <c r="S869" s="44">
        <f>IFERROR(__xludf.DUMMYFUNCTION("""COMPUTED_VALUE"""),45897)</f>
        <v/>
      </c>
      <c r="T869" s="45">
        <f>IFERROR(__xludf.DUMMYFUNCTION("""COMPUTED_VALUE"""),"Mississauga, ON, CA")</f>
        <v/>
      </c>
      <c r="U869" s="45" t="n"/>
      <c r="V869" s="45" t="n"/>
      <c r="W869" s="45" t="n"/>
      <c r="X869" s="45" t="n"/>
      <c r="Y869" s="46">
        <f>IFERROR(__xludf.DUMMYFUNCTION("""COMPUTED_VALUE"""),45845)</f>
        <v/>
      </c>
      <c r="Z869" s="46">
        <f>IFERROR(__xludf.DUMMYFUNCTION("""COMPUTED_VALUE"""),45866)</f>
        <v/>
      </c>
      <c r="AA869" s="46">
        <f>IFERROR(__xludf.DUMMYFUNCTION("""COMPUTED_VALUE"""),45866)</f>
        <v/>
      </c>
      <c r="AB869" s="45">
        <f>IFERROR(__xludf.DUMMYFUNCTION("""COMPUTED_VALUE"""),"3500 Argentia Road")</f>
        <v/>
      </c>
      <c r="AC869" s="45" t="n"/>
      <c r="AD869" s="45">
        <f>IFERROR(__xludf.DUMMYFUNCTION("""COMPUTED_VALUE"""),"OCEAN")</f>
        <v/>
      </c>
      <c r="AE869" s="45">
        <f>IFERROR(__xludf.DUMMYFUNCTION("""COMPUTED_VALUE"""),"N")</f>
        <v/>
      </c>
      <c r="AF869" s="45">
        <f>IFERROR(__xludf.DUMMYFUNCTION("""COMPUTED_VALUE"""),"New Booking, Status changed from Submitted to Approved, Port of Loading changed from None to Colombo, LK, Dates Added, Dates Added")</f>
        <v/>
      </c>
      <c r="AG869" s="49">
        <f>IFERROR(__xludf.DUMMYFUNCTION("IFNA(vlookup(H869,IMPORTRANGE(""1vUGwO1n0QQGx9kKbO0_M5gmuhXZ6-LaxQxgrmJnzgP0"",""'TP# look up'!A:C""),3,0),"""")"),"")</f>
        <v/>
      </c>
      <c r="AH869" s="49">
        <f>LEFT(J869,2)</f>
        <v/>
      </c>
    </row>
    <row r="870" ht="12.75" customHeight="1">
      <c r="A870" s="45">
        <f>IFERROR(__xludf.DUMMYFUNCTION("""COMPUTED_VALUE"""),"Colombo")</f>
        <v/>
      </c>
      <c r="B870" s="45" t="n"/>
      <c r="C870" s="45">
        <f>IFERROR(__xludf.DUMMYFUNCTION("""COMPUTED_VALUE"""),3259528)</f>
        <v/>
      </c>
      <c r="D870" s="45" t="n"/>
      <c r="E870" s="45">
        <f>IFERROR(__xludf.DUMMYFUNCTION("""COMPUTED_VALUE"""),"CFS")</f>
        <v/>
      </c>
      <c r="F870" s="45">
        <f>IFERROR(__xludf.DUMMYFUNCTION("""COMPUTED_VALUE"""),"Inqube Global (PVT) Ltd")</f>
        <v/>
      </c>
      <c r="G870" s="45">
        <f>IFERROR(__xludf.DUMMYFUNCTION("""COMPUTED_VALUE"""),"BRANDIX APPAREL SOLUTION LTD - GIRITALE")</f>
        <v/>
      </c>
      <c r="H870" s="43">
        <f>IFERROR(__xludf.DUMMYFUNCTION("""COMPUTED_VALUE"""),456175101073)</f>
        <v/>
      </c>
      <c r="I870" s="45">
        <f>IFERROR(__xludf.DUMMYFUNCTION("""COMPUTED_VALUE"""),19855795)</f>
        <v/>
      </c>
      <c r="J870" s="45">
        <f>IFERROR(__xludf.DUMMYFUNCTION("""COMPUTED_VALUE"""),"LM5B67S")</f>
        <v/>
      </c>
      <c r="K870" s="45">
        <f>IFERROR(__xludf.DUMMYFUNCTION("""COMPUTED_VALUE"""),"LM5B67S-033454")</f>
        <v/>
      </c>
      <c r="L870" s="45">
        <f>IFERROR(__xludf.DUMMYFUNCTION("""COMPUTED_VALUE"""),5)</f>
        <v/>
      </c>
      <c r="M870" s="45">
        <f>IFERROR(__xludf.DUMMYFUNCTION("""COMPUTED_VALUE"""),85)</f>
        <v/>
      </c>
      <c r="N870" s="45">
        <f>IFERROR(__xludf.DUMMYFUNCTION("""COMPUTED_VALUE"""),45.73)</f>
        <v/>
      </c>
      <c r="O870" s="45">
        <f>IFERROR(__xludf.DUMMYFUNCTION("""COMPUTED_VALUE"""),0.253)</f>
        <v/>
      </c>
      <c r="P870" s="45">
        <f>IFERROR(__xludf.DUMMYFUNCTION("""COMPUTED_VALUE"""),"Colombo, LK")</f>
        <v/>
      </c>
      <c r="Q870" s="45">
        <f>IFERROR(__xludf.DUMMYFUNCTION("""COMPUTED_VALUE"""),"New York, NY, US")</f>
        <v/>
      </c>
      <c r="R870" s="44">
        <f>IFERROR(__xludf.DUMMYFUNCTION("""COMPUTED_VALUE"""),45838)</f>
        <v/>
      </c>
      <c r="S870" s="44">
        <f>IFERROR(__xludf.DUMMYFUNCTION("""COMPUTED_VALUE"""),45897)</f>
        <v/>
      </c>
      <c r="T870" s="45">
        <f>IFERROR(__xludf.DUMMYFUNCTION("""COMPUTED_VALUE"""),"Mississauga, ON, CA")</f>
        <v/>
      </c>
      <c r="U870" s="45" t="n"/>
      <c r="V870" s="45" t="n"/>
      <c r="W870" s="45" t="n"/>
      <c r="X870" s="45" t="n"/>
      <c r="Y870" s="46">
        <f>IFERROR(__xludf.DUMMYFUNCTION("""COMPUTED_VALUE"""),45845)</f>
        <v/>
      </c>
      <c r="Z870" s="46">
        <f>IFERROR(__xludf.DUMMYFUNCTION("""COMPUTED_VALUE"""),45866)</f>
        <v/>
      </c>
      <c r="AA870" s="46">
        <f>IFERROR(__xludf.DUMMYFUNCTION("""COMPUTED_VALUE"""),45866)</f>
        <v/>
      </c>
      <c r="AB870" s="45">
        <f>IFERROR(__xludf.DUMMYFUNCTION("""COMPUTED_VALUE"""),"3500 Argentia Road")</f>
        <v/>
      </c>
      <c r="AC870" s="45" t="n"/>
      <c r="AD870" s="45">
        <f>IFERROR(__xludf.DUMMYFUNCTION("""COMPUTED_VALUE"""),"OCEAN")</f>
        <v/>
      </c>
      <c r="AE870" s="45">
        <f>IFERROR(__xludf.DUMMYFUNCTION("""COMPUTED_VALUE"""),"N")</f>
        <v/>
      </c>
      <c r="AF870" s="45">
        <f>IFERROR(__xludf.DUMMYFUNCTION("""COMPUTED_VALUE"""),"New Booking, Status changed from Submitted to Approved, Port of Loading changed from None to Colombo, LK, Dates Added, Dates Added")</f>
        <v/>
      </c>
      <c r="AG870" s="49">
        <f>IFERROR(__xludf.DUMMYFUNCTION("IFNA(vlookup(H870,IMPORTRANGE(""1vUGwO1n0QQGx9kKbO0_M5gmuhXZ6-LaxQxgrmJnzgP0"",""'TP# look up'!A:C""),3,0),"""")"),"")</f>
        <v/>
      </c>
      <c r="AH870" s="49">
        <f>LEFT(J870,2)</f>
        <v/>
      </c>
    </row>
    <row r="871" ht="12.75" customHeight="1">
      <c r="A871" s="45">
        <f>IFERROR(__xludf.DUMMYFUNCTION("""COMPUTED_VALUE"""),"Colombo")</f>
        <v/>
      </c>
      <c r="B871" s="45" t="n"/>
      <c r="C871" s="45">
        <f>IFERROR(__xludf.DUMMYFUNCTION("""COMPUTED_VALUE"""),3259528)</f>
        <v/>
      </c>
      <c r="D871" s="45" t="n"/>
      <c r="E871" s="45">
        <f>IFERROR(__xludf.DUMMYFUNCTION("""COMPUTED_VALUE"""),"CFS")</f>
        <v/>
      </c>
      <c r="F871" s="45">
        <f>IFERROR(__xludf.DUMMYFUNCTION("""COMPUTED_VALUE"""),"Inqube Global (PVT) Ltd")</f>
        <v/>
      </c>
      <c r="G871" s="45">
        <f>IFERROR(__xludf.DUMMYFUNCTION("""COMPUTED_VALUE"""),"BRANDIX APPAREL SOLUTION LTD - GIRITALE")</f>
        <v/>
      </c>
      <c r="H871" s="43">
        <f>IFERROR(__xludf.DUMMYFUNCTION("""COMPUTED_VALUE"""),456176677120)</f>
        <v/>
      </c>
      <c r="I871" s="45">
        <f>IFERROR(__xludf.DUMMYFUNCTION("""COMPUTED_VALUE"""),19856477)</f>
        <v/>
      </c>
      <c r="J871" s="45">
        <f>IFERROR(__xludf.DUMMYFUNCTION("""COMPUTED_VALUE"""),"LM5B67S")</f>
        <v/>
      </c>
      <c r="K871" s="45">
        <f>IFERROR(__xludf.DUMMYFUNCTION("""COMPUTED_VALUE"""),"LM5B67S-033454")</f>
        <v/>
      </c>
      <c r="L871" s="45">
        <f>IFERROR(__xludf.DUMMYFUNCTION("""COMPUTED_VALUE"""),7)</f>
        <v/>
      </c>
      <c r="M871" s="45">
        <f>IFERROR(__xludf.DUMMYFUNCTION("""COMPUTED_VALUE"""),211)</f>
        <v/>
      </c>
      <c r="N871" s="45">
        <f>IFERROR(__xludf.DUMMYFUNCTION("""COMPUTED_VALUE"""),109.94)</f>
        <v/>
      </c>
      <c r="O871" s="45">
        <f>IFERROR(__xludf.DUMMYFUNCTION("""COMPUTED_VALUE"""),0.538)</f>
        <v/>
      </c>
      <c r="P871" s="45">
        <f>IFERROR(__xludf.DUMMYFUNCTION("""COMPUTED_VALUE"""),"Colombo, LK")</f>
        <v/>
      </c>
      <c r="Q871" s="45">
        <f>IFERROR(__xludf.DUMMYFUNCTION("""COMPUTED_VALUE"""),"New York, NY, US")</f>
        <v/>
      </c>
      <c r="R871" s="44">
        <f>IFERROR(__xludf.DUMMYFUNCTION("""COMPUTED_VALUE"""),45838)</f>
        <v/>
      </c>
      <c r="S871" s="44">
        <f>IFERROR(__xludf.DUMMYFUNCTION("""COMPUTED_VALUE"""),45897)</f>
        <v/>
      </c>
      <c r="T871" s="45">
        <f>IFERROR(__xludf.DUMMYFUNCTION("""COMPUTED_VALUE"""),"Mississauga, ON, CA")</f>
        <v/>
      </c>
      <c r="U871" s="45" t="n"/>
      <c r="V871" s="45" t="n"/>
      <c r="W871" s="45" t="n"/>
      <c r="X871" s="45" t="n"/>
      <c r="Y871" s="46">
        <f>IFERROR(__xludf.DUMMYFUNCTION("""COMPUTED_VALUE"""),45845)</f>
        <v/>
      </c>
      <c r="Z871" s="46">
        <f>IFERROR(__xludf.DUMMYFUNCTION("""COMPUTED_VALUE"""),45866)</f>
        <v/>
      </c>
      <c r="AA871" s="46">
        <f>IFERROR(__xludf.DUMMYFUNCTION("""COMPUTED_VALUE"""),45866)</f>
        <v/>
      </c>
      <c r="AB871" s="45">
        <f>IFERROR(__xludf.DUMMYFUNCTION("""COMPUTED_VALUE"""),"3500 Argentia Road")</f>
        <v/>
      </c>
      <c r="AC871" s="45" t="n"/>
      <c r="AD871" s="45">
        <f>IFERROR(__xludf.DUMMYFUNCTION("""COMPUTED_VALUE"""),"OCEAN")</f>
        <v/>
      </c>
      <c r="AE871" s="45">
        <f>IFERROR(__xludf.DUMMYFUNCTION("""COMPUTED_VALUE"""),"N")</f>
        <v/>
      </c>
      <c r="AF871" s="45">
        <f>IFERROR(__xludf.DUMMYFUNCTION("""COMPUTED_VALUE"""),"New Booking, Status changed from Submitted to Approved, Port of Loading changed from None to Colombo, LK, Dates Added, Dates Added")</f>
        <v/>
      </c>
      <c r="AG871" s="49">
        <f>IFERROR(__xludf.DUMMYFUNCTION("IFNA(vlookup(H871,IMPORTRANGE(""1vUGwO1n0QQGx9kKbO0_M5gmuhXZ6-LaxQxgrmJnzgP0"",""'TP# look up'!A:C""),3,0),"""")"),"")</f>
        <v/>
      </c>
      <c r="AH871" s="49">
        <f>LEFT(J871,2)</f>
        <v/>
      </c>
    </row>
    <row r="872" ht="12.75" customHeight="1">
      <c r="A872" s="45">
        <f>IFERROR(__xludf.DUMMYFUNCTION("""COMPUTED_VALUE"""),"Colombo")</f>
        <v/>
      </c>
      <c r="B872" s="45" t="n"/>
      <c r="C872" s="45">
        <f>IFERROR(__xludf.DUMMYFUNCTION("""COMPUTED_VALUE"""),3259528)</f>
        <v/>
      </c>
      <c r="D872" s="45" t="n"/>
      <c r="E872" s="45">
        <f>IFERROR(__xludf.DUMMYFUNCTION("""COMPUTED_VALUE"""),"CFS")</f>
        <v/>
      </c>
      <c r="F872" s="45">
        <f>IFERROR(__xludf.DUMMYFUNCTION("""COMPUTED_VALUE"""),"Inqube Global (PVT) Ltd")</f>
        <v/>
      </c>
      <c r="G872" s="45">
        <f>IFERROR(__xludf.DUMMYFUNCTION("""COMPUTED_VALUE"""),"BRANDIX APPAREL SOLUTION LTD - GIRITALE")</f>
        <v/>
      </c>
      <c r="H872" s="43">
        <f>IFERROR(__xludf.DUMMYFUNCTION("""COMPUTED_VALUE"""),456177402081)</f>
        <v/>
      </c>
      <c r="I872" s="45">
        <f>IFERROR(__xludf.DUMMYFUNCTION("""COMPUTED_VALUE"""),19856473)</f>
        <v/>
      </c>
      <c r="J872" s="45">
        <f>IFERROR(__xludf.DUMMYFUNCTION("""COMPUTED_VALUE"""),"LM5B67S")</f>
        <v/>
      </c>
      <c r="K872" s="45">
        <f>IFERROR(__xludf.DUMMYFUNCTION("""COMPUTED_VALUE"""),"LM5B67S-033454")</f>
        <v/>
      </c>
      <c r="L872" s="45">
        <f>IFERROR(__xludf.DUMMYFUNCTION("""COMPUTED_VALUE"""),8)</f>
        <v/>
      </c>
      <c r="M872" s="45">
        <f>IFERROR(__xludf.DUMMYFUNCTION("""COMPUTED_VALUE"""),222)</f>
        <v/>
      </c>
      <c r="N872" s="45">
        <f>IFERROR(__xludf.DUMMYFUNCTION("""COMPUTED_VALUE"""),116.12)</f>
        <v/>
      </c>
      <c r="O872" s="45">
        <f>IFERROR(__xludf.DUMMYFUNCTION("""COMPUTED_VALUE"""),0.58)</f>
        <v/>
      </c>
      <c r="P872" s="45">
        <f>IFERROR(__xludf.DUMMYFUNCTION("""COMPUTED_VALUE"""),"Colombo, LK")</f>
        <v/>
      </c>
      <c r="Q872" s="45">
        <f>IFERROR(__xludf.DUMMYFUNCTION("""COMPUTED_VALUE"""),"New York, NY, US")</f>
        <v/>
      </c>
      <c r="R872" s="44">
        <f>IFERROR(__xludf.DUMMYFUNCTION("""COMPUTED_VALUE"""),45838)</f>
        <v/>
      </c>
      <c r="S872" s="44">
        <f>IFERROR(__xludf.DUMMYFUNCTION("""COMPUTED_VALUE"""),45897)</f>
        <v/>
      </c>
      <c r="T872" s="45">
        <f>IFERROR(__xludf.DUMMYFUNCTION("""COMPUTED_VALUE"""),"Mississauga, ON, CA")</f>
        <v/>
      </c>
      <c r="U872" s="45" t="n"/>
      <c r="V872" s="45" t="n"/>
      <c r="W872" s="45" t="n"/>
      <c r="X872" s="45" t="n"/>
      <c r="Y872" s="46">
        <f>IFERROR(__xludf.DUMMYFUNCTION("""COMPUTED_VALUE"""),45845)</f>
        <v/>
      </c>
      <c r="Z872" s="46">
        <f>IFERROR(__xludf.DUMMYFUNCTION("""COMPUTED_VALUE"""),45866)</f>
        <v/>
      </c>
      <c r="AA872" s="46">
        <f>IFERROR(__xludf.DUMMYFUNCTION("""COMPUTED_VALUE"""),45866)</f>
        <v/>
      </c>
      <c r="AB872" s="45">
        <f>IFERROR(__xludf.DUMMYFUNCTION("""COMPUTED_VALUE"""),"3500 Argentia Road")</f>
        <v/>
      </c>
      <c r="AC872" s="45" t="n"/>
      <c r="AD872" s="45">
        <f>IFERROR(__xludf.DUMMYFUNCTION("""COMPUTED_VALUE"""),"OCEAN")</f>
        <v/>
      </c>
      <c r="AE872" s="45">
        <f>IFERROR(__xludf.DUMMYFUNCTION("""COMPUTED_VALUE"""),"N")</f>
        <v/>
      </c>
      <c r="AF872" s="45">
        <f>IFERROR(__xludf.DUMMYFUNCTION("""COMPUTED_VALUE"""),"New Booking, Status changed from Submitted to Approved, Port of Loading changed from None to Colombo, LK, Dates Added, Dates Added")</f>
        <v/>
      </c>
      <c r="AG872" s="49">
        <f>IFERROR(__xludf.DUMMYFUNCTION("IFNA(vlookup(H872,IMPORTRANGE(""1vUGwO1n0QQGx9kKbO0_M5gmuhXZ6-LaxQxgrmJnzgP0"",""'TP# look up'!A:C""),3,0),"""")"),"")</f>
        <v/>
      </c>
      <c r="AH872" s="49">
        <f>LEFT(J872,2)</f>
        <v/>
      </c>
    </row>
    <row r="873" ht="12.75" customHeight="1">
      <c r="A873" s="45">
        <f>IFERROR(__xludf.DUMMYFUNCTION("""COMPUTED_VALUE"""),"Colombo")</f>
        <v/>
      </c>
      <c r="B873" s="45" t="n"/>
      <c r="C873" s="45">
        <f>IFERROR(__xludf.DUMMYFUNCTION("""COMPUTED_VALUE"""),3259528)</f>
        <v/>
      </c>
      <c r="D873" s="45" t="n"/>
      <c r="E873" s="45">
        <f>IFERROR(__xludf.DUMMYFUNCTION("""COMPUTED_VALUE"""),"CFS")</f>
        <v/>
      </c>
      <c r="F873" s="45">
        <f>IFERROR(__xludf.DUMMYFUNCTION("""COMPUTED_VALUE"""),"Inqube Global (PVT) Ltd")</f>
        <v/>
      </c>
      <c r="G873" s="45">
        <f>IFERROR(__xludf.DUMMYFUNCTION("""COMPUTED_VALUE"""),"BRANDIX APPAREL SOLUTION LTD - GIRITALE")</f>
        <v/>
      </c>
      <c r="H873" s="43">
        <f>IFERROR(__xludf.DUMMYFUNCTION("""COMPUTED_VALUE"""),456179173161)</f>
        <v/>
      </c>
      <c r="I873" s="45">
        <f>IFERROR(__xludf.DUMMYFUNCTION("""COMPUTED_VALUE"""),19855803)</f>
        <v/>
      </c>
      <c r="J873" s="45">
        <f>IFERROR(__xludf.DUMMYFUNCTION("""COMPUTED_VALUE"""),"LM5B67S")</f>
        <v/>
      </c>
      <c r="K873" s="45">
        <f>IFERROR(__xludf.DUMMYFUNCTION("""COMPUTED_VALUE"""),"LM5B67S-038426")</f>
        <v/>
      </c>
      <c r="L873" s="45">
        <f>IFERROR(__xludf.DUMMYFUNCTION("""COMPUTED_VALUE"""),4)</f>
        <v/>
      </c>
      <c r="M873" s="45">
        <f>IFERROR(__xludf.DUMMYFUNCTION("""COMPUTED_VALUE"""),70)</f>
        <v/>
      </c>
      <c r="N873" s="45">
        <f>IFERROR(__xludf.DUMMYFUNCTION("""COMPUTED_VALUE"""),37.59)</f>
        <v/>
      </c>
      <c r="O873" s="45">
        <f>IFERROR(__xludf.DUMMYFUNCTION("""COMPUTED_VALUE"""),0.21)</f>
        <v/>
      </c>
      <c r="P873" s="45">
        <f>IFERROR(__xludf.DUMMYFUNCTION("""COMPUTED_VALUE"""),"Colombo, LK")</f>
        <v/>
      </c>
      <c r="Q873" s="45">
        <f>IFERROR(__xludf.DUMMYFUNCTION("""COMPUTED_VALUE"""),"New York, NY, US")</f>
        <v/>
      </c>
      <c r="R873" s="44">
        <f>IFERROR(__xludf.DUMMYFUNCTION("""COMPUTED_VALUE"""),45838)</f>
        <v/>
      </c>
      <c r="S873" s="44">
        <f>IFERROR(__xludf.DUMMYFUNCTION("""COMPUTED_VALUE"""),45897)</f>
        <v/>
      </c>
      <c r="T873" s="45">
        <f>IFERROR(__xludf.DUMMYFUNCTION("""COMPUTED_VALUE"""),"Mississauga, ON, CA")</f>
        <v/>
      </c>
      <c r="U873" s="45" t="n"/>
      <c r="V873" s="45" t="n"/>
      <c r="W873" s="45" t="n"/>
      <c r="X873" s="45" t="n"/>
      <c r="Y873" s="46">
        <f>IFERROR(__xludf.DUMMYFUNCTION("""COMPUTED_VALUE"""),45845)</f>
        <v/>
      </c>
      <c r="Z873" s="46">
        <f>IFERROR(__xludf.DUMMYFUNCTION("""COMPUTED_VALUE"""),45866)</f>
        <v/>
      </c>
      <c r="AA873" s="46">
        <f>IFERROR(__xludf.DUMMYFUNCTION("""COMPUTED_VALUE"""),45866)</f>
        <v/>
      </c>
      <c r="AB873" s="45">
        <f>IFERROR(__xludf.DUMMYFUNCTION("""COMPUTED_VALUE"""),"3500 Argentia Road")</f>
        <v/>
      </c>
      <c r="AC873" s="45" t="n"/>
      <c r="AD873" s="45">
        <f>IFERROR(__xludf.DUMMYFUNCTION("""COMPUTED_VALUE"""),"OCEAN")</f>
        <v/>
      </c>
      <c r="AE873" s="45">
        <f>IFERROR(__xludf.DUMMYFUNCTION("""COMPUTED_VALUE"""),"N")</f>
        <v/>
      </c>
      <c r="AF873" s="45">
        <f>IFERROR(__xludf.DUMMYFUNCTION("""COMPUTED_VALUE"""),"New Booking, Status changed from Submitted to Approved, Port of Loading changed from None to Colombo, LK, Dates Added, Dates Added")</f>
        <v/>
      </c>
      <c r="AG873" s="49">
        <f>IFERROR(__xludf.DUMMYFUNCTION("IFNA(vlookup(H873,IMPORTRANGE(""1vUGwO1n0QQGx9kKbO0_M5gmuhXZ6-LaxQxgrmJnzgP0"",""'TP# look up'!A:C""),3,0),"""")"),"")</f>
        <v/>
      </c>
      <c r="AH873" s="49">
        <f>LEFT(J873,2)</f>
        <v/>
      </c>
    </row>
    <row r="874" ht="12.75" customHeight="1">
      <c r="A874" s="45">
        <f>IFERROR(__xludf.DUMMYFUNCTION("""COMPUTED_VALUE"""),"Colombo")</f>
        <v/>
      </c>
      <c r="B874" s="45" t="n"/>
      <c r="C874" s="45">
        <f>IFERROR(__xludf.DUMMYFUNCTION("""COMPUTED_VALUE"""),3259528)</f>
        <v/>
      </c>
      <c r="D874" s="45" t="n"/>
      <c r="E874" s="45">
        <f>IFERROR(__xludf.DUMMYFUNCTION("""COMPUTED_VALUE"""),"CFS")</f>
        <v/>
      </c>
      <c r="F874" s="45">
        <f>IFERROR(__xludf.DUMMYFUNCTION("""COMPUTED_VALUE"""),"Inqube Global (PVT) Ltd")</f>
        <v/>
      </c>
      <c r="G874" s="45">
        <f>IFERROR(__xludf.DUMMYFUNCTION("""COMPUTED_VALUE"""),"BRANDIX APPAREL SOLUTION LTD - GIRITALE")</f>
        <v/>
      </c>
      <c r="H874" s="43">
        <f>IFERROR(__xludf.DUMMYFUNCTION("""COMPUTED_VALUE"""),456180751976)</f>
        <v/>
      </c>
      <c r="I874" s="45">
        <f>IFERROR(__xludf.DUMMYFUNCTION("""COMPUTED_VALUE"""),19856497)</f>
        <v/>
      </c>
      <c r="J874" s="45">
        <f>IFERROR(__xludf.DUMMYFUNCTION("""COMPUTED_VALUE"""),"LM5B67S")</f>
        <v/>
      </c>
      <c r="K874" s="45">
        <f>IFERROR(__xludf.DUMMYFUNCTION("""COMPUTED_VALUE"""),"LM5B67S-038426")</f>
        <v/>
      </c>
      <c r="L874" s="45">
        <f>IFERROR(__xludf.DUMMYFUNCTION("""COMPUTED_VALUE"""),6)</f>
        <v/>
      </c>
      <c r="M874" s="45">
        <f>IFERROR(__xludf.DUMMYFUNCTION("""COMPUTED_VALUE"""),119)</f>
        <v/>
      </c>
      <c r="N874" s="45">
        <f>IFERROR(__xludf.DUMMYFUNCTION("""COMPUTED_VALUE"""),63.13)</f>
        <v/>
      </c>
      <c r="O874" s="45">
        <f>IFERROR(__xludf.DUMMYFUNCTION("""COMPUTED_VALUE"""),0.295)</f>
        <v/>
      </c>
      <c r="P874" s="45">
        <f>IFERROR(__xludf.DUMMYFUNCTION("""COMPUTED_VALUE"""),"Colombo, LK")</f>
        <v/>
      </c>
      <c r="Q874" s="45">
        <f>IFERROR(__xludf.DUMMYFUNCTION("""COMPUTED_VALUE"""),"New York, NY, US")</f>
        <v/>
      </c>
      <c r="R874" s="44">
        <f>IFERROR(__xludf.DUMMYFUNCTION("""COMPUTED_VALUE"""),45838)</f>
        <v/>
      </c>
      <c r="S874" s="44">
        <f>IFERROR(__xludf.DUMMYFUNCTION("""COMPUTED_VALUE"""),45897)</f>
        <v/>
      </c>
      <c r="T874" s="45">
        <f>IFERROR(__xludf.DUMMYFUNCTION("""COMPUTED_VALUE"""),"Mississauga, ON, CA")</f>
        <v/>
      </c>
      <c r="U874" s="45" t="n"/>
      <c r="V874" s="45" t="n"/>
      <c r="W874" s="45" t="n"/>
      <c r="X874" s="45" t="n"/>
      <c r="Y874" s="46">
        <f>IFERROR(__xludf.DUMMYFUNCTION("""COMPUTED_VALUE"""),45845)</f>
        <v/>
      </c>
      <c r="Z874" s="46">
        <f>IFERROR(__xludf.DUMMYFUNCTION("""COMPUTED_VALUE"""),45866)</f>
        <v/>
      </c>
      <c r="AA874" s="46">
        <f>IFERROR(__xludf.DUMMYFUNCTION("""COMPUTED_VALUE"""),45866)</f>
        <v/>
      </c>
      <c r="AB874" s="45">
        <f>IFERROR(__xludf.DUMMYFUNCTION("""COMPUTED_VALUE"""),"3500 Argentia Road")</f>
        <v/>
      </c>
      <c r="AC874" s="45" t="n"/>
      <c r="AD874" s="45">
        <f>IFERROR(__xludf.DUMMYFUNCTION("""COMPUTED_VALUE"""),"OCEAN")</f>
        <v/>
      </c>
      <c r="AE874" s="45">
        <f>IFERROR(__xludf.DUMMYFUNCTION("""COMPUTED_VALUE"""),"N")</f>
        <v/>
      </c>
      <c r="AF874" s="45">
        <f>IFERROR(__xludf.DUMMYFUNCTION("""COMPUTED_VALUE"""),"New Booking, Status changed from Submitted to Approved, Port of Loading changed from None to Colombo, LK, Dates Added, Dates Added")</f>
        <v/>
      </c>
      <c r="AG874" s="49">
        <f>IFERROR(__xludf.DUMMYFUNCTION("IFNA(vlookup(H874,IMPORTRANGE(""1vUGwO1n0QQGx9kKbO0_M5gmuhXZ6-LaxQxgrmJnzgP0"",""'TP# look up'!A:C""),3,0),"""")"),"")</f>
        <v/>
      </c>
      <c r="AH874" s="49">
        <f>LEFT(J874,2)</f>
        <v/>
      </c>
    </row>
    <row r="875" ht="12.75" customHeight="1">
      <c r="A875" s="45">
        <f>IFERROR(__xludf.DUMMYFUNCTION("""COMPUTED_VALUE"""),"Colombo")</f>
        <v/>
      </c>
      <c r="B875" s="45" t="n"/>
      <c r="C875" s="45">
        <f>IFERROR(__xludf.DUMMYFUNCTION("""COMPUTED_VALUE"""),3259528)</f>
        <v/>
      </c>
      <c r="D875" s="45" t="n"/>
      <c r="E875" s="45">
        <f>IFERROR(__xludf.DUMMYFUNCTION("""COMPUTED_VALUE"""),"CFS")</f>
        <v/>
      </c>
      <c r="F875" s="45">
        <f>IFERROR(__xludf.DUMMYFUNCTION("""COMPUTED_VALUE"""),"Inqube Global (PVT) Ltd")</f>
        <v/>
      </c>
      <c r="G875" s="45">
        <f>IFERROR(__xludf.DUMMYFUNCTION("""COMPUTED_VALUE"""),"BRANDIX APPAREL SOLUTION LTD - GIRITALE")</f>
        <v/>
      </c>
      <c r="H875" s="43">
        <f>IFERROR(__xludf.DUMMYFUNCTION("""COMPUTED_VALUE"""),456180814184)</f>
        <v/>
      </c>
      <c r="I875" s="45">
        <f>IFERROR(__xludf.DUMMYFUNCTION("""COMPUTED_VALUE"""),19856501)</f>
        <v/>
      </c>
      <c r="J875" s="45">
        <f>IFERROR(__xludf.DUMMYFUNCTION("""COMPUTED_VALUE"""),"LM5B67S")</f>
        <v/>
      </c>
      <c r="K875" s="45">
        <f>IFERROR(__xludf.DUMMYFUNCTION("""COMPUTED_VALUE"""),"LM5B67S-038426")</f>
        <v/>
      </c>
      <c r="L875" s="45">
        <f>IFERROR(__xludf.DUMMYFUNCTION("""COMPUTED_VALUE"""),6)</f>
        <v/>
      </c>
      <c r="M875" s="45">
        <f>IFERROR(__xludf.DUMMYFUNCTION("""COMPUTED_VALUE"""),117)</f>
        <v/>
      </c>
      <c r="N875" s="45">
        <f>IFERROR(__xludf.DUMMYFUNCTION("""COMPUTED_VALUE"""),62.15)</f>
        <v/>
      </c>
      <c r="O875" s="45">
        <f>IFERROR(__xludf.DUMMYFUNCTION("""COMPUTED_VALUE"""),0.295)</f>
        <v/>
      </c>
      <c r="P875" s="45">
        <f>IFERROR(__xludf.DUMMYFUNCTION("""COMPUTED_VALUE"""),"Colombo, LK")</f>
        <v/>
      </c>
      <c r="Q875" s="45">
        <f>IFERROR(__xludf.DUMMYFUNCTION("""COMPUTED_VALUE"""),"New York, NY, US")</f>
        <v/>
      </c>
      <c r="R875" s="44">
        <f>IFERROR(__xludf.DUMMYFUNCTION("""COMPUTED_VALUE"""),45838)</f>
        <v/>
      </c>
      <c r="S875" s="44">
        <f>IFERROR(__xludf.DUMMYFUNCTION("""COMPUTED_VALUE"""),45897)</f>
        <v/>
      </c>
      <c r="T875" s="45">
        <f>IFERROR(__xludf.DUMMYFUNCTION("""COMPUTED_VALUE"""),"Mississauga, ON, CA")</f>
        <v/>
      </c>
      <c r="U875" s="45" t="n"/>
      <c r="V875" s="45" t="n"/>
      <c r="W875" s="45" t="n"/>
      <c r="X875" s="45" t="n"/>
      <c r="Y875" s="46">
        <f>IFERROR(__xludf.DUMMYFUNCTION("""COMPUTED_VALUE"""),45845)</f>
        <v/>
      </c>
      <c r="Z875" s="46">
        <f>IFERROR(__xludf.DUMMYFUNCTION("""COMPUTED_VALUE"""),45866)</f>
        <v/>
      </c>
      <c r="AA875" s="46">
        <f>IFERROR(__xludf.DUMMYFUNCTION("""COMPUTED_VALUE"""),45866)</f>
        <v/>
      </c>
      <c r="AB875" s="45">
        <f>IFERROR(__xludf.DUMMYFUNCTION("""COMPUTED_VALUE"""),"3500 Argentia Road")</f>
        <v/>
      </c>
      <c r="AC875" s="45" t="n"/>
      <c r="AD875" s="45">
        <f>IFERROR(__xludf.DUMMYFUNCTION("""COMPUTED_VALUE"""),"OCEAN")</f>
        <v/>
      </c>
      <c r="AE875" s="45">
        <f>IFERROR(__xludf.DUMMYFUNCTION("""COMPUTED_VALUE"""),"N")</f>
        <v/>
      </c>
      <c r="AF875" s="45">
        <f>IFERROR(__xludf.DUMMYFUNCTION("""COMPUTED_VALUE"""),"New Booking, Status changed from Submitted to Approved, Port of Loading changed from None to Colombo, LK, Dates Added, Dates Added")</f>
        <v/>
      </c>
      <c r="AG875" s="49">
        <f>IFERROR(__xludf.DUMMYFUNCTION("IFNA(vlookup(H875,IMPORTRANGE(""1vUGwO1n0QQGx9kKbO0_M5gmuhXZ6-LaxQxgrmJnzgP0"",""'TP# look up'!A:C""),3,0),"""")"),"")</f>
        <v/>
      </c>
      <c r="AH875" s="49">
        <f>LEFT(J875,2)</f>
        <v/>
      </c>
    </row>
    <row r="876" ht="12.75" customHeight="1">
      <c r="A876" s="45">
        <f>IFERROR(__xludf.DUMMYFUNCTION("""COMPUTED_VALUE"""),"Colombo")</f>
        <v/>
      </c>
      <c r="B876" s="45" t="n"/>
      <c r="C876" s="45">
        <f>IFERROR(__xludf.DUMMYFUNCTION("""COMPUTED_VALUE"""),3259528)</f>
        <v/>
      </c>
      <c r="D876" s="45" t="n"/>
      <c r="E876" s="45">
        <f>IFERROR(__xludf.DUMMYFUNCTION("""COMPUTED_VALUE"""),"CFS")</f>
        <v/>
      </c>
      <c r="F876" s="45">
        <f>IFERROR(__xludf.DUMMYFUNCTION("""COMPUTED_VALUE"""),"Inqube Global (PVT) Ltd")</f>
        <v/>
      </c>
      <c r="G876" s="45">
        <f>IFERROR(__xludf.DUMMYFUNCTION("""COMPUTED_VALUE"""),"BRANDIX APPAREL SOLUTION LTD - GIRITALE")</f>
        <v/>
      </c>
      <c r="H876" s="43">
        <f>IFERROR(__xludf.DUMMYFUNCTION("""COMPUTED_VALUE"""),456182185946)</f>
        <v/>
      </c>
      <c r="I876" s="45">
        <f>IFERROR(__xludf.DUMMYFUNCTION("""COMPUTED_VALUE"""),19856521)</f>
        <v/>
      </c>
      <c r="J876" s="45">
        <f>IFERROR(__xludf.DUMMYFUNCTION("""COMPUTED_VALUE"""),"LM5B67S")</f>
        <v/>
      </c>
      <c r="K876" s="45">
        <f>IFERROR(__xludf.DUMMYFUNCTION("""COMPUTED_VALUE"""),"LM5B67S-070108")</f>
        <v/>
      </c>
      <c r="L876" s="45">
        <f>IFERROR(__xludf.DUMMYFUNCTION("""COMPUTED_VALUE"""),8)</f>
        <v/>
      </c>
      <c r="M876" s="45">
        <f>IFERROR(__xludf.DUMMYFUNCTION("""COMPUTED_VALUE"""),224)</f>
        <v/>
      </c>
      <c r="N876" s="45">
        <f>IFERROR(__xludf.DUMMYFUNCTION("""COMPUTED_VALUE"""),117.12)</f>
        <v/>
      </c>
      <c r="O876" s="45">
        <f>IFERROR(__xludf.DUMMYFUNCTION("""COMPUTED_VALUE"""),0.58)</f>
        <v/>
      </c>
      <c r="P876" s="45">
        <f>IFERROR(__xludf.DUMMYFUNCTION("""COMPUTED_VALUE"""),"Colombo, LK")</f>
        <v/>
      </c>
      <c r="Q876" s="45">
        <f>IFERROR(__xludf.DUMMYFUNCTION("""COMPUTED_VALUE"""),"New York, NY, US")</f>
        <v/>
      </c>
      <c r="R876" s="44">
        <f>IFERROR(__xludf.DUMMYFUNCTION("""COMPUTED_VALUE"""),45838)</f>
        <v/>
      </c>
      <c r="S876" s="44">
        <f>IFERROR(__xludf.DUMMYFUNCTION("""COMPUTED_VALUE"""),45897)</f>
        <v/>
      </c>
      <c r="T876" s="45">
        <f>IFERROR(__xludf.DUMMYFUNCTION("""COMPUTED_VALUE"""),"Mississauga, ON, CA")</f>
        <v/>
      </c>
      <c r="U876" s="45" t="n"/>
      <c r="V876" s="45" t="n"/>
      <c r="W876" s="45" t="n"/>
      <c r="X876" s="45" t="n"/>
      <c r="Y876" s="46">
        <f>IFERROR(__xludf.DUMMYFUNCTION("""COMPUTED_VALUE"""),45845)</f>
        <v/>
      </c>
      <c r="Z876" s="46">
        <f>IFERROR(__xludf.DUMMYFUNCTION("""COMPUTED_VALUE"""),45866)</f>
        <v/>
      </c>
      <c r="AA876" s="46">
        <f>IFERROR(__xludf.DUMMYFUNCTION("""COMPUTED_VALUE"""),45866)</f>
        <v/>
      </c>
      <c r="AB876" s="45">
        <f>IFERROR(__xludf.DUMMYFUNCTION("""COMPUTED_VALUE"""),"3500 Argentia Road")</f>
        <v/>
      </c>
      <c r="AC876" s="45" t="n"/>
      <c r="AD876" s="45">
        <f>IFERROR(__xludf.DUMMYFUNCTION("""COMPUTED_VALUE"""),"OCEAN")</f>
        <v/>
      </c>
      <c r="AE876" s="45">
        <f>IFERROR(__xludf.DUMMYFUNCTION("""COMPUTED_VALUE"""),"N")</f>
        <v/>
      </c>
      <c r="AF876" s="45">
        <f>IFERROR(__xludf.DUMMYFUNCTION("""COMPUTED_VALUE"""),"New Booking, Status changed from Submitted to Approved, Port of Loading changed from None to Colombo, LK, Dates Added, Dates Added")</f>
        <v/>
      </c>
      <c r="AG876" s="49">
        <f>IFERROR(__xludf.DUMMYFUNCTION("IFNA(vlookup(H876,IMPORTRANGE(""1vUGwO1n0QQGx9kKbO0_M5gmuhXZ6-LaxQxgrmJnzgP0"",""'TP# look up'!A:C""),3,0),"""")"),"")</f>
        <v/>
      </c>
      <c r="AH876" s="49">
        <f>LEFT(J876,2)</f>
        <v/>
      </c>
    </row>
    <row r="877" ht="12.75" customHeight="1">
      <c r="A877" s="45">
        <f>IFERROR(__xludf.DUMMYFUNCTION("""COMPUTED_VALUE"""),"Colombo")</f>
        <v/>
      </c>
      <c r="B877" s="45" t="n"/>
      <c r="C877" s="45">
        <f>IFERROR(__xludf.DUMMYFUNCTION("""COMPUTED_VALUE"""),3259528)</f>
        <v/>
      </c>
      <c r="D877" s="45" t="n"/>
      <c r="E877" s="45">
        <f>IFERROR(__xludf.DUMMYFUNCTION("""COMPUTED_VALUE"""),"CFS")</f>
        <v/>
      </c>
      <c r="F877" s="45">
        <f>IFERROR(__xludf.DUMMYFUNCTION("""COMPUTED_VALUE"""),"Inqube Global (PVT) Ltd")</f>
        <v/>
      </c>
      <c r="G877" s="45">
        <f>IFERROR(__xludf.DUMMYFUNCTION("""COMPUTED_VALUE"""),"BRANDIX APPAREL SOLUTION LTD - GIRITALE")</f>
        <v/>
      </c>
      <c r="H877" s="43">
        <f>IFERROR(__xludf.DUMMYFUNCTION("""COMPUTED_VALUE"""),456182500211)</f>
        <v/>
      </c>
      <c r="I877" s="45">
        <f>IFERROR(__xludf.DUMMYFUNCTION("""COMPUTED_VALUE"""),19855810)</f>
        <v/>
      </c>
      <c r="J877" s="45">
        <f>IFERROR(__xludf.DUMMYFUNCTION("""COMPUTED_VALUE"""),"LM5B67S")</f>
        <v/>
      </c>
      <c r="K877" s="45">
        <f>IFERROR(__xludf.DUMMYFUNCTION("""COMPUTED_VALUE"""),"LM5B67S-070108")</f>
        <v/>
      </c>
      <c r="L877" s="45">
        <f>IFERROR(__xludf.DUMMYFUNCTION("""COMPUTED_VALUE"""),1)</f>
        <v/>
      </c>
      <c r="M877" s="45">
        <f>IFERROR(__xludf.DUMMYFUNCTION("""COMPUTED_VALUE"""),28)</f>
        <v/>
      </c>
      <c r="N877" s="45">
        <f>IFERROR(__xludf.DUMMYFUNCTION("""COMPUTED_VALUE"""),14.67)</f>
        <v/>
      </c>
      <c r="O877" s="45">
        <f>IFERROR(__xludf.DUMMYFUNCTION("""COMPUTED_VALUE"""),0.083)</f>
        <v/>
      </c>
      <c r="P877" s="45">
        <f>IFERROR(__xludf.DUMMYFUNCTION("""COMPUTED_VALUE"""),"Colombo, LK")</f>
        <v/>
      </c>
      <c r="Q877" s="45">
        <f>IFERROR(__xludf.DUMMYFUNCTION("""COMPUTED_VALUE"""),"New York, NY, US")</f>
        <v/>
      </c>
      <c r="R877" s="44">
        <f>IFERROR(__xludf.DUMMYFUNCTION("""COMPUTED_VALUE"""),45838)</f>
        <v/>
      </c>
      <c r="S877" s="44">
        <f>IFERROR(__xludf.DUMMYFUNCTION("""COMPUTED_VALUE"""),45897)</f>
        <v/>
      </c>
      <c r="T877" s="45">
        <f>IFERROR(__xludf.DUMMYFUNCTION("""COMPUTED_VALUE"""),"Mississauga, ON, CA")</f>
        <v/>
      </c>
      <c r="U877" s="45" t="n"/>
      <c r="V877" s="45" t="n"/>
      <c r="W877" s="45" t="n"/>
      <c r="X877" s="45" t="n"/>
      <c r="Y877" s="46">
        <f>IFERROR(__xludf.DUMMYFUNCTION("""COMPUTED_VALUE"""),45845)</f>
        <v/>
      </c>
      <c r="Z877" s="46">
        <f>IFERROR(__xludf.DUMMYFUNCTION("""COMPUTED_VALUE"""),45866)</f>
        <v/>
      </c>
      <c r="AA877" s="46">
        <f>IFERROR(__xludf.DUMMYFUNCTION("""COMPUTED_VALUE"""),45866)</f>
        <v/>
      </c>
      <c r="AB877" s="45">
        <f>IFERROR(__xludf.DUMMYFUNCTION("""COMPUTED_VALUE"""),"3500 Argentia Road")</f>
        <v/>
      </c>
      <c r="AC877" s="45" t="n"/>
      <c r="AD877" s="45">
        <f>IFERROR(__xludf.DUMMYFUNCTION("""COMPUTED_VALUE"""),"OCEAN")</f>
        <v/>
      </c>
      <c r="AE877" s="45">
        <f>IFERROR(__xludf.DUMMYFUNCTION("""COMPUTED_VALUE"""),"N")</f>
        <v/>
      </c>
      <c r="AF877" s="45">
        <f>IFERROR(__xludf.DUMMYFUNCTION("""COMPUTED_VALUE"""),"New Booking, Status changed from Submitted to Approved, Port of Loading changed from None to Colombo, LK, Dates Added, Dates Added")</f>
        <v/>
      </c>
      <c r="AG877" s="49">
        <f>IFERROR(__xludf.DUMMYFUNCTION("IFNA(vlookup(H877,IMPORTRANGE(""1vUGwO1n0QQGx9kKbO0_M5gmuhXZ6-LaxQxgrmJnzgP0"",""'TP# look up'!A:C""),3,0),"""")"),"")</f>
        <v/>
      </c>
      <c r="AH877" s="49">
        <f>LEFT(J877,2)</f>
        <v/>
      </c>
    </row>
    <row r="878" ht="12.75" customHeight="1">
      <c r="A878" s="45">
        <f>IFERROR(__xludf.DUMMYFUNCTION("""COMPUTED_VALUE"""),"Colombo")</f>
        <v/>
      </c>
      <c r="B878" s="45" t="n"/>
      <c r="C878" s="45">
        <f>IFERROR(__xludf.DUMMYFUNCTION("""COMPUTED_VALUE"""),3259528)</f>
        <v/>
      </c>
      <c r="D878" s="45" t="n"/>
      <c r="E878" s="45">
        <f>IFERROR(__xludf.DUMMYFUNCTION("""COMPUTED_VALUE"""),"CFS")</f>
        <v/>
      </c>
      <c r="F878" s="45">
        <f>IFERROR(__xludf.DUMMYFUNCTION("""COMPUTED_VALUE"""),"Inqube Global (PVT) Ltd")</f>
        <v/>
      </c>
      <c r="G878" s="45">
        <f>IFERROR(__xludf.DUMMYFUNCTION("""COMPUTED_VALUE"""),"BRANDIX APPAREL SOLUTION LTD - GIRITALE")</f>
        <v/>
      </c>
      <c r="H878" s="43">
        <f>IFERROR(__xludf.DUMMYFUNCTION("""COMPUTED_VALUE"""),456183352818)</f>
        <v/>
      </c>
      <c r="I878" s="45">
        <f>IFERROR(__xludf.DUMMYFUNCTION("""COMPUTED_VALUE"""),19855809)</f>
        <v/>
      </c>
      <c r="J878" s="45">
        <f>IFERROR(__xludf.DUMMYFUNCTION("""COMPUTED_VALUE"""),"LM5B67S")</f>
        <v/>
      </c>
      <c r="K878" s="45">
        <f>IFERROR(__xludf.DUMMYFUNCTION("""COMPUTED_VALUE"""),"LM5B67S-070108")</f>
        <v/>
      </c>
      <c r="L878" s="45">
        <f>IFERROR(__xludf.DUMMYFUNCTION("""COMPUTED_VALUE"""),5)</f>
        <v/>
      </c>
      <c r="M878" s="45">
        <f>IFERROR(__xludf.DUMMYFUNCTION("""COMPUTED_VALUE"""),85)</f>
        <v/>
      </c>
      <c r="N878" s="45">
        <f>IFERROR(__xludf.DUMMYFUNCTION("""COMPUTED_VALUE"""),45.69)</f>
        <v/>
      </c>
      <c r="O878" s="45">
        <f>IFERROR(__xludf.DUMMYFUNCTION("""COMPUTED_VALUE"""),0.253)</f>
        <v/>
      </c>
      <c r="P878" s="45">
        <f>IFERROR(__xludf.DUMMYFUNCTION("""COMPUTED_VALUE"""),"Colombo, LK")</f>
        <v/>
      </c>
      <c r="Q878" s="45">
        <f>IFERROR(__xludf.DUMMYFUNCTION("""COMPUTED_VALUE"""),"New York, NY, US")</f>
        <v/>
      </c>
      <c r="R878" s="44">
        <f>IFERROR(__xludf.DUMMYFUNCTION("""COMPUTED_VALUE"""),45838)</f>
        <v/>
      </c>
      <c r="S878" s="44">
        <f>IFERROR(__xludf.DUMMYFUNCTION("""COMPUTED_VALUE"""),45897)</f>
        <v/>
      </c>
      <c r="T878" s="45">
        <f>IFERROR(__xludf.DUMMYFUNCTION("""COMPUTED_VALUE"""),"Mississauga, ON, CA")</f>
        <v/>
      </c>
      <c r="U878" s="45" t="n"/>
      <c r="V878" s="45" t="n"/>
      <c r="W878" s="45" t="n"/>
      <c r="X878" s="45" t="n"/>
      <c r="Y878" s="46">
        <f>IFERROR(__xludf.DUMMYFUNCTION("""COMPUTED_VALUE"""),45845)</f>
        <v/>
      </c>
      <c r="Z878" s="46">
        <f>IFERROR(__xludf.DUMMYFUNCTION("""COMPUTED_VALUE"""),45866)</f>
        <v/>
      </c>
      <c r="AA878" s="46">
        <f>IFERROR(__xludf.DUMMYFUNCTION("""COMPUTED_VALUE"""),45866)</f>
        <v/>
      </c>
      <c r="AB878" s="45">
        <f>IFERROR(__xludf.DUMMYFUNCTION("""COMPUTED_VALUE"""),"3500 Argentia Road")</f>
        <v/>
      </c>
      <c r="AC878" s="45" t="n"/>
      <c r="AD878" s="45">
        <f>IFERROR(__xludf.DUMMYFUNCTION("""COMPUTED_VALUE"""),"OCEAN")</f>
        <v/>
      </c>
      <c r="AE878" s="45">
        <f>IFERROR(__xludf.DUMMYFUNCTION("""COMPUTED_VALUE"""),"N")</f>
        <v/>
      </c>
      <c r="AF878" s="45">
        <f>IFERROR(__xludf.DUMMYFUNCTION("""COMPUTED_VALUE"""),"New Booking, Status changed from Submitted to Approved, Port of Loading changed from None to Colombo, LK, Dates Added, Dates Added")</f>
        <v/>
      </c>
      <c r="AG878" s="49">
        <f>IFERROR(__xludf.DUMMYFUNCTION("IFNA(vlookup(H878,IMPORTRANGE(""1vUGwO1n0QQGx9kKbO0_M5gmuhXZ6-LaxQxgrmJnzgP0"",""'TP# look up'!A:C""),3,0),"""")"),"")</f>
        <v/>
      </c>
      <c r="AH878" s="49">
        <f>LEFT(J878,2)</f>
        <v/>
      </c>
    </row>
    <row r="879" ht="12.75" customHeight="1">
      <c r="A879" s="45">
        <f>IFERROR(__xludf.DUMMYFUNCTION("""COMPUTED_VALUE"""),"Colombo")</f>
        <v/>
      </c>
      <c r="B879" s="45" t="n"/>
      <c r="C879" s="45">
        <f>IFERROR(__xludf.DUMMYFUNCTION("""COMPUTED_VALUE"""),3259528)</f>
        <v/>
      </c>
      <c r="D879" s="45" t="n"/>
      <c r="E879" s="45">
        <f>IFERROR(__xludf.DUMMYFUNCTION("""COMPUTED_VALUE"""),"CFS")</f>
        <v/>
      </c>
      <c r="F879" s="45">
        <f>IFERROR(__xludf.DUMMYFUNCTION("""COMPUTED_VALUE"""),"Inqube Global (PVT) Ltd")</f>
        <v/>
      </c>
      <c r="G879" s="45">
        <f>IFERROR(__xludf.DUMMYFUNCTION("""COMPUTED_VALUE"""),"BRANDIX APPAREL SOLUTION LTD - GIRITALE")</f>
        <v/>
      </c>
      <c r="H879" s="43">
        <f>IFERROR(__xludf.DUMMYFUNCTION("""COMPUTED_VALUE"""),456183354744)</f>
        <v/>
      </c>
      <c r="I879" s="45">
        <f>IFERROR(__xludf.DUMMYFUNCTION("""COMPUTED_VALUE"""),19856525)</f>
        <v/>
      </c>
      <c r="J879" s="45">
        <f>IFERROR(__xludf.DUMMYFUNCTION("""COMPUTED_VALUE"""),"LM5B67S")</f>
        <v/>
      </c>
      <c r="K879" s="45">
        <f>IFERROR(__xludf.DUMMYFUNCTION("""COMPUTED_VALUE"""),"LM5B67S-070108")</f>
        <v/>
      </c>
      <c r="L879" s="45">
        <f>IFERROR(__xludf.DUMMYFUNCTION("""COMPUTED_VALUE"""),6)</f>
        <v/>
      </c>
      <c r="M879" s="45">
        <f>IFERROR(__xludf.DUMMYFUNCTION("""COMPUTED_VALUE"""),134)</f>
        <v/>
      </c>
      <c r="N879" s="45">
        <f>IFERROR(__xludf.DUMMYFUNCTION("""COMPUTED_VALUE"""),70.89)</f>
        <v/>
      </c>
      <c r="O879" s="45">
        <f>IFERROR(__xludf.DUMMYFUNCTION("""COMPUTED_VALUE"""),0.375)</f>
        <v/>
      </c>
      <c r="P879" s="45">
        <f>IFERROR(__xludf.DUMMYFUNCTION("""COMPUTED_VALUE"""),"Colombo, LK")</f>
        <v/>
      </c>
      <c r="Q879" s="45">
        <f>IFERROR(__xludf.DUMMYFUNCTION("""COMPUTED_VALUE"""),"New York, NY, US")</f>
        <v/>
      </c>
      <c r="R879" s="44">
        <f>IFERROR(__xludf.DUMMYFUNCTION("""COMPUTED_VALUE"""),45838)</f>
        <v/>
      </c>
      <c r="S879" s="44">
        <f>IFERROR(__xludf.DUMMYFUNCTION("""COMPUTED_VALUE"""),45897)</f>
        <v/>
      </c>
      <c r="T879" s="45">
        <f>IFERROR(__xludf.DUMMYFUNCTION("""COMPUTED_VALUE"""),"Mississauga, ON, CA")</f>
        <v/>
      </c>
      <c r="U879" s="45" t="n"/>
      <c r="V879" s="45" t="n"/>
      <c r="W879" s="45" t="n"/>
      <c r="X879" s="45" t="n"/>
      <c r="Y879" s="46">
        <f>IFERROR(__xludf.DUMMYFUNCTION("""COMPUTED_VALUE"""),45845)</f>
        <v/>
      </c>
      <c r="Z879" s="46">
        <f>IFERROR(__xludf.DUMMYFUNCTION("""COMPUTED_VALUE"""),45866)</f>
        <v/>
      </c>
      <c r="AA879" s="46">
        <f>IFERROR(__xludf.DUMMYFUNCTION("""COMPUTED_VALUE"""),45866)</f>
        <v/>
      </c>
      <c r="AB879" s="45">
        <f>IFERROR(__xludf.DUMMYFUNCTION("""COMPUTED_VALUE"""),"3500 Argentia Road")</f>
        <v/>
      </c>
      <c r="AC879" s="45" t="n"/>
      <c r="AD879" s="45">
        <f>IFERROR(__xludf.DUMMYFUNCTION("""COMPUTED_VALUE"""),"OCEAN")</f>
        <v/>
      </c>
      <c r="AE879" s="45">
        <f>IFERROR(__xludf.DUMMYFUNCTION("""COMPUTED_VALUE"""),"N")</f>
        <v/>
      </c>
      <c r="AF879" s="45">
        <f>IFERROR(__xludf.DUMMYFUNCTION("""COMPUTED_VALUE"""),"New Booking, Status changed from Submitted to Approved, Port of Loading changed from None to Colombo, LK, Dates Added, Dates Added")</f>
        <v/>
      </c>
      <c r="AG879" s="49">
        <f>IFERROR(__xludf.DUMMYFUNCTION("IFNA(vlookup(H879,IMPORTRANGE(""1vUGwO1n0QQGx9kKbO0_M5gmuhXZ6-LaxQxgrmJnzgP0"",""'TP# look up'!A:C""),3,0),"""")"),"")</f>
        <v/>
      </c>
      <c r="AH879" s="49">
        <f>LEFT(J879,2)</f>
        <v/>
      </c>
    </row>
    <row r="880" ht="12.75" customHeight="1">
      <c r="A880" s="45">
        <f>IFERROR(__xludf.DUMMYFUNCTION("""COMPUTED_VALUE"""),"Colombo")</f>
        <v/>
      </c>
      <c r="B880" s="45" t="n"/>
      <c r="C880" s="45">
        <f>IFERROR(__xludf.DUMMYFUNCTION("""COMPUTED_VALUE"""),3259528)</f>
        <v/>
      </c>
      <c r="D880" s="45" t="n"/>
      <c r="E880" s="45">
        <f>IFERROR(__xludf.DUMMYFUNCTION("""COMPUTED_VALUE"""),"CFS")</f>
        <v/>
      </c>
      <c r="F880" s="45">
        <f>IFERROR(__xludf.DUMMYFUNCTION("""COMPUTED_VALUE"""),"Inqube Global (PVT) Ltd")</f>
        <v/>
      </c>
      <c r="G880" s="45">
        <f>IFERROR(__xludf.DUMMYFUNCTION("""COMPUTED_VALUE"""),"BRANDIX APPAREL SOLUTION LTD - GIRITALE")</f>
        <v/>
      </c>
      <c r="H880" s="43">
        <f>IFERROR(__xludf.DUMMYFUNCTION("""COMPUTED_VALUE"""),456186740892)</f>
        <v/>
      </c>
      <c r="I880" s="45">
        <f>IFERROR(__xludf.DUMMYFUNCTION("""COMPUTED_VALUE"""),19855799)</f>
        <v/>
      </c>
      <c r="J880" s="45">
        <f>IFERROR(__xludf.DUMMYFUNCTION("""COMPUTED_VALUE"""),"LM5B67S")</f>
        <v/>
      </c>
      <c r="K880" s="45">
        <f>IFERROR(__xludf.DUMMYFUNCTION("""COMPUTED_VALUE"""),"LM5B67S-071148")</f>
        <v/>
      </c>
      <c r="L880" s="45">
        <f>IFERROR(__xludf.DUMMYFUNCTION("""COMPUTED_VALUE"""),4)</f>
        <v/>
      </c>
      <c r="M880" s="45">
        <f>IFERROR(__xludf.DUMMYFUNCTION("""COMPUTED_VALUE"""),74)</f>
        <v/>
      </c>
      <c r="N880" s="45">
        <f>IFERROR(__xludf.DUMMYFUNCTION("""COMPUTED_VALUE"""),39.43)</f>
        <v/>
      </c>
      <c r="O880" s="45">
        <f>IFERROR(__xludf.DUMMYFUNCTION("""COMPUTED_VALUE"""),0.21)</f>
        <v/>
      </c>
      <c r="P880" s="45">
        <f>IFERROR(__xludf.DUMMYFUNCTION("""COMPUTED_VALUE"""),"Colombo, LK")</f>
        <v/>
      </c>
      <c r="Q880" s="45">
        <f>IFERROR(__xludf.DUMMYFUNCTION("""COMPUTED_VALUE"""),"New York, NY, US")</f>
        <v/>
      </c>
      <c r="R880" s="44">
        <f>IFERROR(__xludf.DUMMYFUNCTION("""COMPUTED_VALUE"""),45838)</f>
        <v/>
      </c>
      <c r="S880" s="44">
        <f>IFERROR(__xludf.DUMMYFUNCTION("""COMPUTED_VALUE"""),45897)</f>
        <v/>
      </c>
      <c r="T880" s="45">
        <f>IFERROR(__xludf.DUMMYFUNCTION("""COMPUTED_VALUE"""),"Mississauga, ON, CA")</f>
        <v/>
      </c>
      <c r="U880" s="45" t="n"/>
      <c r="V880" s="45" t="n"/>
      <c r="W880" s="45" t="n"/>
      <c r="X880" s="45" t="n"/>
      <c r="Y880" s="46">
        <f>IFERROR(__xludf.DUMMYFUNCTION("""COMPUTED_VALUE"""),45845)</f>
        <v/>
      </c>
      <c r="Z880" s="46">
        <f>IFERROR(__xludf.DUMMYFUNCTION("""COMPUTED_VALUE"""),45866)</f>
        <v/>
      </c>
      <c r="AA880" s="46">
        <f>IFERROR(__xludf.DUMMYFUNCTION("""COMPUTED_VALUE"""),45866)</f>
        <v/>
      </c>
      <c r="AB880" s="45">
        <f>IFERROR(__xludf.DUMMYFUNCTION("""COMPUTED_VALUE"""),"3500 Argentia Road")</f>
        <v/>
      </c>
      <c r="AC880" s="45" t="n"/>
      <c r="AD880" s="45">
        <f>IFERROR(__xludf.DUMMYFUNCTION("""COMPUTED_VALUE"""),"OCEAN")</f>
        <v/>
      </c>
      <c r="AE880" s="45">
        <f>IFERROR(__xludf.DUMMYFUNCTION("""COMPUTED_VALUE"""),"N")</f>
        <v/>
      </c>
      <c r="AF880" s="45">
        <f>IFERROR(__xludf.DUMMYFUNCTION("""COMPUTED_VALUE"""),"New Booking, Status changed from Submitted to Approved, Port of Loading changed from None to Colombo, LK, Dates Added, Dates Added")</f>
        <v/>
      </c>
      <c r="AG880" s="49">
        <f>IFERROR(__xludf.DUMMYFUNCTION("IFNA(vlookup(H880,IMPORTRANGE(""1vUGwO1n0QQGx9kKbO0_M5gmuhXZ6-LaxQxgrmJnzgP0"",""'TP# look up'!A:C""),3,0),"""")"),"")</f>
        <v/>
      </c>
      <c r="AH880" s="49">
        <f>LEFT(J880,2)</f>
        <v/>
      </c>
    </row>
    <row r="881" ht="12.75" customHeight="1">
      <c r="A881" s="45">
        <f>IFERROR(__xludf.DUMMYFUNCTION("""COMPUTED_VALUE"""),"Colombo")</f>
        <v/>
      </c>
      <c r="B881" s="45" t="n"/>
      <c r="C881" s="45">
        <f>IFERROR(__xludf.DUMMYFUNCTION("""COMPUTED_VALUE"""),3259528)</f>
        <v/>
      </c>
      <c r="D881" s="45" t="n"/>
      <c r="E881" s="45">
        <f>IFERROR(__xludf.DUMMYFUNCTION("""COMPUTED_VALUE"""),"CFS")</f>
        <v/>
      </c>
      <c r="F881" s="45">
        <f>IFERROR(__xludf.DUMMYFUNCTION("""COMPUTED_VALUE"""),"Inqube Global (PVT) Ltd")</f>
        <v/>
      </c>
      <c r="G881" s="45">
        <f>IFERROR(__xludf.DUMMYFUNCTION("""COMPUTED_VALUE"""),"BRANDIX APPAREL SOLUTION LTD - GIRITALE")</f>
        <v/>
      </c>
      <c r="H881" s="43">
        <f>IFERROR(__xludf.DUMMYFUNCTION("""COMPUTED_VALUE"""),456188835902)</f>
        <v/>
      </c>
      <c r="I881" s="45">
        <f>IFERROR(__xludf.DUMMYFUNCTION("""COMPUTED_VALUE"""),19855800)</f>
        <v/>
      </c>
      <c r="J881" s="45">
        <f>IFERROR(__xludf.DUMMYFUNCTION("""COMPUTED_VALUE"""),"LM5B67S")</f>
        <v/>
      </c>
      <c r="K881" s="45">
        <f>IFERROR(__xludf.DUMMYFUNCTION("""COMPUTED_VALUE"""),"LM5B67S-071148")</f>
        <v/>
      </c>
      <c r="L881" s="45">
        <f>IFERROR(__xludf.DUMMYFUNCTION("""COMPUTED_VALUE"""),1)</f>
        <v/>
      </c>
      <c r="M881" s="45">
        <f>IFERROR(__xludf.DUMMYFUNCTION("""COMPUTED_VALUE"""),21)</f>
        <v/>
      </c>
      <c r="N881" s="45">
        <f>IFERROR(__xludf.DUMMYFUNCTION("""COMPUTED_VALUE"""),11.1)</f>
        <v/>
      </c>
      <c r="O881" s="45">
        <f>IFERROR(__xludf.DUMMYFUNCTION("""COMPUTED_VALUE"""),0.043)</f>
        <v/>
      </c>
      <c r="P881" s="45">
        <f>IFERROR(__xludf.DUMMYFUNCTION("""COMPUTED_VALUE"""),"Colombo, LK")</f>
        <v/>
      </c>
      <c r="Q881" s="45">
        <f>IFERROR(__xludf.DUMMYFUNCTION("""COMPUTED_VALUE"""),"New York, NY, US")</f>
        <v/>
      </c>
      <c r="R881" s="44">
        <f>IFERROR(__xludf.DUMMYFUNCTION("""COMPUTED_VALUE"""),45838)</f>
        <v/>
      </c>
      <c r="S881" s="44">
        <f>IFERROR(__xludf.DUMMYFUNCTION("""COMPUTED_VALUE"""),45897)</f>
        <v/>
      </c>
      <c r="T881" s="45">
        <f>IFERROR(__xludf.DUMMYFUNCTION("""COMPUTED_VALUE"""),"Mississauga, ON, CA")</f>
        <v/>
      </c>
      <c r="U881" s="45" t="n"/>
      <c r="V881" s="45" t="n"/>
      <c r="W881" s="45" t="n"/>
      <c r="X881" s="45" t="n"/>
      <c r="Y881" s="46">
        <f>IFERROR(__xludf.DUMMYFUNCTION("""COMPUTED_VALUE"""),45845)</f>
        <v/>
      </c>
      <c r="Z881" s="46">
        <f>IFERROR(__xludf.DUMMYFUNCTION("""COMPUTED_VALUE"""),45866)</f>
        <v/>
      </c>
      <c r="AA881" s="46">
        <f>IFERROR(__xludf.DUMMYFUNCTION("""COMPUTED_VALUE"""),45866)</f>
        <v/>
      </c>
      <c r="AB881" s="45">
        <f>IFERROR(__xludf.DUMMYFUNCTION("""COMPUTED_VALUE"""),"3500 Argentia Road")</f>
        <v/>
      </c>
      <c r="AC881" s="45" t="n"/>
      <c r="AD881" s="45">
        <f>IFERROR(__xludf.DUMMYFUNCTION("""COMPUTED_VALUE"""),"OCEAN")</f>
        <v/>
      </c>
      <c r="AE881" s="45">
        <f>IFERROR(__xludf.DUMMYFUNCTION("""COMPUTED_VALUE"""),"N")</f>
        <v/>
      </c>
      <c r="AF881" s="45">
        <f>IFERROR(__xludf.DUMMYFUNCTION("""COMPUTED_VALUE"""),"New Booking, Status changed from Submitted to Approved, Port of Loading changed from None to Colombo, LK, Dates Added, Dates Added")</f>
        <v/>
      </c>
      <c r="AG881" s="49">
        <f>IFERROR(__xludf.DUMMYFUNCTION("IFNA(vlookup(H881,IMPORTRANGE(""1vUGwO1n0QQGx9kKbO0_M5gmuhXZ6-LaxQxgrmJnzgP0"",""'TP# look up'!A:C""),3,0),"""")"),"")</f>
        <v/>
      </c>
      <c r="AH881" s="49">
        <f>LEFT(J881,2)</f>
        <v/>
      </c>
    </row>
    <row r="882" ht="12.75" customHeight="1">
      <c r="A882" s="45">
        <f>IFERROR(__xludf.DUMMYFUNCTION("""COMPUTED_VALUE"""),"Colombo")</f>
        <v/>
      </c>
      <c r="B882" s="45" t="n"/>
      <c r="C882" s="45">
        <f>IFERROR(__xludf.DUMMYFUNCTION("""COMPUTED_VALUE"""),3259528)</f>
        <v/>
      </c>
      <c r="D882" s="45" t="n"/>
      <c r="E882" s="45">
        <f>IFERROR(__xludf.DUMMYFUNCTION("""COMPUTED_VALUE"""),"CFS")</f>
        <v/>
      </c>
      <c r="F882" s="45">
        <f>IFERROR(__xludf.DUMMYFUNCTION("""COMPUTED_VALUE"""),"Inqube Global (PVT) Ltd")</f>
        <v/>
      </c>
      <c r="G882" s="45">
        <f>IFERROR(__xludf.DUMMYFUNCTION("""COMPUTED_VALUE"""),"BRANDIX APPAREL SOLUTION LTD - GIRITALE")</f>
        <v/>
      </c>
      <c r="H882" s="43">
        <f>IFERROR(__xludf.DUMMYFUNCTION("""COMPUTED_VALUE"""),456189927533)</f>
        <v/>
      </c>
      <c r="I882" s="45">
        <f>IFERROR(__xludf.DUMMYFUNCTION("""COMPUTED_VALUE"""),19856485)</f>
        <v/>
      </c>
      <c r="J882" s="45">
        <f>IFERROR(__xludf.DUMMYFUNCTION("""COMPUTED_VALUE"""),"LM5B67S")</f>
        <v/>
      </c>
      <c r="K882" s="45">
        <f>IFERROR(__xludf.DUMMYFUNCTION("""COMPUTED_VALUE"""),"LM5B67S-071148")</f>
        <v/>
      </c>
      <c r="L882" s="45">
        <f>IFERROR(__xludf.DUMMYFUNCTION("""COMPUTED_VALUE"""),8)</f>
        <v/>
      </c>
      <c r="M882" s="45">
        <f>IFERROR(__xludf.DUMMYFUNCTION("""COMPUTED_VALUE"""),212)</f>
        <v/>
      </c>
      <c r="N882" s="45">
        <f>IFERROR(__xludf.DUMMYFUNCTION("""COMPUTED_VALUE"""),111.46)</f>
        <v/>
      </c>
      <c r="O882" s="45">
        <f>IFERROR(__xludf.DUMMYFUNCTION("""COMPUTED_VALUE"""),0.58)</f>
        <v/>
      </c>
      <c r="P882" s="45">
        <f>IFERROR(__xludf.DUMMYFUNCTION("""COMPUTED_VALUE"""),"Colombo, LK")</f>
        <v/>
      </c>
      <c r="Q882" s="45">
        <f>IFERROR(__xludf.DUMMYFUNCTION("""COMPUTED_VALUE"""),"New York, NY, US")</f>
        <v/>
      </c>
      <c r="R882" s="44">
        <f>IFERROR(__xludf.DUMMYFUNCTION("""COMPUTED_VALUE"""),45838)</f>
        <v/>
      </c>
      <c r="S882" s="44">
        <f>IFERROR(__xludf.DUMMYFUNCTION("""COMPUTED_VALUE"""),45897)</f>
        <v/>
      </c>
      <c r="T882" s="45">
        <f>IFERROR(__xludf.DUMMYFUNCTION("""COMPUTED_VALUE"""),"Mississauga, ON, CA")</f>
        <v/>
      </c>
      <c r="U882" s="45" t="n"/>
      <c r="V882" s="45" t="n"/>
      <c r="W882" s="45" t="n"/>
      <c r="X882" s="45" t="n"/>
      <c r="Y882" s="46">
        <f>IFERROR(__xludf.DUMMYFUNCTION("""COMPUTED_VALUE"""),45845)</f>
        <v/>
      </c>
      <c r="Z882" s="46">
        <f>IFERROR(__xludf.DUMMYFUNCTION("""COMPUTED_VALUE"""),45866)</f>
        <v/>
      </c>
      <c r="AA882" s="46">
        <f>IFERROR(__xludf.DUMMYFUNCTION("""COMPUTED_VALUE"""),45866)</f>
        <v/>
      </c>
      <c r="AB882" s="45">
        <f>IFERROR(__xludf.DUMMYFUNCTION("""COMPUTED_VALUE"""),"3500 Argentia Road")</f>
        <v/>
      </c>
      <c r="AC882" s="45" t="n"/>
      <c r="AD882" s="45">
        <f>IFERROR(__xludf.DUMMYFUNCTION("""COMPUTED_VALUE"""),"OCEAN")</f>
        <v/>
      </c>
      <c r="AE882" s="45">
        <f>IFERROR(__xludf.DUMMYFUNCTION("""COMPUTED_VALUE"""),"N")</f>
        <v/>
      </c>
      <c r="AF882" s="45">
        <f>IFERROR(__xludf.DUMMYFUNCTION("""COMPUTED_VALUE"""),"New Booking, Status changed from Submitted to Approved, Port of Loading changed from None to Colombo, LK, Dates Added, Dates Added")</f>
        <v/>
      </c>
      <c r="AG882" s="49">
        <f>IFERROR(__xludf.DUMMYFUNCTION("IFNA(vlookup(H882,IMPORTRANGE(""1vUGwO1n0QQGx9kKbO0_M5gmuhXZ6-LaxQxgrmJnzgP0"",""'TP# look up'!A:C""),3,0),"""")"),"")</f>
        <v/>
      </c>
      <c r="AH882" s="49">
        <f>LEFT(J882,2)</f>
        <v/>
      </c>
    </row>
    <row r="883" ht="12.75" customHeight="1">
      <c r="A883" s="45">
        <f>IFERROR(__xludf.DUMMYFUNCTION("""COMPUTED_VALUE"""),"Colombo")</f>
        <v/>
      </c>
      <c r="B883" s="45" t="n"/>
      <c r="C883" s="45">
        <f>IFERROR(__xludf.DUMMYFUNCTION("""COMPUTED_VALUE"""),3259528)</f>
        <v/>
      </c>
      <c r="D883" s="45" t="n"/>
      <c r="E883" s="45">
        <f>IFERROR(__xludf.DUMMYFUNCTION("""COMPUTED_VALUE"""),"CFS")</f>
        <v/>
      </c>
      <c r="F883" s="45">
        <f>IFERROR(__xludf.DUMMYFUNCTION("""COMPUTED_VALUE"""),"Inqube Global (PVT) Ltd")</f>
        <v/>
      </c>
      <c r="G883" s="45">
        <f>IFERROR(__xludf.DUMMYFUNCTION("""COMPUTED_VALUE"""),"BRANDIX APPAREL SOLUTION LTD - GIRITALE")</f>
        <v/>
      </c>
      <c r="H883" s="43">
        <f>IFERROR(__xludf.DUMMYFUNCTION("""COMPUTED_VALUE"""),456191079290)</f>
        <v/>
      </c>
      <c r="I883" s="45">
        <f>IFERROR(__xludf.DUMMYFUNCTION("""COMPUTED_VALUE"""),19856489)</f>
        <v/>
      </c>
      <c r="J883" s="45">
        <f>IFERROR(__xludf.DUMMYFUNCTION("""COMPUTED_VALUE"""),"LM5B67S")</f>
        <v/>
      </c>
      <c r="K883" s="45">
        <f>IFERROR(__xludf.DUMMYFUNCTION("""COMPUTED_VALUE"""),"LM5B67S-071148")</f>
        <v/>
      </c>
      <c r="L883" s="45">
        <f>IFERROR(__xludf.DUMMYFUNCTION("""COMPUTED_VALUE"""),5)</f>
        <v/>
      </c>
      <c r="M883" s="45">
        <f>IFERROR(__xludf.DUMMYFUNCTION("""COMPUTED_VALUE"""),103)</f>
        <v/>
      </c>
      <c r="N883" s="45">
        <f>IFERROR(__xludf.DUMMYFUNCTION("""COMPUTED_VALUE"""),54.33)</f>
        <v/>
      </c>
      <c r="O883" s="45">
        <f>IFERROR(__xludf.DUMMYFUNCTION("""COMPUTED_VALUE"""),0.253)</f>
        <v/>
      </c>
      <c r="P883" s="45">
        <f>IFERROR(__xludf.DUMMYFUNCTION("""COMPUTED_VALUE"""),"Colombo, LK")</f>
        <v/>
      </c>
      <c r="Q883" s="45">
        <f>IFERROR(__xludf.DUMMYFUNCTION("""COMPUTED_VALUE"""),"New York, NY, US")</f>
        <v/>
      </c>
      <c r="R883" s="44">
        <f>IFERROR(__xludf.DUMMYFUNCTION("""COMPUTED_VALUE"""),45838)</f>
        <v/>
      </c>
      <c r="S883" s="44">
        <f>IFERROR(__xludf.DUMMYFUNCTION("""COMPUTED_VALUE"""),45897)</f>
        <v/>
      </c>
      <c r="T883" s="45">
        <f>IFERROR(__xludf.DUMMYFUNCTION("""COMPUTED_VALUE"""),"Mississauga, ON, CA")</f>
        <v/>
      </c>
      <c r="U883" s="45" t="n"/>
      <c r="V883" s="45" t="n"/>
      <c r="W883" s="45" t="n"/>
      <c r="X883" s="45" t="n"/>
      <c r="Y883" s="46">
        <f>IFERROR(__xludf.DUMMYFUNCTION("""COMPUTED_VALUE"""),45845)</f>
        <v/>
      </c>
      <c r="Z883" s="46">
        <f>IFERROR(__xludf.DUMMYFUNCTION("""COMPUTED_VALUE"""),45866)</f>
        <v/>
      </c>
      <c r="AA883" s="46">
        <f>IFERROR(__xludf.DUMMYFUNCTION("""COMPUTED_VALUE"""),45866)</f>
        <v/>
      </c>
      <c r="AB883" s="45">
        <f>IFERROR(__xludf.DUMMYFUNCTION("""COMPUTED_VALUE"""),"3500 Argentia Road")</f>
        <v/>
      </c>
      <c r="AC883" s="45" t="n"/>
      <c r="AD883" s="45">
        <f>IFERROR(__xludf.DUMMYFUNCTION("""COMPUTED_VALUE"""),"OCEAN")</f>
        <v/>
      </c>
      <c r="AE883" s="45">
        <f>IFERROR(__xludf.DUMMYFUNCTION("""COMPUTED_VALUE"""),"N")</f>
        <v/>
      </c>
      <c r="AF883" s="45">
        <f>IFERROR(__xludf.DUMMYFUNCTION("""COMPUTED_VALUE"""),"New Booking, Status changed from Submitted to Approved, Port of Loading changed from None to Colombo, LK, Dates Added, Dates Added")</f>
        <v/>
      </c>
      <c r="AG883" s="49">
        <f>IFERROR(__xludf.DUMMYFUNCTION("IFNA(vlookup(H883,IMPORTRANGE(""1vUGwO1n0QQGx9kKbO0_M5gmuhXZ6-LaxQxgrmJnzgP0"",""'TP# look up'!A:C""),3,0),"""")"),"")</f>
        <v/>
      </c>
      <c r="AH883" s="49">
        <f>LEFT(J883,2)</f>
        <v/>
      </c>
    </row>
    <row r="884" ht="12.75" customHeight="1">
      <c r="A884" s="45">
        <f>IFERROR(__xludf.DUMMYFUNCTION("""COMPUTED_VALUE"""),"Colombo")</f>
        <v/>
      </c>
      <c r="B884" s="45" t="n"/>
      <c r="C884" s="45">
        <f>IFERROR(__xludf.DUMMYFUNCTION("""COMPUTED_VALUE"""),3259528)</f>
        <v/>
      </c>
      <c r="D884" s="45" t="n"/>
      <c r="E884" s="45">
        <f>IFERROR(__xludf.DUMMYFUNCTION("""COMPUTED_VALUE"""),"CFS")</f>
        <v/>
      </c>
      <c r="F884" s="45">
        <f>IFERROR(__xludf.DUMMYFUNCTION("""COMPUTED_VALUE"""),"Inqube Global (PVT) Ltd")</f>
        <v/>
      </c>
      <c r="G884" s="45">
        <f>IFERROR(__xludf.DUMMYFUNCTION("""COMPUTED_VALUE"""),"Brandix Apparel Solutions Limited - Minuwangoda")</f>
        <v/>
      </c>
      <c r="H884" s="43">
        <f>IFERROR(__xludf.DUMMYFUNCTION("""COMPUTED_VALUE"""),456004957135)</f>
        <v/>
      </c>
      <c r="I884" s="45">
        <f>IFERROR(__xludf.DUMMYFUNCTION("""COMPUTED_VALUE"""),19855058)</f>
        <v/>
      </c>
      <c r="J884" s="45">
        <f>IFERROR(__xludf.DUMMYFUNCTION("""COMPUTED_VALUE"""),"LW3ISOS")</f>
        <v/>
      </c>
      <c r="K884" s="45">
        <f>IFERROR(__xludf.DUMMYFUNCTION("""COMPUTED_VALUE"""),"LW3ISOS-041179")</f>
        <v/>
      </c>
      <c r="L884" s="45">
        <f>IFERROR(__xludf.DUMMYFUNCTION("""COMPUTED_VALUE"""),3)</f>
        <v/>
      </c>
      <c r="M884" s="45">
        <f>IFERROR(__xludf.DUMMYFUNCTION("""COMPUTED_VALUE"""),162)</f>
        <v/>
      </c>
      <c r="N884" s="45">
        <f>IFERROR(__xludf.DUMMYFUNCTION("""COMPUTED_VALUE"""),28.185)</f>
        <v/>
      </c>
      <c r="O884" s="45">
        <f>IFERROR(__xludf.DUMMYFUNCTION("""COMPUTED_VALUE"""),0.236)</f>
        <v/>
      </c>
      <c r="P884" s="45">
        <f>IFERROR(__xludf.DUMMYFUNCTION("""COMPUTED_VALUE"""),"Colombo, LK")</f>
        <v/>
      </c>
      <c r="Q884" s="45">
        <f>IFERROR(__xludf.DUMMYFUNCTION("""COMPUTED_VALUE"""),"New York, NY, US")</f>
        <v/>
      </c>
      <c r="R884" s="44">
        <f>IFERROR(__xludf.DUMMYFUNCTION("""COMPUTED_VALUE"""),45838)</f>
        <v/>
      </c>
      <c r="S884" s="44">
        <f>IFERROR(__xludf.DUMMYFUNCTION("""COMPUTED_VALUE"""),45897)</f>
        <v/>
      </c>
      <c r="T884" s="45">
        <f>IFERROR(__xludf.DUMMYFUNCTION("""COMPUTED_VALUE"""),"Mississauga, ON, CA")</f>
        <v/>
      </c>
      <c r="U884" s="45" t="n"/>
      <c r="V884" s="45" t="n"/>
      <c r="W884" s="45" t="n"/>
      <c r="X884" s="45" t="n"/>
      <c r="Y884" s="46">
        <f>IFERROR(__xludf.DUMMYFUNCTION("""COMPUTED_VALUE"""),45845)</f>
        <v/>
      </c>
      <c r="Z884" s="46">
        <f>IFERROR(__xludf.DUMMYFUNCTION("""COMPUTED_VALUE"""),45861)</f>
        <v/>
      </c>
      <c r="AA884" s="46">
        <f>IFERROR(__xludf.DUMMYFUNCTION("""COMPUTED_VALUE"""),45861)</f>
        <v/>
      </c>
      <c r="AB884" s="45">
        <f>IFERROR(__xludf.DUMMYFUNCTION("""COMPUTED_VALUE"""),"3500 Argentia Road")</f>
        <v/>
      </c>
      <c r="AC884" s="45" t="n"/>
      <c r="AD884" s="45">
        <f>IFERROR(__xludf.DUMMYFUNCTION("""COMPUTED_VALUE"""),"OCEAN")</f>
        <v/>
      </c>
      <c r="AE884" s="45">
        <f>IFERROR(__xludf.DUMMYFUNCTION("""COMPUTED_VALUE"""),"N")</f>
        <v/>
      </c>
      <c r="AF884" s="45">
        <f>IFERROR(__xludf.DUMMYFUNCTION("""COMPUTED_VALUE"""),"New Booking")</f>
        <v/>
      </c>
      <c r="AG884" s="49">
        <f>IFERROR(__xludf.DUMMYFUNCTION("IFNA(vlookup(H884,IMPORTRANGE(""1vUGwO1n0QQGx9kKbO0_M5gmuhXZ6-LaxQxgrmJnzgP0"",""'TP# look up'!A:C""),3,0),"""")"),"")</f>
        <v/>
      </c>
      <c r="AH884" s="49">
        <f>LEFT(J884,2)</f>
        <v/>
      </c>
    </row>
    <row r="885" ht="12.75" customHeight="1">
      <c r="A885" s="45">
        <f>IFERROR(__xludf.DUMMYFUNCTION("""COMPUTED_VALUE"""),"Colombo")</f>
        <v/>
      </c>
      <c r="B885" s="45" t="n"/>
      <c r="C885" s="45">
        <f>IFERROR(__xludf.DUMMYFUNCTION("""COMPUTED_VALUE"""),3259528)</f>
        <v/>
      </c>
      <c r="D885" s="45" t="n"/>
      <c r="E885" s="45">
        <f>IFERROR(__xludf.DUMMYFUNCTION("""COMPUTED_VALUE"""),"CFS")</f>
        <v/>
      </c>
      <c r="F885" s="45">
        <f>IFERROR(__xludf.DUMMYFUNCTION("""COMPUTED_VALUE"""),"Inqube Global (PVT) Ltd")</f>
        <v/>
      </c>
      <c r="G885" s="45">
        <f>IFERROR(__xludf.DUMMYFUNCTION("""COMPUTED_VALUE"""),"Brandix Apparel Solutions Limited - Minuwangoda")</f>
        <v/>
      </c>
      <c r="H885" s="43">
        <f>IFERROR(__xludf.DUMMYFUNCTION("""COMPUTED_VALUE"""),456005485972)</f>
        <v/>
      </c>
      <c r="I885" s="45">
        <f>IFERROR(__xludf.DUMMYFUNCTION("""COMPUTED_VALUE"""),19855156)</f>
        <v/>
      </c>
      <c r="J885" s="45">
        <f>IFERROR(__xludf.DUMMYFUNCTION("""COMPUTED_VALUE"""),"LW3ISOS")</f>
        <v/>
      </c>
      <c r="K885" s="45">
        <f>IFERROR(__xludf.DUMMYFUNCTION("""COMPUTED_VALUE"""),"LW3ISOS-041179")</f>
        <v/>
      </c>
      <c r="L885" s="45">
        <f>IFERROR(__xludf.DUMMYFUNCTION("""COMPUTED_VALUE"""),4)</f>
        <v/>
      </c>
      <c r="M885" s="45">
        <f>IFERROR(__xludf.DUMMYFUNCTION("""COMPUTED_VALUE"""),251)</f>
        <v/>
      </c>
      <c r="N885" s="45">
        <f>IFERROR(__xludf.DUMMYFUNCTION("""COMPUTED_VALUE"""),44.67)</f>
        <v/>
      </c>
      <c r="O885" s="45">
        <f>IFERROR(__xludf.DUMMYFUNCTION("""COMPUTED_VALUE"""),0.314)</f>
        <v/>
      </c>
      <c r="P885" s="45">
        <f>IFERROR(__xludf.DUMMYFUNCTION("""COMPUTED_VALUE"""),"Colombo, LK")</f>
        <v/>
      </c>
      <c r="Q885" s="45">
        <f>IFERROR(__xludf.DUMMYFUNCTION("""COMPUTED_VALUE"""),"New York, NY, US")</f>
        <v/>
      </c>
      <c r="R885" s="44">
        <f>IFERROR(__xludf.DUMMYFUNCTION("""COMPUTED_VALUE"""),45838)</f>
        <v/>
      </c>
      <c r="S885" s="44">
        <f>IFERROR(__xludf.DUMMYFUNCTION("""COMPUTED_VALUE"""),45897)</f>
        <v/>
      </c>
      <c r="T885" s="45">
        <f>IFERROR(__xludf.DUMMYFUNCTION("""COMPUTED_VALUE"""),"Mississauga, ON, CA")</f>
        <v/>
      </c>
      <c r="U885" s="45" t="n"/>
      <c r="V885" s="45" t="n"/>
      <c r="W885" s="45" t="n"/>
      <c r="X885" s="45" t="n"/>
      <c r="Y885" s="46">
        <f>IFERROR(__xludf.DUMMYFUNCTION("""COMPUTED_VALUE"""),45845)</f>
        <v/>
      </c>
      <c r="Z885" s="46">
        <f>IFERROR(__xludf.DUMMYFUNCTION("""COMPUTED_VALUE"""),45861)</f>
        <v/>
      </c>
      <c r="AA885" s="46">
        <f>IFERROR(__xludf.DUMMYFUNCTION("""COMPUTED_VALUE"""),45861)</f>
        <v/>
      </c>
      <c r="AB885" s="45">
        <f>IFERROR(__xludf.DUMMYFUNCTION("""COMPUTED_VALUE"""),"3500 Argentia Road")</f>
        <v/>
      </c>
      <c r="AC885" s="45" t="n"/>
      <c r="AD885" s="45">
        <f>IFERROR(__xludf.DUMMYFUNCTION("""COMPUTED_VALUE"""),"OCEAN")</f>
        <v/>
      </c>
      <c r="AE885" s="45">
        <f>IFERROR(__xludf.DUMMYFUNCTION("""COMPUTED_VALUE"""),"N")</f>
        <v/>
      </c>
      <c r="AF885" s="45">
        <f>IFERROR(__xludf.DUMMYFUNCTION("""COMPUTED_VALUE"""),"New Booking")</f>
        <v/>
      </c>
      <c r="AG885" s="49">
        <f>IFERROR(__xludf.DUMMYFUNCTION("IFNA(vlookup(H885,IMPORTRANGE(""1vUGwO1n0QQGx9kKbO0_M5gmuhXZ6-LaxQxgrmJnzgP0"",""'TP# look up'!A:C""),3,0),"""")"),"")</f>
        <v/>
      </c>
      <c r="AH885" s="49">
        <f>LEFT(J885,2)</f>
        <v/>
      </c>
    </row>
    <row r="886" ht="12.75" customHeight="1">
      <c r="A886" s="45">
        <f>IFERROR(__xludf.DUMMYFUNCTION("""COMPUTED_VALUE"""),"Colombo")</f>
        <v/>
      </c>
      <c r="B886" s="45" t="n"/>
      <c r="C886" s="45">
        <f>IFERROR(__xludf.DUMMYFUNCTION("""COMPUTED_VALUE"""),3259528)</f>
        <v/>
      </c>
      <c r="D886" s="45" t="n"/>
      <c r="E886" s="45">
        <f>IFERROR(__xludf.DUMMYFUNCTION("""COMPUTED_VALUE"""),"CFS")</f>
        <v/>
      </c>
      <c r="F886" s="45">
        <f>IFERROR(__xludf.DUMMYFUNCTION("""COMPUTED_VALUE"""),"Inqube Global (PVT) Ltd")</f>
        <v/>
      </c>
      <c r="G886" s="45">
        <f>IFERROR(__xludf.DUMMYFUNCTION("""COMPUTED_VALUE"""),"Brandix Apparel Solutions Limited - Minuwangoda")</f>
        <v/>
      </c>
      <c r="H886" s="43">
        <f>IFERROR(__xludf.DUMMYFUNCTION("""COMPUTED_VALUE"""),456009374749)</f>
        <v/>
      </c>
      <c r="I886" s="45">
        <f>IFERROR(__xludf.DUMMYFUNCTION("""COMPUTED_VALUE"""),19933214)</f>
        <v/>
      </c>
      <c r="J886" s="45">
        <f>IFERROR(__xludf.DUMMYFUNCTION("""COMPUTED_VALUE"""),"LW3JFRS")</f>
        <v/>
      </c>
      <c r="K886" s="45">
        <f>IFERROR(__xludf.DUMMYFUNCTION("""COMPUTED_VALUE"""),"LW3JFRS-071676")</f>
        <v/>
      </c>
      <c r="L886" s="45">
        <f>IFERROR(__xludf.DUMMYFUNCTION("""COMPUTED_VALUE"""),12)</f>
        <v/>
      </c>
      <c r="M886" s="45">
        <f>IFERROR(__xludf.DUMMYFUNCTION("""COMPUTED_VALUE"""),189)</f>
        <v/>
      </c>
      <c r="N886" s="45">
        <f>IFERROR(__xludf.DUMMYFUNCTION("""COMPUTED_VALUE"""),150.9)</f>
        <v/>
      </c>
      <c r="O886" s="45">
        <f>IFERROR(__xludf.DUMMYFUNCTION("""COMPUTED_VALUE"""),0.942)</f>
        <v/>
      </c>
      <c r="P886" s="45">
        <f>IFERROR(__xludf.DUMMYFUNCTION("""COMPUTED_VALUE"""),"Colombo, LK")</f>
        <v/>
      </c>
      <c r="Q886" s="45">
        <f>IFERROR(__xludf.DUMMYFUNCTION("""COMPUTED_VALUE"""),"New York, NY, US")</f>
        <v/>
      </c>
      <c r="R886" s="44">
        <f>IFERROR(__xludf.DUMMYFUNCTION("""COMPUTED_VALUE"""),45838)</f>
        <v/>
      </c>
      <c r="S886" s="44">
        <f>IFERROR(__xludf.DUMMYFUNCTION("""COMPUTED_VALUE"""),45897)</f>
        <v/>
      </c>
      <c r="T886" s="45">
        <f>IFERROR(__xludf.DUMMYFUNCTION("""COMPUTED_VALUE"""),"Mississauga, ON, CA")</f>
        <v/>
      </c>
      <c r="U886" s="45" t="n"/>
      <c r="V886" s="45" t="n"/>
      <c r="W886" s="45" t="n"/>
      <c r="X886" s="45" t="n"/>
      <c r="Y886" s="46">
        <f>IFERROR(__xludf.DUMMYFUNCTION("""COMPUTED_VALUE"""),45845)</f>
        <v/>
      </c>
      <c r="Z886" s="46">
        <f>IFERROR(__xludf.DUMMYFUNCTION("""COMPUTED_VALUE"""),45861)</f>
        <v/>
      </c>
      <c r="AA886" s="46">
        <f>IFERROR(__xludf.DUMMYFUNCTION("""COMPUTED_VALUE"""),45861)</f>
        <v/>
      </c>
      <c r="AB886" s="45">
        <f>IFERROR(__xludf.DUMMYFUNCTION("""COMPUTED_VALUE"""),"3500 Argentia Road")</f>
        <v/>
      </c>
      <c r="AC886" s="45" t="n"/>
      <c r="AD886" s="45">
        <f>IFERROR(__xludf.DUMMYFUNCTION("""COMPUTED_VALUE"""),"OCEAN")</f>
        <v/>
      </c>
      <c r="AE886" s="45">
        <f>IFERROR(__xludf.DUMMYFUNCTION("""COMPUTED_VALUE"""),"N")</f>
        <v/>
      </c>
      <c r="AF886" s="45">
        <f>IFERROR(__xludf.DUMMYFUNCTION("""COMPUTED_VALUE"""),"New Booking")</f>
        <v/>
      </c>
      <c r="AG886" s="49">
        <f>IFERROR(__xludf.DUMMYFUNCTION("IFNA(vlookup(H886,IMPORTRANGE(""1vUGwO1n0QQGx9kKbO0_M5gmuhXZ6-LaxQxgrmJnzgP0"",""'TP# look up'!A:C""),3,0),"""")"),"")</f>
        <v/>
      </c>
      <c r="AH886" s="49">
        <f>LEFT(J886,2)</f>
        <v/>
      </c>
    </row>
    <row r="887" ht="12.75" customHeight="1">
      <c r="A887" s="45">
        <f>IFERROR(__xludf.DUMMYFUNCTION("""COMPUTED_VALUE"""),"Colombo")</f>
        <v/>
      </c>
      <c r="B887" s="45" t="n"/>
      <c r="C887" s="45">
        <f>IFERROR(__xludf.DUMMYFUNCTION("""COMPUTED_VALUE"""),3259528)</f>
        <v/>
      </c>
      <c r="D887" s="45" t="n"/>
      <c r="E887" s="45">
        <f>IFERROR(__xludf.DUMMYFUNCTION("""COMPUTED_VALUE"""),"CFS")</f>
        <v/>
      </c>
      <c r="F887" s="45">
        <f>IFERROR(__xludf.DUMMYFUNCTION("""COMPUTED_VALUE"""),"Inqube Global (PVT) Ltd")</f>
        <v/>
      </c>
      <c r="G887" s="45">
        <f>IFERROR(__xludf.DUMMYFUNCTION("""COMPUTED_VALUE"""),"BRANDIX APPAREL SOLUTION LTD - GIRITALE")</f>
        <v/>
      </c>
      <c r="H887" s="43">
        <f>IFERROR(__xludf.DUMMYFUNCTION("""COMPUTED_VALUE"""),455743106121)</f>
        <v/>
      </c>
      <c r="I887" s="45">
        <f>IFERROR(__xludf.DUMMYFUNCTION("""COMPUTED_VALUE"""),19855759)</f>
        <v/>
      </c>
      <c r="J887" s="45">
        <f>IFERROR(__xludf.DUMMYFUNCTION("""COMPUTED_VALUE"""),"LM5AXAS")</f>
        <v/>
      </c>
      <c r="K887" s="45">
        <f>IFERROR(__xludf.DUMMYFUNCTION("""COMPUTED_VALUE"""),"LM5AXAS-031382")</f>
        <v/>
      </c>
      <c r="L887" s="45">
        <f>IFERROR(__xludf.DUMMYFUNCTION("""COMPUTED_VALUE"""),1)</f>
        <v/>
      </c>
      <c r="M887" s="45">
        <f>IFERROR(__xludf.DUMMYFUNCTION("""COMPUTED_VALUE"""),14)</f>
        <v/>
      </c>
      <c r="N887" s="45">
        <f>IFERROR(__xludf.DUMMYFUNCTION("""COMPUTED_VALUE"""),5.42)</f>
        <v/>
      </c>
      <c r="O887" s="45">
        <f>IFERROR(__xludf.DUMMYFUNCTION("""COMPUTED_VALUE"""),0.043)</f>
        <v/>
      </c>
      <c r="P887" s="45">
        <f>IFERROR(__xludf.DUMMYFUNCTION("""COMPUTED_VALUE"""),"Colombo, LK")</f>
        <v/>
      </c>
      <c r="Q887" s="45">
        <f>IFERROR(__xludf.DUMMYFUNCTION("""COMPUTED_VALUE"""),"New York, NY, US")</f>
        <v/>
      </c>
      <c r="R887" s="44">
        <f>IFERROR(__xludf.DUMMYFUNCTION("""COMPUTED_VALUE"""),45838)</f>
        <v/>
      </c>
      <c r="S887" s="44">
        <f>IFERROR(__xludf.DUMMYFUNCTION("""COMPUTED_VALUE"""),45897)</f>
        <v/>
      </c>
      <c r="T887" s="45">
        <f>IFERROR(__xludf.DUMMYFUNCTION("""COMPUTED_VALUE"""),"Milton, ON, CA")</f>
        <v/>
      </c>
      <c r="U887" s="45" t="n"/>
      <c r="V887" s="45" t="n"/>
      <c r="W887" s="45" t="n"/>
      <c r="X887" s="45" t="n"/>
      <c r="Y887" s="46">
        <f>IFERROR(__xludf.DUMMYFUNCTION("""COMPUTED_VALUE"""),45845)</f>
        <v/>
      </c>
      <c r="Z887" s="46">
        <f>IFERROR(__xludf.DUMMYFUNCTION("""COMPUTED_VALUE"""),45866)</f>
        <v/>
      </c>
      <c r="AA887" s="46">
        <f>IFERROR(__xludf.DUMMYFUNCTION("""COMPUTED_VALUE"""),45866)</f>
        <v/>
      </c>
      <c r="AB887" s="45">
        <f>IFERROR(__xludf.DUMMYFUNCTION("""COMPUTED_VALUE"""),"7211 Fifth Line")</f>
        <v/>
      </c>
      <c r="AC887" s="45" t="n"/>
      <c r="AD887" s="45">
        <f>IFERROR(__xludf.DUMMYFUNCTION("""COMPUTED_VALUE"""),"OCEAN")</f>
        <v/>
      </c>
      <c r="AE887" s="45">
        <f>IFERROR(__xludf.DUMMYFUNCTION("""COMPUTED_VALUE"""),"N")</f>
        <v/>
      </c>
      <c r="AF887" s="45">
        <f>IFERROR(__xludf.DUMMYFUNCTION("""COMPUTED_VALUE"""),"New Booking, Status changed from Submitted to Approved, Port of Loading changed from None to Colombo, LK, Dates Added, Dates Added")</f>
        <v/>
      </c>
      <c r="AG887" s="49">
        <f>IFERROR(__xludf.DUMMYFUNCTION("IFNA(vlookup(H887,IMPORTRANGE(""1vUGwO1n0QQGx9kKbO0_M5gmuhXZ6-LaxQxgrmJnzgP0"",""'TP# look up'!A:C""),3,0),"""")"),"")</f>
        <v/>
      </c>
      <c r="AH887" s="49">
        <f>LEFT(J887,2)</f>
        <v/>
      </c>
    </row>
    <row r="888" ht="12.75" customHeight="1">
      <c r="A888" s="45">
        <f>IFERROR(__xludf.DUMMYFUNCTION("""COMPUTED_VALUE"""),"Colombo")</f>
        <v/>
      </c>
      <c r="B888" s="45" t="n"/>
      <c r="C888" s="45">
        <f>IFERROR(__xludf.DUMMYFUNCTION("""COMPUTED_VALUE"""),3259528)</f>
        <v/>
      </c>
      <c r="D888" s="45" t="n"/>
      <c r="E888" s="45">
        <f>IFERROR(__xludf.DUMMYFUNCTION("""COMPUTED_VALUE"""),"CFS")</f>
        <v/>
      </c>
      <c r="F888" s="45">
        <f>IFERROR(__xludf.DUMMYFUNCTION("""COMPUTED_VALUE"""),"Bodyline Trading (Private) Limited")</f>
        <v/>
      </c>
      <c r="G888" s="45">
        <f>IFERROR(__xludf.DUMMYFUNCTION("""COMPUTED_VALUE"""),"Bodyline (Private) Limited")</f>
        <v/>
      </c>
      <c r="H888" s="43">
        <f>IFERROR(__xludf.DUMMYFUNCTION("""COMPUTED_VALUE"""),456401302456)</f>
        <v/>
      </c>
      <c r="I888" s="45">
        <f>IFERROR(__xludf.DUMMYFUNCTION("""COMPUTED_VALUE"""),19877694)</f>
        <v/>
      </c>
      <c r="J888" s="45">
        <f>IFERROR(__xludf.DUMMYFUNCTION("""COMPUTED_VALUE"""),"LW2EF9S")</f>
        <v/>
      </c>
      <c r="K888" s="45">
        <f>IFERROR(__xludf.DUMMYFUNCTION("""COMPUTED_VALUE"""),"LW2EF9S-071226")</f>
        <v/>
      </c>
      <c r="L888" s="45">
        <f>IFERROR(__xludf.DUMMYFUNCTION("""COMPUTED_VALUE"""),6)</f>
        <v/>
      </c>
      <c r="M888" s="45">
        <f>IFERROR(__xludf.DUMMYFUNCTION("""COMPUTED_VALUE"""),174)</f>
        <v/>
      </c>
      <c r="N888" s="45">
        <f>IFERROR(__xludf.DUMMYFUNCTION("""COMPUTED_VALUE"""),26.816)</f>
        <v/>
      </c>
      <c r="O888" s="45">
        <f>IFERROR(__xludf.DUMMYFUNCTION("""COMPUTED_VALUE"""),0.41)</f>
        <v/>
      </c>
      <c r="P888" s="45">
        <f>IFERROR(__xludf.DUMMYFUNCTION("""COMPUTED_VALUE"""),"Colombo, LK")</f>
        <v/>
      </c>
      <c r="Q888" s="45">
        <f>IFERROR(__xludf.DUMMYFUNCTION("""COMPUTED_VALUE"""),"New York, NY, US")</f>
        <v/>
      </c>
      <c r="R888" s="44">
        <f>IFERROR(__xludf.DUMMYFUNCTION("""COMPUTED_VALUE"""),45838)</f>
        <v/>
      </c>
      <c r="S888" s="44">
        <f>IFERROR(__xludf.DUMMYFUNCTION("""COMPUTED_VALUE"""),45897)</f>
        <v/>
      </c>
      <c r="T888" s="45">
        <f>IFERROR(__xludf.DUMMYFUNCTION("""COMPUTED_VALUE"""),"Mississauga, ON, CA")</f>
        <v/>
      </c>
      <c r="U888" s="45" t="n"/>
      <c r="V888" s="45" t="n"/>
      <c r="W888" s="45" t="n"/>
      <c r="X888" s="45" t="n"/>
      <c r="Y888" s="46">
        <f>IFERROR(__xludf.DUMMYFUNCTION("""COMPUTED_VALUE"""),45845)</f>
        <v/>
      </c>
      <c r="Z888" s="46">
        <f>IFERROR(__xludf.DUMMYFUNCTION("""COMPUTED_VALUE"""),45866)</f>
        <v/>
      </c>
      <c r="AA888" s="46">
        <f>IFERROR(__xludf.DUMMYFUNCTION("""COMPUTED_VALUE"""),45866)</f>
        <v/>
      </c>
      <c r="AB888" s="45">
        <f>IFERROR(__xludf.DUMMYFUNCTION("""COMPUTED_VALUE"""),"3500 Argentia Road")</f>
        <v/>
      </c>
      <c r="AC888" s="45" t="n"/>
      <c r="AD888" s="45">
        <f>IFERROR(__xludf.DUMMYFUNCTION("""COMPUTED_VALUE"""),"OCEAN")</f>
        <v/>
      </c>
      <c r="AE888" s="45">
        <f>IFERROR(__xludf.DUMMYFUNCTION("""COMPUTED_VALUE"""),"N")</f>
        <v/>
      </c>
      <c r="AF888" s="45">
        <f>IFERROR(__xludf.DUMMYFUNCTION("""COMPUTED_VALUE"""),"New Booking")</f>
        <v/>
      </c>
      <c r="AG888" s="49">
        <f>IFERROR(__xludf.DUMMYFUNCTION("IFNA(vlookup(H888,IMPORTRANGE(""1vUGwO1n0QQGx9kKbO0_M5gmuhXZ6-LaxQxgrmJnzgP0"",""'TP# look up'!A:C""),3,0),"""")"),"")</f>
        <v/>
      </c>
      <c r="AH888" s="49">
        <f>LEFT(J888,2)</f>
        <v/>
      </c>
    </row>
    <row r="889" ht="12.75" customHeight="1">
      <c r="A889" s="45">
        <f>IFERROR(__xludf.DUMMYFUNCTION("""COMPUTED_VALUE"""),"Colombo")</f>
        <v/>
      </c>
      <c r="B889" s="45" t="n"/>
      <c r="C889" s="45">
        <f>IFERROR(__xludf.DUMMYFUNCTION("""COMPUTED_VALUE"""),3259528)</f>
        <v/>
      </c>
      <c r="D889" s="45" t="n"/>
      <c r="E889" s="45">
        <f>IFERROR(__xludf.DUMMYFUNCTION("""COMPUTED_VALUE"""),"CFS")</f>
        <v/>
      </c>
      <c r="F889" s="45">
        <f>IFERROR(__xludf.DUMMYFUNCTION("""COMPUTED_VALUE"""),"Bodyline Trading (Private) Limited")</f>
        <v/>
      </c>
      <c r="G889" s="45">
        <f>IFERROR(__xludf.DUMMYFUNCTION("""COMPUTED_VALUE"""),"Bodyline (Private) Limited")</f>
        <v/>
      </c>
      <c r="H889" s="43">
        <f>IFERROR(__xludf.DUMMYFUNCTION("""COMPUTED_VALUE"""),456402255151)</f>
        <v/>
      </c>
      <c r="I889" s="45">
        <f>IFERROR(__xludf.DUMMYFUNCTION("""COMPUTED_VALUE"""),19877624)</f>
        <v/>
      </c>
      <c r="J889" s="45">
        <f>IFERROR(__xludf.DUMMYFUNCTION("""COMPUTED_VALUE"""),"LW2EF9S")</f>
        <v/>
      </c>
      <c r="K889" s="45">
        <f>IFERROR(__xludf.DUMMYFUNCTION("""COMPUTED_VALUE"""),"LW2EF9S-071226")</f>
        <v/>
      </c>
      <c r="L889" s="45">
        <f>IFERROR(__xludf.DUMMYFUNCTION("""COMPUTED_VALUE"""),8)</f>
        <v/>
      </c>
      <c r="M889" s="45">
        <f>IFERROR(__xludf.DUMMYFUNCTION("""COMPUTED_VALUE"""),366)</f>
        <v/>
      </c>
      <c r="N889" s="45">
        <f>IFERROR(__xludf.DUMMYFUNCTION("""COMPUTED_VALUE"""),52.527)</f>
        <v/>
      </c>
      <c r="O889" s="45">
        <f>IFERROR(__xludf.DUMMYFUNCTION("""COMPUTED_VALUE"""),0.608)</f>
        <v/>
      </c>
      <c r="P889" s="45">
        <f>IFERROR(__xludf.DUMMYFUNCTION("""COMPUTED_VALUE"""),"Colombo, LK")</f>
        <v/>
      </c>
      <c r="Q889" s="45">
        <f>IFERROR(__xludf.DUMMYFUNCTION("""COMPUTED_VALUE"""),"New York, NY, US")</f>
        <v/>
      </c>
      <c r="R889" s="44">
        <f>IFERROR(__xludf.DUMMYFUNCTION("""COMPUTED_VALUE"""),45838)</f>
        <v/>
      </c>
      <c r="S889" s="44">
        <f>IFERROR(__xludf.DUMMYFUNCTION("""COMPUTED_VALUE"""),45897)</f>
        <v/>
      </c>
      <c r="T889" s="45">
        <f>IFERROR(__xludf.DUMMYFUNCTION("""COMPUTED_VALUE"""),"Mississauga, ON, CA")</f>
        <v/>
      </c>
      <c r="U889" s="45" t="n"/>
      <c r="V889" s="45" t="n"/>
      <c r="W889" s="45" t="n"/>
      <c r="X889" s="45" t="n"/>
      <c r="Y889" s="46">
        <f>IFERROR(__xludf.DUMMYFUNCTION("""COMPUTED_VALUE"""),45845)</f>
        <v/>
      </c>
      <c r="Z889" s="46">
        <f>IFERROR(__xludf.DUMMYFUNCTION("""COMPUTED_VALUE"""),45866)</f>
        <v/>
      </c>
      <c r="AA889" s="46">
        <f>IFERROR(__xludf.DUMMYFUNCTION("""COMPUTED_VALUE"""),45866)</f>
        <v/>
      </c>
      <c r="AB889" s="45">
        <f>IFERROR(__xludf.DUMMYFUNCTION("""COMPUTED_VALUE"""),"3500 Argentia Road")</f>
        <v/>
      </c>
      <c r="AC889" s="45" t="n"/>
      <c r="AD889" s="45">
        <f>IFERROR(__xludf.DUMMYFUNCTION("""COMPUTED_VALUE"""),"OCEAN")</f>
        <v/>
      </c>
      <c r="AE889" s="45">
        <f>IFERROR(__xludf.DUMMYFUNCTION("""COMPUTED_VALUE"""),"N")</f>
        <v/>
      </c>
      <c r="AF889" s="45">
        <f>IFERROR(__xludf.DUMMYFUNCTION("""COMPUTED_VALUE"""),"New Booking")</f>
        <v/>
      </c>
      <c r="AG889" s="49">
        <f>IFERROR(__xludf.DUMMYFUNCTION("IFNA(vlookup(H889,IMPORTRANGE(""1vUGwO1n0QQGx9kKbO0_M5gmuhXZ6-LaxQxgrmJnzgP0"",""'TP# look up'!A:C""),3,0),"""")"),"")</f>
        <v/>
      </c>
      <c r="AH889" s="49">
        <f>LEFT(J889,2)</f>
        <v/>
      </c>
    </row>
    <row r="890" ht="12.75" customHeight="1">
      <c r="A890" s="45">
        <f>IFERROR(__xludf.DUMMYFUNCTION("""COMPUTED_VALUE"""),"Colombo")</f>
        <v/>
      </c>
      <c r="B890" s="45" t="n"/>
      <c r="C890" s="45">
        <f>IFERROR(__xludf.DUMMYFUNCTION("""COMPUTED_VALUE"""),3259528)</f>
        <v/>
      </c>
      <c r="D890" s="45" t="n"/>
      <c r="E890" s="45">
        <f>IFERROR(__xludf.DUMMYFUNCTION("""COMPUTED_VALUE"""),"CFS")</f>
        <v/>
      </c>
      <c r="F890" s="45">
        <f>IFERROR(__xludf.DUMMYFUNCTION("""COMPUTED_VALUE"""),"Bodyline Trading (Private) Limited")</f>
        <v/>
      </c>
      <c r="G890" s="45">
        <f>IFERROR(__xludf.DUMMYFUNCTION("""COMPUTED_VALUE"""),"Bodyline (Private) Limited")</f>
        <v/>
      </c>
      <c r="H890" s="43">
        <f>IFERROR(__xludf.DUMMYFUNCTION("""COMPUTED_VALUE"""),456403901144)</f>
        <v/>
      </c>
      <c r="I890" s="45">
        <f>IFERROR(__xludf.DUMMYFUNCTION("""COMPUTED_VALUE"""),19843839)</f>
        <v/>
      </c>
      <c r="J890" s="45">
        <f>IFERROR(__xludf.DUMMYFUNCTION("""COMPUTED_VALUE"""),"LW1FF7S")</f>
        <v/>
      </c>
      <c r="K890" s="45">
        <f>IFERROR(__xludf.DUMMYFUNCTION("""COMPUTED_VALUE"""),"LW1FF7S-041179")</f>
        <v/>
      </c>
      <c r="L890" s="45">
        <f>IFERROR(__xludf.DUMMYFUNCTION("""COMPUTED_VALUE"""),12)</f>
        <v/>
      </c>
      <c r="M890" s="45">
        <f>IFERROR(__xludf.DUMMYFUNCTION("""COMPUTED_VALUE"""),397)</f>
        <v/>
      </c>
      <c r="N890" s="45">
        <f>IFERROR(__xludf.DUMMYFUNCTION("""COMPUTED_VALUE"""),58.497)</f>
        <v/>
      </c>
      <c r="O890" s="45">
        <f>IFERROR(__xludf.DUMMYFUNCTION("""COMPUTED_VALUE"""),0.527)</f>
        <v/>
      </c>
      <c r="P890" s="45">
        <f>IFERROR(__xludf.DUMMYFUNCTION("""COMPUTED_VALUE"""),"Colombo, LK")</f>
        <v/>
      </c>
      <c r="Q890" s="45">
        <f>IFERROR(__xludf.DUMMYFUNCTION("""COMPUTED_VALUE"""),"New York, NY, US")</f>
        <v/>
      </c>
      <c r="R890" s="44">
        <f>IFERROR(__xludf.DUMMYFUNCTION("""COMPUTED_VALUE"""),45838)</f>
        <v/>
      </c>
      <c r="S890" s="44">
        <f>IFERROR(__xludf.DUMMYFUNCTION("""COMPUTED_VALUE"""),45897)</f>
        <v/>
      </c>
      <c r="T890" s="45">
        <f>IFERROR(__xludf.DUMMYFUNCTION("""COMPUTED_VALUE"""),"Mississauga, ON, CA")</f>
        <v/>
      </c>
      <c r="U890" s="45" t="n"/>
      <c r="V890" s="45" t="n"/>
      <c r="W890" s="45" t="n"/>
      <c r="X890" s="45" t="n"/>
      <c r="Y890" s="46">
        <f>IFERROR(__xludf.DUMMYFUNCTION("""COMPUTED_VALUE"""),45845)</f>
        <v/>
      </c>
      <c r="Z890" s="46">
        <f>IFERROR(__xludf.DUMMYFUNCTION("""COMPUTED_VALUE"""),45866)</f>
        <v/>
      </c>
      <c r="AA890" s="46">
        <f>IFERROR(__xludf.DUMMYFUNCTION("""COMPUTED_VALUE"""),45866)</f>
        <v/>
      </c>
      <c r="AB890" s="45">
        <f>IFERROR(__xludf.DUMMYFUNCTION("""COMPUTED_VALUE"""),"3500 Argentia Road")</f>
        <v/>
      </c>
      <c r="AC890" s="45" t="n"/>
      <c r="AD890" s="45">
        <f>IFERROR(__xludf.DUMMYFUNCTION("""COMPUTED_VALUE"""),"OCEAN")</f>
        <v/>
      </c>
      <c r="AE890" s="45">
        <f>IFERROR(__xludf.DUMMYFUNCTION("""COMPUTED_VALUE"""),"N")</f>
        <v/>
      </c>
      <c r="AF890" s="45">
        <f>IFERROR(__xludf.DUMMYFUNCTION("""COMPUTED_VALUE"""),"New Booking")</f>
        <v/>
      </c>
      <c r="AG890" s="49">
        <f>IFERROR(__xludf.DUMMYFUNCTION("IFNA(vlookup(H890,IMPORTRANGE(""1vUGwO1n0QQGx9kKbO0_M5gmuhXZ6-LaxQxgrmJnzgP0"",""'TP# look up'!A:C""),3,0),"""")"),"")</f>
        <v/>
      </c>
      <c r="AH890" s="49">
        <f>LEFT(J890,2)</f>
        <v/>
      </c>
    </row>
    <row r="891" ht="12.75" customHeight="1">
      <c r="A891" s="45">
        <f>IFERROR(__xludf.DUMMYFUNCTION("""COMPUTED_VALUE"""),"Colombo")</f>
        <v/>
      </c>
      <c r="B891" s="45" t="n"/>
      <c r="C891" s="45">
        <f>IFERROR(__xludf.DUMMYFUNCTION("""COMPUTED_VALUE"""),3259528)</f>
        <v/>
      </c>
      <c r="D891" s="45" t="n"/>
      <c r="E891" s="45">
        <f>IFERROR(__xludf.DUMMYFUNCTION("""COMPUTED_VALUE"""),"CFS")</f>
        <v/>
      </c>
      <c r="F891" s="45">
        <f>IFERROR(__xludf.DUMMYFUNCTION("""COMPUTED_VALUE"""),"Bodyline Trading (Private) Limited")</f>
        <v/>
      </c>
      <c r="G891" s="45">
        <f>IFERROR(__xludf.DUMMYFUNCTION("""COMPUTED_VALUE"""),"Bodyline (Private) Limited")</f>
        <v/>
      </c>
      <c r="H891" s="43">
        <f>IFERROR(__xludf.DUMMYFUNCTION("""COMPUTED_VALUE"""),456404301861)</f>
        <v/>
      </c>
      <c r="I891" s="45">
        <f>IFERROR(__xludf.DUMMYFUNCTION("""COMPUTED_VALUE"""),19843741)</f>
        <v/>
      </c>
      <c r="J891" s="45">
        <f>IFERROR(__xludf.DUMMYFUNCTION("""COMPUTED_VALUE"""),"LW1FF7S")</f>
        <v/>
      </c>
      <c r="K891" s="45">
        <f>IFERROR(__xludf.DUMMYFUNCTION("""COMPUTED_VALUE"""),"LW1FF7S-041179")</f>
        <v/>
      </c>
      <c r="L891" s="45">
        <f>IFERROR(__xludf.DUMMYFUNCTION("""COMPUTED_VALUE"""),5)</f>
        <v/>
      </c>
      <c r="M891" s="45">
        <f>IFERROR(__xludf.DUMMYFUNCTION("""COMPUTED_VALUE"""),136)</f>
        <v/>
      </c>
      <c r="N891" s="45">
        <f>IFERROR(__xludf.DUMMYFUNCTION("""COMPUTED_VALUE"""),21.011)</f>
        <v/>
      </c>
      <c r="O891" s="45">
        <f>IFERROR(__xludf.DUMMYFUNCTION("""COMPUTED_VALUE"""),0.22)</f>
        <v/>
      </c>
      <c r="P891" s="45">
        <f>IFERROR(__xludf.DUMMYFUNCTION("""COMPUTED_VALUE"""),"Colombo, LK")</f>
        <v/>
      </c>
      <c r="Q891" s="45">
        <f>IFERROR(__xludf.DUMMYFUNCTION("""COMPUTED_VALUE"""),"New York, NY, US")</f>
        <v/>
      </c>
      <c r="R891" s="44">
        <f>IFERROR(__xludf.DUMMYFUNCTION("""COMPUTED_VALUE"""),45838)</f>
        <v/>
      </c>
      <c r="S891" s="44">
        <f>IFERROR(__xludf.DUMMYFUNCTION("""COMPUTED_VALUE"""),45897)</f>
        <v/>
      </c>
      <c r="T891" s="45">
        <f>IFERROR(__xludf.DUMMYFUNCTION("""COMPUTED_VALUE"""),"Mississauga, ON, CA")</f>
        <v/>
      </c>
      <c r="U891" s="45" t="n"/>
      <c r="V891" s="45" t="n"/>
      <c r="W891" s="45" t="n"/>
      <c r="X891" s="45" t="n"/>
      <c r="Y891" s="46">
        <f>IFERROR(__xludf.DUMMYFUNCTION("""COMPUTED_VALUE"""),45845)</f>
        <v/>
      </c>
      <c r="Z891" s="46">
        <f>IFERROR(__xludf.DUMMYFUNCTION("""COMPUTED_VALUE"""),45866)</f>
        <v/>
      </c>
      <c r="AA891" s="46">
        <f>IFERROR(__xludf.DUMMYFUNCTION("""COMPUTED_VALUE"""),45866)</f>
        <v/>
      </c>
      <c r="AB891" s="45">
        <f>IFERROR(__xludf.DUMMYFUNCTION("""COMPUTED_VALUE"""),"3500 Argentia Road")</f>
        <v/>
      </c>
      <c r="AC891" s="45" t="n"/>
      <c r="AD891" s="45">
        <f>IFERROR(__xludf.DUMMYFUNCTION("""COMPUTED_VALUE"""),"OCEAN")</f>
        <v/>
      </c>
      <c r="AE891" s="45">
        <f>IFERROR(__xludf.DUMMYFUNCTION("""COMPUTED_VALUE"""),"N")</f>
        <v/>
      </c>
      <c r="AF891" s="45">
        <f>IFERROR(__xludf.DUMMYFUNCTION("""COMPUTED_VALUE"""),"New Booking")</f>
        <v/>
      </c>
      <c r="AG891" s="49">
        <f>IFERROR(__xludf.DUMMYFUNCTION("IFNA(vlookup(H891,IMPORTRANGE(""1vUGwO1n0QQGx9kKbO0_M5gmuhXZ6-LaxQxgrmJnzgP0"",""'TP# look up'!A:C""),3,0),"""")"),"")</f>
        <v/>
      </c>
      <c r="AH891" s="49">
        <f>LEFT(J891,2)</f>
        <v/>
      </c>
    </row>
    <row r="892" ht="12.75" customHeight="1">
      <c r="A892" s="45">
        <f>IFERROR(__xludf.DUMMYFUNCTION("""COMPUTED_VALUE"""),"Colombo")</f>
        <v/>
      </c>
      <c r="B892" s="45" t="n"/>
      <c r="C892" s="45">
        <f>IFERROR(__xludf.DUMMYFUNCTION("""COMPUTED_VALUE"""),3259528)</f>
        <v/>
      </c>
      <c r="D892" s="45" t="n"/>
      <c r="E892" s="45">
        <f>IFERROR(__xludf.DUMMYFUNCTION("""COMPUTED_VALUE"""),"CFS")</f>
        <v/>
      </c>
      <c r="F892" s="45">
        <f>IFERROR(__xludf.DUMMYFUNCTION("""COMPUTED_VALUE"""),"Bodyline Trading (Private) Limited")</f>
        <v/>
      </c>
      <c r="G892" s="45">
        <f>IFERROR(__xludf.DUMMYFUNCTION("""COMPUTED_VALUE"""),"Bodyline (Private) Limited")</f>
        <v/>
      </c>
      <c r="H892" s="43">
        <f>IFERROR(__xludf.DUMMYFUNCTION("""COMPUTED_VALUE"""),456404304549)</f>
        <v/>
      </c>
      <c r="I892" s="45">
        <f>IFERROR(__xludf.DUMMYFUNCTION("""COMPUTED_VALUE"""),19843763)</f>
        <v/>
      </c>
      <c r="J892" s="45">
        <f>IFERROR(__xludf.DUMMYFUNCTION("""COMPUTED_VALUE"""),"LW1FM7S")</f>
        <v/>
      </c>
      <c r="K892" s="45">
        <f>IFERROR(__xludf.DUMMYFUNCTION("""COMPUTED_VALUE"""),"LW1FM7S-041179")</f>
        <v/>
      </c>
      <c r="L892" s="45">
        <f>IFERROR(__xludf.DUMMYFUNCTION("""COMPUTED_VALUE"""),6)</f>
        <v/>
      </c>
      <c r="M892" s="45">
        <f>IFERROR(__xludf.DUMMYFUNCTION("""COMPUTED_VALUE"""),285)</f>
        <v/>
      </c>
      <c r="N892" s="45">
        <f>IFERROR(__xludf.DUMMYFUNCTION("""COMPUTED_VALUE"""),29.421)</f>
        <v/>
      </c>
      <c r="O892" s="45">
        <f>IFERROR(__xludf.DUMMYFUNCTION("""COMPUTED_VALUE"""),0.264)</f>
        <v/>
      </c>
      <c r="P892" s="45">
        <f>IFERROR(__xludf.DUMMYFUNCTION("""COMPUTED_VALUE"""),"Colombo, LK")</f>
        <v/>
      </c>
      <c r="Q892" s="45">
        <f>IFERROR(__xludf.DUMMYFUNCTION("""COMPUTED_VALUE"""),"New York, NY, US")</f>
        <v/>
      </c>
      <c r="R892" s="44">
        <f>IFERROR(__xludf.DUMMYFUNCTION("""COMPUTED_VALUE"""),45838)</f>
        <v/>
      </c>
      <c r="S892" s="44">
        <f>IFERROR(__xludf.DUMMYFUNCTION("""COMPUTED_VALUE"""),45897)</f>
        <v/>
      </c>
      <c r="T892" s="45">
        <f>IFERROR(__xludf.DUMMYFUNCTION("""COMPUTED_VALUE"""),"Mississauga, ON, CA")</f>
        <v/>
      </c>
      <c r="U892" s="45" t="n"/>
      <c r="V892" s="45" t="n"/>
      <c r="W892" s="45" t="n"/>
      <c r="X892" s="45" t="n"/>
      <c r="Y892" s="46">
        <f>IFERROR(__xludf.DUMMYFUNCTION("""COMPUTED_VALUE"""),45845)</f>
        <v/>
      </c>
      <c r="Z892" s="46">
        <f>IFERROR(__xludf.DUMMYFUNCTION("""COMPUTED_VALUE"""),45866)</f>
        <v/>
      </c>
      <c r="AA892" s="46">
        <f>IFERROR(__xludf.DUMMYFUNCTION("""COMPUTED_VALUE"""),45866)</f>
        <v/>
      </c>
      <c r="AB892" s="45">
        <f>IFERROR(__xludf.DUMMYFUNCTION("""COMPUTED_VALUE"""),"3500 Argentia Road")</f>
        <v/>
      </c>
      <c r="AC892" s="45" t="n"/>
      <c r="AD892" s="45">
        <f>IFERROR(__xludf.DUMMYFUNCTION("""COMPUTED_VALUE"""),"OCEAN")</f>
        <v/>
      </c>
      <c r="AE892" s="45">
        <f>IFERROR(__xludf.DUMMYFUNCTION("""COMPUTED_VALUE"""),"N")</f>
        <v/>
      </c>
      <c r="AF892" s="45">
        <f>IFERROR(__xludf.DUMMYFUNCTION("""COMPUTED_VALUE"""),"New Booking")</f>
        <v/>
      </c>
      <c r="AG892" s="49">
        <f>IFERROR(__xludf.DUMMYFUNCTION("IFNA(vlookup(H892,IMPORTRANGE(""1vUGwO1n0QQGx9kKbO0_M5gmuhXZ6-LaxQxgrmJnzgP0"",""'TP# look up'!A:C""),3,0),"""")"),"")</f>
        <v/>
      </c>
      <c r="AH892" s="49">
        <f>LEFT(J892,2)</f>
        <v/>
      </c>
    </row>
    <row r="893" ht="12.75" customHeight="1">
      <c r="A893" s="45">
        <f>IFERROR(__xludf.DUMMYFUNCTION("""COMPUTED_VALUE"""),"Colombo")</f>
        <v/>
      </c>
      <c r="B893" s="45" t="n"/>
      <c r="C893" s="45">
        <f>IFERROR(__xludf.DUMMYFUNCTION("""COMPUTED_VALUE"""),3259528)</f>
        <v/>
      </c>
      <c r="D893" s="45" t="n"/>
      <c r="E893" s="45">
        <f>IFERROR(__xludf.DUMMYFUNCTION("""COMPUTED_VALUE"""),"CFS")</f>
        <v/>
      </c>
      <c r="F893" s="45">
        <f>IFERROR(__xludf.DUMMYFUNCTION("""COMPUTED_VALUE"""),"Bodyline Trading (Private) Limited")</f>
        <v/>
      </c>
      <c r="G893" s="45">
        <f>IFERROR(__xludf.DUMMYFUNCTION("""COMPUTED_VALUE"""),"Bodyline (Private) Limited")</f>
        <v/>
      </c>
      <c r="H893" s="43">
        <f>IFERROR(__xludf.DUMMYFUNCTION("""COMPUTED_VALUE"""),456406205944)</f>
        <v/>
      </c>
      <c r="I893" s="45">
        <f>IFERROR(__xludf.DUMMYFUNCTION("""COMPUTED_VALUE"""),19843880)</f>
        <v/>
      </c>
      <c r="J893" s="45">
        <f>IFERROR(__xludf.DUMMYFUNCTION("""COMPUTED_VALUE"""),"LW1FM7S")</f>
        <v/>
      </c>
      <c r="K893" s="45">
        <f>IFERROR(__xludf.DUMMYFUNCTION("""COMPUTED_VALUE"""),"LW1FM7S-041179")</f>
        <v/>
      </c>
      <c r="L893" s="45">
        <f>IFERROR(__xludf.DUMMYFUNCTION("""COMPUTED_VALUE"""),15)</f>
        <v/>
      </c>
      <c r="M893" s="45">
        <f>IFERROR(__xludf.DUMMYFUNCTION("""COMPUTED_VALUE"""),816)</f>
        <v/>
      </c>
      <c r="N893" s="45">
        <f>IFERROR(__xludf.DUMMYFUNCTION("""COMPUTED_VALUE"""),82.266)</f>
        <v/>
      </c>
      <c r="O893" s="45">
        <f>IFERROR(__xludf.DUMMYFUNCTION("""COMPUTED_VALUE"""),0.659)</f>
        <v/>
      </c>
      <c r="P893" s="45">
        <f>IFERROR(__xludf.DUMMYFUNCTION("""COMPUTED_VALUE"""),"Colombo, LK")</f>
        <v/>
      </c>
      <c r="Q893" s="45">
        <f>IFERROR(__xludf.DUMMYFUNCTION("""COMPUTED_VALUE"""),"New York, NY, US")</f>
        <v/>
      </c>
      <c r="R893" s="44">
        <f>IFERROR(__xludf.DUMMYFUNCTION("""COMPUTED_VALUE"""),45838)</f>
        <v/>
      </c>
      <c r="S893" s="44">
        <f>IFERROR(__xludf.DUMMYFUNCTION("""COMPUTED_VALUE"""),45897)</f>
        <v/>
      </c>
      <c r="T893" s="45">
        <f>IFERROR(__xludf.DUMMYFUNCTION("""COMPUTED_VALUE"""),"Mississauga, ON, CA")</f>
        <v/>
      </c>
      <c r="U893" s="45" t="n"/>
      <c r="V893" s="45" t="n"/>
      <c r="W893" s="45" t="n"/>
      <c r="X893" s="45" t="n"/>
      <c r="Y893" s="46">
        <f>IFERROR(__xludf.DUMMYFUNCTION("""COMPUTED_VALUE"""),45845)</f>
        <v/>
      </c>
      <c r="Z893" s="46">
        <f>IFERROR(__xludf.DUMMYFUNCTION("""COMPUTED_VALUE"""),45866)</f>
        <v/>
      </c>
      <c r="AA893" s="46">
        <f>IFERROR(__xludf.DUMMYFUNCTION("""COMPUTED_VALUE"""),45866)</f>
        <v/>
      </c>
      <c r="AB893" s="45">
        <f>IFERROR(__xludf.DUMMYFUNCTION("""COMPUTED_VALUE"""),"3500 Argentia Road")</f>
        <v/>
      </c>
      <c r="AC893" s="45" t="n"/>
      <c r="AD893" s="45">
        <f>IFERROR(__xludf.DUMMYFUNCTION("""COMPUTED_VALUE"""),"OCEAN")</f>
        <v/>
      </c>
      <c r="AE893" s="45">
        <f>IFERROR(__xludf.DUMMYFUNCTION("""COMPUTED_VALUE"""),"N")</f>
        <v/>
      </c>
      <c r="AF893" s="45">
        <f>IFERROR(__xludf.DUMMYFUNCTION("""COMPUTED_VALUE"""),"New Booking")</f>
        <v/>
      </c>
      <c r="AG893" s="49">
        <f>IFERROR(__xludf.DUMMYFUNCTION("IFNA(vlookup(H893,IMPORTRANGE(""1vUGwO1n0QQGx9kKbO0_M5gmuhXZ6-LaxQxgrmJnzgP0"",""'TP# look up'!A:C""),3,0),"""")"),"")</f>
        <v/>
      </c>
      <c r="AH893" s="49">
        <f>LEFT(J893,2)</f>
        <v/>
      </c>
    </row>
    <row r="894" ht="12.75" customHeight="1">
      <c r="A894" s="45">
        <f>IFERROR(__xludf.DUMMYFUNCTION("""COMPUTED_VALUE"""),"Colombo")</f>
        <v/>
      </c>
      <c r="B894" s="45" t="n"/>
      <c r="C894" s="45">
        <f>IFERROR(__xludf.DUMMYFUNCTION("""COMPUTED_VALUE"""),3259528)</f>
        <v/>
      </c>
      <c r="D894" s="45" t="n"/>
      <c r="E894" s="45">
        <f>IFERROR(__xludf.DUMMYFUNCTION("""COMPUTED_VALUE"""),"CFS")</f>
        <v/>
      </c>
      <c r="F894" s="45">
        <f>IFERROR(__xludf.DUMMYFUNCTION("""COMPUTED_VALUE"""),"Bodyline Trading (Private) Limited")</f>
        <v/>
      </c>
      <c r="G894" s="45">
        <f>IFERROR(__xludf.DUMMYFUNCTION("""COMPUTED_VALUE"""),"Bodyline (Private) Limited")</f>
        <v/>
      </c>
      <c r="H894" s="43">
        <f>IFERROR(__xludf.DUMMYFUNCTION("""COMPUTED_VALUE"""),456407816056)</f>
        <v/>
      </c>
      <c r="I894" s="45">
        <f>IFERROR(__xludf.DUMMYFUNCTION("""COMPUTED_VALUE"""),19878522)</f>
        <v/>
      </c>
      <c r="J894" s="45">
        <f>IFERROR(__xludf.DUMMYFUNCTION("""COMPUTED_VALUE"""),"LW2DPNS")</f>
        <v/>
      </c>
      <c r="K894" s="45">
        <f>IFERROR(__xludf.DUMMYFUNCTION("""COMPUTED_VALUE"""),"LW2DPNS-041179")</f>
        <v/>
      </c>
      <c r="L894" s="45">
        <f>IFERROR(__xludf.DUMMYFUNCTION("""COMPUTED_VALUE"""),2)</f>
        <v/>
      </c>
      <c r="M894" s="45">
        <f>IFERROR(__xludf.DUMMYFUNCTION("""COMPUTED_VALUE"""),65)</f>
        <v/>
      </c>
      <c r="N894" s="45">
        <f>IFERROR(__xludf.DUMMYFUNCTION("""COMPUTED_VALUE"""),8.658)</f>
        <v/>
      </c>
      <c r="O894" s="45">
        <f>IFERROR(__xludf.DUMMYFUNCTION("""COMPUTED_VALUE"""),0.124)</f>
        <v/>
      </c>
      <c r="P894" s="45">
        <f>IFERROR(__xludf.DUMMYFUNCTION("""COMPUTED_VALUE"""),"Colombo, LK")</f>
        <v/>
      </c>
      <c r="Q894" s="45">
        <f>IFERROR(__xludf.DUMMYFUNCTION("""COMPUTED_VALUE"""),"New York, NY, US")</f>
        <v/>
      </c>
      <c r="R894" s="44">
        <f>IFERROR(__xludf.DUMMYFUNCTION("""COMPUTED_VALUE"""),45838)</f>
        <v/>
      </c>
      <c r="S894" s="44">
        <f>IFERROR(__xludf.DUMMYFUNCTION("""COMPUTED_VALUE"""),45897)</f>
        <v/>
      </c>
      <c r="T894" s="45">
        <f>IFERROR(__xludf.DUMMYFUNCTION("""COMPUTED_VALUE"""),"Mississauga, ON, CA")</f>
        <v/>
      </c>
      <c r="U894" s="45" t="n"/>
      <c r="V894" s="45" t="n"/>
      <c r="W894" s="45" t="n"/>
      <c r="X894" s="45" t="n"/>
      <c r="Y894" s="46">
        <f>IFERROR(__xludf.DUMMYFUNCTION("""COMPUTED_VALUE"""),45845)</f>
        <v/>
      </c>
      <c r="Z894" s="46">
        <f>IFERROR(__xludf.DUMMYFUNCTION("""COMPUTED_VALUE"""),45866)</f>
        <v/>
      </c>
      <c r="AA894" s="46">
        <f>IFERROR(__xludf.DUMMYFUNCTION("""COMPUTED_VALUE"""),45866)</f>
        <v/>
      </c>
      <c r="AB894" s="45">
        <f>IFERROR(__xludf.DUMMYFUNCTION("""COMPUTED_VALUE"""),"3500 Argentia Road")</f>
        <v/>
      </c>
      <c r="AC894" s="45" t="n"/>
      <c r="AD894" s="45">
        <f>IFERROR(__xludf.DUMMYFUNCTION("""COMPUTED_VALUE"""),"OCEAN")</f>
        <v/>
      </c>
      <c r="AE894" s="45">
        <f>IFERROR(__xludf.DUMMYFUNCTION("""COMPUTED_VALUE"""),"N")</f>
        <v/>
      </c>
      <c r="AF894" s="45">
        <f>IFERROR(__xludf.DUMMYFUNCTION("""COMPUTED_VALUE"""),"New Booking")</f>
        <v/>
      </c>
      <c r="AG894" s="49">
        <f>IFERROR(__xludf.DUMMYFUNCTION("IFNA(vlookup(H894,IMPORTRANGE(""1vUGwO1n0QQGx9kKbO0_M5gmuhXZ6-LaxQxgrmJnzgP0"",""'TP# look up'!A:C""),3,0),"""")"),"")</f>
        <v/>
      </c>
      <c r="AH894" s="49">
        <f>LEFT(J894,2)</f>
        <v/>
      </c>
    </row>
    <row r="895" ht="12.75" customHeight="1">
      <c r="A895" s="45">
        <f>IFERROR(__xludf.DUMMYFUNCTION("""COMPUTED_VALUE"""),"Colombo")</f>
        <v/>
      </c>
      <c r="B895" s="45" t="n"/>
      <c r="C895" s="45">
        <f>IFERROR(__xludf.DUMMYFUNCTION("""COMPUTED_VALUE"""),3259528)</f>
        <v/>
      </c>
      <c r="D895" s="45" t="n"/>
      <c r="E895" s="45">
        <f>IFERROR(__xludf.DUMMYFUNCTION("""COMPUTED_VALUE"""),"CFS")</f>
        <v/>
      </c>
      <c r="F895" s="45">
        <f>IFERROR(__xludf.DUMMYFUNCTION("""COMPUTED_VALUE"""),"Bodyline Trading (Private) Limited")</f>
        <v/>
      </c>
      <c r="G895" s="45">
        <f>IFERROR(__xludf.DUMMYFUNCTION("""COMPUTED_VALUE"""),"Bodyline (Private) Limited")</f>
        <v/>
      </c>
      <c r="H895" s="43">
        <f>IFERROR(__xludf.DUMMYFUNCTION("""COMPUTED_VALUE"""),456407883838)</f>
        <v/>
      </c>
      <c r="I895" s="45">
        <f>IFERROR(__xludf.DUMMYFUNCTION("""COMPUTED_VALUE"""),19878521)</f>
        <v/>
      </c>
      <c r="J895" s="45">
        <f>IFERROR(__xludf.DUMMYFUNCTION("""COMPUTED_VALUE"""),"LW2DPNS")</f>
        <v/>
      </c>
      <c r="K895" s="45">
        <f>IFERROR(__xludf.DUMMYFUNCTION("""COMPUTED_VALUE"""),"LW2DPNS-041179")</f>
        <v/>
      </c>
      <c r="L895" s="45">
        <f>IFERROR(__xludf.DUMMYFUNCTION("""COMPUTED_VALUE"""),3)</f>
        <v/>
      </c>
      <c r="M895" s="45">
        <f>IFERROR(__xludf.DUMMYFUNCTION("""COMPUTED_VALUE"""),137)</f>
        <v/>
      </c>
      <c r="N895" s="45">
        <f>IFERROR(__xludf.DUMMYFUNCTION("""COMPUTED_VALUE"""),17.178)</f>
        <v/>
      </c>
      <c r="O895" s="45">
        <f>IFERROR(__xludf.DUMMYFUNCTION("""COMPUTED_VALUE"""),0.205)</f>
        <v/>
      </c>
      <c r="P895" s="45">
        <f>IFERROR(__xludf.DUMMYFUNCTION("""COMPUTED_VALUE"""),"Colombo, LK")</f>
        <v/>
      </c>
      <c r="Q895" s="45">
        <f>IFERROR(__xludf.DUMMYFUNCTION("""COMPUTED_VALUE"""),"New York, NY, US")</f>
        <v/>
      </c>
      <c r="R895" s="44">
        <f>IFERROR(__xludf.DUMMYFUNCTION("""COMPUTED_VALUE"""),45838)</f>
        <v/>
      </c>
      <c r="S895" s="44">
        <f>IFERROR(__xludf.DUMMYFUNCTION("""COMPUTED_VALUE"""),45897)</f>
        <v/>
      </c>
      <c r="T895" s="45">
        <f>IFERROR(__xludf.DUMMYFUNCTION("""COMPUTED_VALUE"""),"Mississauga, ON, CA")</f>
        <v/>
      </c>
      <c r="U895" s="45" t="n"/>
      <c r="V895" s="45" t="n"/>
      <c r="W895" s="45" t="n"/>
      <c r="X895" s="45" t="n"/>
      <c r="Y895" s="46">
        <f>IFERROR(__xludf.DUMMYFUNCTION("""COMPUTED_VALUE"""),45845)</f>
        <v/>
      </c>
      <c r="Z895" s="46">
        <f>IFERROR(__xludf.DUMMYFUNCTION("""COMPUTED_VALUE"""),45866)</f>
        <v/>
      </c>
      <c r="AA895" s="46">
        <f>IFERROR(__xludf.DUMMYFUNCTION("""COMPUTED_VALUE"""),45866)</f>
        <v/>
      </c>
      <c r="AB895" s="45">
        <f>IFERROR(__xludf.DUMMYFUNCTION("""COMPUTED_VALUE"""),"3500 Argentia Road")</f>
        <v/>
      </c>
      <c r="AC895" s="45" t="n"/>
      <c r="AD895" s="45">
        <f>IFERROR(__xludf.DUMMYFUNCTION("""COMPUTED_VALUE"""),"OCEAN")</f>
        <v/>
      </c>
      <c r="AE895" s="45">
        <f>IFERROR(__xludf.DUMMYFUNCTION("""COMPUTED_VALUE"""),"N")</f>
        <v/>
      </c>
      <c r="AF895" s="45">
        <f>IFERROR(__xludf.DUMMYFUNCTION("""COMPUTED_VALUE"""),"New Booking")</f>
        <v/>
      </c>
      <c r="AG895" s="49">
        <f>IFERROR(__xludf.DUMMYFUNCTION("IFNA(vlookup(H895,IMPORTRANGE(""1vUGwO1n0QQGx9kKbO0_M5gmuhXZ6-LaxQxgrmJnzgP0"",""'TP# look up'!A:C""),3,0),"""")"),"")</f>
        <v/>
      </c>
      <c r="AH895" s="49">
        <f>LEFT(J895,2)</f>
        <v/>
      </c>
    </row>
    <row r="896" ht="12.75" customHeight="1">
      <c r="A896" s="45">
        <f>IFERROR(__xludf.DUMMYFUNCTION("""COMPUTED_VALUE"""),"Colombo")</f>
        <v/>
      </c>
      <c r="B896" s="45" t="n"/>
      <c r="C896" s="45">
        <f>IFERROR(__xludf.DUMMYFUNCTION("""COMPUTED_VALUE"""),3259528)</f>
        <v/>
      </c>
      <c r="D896" s="45" t="n"/>
      <c r="E896" s="45">
        <f>IFERROR(__xludf.DUMMYFUNCTION("""COMPUTED_VALUE"""),"CFS")</f>
        <v/>
      </c>
      <c r="F896" s="45">
        <f>IFERROR(__xludf.DUMMYFUNCTION("""COMPUTED_VALUE"""),"Bodyline Trading (Private) Limited")</f>
        <v/>
      </c>
      <c r="G896" s="45">
        <f>IFERROR(__xludf.DUMMYFUNCTION("""COMPUTED_VALUE"""),"Bodyline (Private) Limited")</f>
        <v/>
      </c>
      <c r="H896" s="43">
        <f>IFERROR(__xludf.DUMMYFUNCTION("""COMPUTED_VALUE"""),456409214798)</f>
        <v/>
      </c>
      <c r="I896" s="45">
        <f>IFERROR(__xludf.DUMMYFUNCTION("""COMPUTED_VALUE"""),19878755)</f>
        <v/>
      </c>
      <c r="J896" s="45">
        <f>IFERROR(__xludf.DUMMYFUNCTION("""COMPUTED_VALUE"""),"LW2DPNS")</f>
        <v/>
      </c>
      <c r="K896" s="45">
        <f>IFERROR(__xludf.DUMMYFUNCTION("""COMPUTED_VALUE"""),"LW2DPNS-041179")</f>
        <v/>
      </c>
      <c r="L896" s="45">
        <f>IFERROR(__xludf.DUMMYFUNCTION("""COMPUTED_VALUE"""),4)</f>
        <v/>
      </c>
      <c r="M896" s="45">
        <f>IFERROR(__xludf.DUMMYFUNCTION("""COMPUTED_VALUE"""),258)</f>
        <v/>
      </c>
      <c r="N896" s="45">
        <f>IFERROR(__xludf.DUMMYFUNCTION("""COMPUTED_VALUE"""),30.887)</f>
        <v/>
      </c>
      <c r="O896" s="45">
        <f>IFERROR(__xludf.DUMMYFUNCTION("""COMPUTED_VALUE"""),0.322)</f>
        <v/>
      </c>
      <c r="P896" s="45">
        <f>IFERROR(__xludf.DUMMYFUNCTION("""COMPUTED_VALUE"""),"Colombo, LK")</f>
        <v/>
      </c>
      <c r="Q896" s="45">
        <f>IFERROR(__xludf.DUMMYFUNCTION("""COMPUTED_VALUE"""),"New York, NY, US")</f>
        <v/>
      </c>
      <c r="R896" s="44">
        <f>IFERROR(__xludf.DUMMYFUNCTION("""COMPUTED_VALUE"""),45838)</f>
        <v/>
      </c>
      <c r="S896" s="44">
        <f>IFERROR(__xludf.DUMMYFUNCTION("""COMPUTED_VALUE"""),45897)</f>
        <v/>
      </c>
      <c r="T896" s="45">
        <f>IFERROR(__xludf.DUMMYFUNCTION("""COMPUTED_VALUE"""),"Mississauga, ON, CA")</f>
        <v/>
      </c>
      <c r="U896" s="45" t="n"/>
      <c r="V896" s="45" t="n"/>
      <c r="W896" s="45" t="n"/>
      <c r="X896" s="45" t="n"/>
      <c r="Y896" s="46">
        <f>IFERROR(__xludf.DUMMYFUNCTION("""COMPUTED_VALUE"""),45845)</f>
        <v/>
      </c>
      <c r="Z896" s="46">
        <f>IFERROR(__xludf.DUMMYFUNCTION("""COMPUTED_VALUE"""),45866)</f>
        <v/>
      </c>
      <c r="AA896" s="46">
        <f>IFERROR(__xludf.DUMMYFUNCTION("""COMPUTED_VALUE"""),45866)</f>
        <v/>
      </c>
      <c r="AB896" s="45">
        <f>IFERROR(__xludf.DUMMYFUNCTION("""COMPUTED_VALUE"""),"3500 Argentia Road")</f>
        <v/>
      </c>
      <c r="AC896" s="45" t="n"/>
      <c r="AD896" s="45">
        <f>IFERROR(__xludf.DUMMYFUNCTION("""COMPUTED_VALUE"""),"OCEAN")</f>
        <v/>
      </c>
      <c r="AE896" s="45">
        <f>IFERROR(__xludf.DUMMYFUNCTION("""COMPUTED_VALUE"""),"N")</f>
        <v/>
      </c>
      <c r="AF896" s="45">
        <f>IFERROR(__xludf.DUMMYFUNCTION("""COMPUTED_VALUE"""),"New Booking")</f>
        <v/>
      </c>
      <c r="AG896" s="49">
        <f>IFERROR(__xludf.DUMMYFUNCTION("IFNA(vlookup(H896,IMPORTRANGE(""1vUGwO1n0QQGx9kKbO0_M5gmuhXZ6-LaxQxgrmJnzgP0"",""'TP# look up'!A:C""),3,0),"""")"),"")</f>
        <v/>
      </c>
      <c r="AH896" s="49">
        <f>LEFT(J896,2)</f>
        <v/>
      </c>
    </row>
    <row r="897" ht="12.75" customHeight="1">
      <c r="A897" s="45">
        <f>IFERROR(__xludf.DUMMYFUNCTION("""COMPUTED_VALUE"""),"Colombo")</f>
        <v/>
      </c>
      <c r="B897" s="45" t="n"/>
      <c r="C897" s="45">
        <f>IFERROR(__xludf.DUMMYFUNCTION("""COMPUTED_VALUE"""),3259528)</f>
        <v/>
      </c>
      <c r="D897" s="45" t="n"/>
      <c r="E897" s="45">
        <f>IFERROR(__xludf.DUMMYFUNCTION("""COMPUTED_VALUE"""),"CFS")</f>
        <v/>
      </c>
      <c r="F897" s="45">
        <f>IFERROR(__xludf.DUMMYFUNCTION("""COMPUTED_VALUE"""),"Bodyline Trading (Private) Limited")</f>
        <v/>
      </c>
      <c r="G897" s="45">
        <f>IFERROR(__xludf.DUMMYFUNCTION("""COMPUTED_VALUE"""),"Bodyline (Private) Limited")</f>
        <v/>
      </c>
      <c r="H897" s="43">
        <f>IFERROR(__xludf.DUMMYFUNCTION("""COMPUTED_VALUE"""),456409968435)</f>
        <v/>
      </c>
      <c r="I897" s="45">
        <f>IFERROR(__xludf.DUMMYFUNCTION("""COMPUTED_VALUE"""),19878759)</f>
        <v/>
      </c>
      <c r="J897" s="45">
        <f>IFERROR(__xludf.DUMMYFUNCTION("""COMPUTED_VALUE"""),"LW2DPNS")</f>
        <v/>
      </c>
      <c r="K897" s="45">
        <f>IFERROR(__xludf.DUMMYFUNCTION("""COMPUTED_VALUE"""),"LW2DPNS-041179")</f>
        <v/>
      </c>
      <c r="L897" s="45">
        <f>IFERROR(__xludf.DUMMYFUNCTION("""COMPUTED_VALUE"""),3)</f>
        <v/>
      </c>
      <c r="M897" s="45">
        <f>IFERROR(__xludf.DUMMYFUNCTION("""COMPUTED_VALUE"""),125)</f>
        <v/>
      </c>
      <c r="N897" s="45">
        <f>IFERROR(__xludf.DUMMYFUNCTION("""COMPUTED_VALUE"""),15.722)</f>
        <v/>
      </c>
      <c r="O897" s="45">
        <f>IFERROR(__xludf.DUMMYFUNCTION("""COMPUTED_VALUE"""),0.168)</f>
        <v/>
      </c>
      <c r="P897" s="45">
        <f>IFERROR(__xludf.DUMMYFUNCTION("""COMPUTED_VALUE"""),"Colombo, LK")</f>
        <v/>
      </c>
      <c r="Q897" s="45">
        <f>IFERROR(__xludf.DUMMYFUNCTION("""COMPUTED_VALUE"""),"New York, NY, US")</f>
        <v/>
      </c>
      <c r="R897" s="44">
        <f>IFERROR(__xludf.DUMMYFUNCTION("""COMPUTED_VALUE"""),45838)</f>
        <v/>
      </c>
      <c r="S897" s="44">
        <f>IFERROR(__xludf.DUMMYFUNCTION("""COMPUTED_VALUE"""),45897)</f>
        <v/>
      </c>
      <c r="T897" s="45">
        <f>IFERROR(__xludf.DUMMYFUNCTION("""COMPUTED_VALUE"""),"Mississauga, ON, CA")</f>
        <v/>
      </c>
      <c r="U897" s="45" t="n"/>
      <c r="V897" s="45" t="n"/>
      <c r="W897" s="45" t="n"/>
      <c r="X897" s="45" t="n"/>
      <c r="Y897" s="46">
        <f>IFERROR(__xludf.DUMMYFUNCTION("""COMPUTED_VALUE"""),45845)</f>
        <v/>
      </c>
      <c r="Z897" s="46">
        <f>IFERROR(__xludf.DUMMYFUNCTION("""COMPUTED_VALUE"""),45866)</f>
        <v/>
      </c>
      <c r="AA897" s="46">
        <f>IFERROR(__xludf.DUMMYFUNCTION("""COMPUTED_VALUE"""),45866)</f>
        <v/>
      </c>
      <c r="AB897" s="45">
        <f>IFERROR(__xludf.DUMMYFUNCTION("""COMPUTED_VALUE"""),"3500 Argentia Road")</f>
        <v/>
      </c>
      <c r="AC897" s="45" t="n"/>
      <c r="AD897" s="45">
        <f>IFERROR(__xludf.DUMMYFUNCTION("""COMPUTED_VALUE"""),"OCEAN")</f>
        <v/>
      </c>
      <c r="AE897" s="45">
        <f>IFERROR(__xludf.DUMMYFUNCTION("""COMPUTED_VALUE"""),"N")</f>
        <v/>
      </c>
      <c r="AF897" s="45">
        <f>IFERROR(__xludf.DUMMYFUNCTION("""COMPUTED_VALUE"""),"New Booking")</f>
        <v/>
      </c>
      <c r="AG897" s="49">
        <f>IFERROR(__xludf.DUMMYFUNCTION("IFNA(vlookup(H897,IMPORTRANGE(""1vUGwO1n0QQGx9kKbO0_M5gmuhXZ6-LaxQxgrmJnzgP0"",""'TP# look up'!A:C""),3,0),"""")"),"")</f>
        <v/>
      </c>
      <c r="AH897" s="49">
        <f>LEFT(J897,2)</f>
        <v/>
      </c>
    </row>
    <row r="898" ht="12.75" customHeight="1">
      <c r="A898" s="45">
        <f>IFERROR(__xludf.DUMMYFUNCTION("""COMPUTED_VALUE"""),"Colombo")</f>
        <v/>
      </c>
      <c r="B898" s="45" t="n"/>
      <c r="C898" s="45">
        <f>IFERROR(__xludf.DUMMYFUNCTION("""COMPUTED_VALUE"""),3259528)</f>
        <v/>
      </c>
      <c r="D898" s="45" t="n"/>
      <c r="E898" s="45">
        <f>IFERROR(__xludf.DUMMYFUNCTION("""COMPUTED_VALUE"""),"CFS")</f>
        <v/>
      </c>
      <c r="F898" s="45">
        <f>IFERROR(__xludf.DUMMYFUNCTION("""COMPUTED_VALUE"""),"Bodyline Trading (Private) Limited")</f>
        <v/>
      </c>
      <c r="G898" s="45">
        <f>IFERROR(__xludf.DUMMYFUNCTION("""COMPUTED_VALUE"""),"Bodyline (Private) Limited")</f>
        <v/>
      </c>
      <c r="H898" s="43">
        <f>IFERROR(__xludf.DUMMYFUNCTION("""COMPUTED_VALUE"""),456410091861)</f>
        <v/>
      </c>
      <c r="I898" s="45">
        <f>IFERROR(__xludf.DUMMYFUNCTION("""COMPUTED_VALUE"""),19878541)</f>
        <v/>
      </c>
      <c r="J898" s="45">
        <f>IFERROR(__xludf.DUMMYFUNCTION("""COMPUTED_VALUE"""),"LW2DPOS")</f>
        <v/>
      </c>
      <c r="K898" s="45">
        <f>IFERROR(__xludf.DUMMYFUNCTION("""COMPUTED_VALUE"""),"LW2DPOS-071150")</f>
        <v/>
      </c>
      <c r="L898" s="45">
        <f>IFERROR(__xludf.DUMMYFUNCTION("""COMPUTED_VALUE"""),8)</f>
        <v/>
      </c>
      <c r="M898" s="45">
        <f>IFERROR(__xludf.DUMMYFUNCTION("""COMPUTED_VALUE"""),350)</f>
        <v/>
      </c>
      <c r="N898" s="45">
        <f>IFERROR(__xludf.DUMMYFUNCTION("""COMPUTED_VALUE"""),51.635)</f>
        <v/>
      </c>
      <c r="O898" s="45">
        <f>IFERROR(__xludf.DUMMYFUNCTION("""COMPUTED_VALUE"""),0.498)</f>
        <v/>
      </c>
      <c r="P898" s="45">
        <f>IFERROR(__xludf.DUMMYFUNCTION("""COMPUTED_VALUE"""),"Colombo, LK")</f>
        <v/>
      </c>
      <c r="Q898" s="45">
        <f>IFERROR(__xludf.DUMMYFUNCTION("""COMPUTED_VALUE"""),"New York, NY, US")</f>
        <v/>
      </c>
      <c r="R898" s="44">
        <f>IFERROR(__xludf.DUMMYFUNCTION("""COMPUTED_VALUE"""),45838)</f>
        <v/>
      </c>
      <c r="S898" s="44">
        <f>IFERROR(__xludf.DUMMYFUNCTION("""COMPUTED_VALUE"""),45897)</f>
        <v/>
      </c>
      <c r="T898" s="45">
        <f>IFERROR(__xludf.DUMMYFUNCTION("""COMPUTED_VALUE"""),"Mississauga, ON, CA")</f>
        <v/>
      </c>
      <c r="U898" s="45" t="n"/>
      <c r="V898" s="45" t="n"/>
      <c r="W898" s="45" t="n"/>
      <c r="X898" s="45" t="n"/>
      <c r="Y898" s="46">
        <f>IFERROR(__xludf.DUMMYFUNCTION("""COMPUTED_VALUE"""),45845)</f>
        <v/>
      </c>
      <c r="Z898" s="46">
        <f>IFERROR(__xludf.DUMMYFUNCTION("""COMPUTED_VALUE"""),45866)</f>
        <v/>
      </c>
      <c r="AA898" s="46">
        <f>IFERROR(__xludf.DUMMYFUNCTION("""COMPUTED_VALUE"""),45866)</f>
        <v/>
      </c>
      <c r="AB898" s="45">
        <f>IFERROR(__xludf.DUMMYFUNCTION("""COMPUTED_VALUE"""),"3500 Argentia Road")</f>
        <v/>
      </c>
      <c r="AC898" s="45" t="n"/>
      <c r="AD898" s="45">
        <f>IFERROR(__xludf.DUMMYFUNCTION("""COMPUTED_VALUE"""),"OCEAN")</f>
        <v/>
      </c>
      <c r="AE898" s="45">
        <f>IFERROR(__xludf.DUMMYFUNCTION("""COMPUTED_VALUE"""),"N")</f>
        <v/>
      </c>
      <c r="AF898" s="45">
        <f>IFERROR(__xludf.DUMMYFUNCTION("""COMPUTED_VALUE"""),"New Booking")</f>
        <v/>
      </c>
      <c r="AG898" s="49">
        <f>IFERROR(__xludf.DUMMYFUNCTION("IFNA(vlookup(H898,IMPORTRANGE(""1vUGwO1n0QQGx9kKbO0_M5gmuhXZ6-LaxQxgrmJnzgP0"",""'TP# look up'!A:C""),3,0),"""")"),"")</f>
        <v/>
      </c>
      <c r="AH898" s="49">
        <f>LEFT(J898,2)</f>
        <v/>
      </c>
    </row>
    <row r="899" ht="12.75" customHeight="1">
      <c r="A899" s="45">
        <f>IFERROR(__xludf.DUMMYFUNCTION("""COMPUTED_VALUE"""),"Colombo")</f>
        <v/>
      </c>
      <c r="B899" s="45" t="n"/>
      <c r="C899" s="45">
        <f>IFERROR(__xludf.DUMMYFUNCTION("""COMPUTED_VALUE"""),3259528)</f>
        <v/>
      </c>
      <c r="D899" s="45" t="n"/>
      <c r="E899" s="45">
        <f>IFERROR(__xludf.DUMMYFUNCTION("""COMPUTED_VALUE"""),"CFS")</f>
        <v/>
      </c>
      <c r="F899" s="45">
        <f>IFERROR(__xludf.DUMMYFUNCTION("""COMPUTED_VALUE"""),"Bodyline Trading (Private) Limited")</f>
        <v/>
      </c>
      <c r="G899" s="45">
        <f>IFERROR(__xludf.DUMMYFUNCTION("""COMPUTED_VALUE"""),"Bodyline (Private) Limited")</f>
        <v/>
      </c>
      <c r="H899" s="43">
        <f>IFERROR(__xludf.DUMMYFUNCTION("""COMPUTED_VALUE"""),456411081704)</f>
        <v/>
      </c>
      <c r="I899" s="45">
        <f>IFERROR(__xludf.DUMMYFUNCTION("""COMPUTED_VALUE"""),19843784)</f>
        <v/>
      </c>
      <c r="J899" s="45">
        <f>IFERROR(__xludf.DUMMYFUNCTION("""COMPUTED_VALUE"""),"LW2DPOS")</f>
        <v/>
      </c>
      <c r="K899" s="45">
        <f>IFERROR(__xludf.DUMMYFUNCTION("""COMPUTED_VALUE"""),"LW2DPOS-071150")</f>
        <v/>
      </c>
      <c r="L899" s="45">
        <f>IFERROR(__xludf.DUMMYFUNCTION("""COMPUTED_VALUE"""),2)</f>
        <v/>
      </c>
      <c r="M899" s="45">
        <f>IFERROR(__xludf.DUMMYFUNCTION("""COMPUTED_VALUE"""),74)</f>
        <v/>
      </c>
      <c r="N899" s="45">
        <f>IFERROR(__xludf.DUMMYFUNCTION("""COMPUTED_VALUE"""),10.988)</f>
        <v/>
      </c>
      <c r="O899" s="45">
        <f>IFERROR(__xludf.DUMMYFUNCTION("""COMPUTED_VALUE"""),0.124)</f>
        <v/>
      </c>
      <c r="P899" s="45">
        <f>IFERROR(__xludf.DUMMYFUNCTION("""COMPUTED_VALUE"""),"Colombo, LK")</f>
        <v/>
      </c>
      <c r="Q899" s="45">
        <f>IFERROR(__xludf.DUMMYFUNCTION("""COMPUTED_VALUE"""),"New York, NY, US")</f>
        <v/>
      </c>
      <c r="R899" s="44">
        <f>IFERROR(__xludf.DUMMYFUNCTION("""COMPUTED_VALUE"""),45838)</f>
        <v/>
      </c>
      <c r="S899" s="44">
        <f>IFERROR(__xludf.DUMMYFUNCTION("""COMPUTED_VALUE"""),45897)</f>
        <v/>
      </c>
      <c r="T899" s="45">
        <f>IFERROR(__xludf.DUMMYFUNCTION("""COMPUTED_VALUE"""),"Milton, ON, CA")</f>
        <v/>
      </c>
      <c r="U899" s="45" t="n"/>
      <c r="V899" s="45" t="n"/>
      <c r="W899" s="45" t="n"/>
      <c r="X899" s="45" t="n"/>
      <c r="Y899" s="46">
        <f>IFERROR(__xludf.DUMMYFUNCTION("""COMPUTED_VALUE"""),45845)</f>
        <v/>
      </c>
      <c r="Z899" s="46">
        <f>IFERROR(__xludf.DUMMYFUNCTION("""COMPUTED_VALUE"""),45866)</f>
        <v/>
      </c>
      <c r="AA899" s="46">
        <f>IFERROR(__xludf.DUMMYFUNCTION("""COMPUTED_VALUE"""),45866)</f>
        <v/>
      </c>
      <c r="AB899" s="45">
        <f>IFERROR(__xludf.DUMMYFUNCTION("""COMPUTED_VALUE"""),"7211 Fifth Line")</f>
        <v/>
      </c>
      <c r="AC899" s="45" t="n"/>
      <c r="AD899" s="45">
        <f>IFERROR(__xludf.DUMMYFUNCTION("""COMPUTED_VALUE"""),"OCEAN")</f>
        <v/>
      </c>
      <c r="AE899" s="45">
        <f>IFERROR(__xludf.DUMMYFUNCTION("""COMPUTED_VALUE"""),"N")</f>
        <v/>
      </c>
      <c r="AF899" s="45">
        <f>IFERROR(__xludf.DUMMYFUNCTION("""COMPUTED_VALUE"""),"New Booking")</f>
        <v/>
      </c>
      <c r="AG899" s="49">
        <f>IFERROR(__xludf.DUMMYFUNCTION("IFNA(vlookup(H899,IMPORTRANGE(""1vUGwO1n0QQGx9kKbO0_M5gmuhXZ6-LaxQxgrmJnzgP0"",""'TP# look up'!A:C""),3,0),"""")"),"")</f>
        <v/>
      </c>
      <c r="AH899" s="49">
        <f>LEFT(J899,2)</f>
        <v/>
      </c>
    </row>
    <row r="900" ht="12.75" customHeight="1">
      <c r="A900" s="45">
        <f>IFERROR(__xludf.DUMMYFUNCTION("""COMPUTED_VALUE"""),"Colombo")</f>
        <v/>
      </c>
      <c r="B900" s="45" t="n"/>
      <c r="C900" s="45">
        <f>IFERROR(__xludf.DUMMYFUNCTION("""COMPUTED_VALUE"""),3259528)</f>
        <v/>
      </c>
      <c r="D900" s="45" t="n"/>
      <c r="E900" s="45">
        <f>IFERROR(__xludf.DUMMYFUNCTION("""COMPUTED_VALUE"""),"CFS")</f>
        <v/>
      </c>
      <c r="F900" s="45">
        <f>IFERROR(__xludf.DUMMYFUNCTION("""COMPUTED_VALUE"""),"Bodyline Trading (Private) Limited")</f>
        <v/>
      </c>
      <c r="G900" s="45">
        <f>IFERROR(__xludf.DUMMYFUNCTION("""COMPUTED_VALUE"""),"Bodyline (Private) Limited")</f>
        <v/>
      </c>
      <c r="H900" s="43">
        <f>IFERROR(__xludf.DUMMYFUNCTION("""COMPUTED_VALUE"""),456411355202)</f>
        <v/>
      </c>
      <c r="I900" s="45">
        <f>IFERROR(__xludf.DUMMYFUNCTION("""COMPUTED_VALUE"""),19878787)</f>
        <v/>
      </c>
      <c r="J900" s="45">
        <f>IFERROR(__xludf.DUMMYFUNCTION("""COMPUTED_VALUE"""),"LW2DPOS")</f>
        <v/>
      </c>
      <c r="K900" s="45">
        <f>IFERROR(__xludf.DUMMYFUNCTION("""COMPUTED_VALUE"""),"LW2DPOS-071150")</f>
        <v/>
      </c>
      <c r="L900" s="45">
        <f>IFERROR(__xludf.DUMMYFUNCTION("""COMPUTED_VALUE"""),12)</f>
        <v/>
      </c>
      <c r="M900" s="45">
        <f>IFERROR(__xludf.DUMMYFUNCTION("""COMPUTED_VALUE"""),665)</f>
        <v/>
      </c>
      <c r="N900" s="45">
        <f>IFERROR(__xludf.DUMMYFUNCTION("""COMPUTED_VALUE"""),96.154)</f>
        <v/>
      </c>
      <c r="O900" s="45">
        <f>IFERROR(__xludf.DUMMYFUNCTION("""COMPUTED_VALUE"""),0.966)</f>
        <v/>
      </c>
      <c r="P900" s="45">
        <f>IFERROR(__xludf.DUMMYFUNCTION("""COMPUTED_VALUE"""),"Colombo, LK")</f>
        <v/>
      </c>
      <c r="Q900" s="45">
        <f>IFERROR(__xludf.DUMMYFUNCTION("""COMPUTED_VALUE"""),"New York, NY, US")</f>
        <v/>
      </c>
      <c r="R900" s="44">
        <f>IFERROR(__xludf.DUMMYFUNCTION("""COMPUTED_VALUE"""),45838)</f>
        <v/>
      </c>
      <c r="S900" s="44">
        <f>IFERROR(__xludf.DUMMYFUNCTION("""COMPUTED_VALUE"""),45897)</f>
        <v/>
      </c>
      <c r="T900" s="45">
        <f>IFERROR(__xludf.DUMMYFUNCTION("""COMPUTED_VALUE"""),"Mississauga, ON, CA")</f>
        <v/>
      </c>
      <c r="U900" s="45" t="n"/>
      <c r="V900" s="45" t="n"/>
      <c r="W900" s="45" t="n"/>
      <c r="X900" s="45" t="n"/>
      <c r="Y900" s="46">
        <f>IFERROR(__xludf.DUMMYFUNCTION("""COMPUTED_VALUE"""),45845)</f>
        <v/>
      </c>
      <c r="Z900" s="46">
        <f>IFERROR(__xludf.DUMMYFUNCTION("""COMPUTED_VALUE"""),45866)</f>
        <v/>
      </c>
      <c r="AA900" s="46">
        <f>IFERROR(__xludf.DUMMYFUNCTION("""COMPUTED_VALUE"""),45866)</f>
        <v/>
      </c>
      <c r="AB900" s="45">
        <f>IFERROR(__xludf.DUMMYFUNCTION("""COMPUTED_VALUE"""),"3500 Argentia Road")</f>
        <v/>
      </c>
      <c r="AC900" s="45" t="n"/>
      <c r="AD900" s="45">
        <f>IFERROR(__xludf.DUMMYFUNCTION("""COMPUTED_VALUE"""),"OCEAN")</f>
        <v/>
      </c>
      <c r="AE900" s="45">
        <f>IFERROR(__xludf.DUMMYFUNCTION("""COMPUTED_VALUE"""),"N")</f>
        <v/>
      </c>
      <c r="AF900" s="45">
        <f>IFERROR(__xludf.DUMMYFUNCTION("""COMPUTED_VALUE"""),"New Booking")</f>
        <v/>
      </c>
      <c r="AG900" s="49">
        <f>IFERROR(__xludf.DUMMYFUNCTION("IFNA(vlookup(H900,IMPORTRANGE(""1vUGwO1n0QQGx9kKbO0_M5gmuhXZ6-LaxQxgrmJnzgP0"",""'TP# look up'!A:C""),3,0),"""")"),"")</f>
        <v/>
      </c>
      <c r="AH900" s="49">
        <f>LEFT(J900,2)</f>
        <v/>
      </c>
    </row>
    <row r="901" ht="12.75" customHeight="1">
      <c r="A901" s="45">
        <f>IFERROR(__xludf.DUMMYFUNCTION("""COMPUTED_VALUE"""),"Colombo")</f>
        <v/>
      </c>
      <c r="B901" s="45" t="n"/>
      <c r="C901" s="45">
        <f>IFERROR(__xludf.DUMMYFUNCTION("""COMPUTED_VALUE"""),3259528)</f>
        <v/>
      </c>
      <c r="D901" s="45" t="n"/>
      <c r="E901" s="45">
        <f>IFERROR(__xludf.DUMMYFUNCTION("""COMPUTED_VALUE"""),"CFS")</f>
        <v/>
      </c>
      <c r="F901" s="45">
        <f>IFERROR(__xludf.DUMMYFUNCTION("""COMPUTED_VALUE"""),"Bodyline Trading (Private) Limited")</f>
        <v/>
      </c>
      <c r="G901" s="45">
        <f>IFERROR(__xludf.DUMMYFUNCTION("""COMPUTED_VALUE"""),"Bodyline (Private) Limited")</f>
        <v/>
      </c>
      <c r="H901" s="43">
        <f>IFERROR(__xludf.DUMMYFUNCTION("""COMPUTED_VALUE"""),456412496488)</f>
        <v/>
      </c>
      <c r="I901" s="45">
        <f>IFERROR(__xludf.DUMMYFUNCTION("""COMPUTED_VALUE"""),19878547)</f>
        <v/>
      </c>
      <c r="J901" s="45">
        <f>IFERROR(__xludf.DUMMYFUNCTION("""COMPUTED_VALUE"""),"LW2DPOS")</f>
        <v/>
      </c>
      <c r="K901" s="45">
        <f>IFERROR(__xludf.DUMMYFUNCTION("""COMPUTED_VALUE"""),"LW2DPOS-041179")</f>
        <v/>
      </c>
      <c r="L901" s="45">
        <f>IFERROR(__xludf.DUMMYFUNCTION("""COMPUTED_VALUE"""),5)</f>
        <v/>
      </c>
      <c r="M901" s="45">
        <f>IFERROR(__xludf.DUMMYFUNCTION("""COMPUTED_VALUE"""),213)</f>
        <v/>
      </c>
      <c r="N901" s="45">
        <f>IFERROR(__xludf.DUMMYFUNCTION("""COMPUTED_VALUE"""),31.888)</f>
        <v/>
      </c>
      <c r="O901" s="45">
        <f>IFERROR(__xludf.DUMMYFUNCTION("""COMPUTED_VALUE"""),0.366)</f>
        <v/>
      </c>
      <c r="P901" s="45">
        <f>IFERROR(__xludf.DUMMYFUNCTION("""COMPUTED_VALUE"""),"Colombo, LK")</f>
        <v/>
      </c>
      <c r="Q901" s="45">
        <f>IFERROR(__xludf.DUMMYFUNCTION("""COMPUTED_VALUE"""),"New York, NY, US")</f>
        <v/>
      </c>
      <c r="R901" s="44">
        <f>IFERROR(__xludf.DUMMYFUNCTION("""COMPUTED_VALUE"""),45838)</f>
        <v/>
      </c>
      <c r="S901" s="44">
        <f>IFERROR(__xludf.DUMMYFUNCTION("""COMPUTED_VALUE"""),45897)</f>
        <v/>
      </c>
      <c r="T901" s="45">
        <f>IFERROR(__xludf.DUMMYFUNCTION("""COMPUTED_VALUE"""),"Mississauga, ON, CA")</f>
        <v/>
      </c>
      <c r="U901" s="45" t="n"/>
      <c r="V901" s="45" t="n"/>
      <c r="W901" s="45" t="n"/>
      <c r="X901" s="45" t="n"/>
      <c r="Y901" s="46">
        <f>IFERROR(__xludf.DUMMYFUNCTION("""COMPUTED_VALUE"""),45845)</f>
        <v/>
      </c>
      <c r="Z901" s="46">
        <f>IFERROR(__xludf.DUMMYFUNCTION("""COMPUTED_VALUE"""),45866)</f>
        <v/>
      </c>
      <c r="AA901" s="46">
        <f>IFERROR(__xludf.DUMMYFUNCTION("""COMPUTED_VALUE"""),45866)</f>
        <v/>
      </c>
      <c r="AB901" s="45">
        <f>IFERROR(__xludf.DUMMYFUNCTION("""COMPUTED_VALUE"""),"3500 Argentia Road")</f>
        <v/>
      </c>
      <c r="AC901" s="45" t="n"/>
      <c r="AD901" s="45">
        <f>IFERROR(__xludf.DUMMYFUNCTION("""COMPUTED_VALUE"""),"OCEAN")</f>
        <v/>
      </c>
      <c r="AE901" s="45">
        <f>IFERROR(__xludf.DUMMYFUNCTION("""COMPUTED_VALUE"""),"N")</f>
        <v/>
      </c>
      <c r="AF901" s="45">
        <f>IFERROR(__xludf.DUMMYFUNCTION("""COMPUTED_VALUE"""),"New Booking")</f>
        <v/>
      </c>
      <c r="AG901" s="49">
        <f>IFERROR(__xludf.DUMMYFUNCTION("IFNA(vlookup(H901,IMPORTRANGE(""1vUGwO1n0QQGx9kKbO0_M5gmuhXZ6-LaxQxgrmJnzgP0"",""'TP# look up'!A:C""),3,0),"""")"),"")</f>
        <v/>
      </c>
      <c r="AH901" s="49">
        <f>LEFT(J901,2)</f>
        <v/>
      </c>
    </row>
    <row r="902" ht="12.75" customHeight="1">
      <c r="A902" s="45">
        <f>IFERROR(__xludf.DUMMYFUNCTION("""COMPUTED_VALUE"""),"Colombo")</f>
        <v/>
      </c>
      <c r="B902" s="45" t="n"/>
      <c r="C902" s="45">
        <f>IFERROR(__xludf.DUMMYFUNCTION("""COMPUTED_VALUE"""),3259528)</f>
        <v/>
      </c>
      <c r="D902" s="45" t="n"/>
      <c r="E902" s="45">
        <f>IFERROR(__xludf.DUMMYFUNCTION("""COMPUTED_VALUE"""),"CFS")</f>
        <v/>
      </c>
      <c r="F902" s="45">
        <f>IFERROR(__xludf.DUMMYFUNCTION("""COMPUTED_VALUE"""),"Bodyline Trading (Private) Limited")</f>
        <v/>
      </c>
      <c r="G902" s="45">
        <f>IFERROR(__xludf.DUMMYFUNCTION("""COMPUTED_VALUE"""),"Bodyline (Private) Limited")</f>
        <v/>
      </c>
      <c r="H902" s="43">
        <f>IFERROR(__xludf.DUMMYFUNCTION("""COMPUTED_VALUE"""),456413602237)</f>
        <v/>
      </c>
      <c r="I902" s="45">
        <f>IFERROR(__xludf.DUMMYFUNCTION("""COMPUTED_VALUE"""),19878548)</f>
        <v/>
      </c>
      <c r="J902" s="45">
        <f>IFERROR(__xludf.DUMMYFUNCTION("""COMPUTED_VALUE"""),"LW2DPOS")</f>
        <v/>
      </c>
      <c r="K902" s="45">
        <f>IFERROR(__xludf.DUMMYFUNCTION("""COMPUTED_VALUE"""),"LW2DPOS-041179")</f>
        <v/>
      </c>
      <c r="L902" s="45">
        <f>IFERROR(__xludf.DUMMYFUNCTION("""COMPUTED_VALUE"""),3)</f>
        <v/>
      </c>
      <c r="M902" s="45">
        <f>IFERROR(__xludf.DUMMYFUNCTION("""COMPUTED_VALUE"""),100)</f>
        <v/>
      </c>
      <c r="N902" s="45">
        <f>IFERROR(__xludf.DUMMYFUNCTION("""COMPUTED_VALUE"""),15.375)</f>
        <v/>
      </c>
      <c r="O902" s="45">
        <f>IFERROR(__xludf.DUMMYFUNCTION("""COMPUTED_VALUE"""),0.168)</f>
        <v/>
      </c>
      <c r="P902" s="45">
        <f>IFERROR(__xludf.DUMMYFUNCTION("""COMPUTED_VALUE"""),"Colombo, LK")</f>
        <v/>
      </c>
      <c r="Q902" s="45">
        <f>IFERROR(__xludf.DUMMYFUNCTION("""COMPUTED_VALUE"""),"New York, NY, US")</f>
        <v/>
      </c>
      <c r="R902" s="44">
        <f>IFERROR(__xludf.DUMMYFUNCTION("""COMPUTED_VALUE"""),45838)</f>
        <v/>
      </c>
      <c r="S902" s="44">
        <f>IFERROR(__xludf.DUMMYFUNCTION("""COMPUTED_VALUE"""),45897)</f>
        <v/>
      </c>
      <c r="T902" s="45">
        <f>IFERROR(__xludf.DUMMYFUNCTION("""COMPUTED_VALUE"""),"Mississauga, ON, CA")</f>
        <v/>
      </c>
      <c r="U902" s="45" t="n"/>
      <c r="V902" s="45" t="n"/>
      <c r="W902" s="45" t="n"/>
      <c r="X902" s="45" t="n"/>
      <c r="Y902" s="46">
        <f>IFERROR(__xludf.DUMMYFUNCTION("""COMPUTED_VALUE"""),45845)</f>
        <v/>
      </c>
      <c r="Z902" s="46">
        <f>IFERROR(__xludf.DUMMYFUNCTION("""COMPUTED_VALUE"""),45866)</f>
        <v/>
      </c>
      <c r="AA902" s="46">
        <f>IFERROR(__xludf.DUMMYFUNCTION("""COMPUTED_VALUE"""),45866)</f>
        <v/>
      </c>
      <c r="AB902" s="45">
        <f>IFERROR(__xludf.DUMMYFUNCTION("""COMPUTED_VALUE"""),"3500 Argentia Road")</f>
        <v/>
      </c>
      <c r="AC902" s="45" t="n"/>
      <c r="AD902" s="45">
        <f>IFERROR(__xludf.DUMMYFUNCTION("""COMPUTED_VALUE"""),"OCEAN")</f>
        <v/>
      </c>
      <c r="AE902" s="45">
        <f>IFERROR(__xludf.DUMMYFUNCTION("""COMPUTED_VALUE"""),"N")</f>
        <v/>
      </c>
      <c r="AF902" s="45">
        <f>IFERROR(__xludf.DUMMYFUNCTION("""COMPUTED_VALUE"""),"New Booking")</f>
        <v/>
      </c>
      <c r="AG902" s="49">
        <f>IFERROR(__xludf.DUMMYFUNCTION("IFNA(vlookup(H902,IMPORTRANGE(""1vUGwO1n0QQGx9kKbO0_M5gmuhXZ6-LaxQxgrmJnzgP0"",""'TP# look up'!A:C""),3,0),"""")"),"")</f>
        <v/>
      </c>
      <c r="AH902" s="49">
        <f>LEFT(J902,2)</f>
        <v/>
      </c>
    </row>
    <row r="903" ht="12.75" customHeight="1">
      <c r="A903" s="45">
        <f>IFERROR(__xludf.DUMMYFUNCTION("""COMPUTED_VALUE"""),"Colombo")</f>
        <v/>
      </c>
      <c r="B903" s="45" t="n"/>
      <c r="C903" s="45">
        <f>IFERROR(__xludf.DUMMYFUNCTION("""COMPUTED_VALUE"""),3259528)</f>
        <v/>
      </c>
      <c r="D903" s="45" t="n"/>
      <c r="E903" s="45">
        <f>IFERROR(__xludf.DUMMYFUNCTION("""COMPUTED_VALUE"""),"CFS")</f>
        <v/>
      </c>
      <c r="F903" s="45">
        <f>IFERROR(__xludf.DUMMYFUNCTION("""COMPUTED_VALUE"""),"Bodyline Trading (Private) Limited")</f>
        <v/>
      </c>
      <c r="G903" s="45">
        <f>IFERROR(__xludf.DUMMYFUNCTION("""COMPUTED_VALUE"""),"Bodyline (Private) Limited")</f>
        <v/>
      </c>
      <c r="H903" s="43">
        <f>IFERROR(__xludf.DUMMYFUNCTION("""COMPUTED_VALUE"""),456413641444)</f>
        <v/>
      </c>
      <c r="I903" s="45">
        <f>IFERROR(__xludf.DUMMYFUNCTION("""COMPUTED_VALUE"""),19878791)</f>
        <v/>
      </c>
      <c r="J903" s="45">
        <f>IFERROR(__xludf.DUMMYFUNCTION("""COMPUTED_VALUE"""),"LW2DPOS")</f>
        <v/>
      </c>
      <c r="K903" s="45">
        <f>IFERROR(__xludf.DUMMYFUNCTION("""COMPUTED_VALUE"""),"LW2DPOS-041179")</f>
        <v/>
      </c>
      <c r="L903" s="45">
        <f>IFERROR(__xludf.DUMMYFUNCTION("""COMPUTED_VALUE"""),8)</f>
        <v/>
      </c>
      <c r="M903" s="45">
        <f>IFERROR(__xludf.DUMMYFUNCTION("""COMPUTED_VALUE"""),400)</f>
        <v/>
      </c>
      <c r="N903" s="45">
        <f>IFERROR(__xludf.DUMMYFUNCTION("""COMPUTED_VALUE"""),58.663)</f>
        <v/>
      </c>
      <c r="O903" s="45">
        <f>IFERROR(__xludf.DUMMYFUNCTION("""COMPUTED_VALUE"""),0.644)</f>
        <v/>
      </c>
      <c r="P903" s="45">
        <f>IFERROR(__xludf.DUMMYFUNCTION("""COMPUTED_VALUE"""),"Colombo, LK")</f>
        <v/>
      </c>
      <c r="Q903" s="45">
        <f>IFERROR(__xludf.DUMMYFUNCTION("""COMPUTED_VALUE"""),"New York, NY, US")</f>
        <v/>
      </c>
      <c r="R903" s="44">
        <f>IFERROR(__xludf.DUMMYFUNCTION("""COMPUTED_VALUE"""),45838)</f>
        <v/>
      </c>
      <c r="S903" s="44">
        <f>IFERROR(__xludf.DUMMYFUNCTION("""COMPUTED_VALUE"""),45897)</f>
        <v/>
      </c>
      <c r="T903" s="45">
        <f>IFERROR(__xludf.DUMMYFUNCTION("""COMPUTED_VALUE"""),"Mississauga, ON, CA")</f>
        <v/>
      </c>
      <c r="U903" s="45" t="n"/>
      <c r="V903" s="45" t="n"/>
      <c r="W903" s="45" t="n"/>
      <c r="X903" s="45" t="n"/>
      <c r="Y903" s="46">
        <f>IFERROR(__xludf.DUMMYFUNCTION("""COMPUTED_VALUE"""),45845)</f>
        <v/>
      </c>
      <c r="Z903" s="46">
        <f>IFERROR(__xludf.DUMMYFUNCTION("""COMPUTED_VALUE"""),45866)</f>
        <v/>
      </c>
      <c r="AA903" s="46">
        <f>IFERROR(__xludf.DUMMYFUNCTION("""COMPUTED_VALUE"""),45866)</f>
        <v/>
      </c>
      <c r="AB903" s="45">
        <f>IFERROR(__xludf.DUMMYFUNCTION("""COMPUTED_VALUE"""),"3500 Argentia Road")</f>
        <v/>
      </c>
      <c r="AC903" s="45" t="n"/>
      <c r="AD903" s="45">
        <f>IFERROR(__xludf.DUMMYFUNCTION("""COMPUTED_VALUE"""),"OCEAN")</f>
        <v/>
      </c>
      <c r="AE903" s="45">
        <f>IFERROR(__xludf.DUMMYFUNCTION("""COMPUTED_VALUE"""),"N")</f>
        <v/>
      </c>
      <c r="AF903" s="45">
        <f>IFERROR(__xludf.DUMMYFUNCTION("""COMPUTED_VALUE"""),"New Booking")</f>
        <v/>
      </c>
      <c r="AG903" s="49">
        <f>IFERROR(__xludf.DUMMYFUNCTION("IFNA(vlookup(H903,IMPORTRANGE(""1vUGwO1n0QQGx9kKbO0_M5gmuhXZ6-LaxQxgrmJnzgP0"",""'TP# look up'!A:C""),3,0),"""")"),"")</f>
        <v/>
      </c>
      <c r="AH903" s="49">
        <f>LEFT(J903,2)</f>
        <v/>
      </c>
    </row>
    <row r="904" ht="12.75" customHeight="1">
      <c r="A904" s="45">
        <f>IFERROR(__xludf.DUMMYFUNCTION("""COMPUTED_VALUE"""),"Colombo")</f>
        <v/>
      </c>
      <c r="B904" s="45" t="n"/>
      <c r="C904" s="45">
        <f>IFERROR(__xludf.DUMMYFUNCTION("""COMPUTED_VALUE"""),3259528)</f>
        <v/>
      </c>
      <c r="D904" s="45" t="n"/>
      <c r="E904" s="45">
        <f>IFERROR(__xludf.DUMMYFUNCTION("""COMPUTED_VALUE"""),"CFS")</f>
        <v/>
      </c>
      <c r="F904" s="45">
        <f>IFERROR(__xludf.DUMMYFUNCTION("""COMPUTED_VALUE"""),"Bodyline Trading (Private) Limited")</f>
        <v/>
      </c>
      <c r="G904" s="45">
        <f>IFERROR(__xludf.DUMMYFUNCTION("""COMPUTED_VALUE"""),"Bodyline (Private) Limited")</f>
        <v/>
      </c>
      <c r="H904" s="43">
        <f>IFERROR(__xludf.DUMMYFUNCTION("""COMPUTED_VALUE"""),456414043614)</f>
        <v/>
      </c>
      <c r="I904" s="45">
        <f>IFERROR(__xludf.DUMMYFUNCTION("""COMPUTED_VALUE"""),19878795)</f>
        <v/>
      </c>
      <c r="J904" s="45">
        <f>IFERROR(__xludf.DUMMYFUNCTION("""COMPUTED_VALUE"""),"LW2DPOS")</f>
        <v/>
      </c>
      <c r="K904" s="45">
        <f>IFERROR(__xludf.DUMMYFUNCTION("""COMPUTED_VALUE"""),"LW2DPOS-041179")</f>
        <v/>
      </c>
      <c r="L904" s="45">
        <f>IFERROR(__xludf.DUMMYFUNCTION("""COMPUTED_VALUE"""),5)</f>
        <v/>
      </c>
      <c r="M904" s="45">
        <f>IFERROR(__xludf.DUMMYFUNCTION("""COMPUTED_VALUE"""),195)</f>
        <v/>
      </c>
      <c r="N904" s="45">
        <f>IFERROR(__xludf.DUMMYFUNCTION("""COMPUTED_VALUE"""),29.597)</f>
        <v/>
      </c>
      <c r="O904" s="45">
        <f>IFERROR(__xludf.DUMMYFUNCTION("""COMPUTED_VALUE"""),0.366)</f>
        <v/>
      </c>
      <c r="P904" s="45">
        <f>IFERROR(__xludf.DUMMYFUNCTION("""COMPUTED_VALUE"""),"Colombo, LK")</f>
        <v/>
      </c>
      <c r="Q904" s="45">
        <f>IFERROR(__xludf.DUMMYFUNCTION("""COMPUTED_VALUE"""),"New York, NY, US")</f>
        <v/>
      </c>
      <c r="R904" s="44">
        <f>IFERROR(__xludf.DUMMYFUNCTION("""COMPUTED_VALUE"""),45838)</f>
        <v/>
      </c>
      <c r="S904" s="44">
        <f>IFERROR(__xludf.DUMMYFUNCTION("""COMPUTED_VALUE"""),45897)</f>
        <v/>
      </c>
      <c r="T904" s="45">
        <f>IFERROR(__xludf.DUMMYFUNCTION("""COMPUTED_VALUE"""),"Mississauga, ON, CA")</f>
        <v/>
      </c>
      <c r="U904" s="45" t="n"/>
      <c r="V904" s="45" t="n"/>
      <c r="W904" s="45" t="n"/>
      <c r="X904" s="45" t="n"/>
      <c r="Y904" s="46">
        <f>IFERROR(__xludf.DUMMYFUNCTION("""COMPUTED_VALUE"""),45845)</f>
        <v/>
      </c>
      <c r="Z904" s="46">
        <f>IFERROR(__xludf.DUMMYFUNCTION("""COMPUTED_VALUE"""),45866)</f>
        <v/>
      </c>
      <c r="AA904" s="46">
        <f>IFERROR(__xludf.DUMMYFUNCTION("""COMPUTED_VALUE"""),45866)</f>
        <v/>
      </c>
      <c r="AB904" s="45">
        <f>IFERROR(__xludf.DUMMYFUNCTION("""COMPUTED_VALUE"""),"3500 Argentia Road")</f>
        <v/>
      </c>
      <c r="AC904" s="45" t="n"/>
      <c r="AD904" s="45">
        <f>IFERROR(__xludf.DUMMYFUNCTION("""COMPUTED_VALUE"""),"OCEAN")</f>
        <v/>
      </c>
      <c r="AE904" s="45">
        <f>IFERROR(__xludf.DUMMYFUNCTION("""COMPUTED_VALUE"""),"N")</f>
        <v/>
      </c>
      <c r="AF904" s="45">
        <f>IFERROR(__xludf.DUMMYFUNCTION("""COMPUTED_VALUE"""),"New Booking")</f>
        <v/>
      </c>
      <c r="AG904" s="49">
        <f>IFERROR(__xludf.DUMMYFUNCTION("IFNA(vlookup(H904,IMPORTRANGE(""1vUGwO1n0QQGx9kKbO0_M5gmuhXZ6-LaxQxgrmJnzgP0"",""'TP# look up'!A:C""),3,0),"""")"),"")</f>
        <v/>
      </c>
      <c r="AH904" s="49">
        <f>LEFT(J904,2)</f>
        <v/>
      </c>
    </row>
    <row r="905" ht="12.75" customHeight="1">
      <c r="A905" s="45">
        <f>IFERROR(__xludf.DUMMYFUNCTION("""COMPUTED_VALUE"""),"Colombo")</f>
        <v/>
      </c>
      <c r="B905" s="45" t="n"/>
      <c r="C905" s="45">
        <f>IFERROR(__xludf.DUMMYFUNCTION("""COMPUTED_VALUE"""),3259528)</f>
        <v/>
      </c>
      <c r="D905" s="45" t="n"/>
      <c r="E905" s="45">
        <f>IFERROR(__xludf.DUMMYFUNCTION("""COMPUTED_VALUE"""),"CFS")</f>
        <v/>
      </c>
      <c r="F905" s="45">
        <f>IFERROR(__xludf.DUMMYFUNCTION("""COMPUTED_VALUE"""),"Bodyline Trading (Private) Limited")</f>
        <v/>
      </c>
      <c r="G905" s="45">
        <f>IFERROR(__xludf.DUMMYFUNCTION("""COMPUTED_VALUE"""),"Bodyline (Private) Limited")</f>
        <v/>
      </c>
      <c r="H905" s="43">
        <f>IFERROR(__xludf.DUMMYFUNCTION("""COMPUTED_VALUE"""),456415375909)</f>
        <v/>
      </c>
      <c r="I905" s="45">
        <f>IFERROR(__xludf.DUMMYFUNCTION("""COMPUTED_VALUE"""),19878747)</f>
        <v/>
      </c>
      <c r="J905" s="45">
        <f>IFERROR(__xludf.DUMMYFUNCTION("""COMPUTED_VALUE"""),"LW2DPNS")</f>
        <v/>
      </c>
      <c r="K905" s="45">
        <f>IFERROR(__xludf.DUMMYFUNCTION("""COMPUTED_VALUE"""),"LW2DPNS-071150")</f>
        <v/>
      </c>
      <c r="L905" s="45">
        <f>IFERROR(__xludf.DUMMYFUNCTION("""COMPUTED_VALUE"""),8)</f>
        <v/>
      </c>
      <c r="M905" s="45">
        <f>IFERROR(__xludf.DUMMYFUNCTION("""COMPUTED_VALUE"""),621)</f>
        <v/>
      </c>
      <c r="N905" s="45">
        <f>IFERROR(__xludf.DUMMYFUNCTION("""COMPUTED_VALUE"""),72.526)</f>
        <v/>
      </c>
      <c r="O905" s="45">
        <f>IFERROR(__xludf.DUMMYFUNCTION("""COMPUTED_VALUE"""),0.644)</f>
        <v/>
      </c>
      <c r="P905" s="45">
        <f>IFERROR(__xludf.DUMMYFUNCTION("""COMPUTED_VALUE"""),"Colombo, LK")</f>
        <v/>
      </c>
      <c r="Q905" s="45">
        <f>IFERROR(__xludf.DUMMYFUNCTION("""COMPUTED_VALUE"""),"New York, NY, US")</f>
        <v/>
      </c>
      <c r="R905" s="44">
        <f>IFERROR(__xludf.DUMMYFUNCTION("""COMPUTED_VALUE"""),45838)</f>
        <v/>
      </c>
      <c r="S905" s="44">
        <f>IFERROR(__xludf.DUMMYFUNCTION("""COMPUTED_VALUE"""),45897)</f>
        <v/>
      </c>
      <c r="T905" s="45">
        <f>IFERROR(__xludf.DUMMYFUNCTION("""COMPUTED_VALUE"""),"Mississauga, ON, CA")</f>
        <v/>
      </c>
      <c r="U905" s="45" t="n"/>
      <c r="V905" s="45" t="n"/>
      <c r="W905" s="45" t="n"/>
      <c r="X905" s="45" t="n"/>
      <c r="Y905" s="46">
        <f>IFERROR(__xludf.DUMMYFUNCTION("""COMPUTED_VALUE"""),45845)</f>
        <v/>
      </c>
      <c r="Z905" s="46">
        <f>IFERROR(__xludf.DUMMYFUNCTION("""COMPUTED_VALUE"""),45866)</f>
        <v/>
      </c>
      <c r="AA905" s="46">
        <f>IFERROR(__xludf.DUMMYFUNCTION("""COMPUTED_VALUE"""),45866)</f>
        <v/>
      </c>
      <c r="AB905" s="45">
        <f>IFERROR(__xludf.DUMMYFUNCTION("""COMPUTED_VALUE"""),"3500 Argentia Road")</f>
        <v/>
      </c>
      <c r="AC905" s="45" t="n"/>
      <c r="AD905" s="45">
        <f>IFERROR(__xludf.DUMMYFUNCTION("""COMPUTED_VALUE"""),"OCEAN")</f>
        <v/>
      </c>
      <c r="AE905" s="45">
        <f>IFERROR(__xludf.DUMMYFUNCTION("""COMPUTED_VALUE"""),"N")</f>
        <v/>
      </c>
      <c r="AF905" s="45">
        <f>IFERROR(__xludf.DUMMYFUNCTION("""COMPUTED_VALUE"""),"New Booking")</f>
        <v/>
      </c>
      <c r="AG905" s="49">
        <f>IFERROR(__xludf.DUMMYFUNCTION("IFNA(vlookup(H905,IMPORTRANGE(""1vUGwO1n0QQGx9kKbO0_M5gmuhXZ6-LaxQxgrmJnzgP0"",""'TP# look up'!A:C""),3,0),"""")"),"")</f>
        <v/>
      </c>
      <c r="AH905" s="49">
        <f>LEFT(J905,2)</f>
        <v/>
      </c>
    </row>
    <row r="906" ht="12.75" customHeight="1">
      <c r="A906" s="45">
        <f>IFERROR(__xludf.DUMMYFUNCTION("""COMPUTED_VALUE"""),"Colombo")</f>
        <v/>
      </c>
      <c r="B906" s="45" t="n"/>
      <c r="C906" s="45">
        <f>IFERROR(__xludf.DUMMYFUNCTION("""COMPUTED_VALUE"""),3259528)</f>
        <v/>
      </c>
      <c r="D906" s="45" t="n"/>
      <c r="E906" s="45">
        <f>IFERROR(__xludf.DUMMYFUNCTION("""COMPUTED_VALUE"""),"CFS")</f>
        <v/>
      </c>
      <c r="F906" s="45">
        <f>IFERROR(__xludf.DUMMYFUNCTION("""COMPUTED_VALUE"""),"Bodyline Trading (Private) Limited")</f>
        <v/>
      </c>
      <c r="G906" s="45">
        <f>IFERROR(__xludf.DUMMYFUNCTION("""COMPUTED_VALUE"""),"Bodyline (Private) Limited")</f>
        <v/>
      </c>
      <c r="H906" s="43">
        <f>IFERROR(__xludf.DUMMYFUNCTION("""COMPUTED_VALUE"""),456415462375)</f>
        <v/>
      </c>
      <c r="I906" s="45">
        <f>IFERROR(__xludf.DUMMYFUNCTION("""COMPUTED_VALUE"""),19878519)</f>
        <v/>
      </c>
      <c r="J906" s="45">
        <f>IFERROR(__xludf.DUMMYFUNCTION("""COMPUTED_VALUE"""),"LW2DPNS")</f>
        <v/>
      </c>
      <c r="K906" s="45">
        <f>IFERROR(__xludf.DUMMYFUNCTION("""COMPUTED_VALUE"""),"LW2DPNS-071150")</f>
        <v/>
      </c>
      <c r="L906" s="45">
        <f>IFERROR(__xludf.DUMMYFUNCTION("""COMPUTED_VALUE"""),5)</f>
        <v/>
      </c>
      <c r="M906" s="45">
        <f>IFERROR(__xludf.DUMMYFUNCTION("""COMPUTED_VALUE"""),329)</f>
        <v/>
      </c>
      <c r="N906" s="45">
        <f>IFERROR(__xludf.DUMMYFUNCTION("""COMPUTED_VALUE"""),39.101)</f>
        <v/>
      </c>
      <c r="O906" s="45">
        <f>IFERROR(__xludf.DUMMYFUNCTION("""COMPUTED_VALUE"""),0.366)</f>
        <v/>
      </c>
      <c r="P906" s="45">
        <f>IFERROR(__xludf.DUMMYFUNCTION("""COMPUTED_VALUE"""),"Colombo, LK")</f>
        <v/>
      </c>
      <c r="Q906" s="45">
        <f>IFERROR(__xludf.DUMMYFUNCTION("""COMPUTED_VALUE"""),"New York, NY, US")</f>
        <v/>
      </c>
      <c r="R906" s="44">
        <f>IFERROR(__xludf.DUMMYFUNCTION("""COMPUTED_VALUE"""),45838)</f>
        <v/>
      </c>
      <c r="S906" s="44">
        <f>IFERROR(__xludf.DUMMYFUNCTION("""COMPUTED_VALUE"""),45897)</f>
        <v/>
      </c>
      <c r="T906" s="45">
        <f>IFERROR(__xludf.DUMMYFUNCTION("""COMPUTED_VALUE"""),"Mississauga, ON, CA")</f>
        <v/>
      </c>
      <c r="U906" s="45" t="n"/>
      <c r="V906" s="45" t="n"/>
      <c r="W906" s="45" t="n"/>
      <c r="X906" s="45" t="n"/>
      <c r="Y906" s="46">
        <f>IFERROR(__xludf.DUMMYFUNCTION("""COMPUTED_VALUE"""),45845)</f>
        <v/>
      </c>
      <c r="Z906" s="46">
        <f>IFERROR(__xludf.DUMMYFUNCTION("""COMPUTED_VALUE"""),45866)</f>
        <v/>
      </c>
      <c r="AA906" s="46">
        <f>IFERROR(__xludf.DUMMYFUNCTION("""COMPUTED_VALUE"""),45866)</f>
        <v/>
      </c>
      <c r="AB906" s="45">
        <f>IFERROR(__xludf.DUMMYFUNCTION("""COMPUTED_VALUE"""),"3500 Argentia Road")</f>
        <v/>
      </c>
      <c r="AC906" s="45" t="n"/>
      <c r="AD906" s="45">
        <f>IFERROR(__xludf.DUMMYFUNCTION("""COMPUTED_VALUE"""),"OCEAN")</f>
        <v/>
      </c>
      <c r="AE906" s="45">
        <f>IFERROR(__xludf.DUMMYFUNCTION("""COMPUTED_VALUE"""),"N")</f>
        <v/>
      </c>
      <c r="AF906" s="45">
        <f>IFERROR(__xludf.DUMMYFUNCTION("""COMPUTED_VALUE"""),"New Booking")</f>
        <v/>
      </c>
      <c r="AG906" s="49">
        <f>IFERROR(__xludf.DUMMYFUNCTION("IFNA(vlookup(H906,IMPORTRANGE(""1vUGwO1n0QQGx9kKbO0_M5gmuhXZ6-LaxQxgrmJnzgP0"",""'TP# look up'!A:C""),3,0),"""")"),"")</f>
        <v/>
      </c>
      <c r="AH906" s="49">
        <f>LEFT(J906,2)</f>
        <v/>
      </c>
    </row>
    <row r="907" ht="12.75" customHeight="1">
      <c r="A907" s="45">
        <f>IFERROR(__xludf.DUMMYFUNCTION("""COMPUTED_VALUE"""),"Colombo")</f>
        <v/>
      </c>
      <c r="B907" s="45" t="n"/>
      <c r="C907" s="45">
        <f>IFERROR(__xludf.DUMMYFUNCTION("""COMPUTED_VALUE"""),3259528)</f>
        <v/>
      </c>
      <c r="D907" s="45" t="n"/>
      <c r="E907" s="45">
        <f>IFERROR(__xludf.DUMMYFUNCTION("""COMPUTED_VALUE"""),"CFS")</f>
        <v/>
      </c>
      <c r="F907" s="45">
        <f>IFERROR(__xludf.DUMMYFUNCTION("""COMPUTED_VALUE"""),"Bodyline Trading (Private) Limited")</f>
        <v/>
      </c>
      <c r="G907" s="45">
        <f>IFERROR(__xludf.DUMMYFUNCTION("""COMPUTED_VALUE"""),"Bodyline (Private) Limited")</f>
        <v/>
      </c>
      <c r="H907" s="43">
        <f>IFERROR(__xludf.DUMMYFUNCTION("""COMPUTED_VALUE"""),456420647483)</f>
        <v/>
      </c>
      <c r="I907" s="45">
        <f>IFERROR(__xludf.DUMMYFUNCTION("""COMPUTED_VALUE"""),19878675)</f>
        <v/>
      </c>
      <c r="J907" s="45">
        <f>IFERROR(__xludf.DUMMYFUNCTION("""COMPUTED_VALUE"""),"LW2DZVS")</f>
        <v/>
      </c>
      <c r="K907" s="45">
        <f>IFERROR(__xludf.DUMMYFUNCTION("""COMPUTED_VALUE"""),"LW2DZVS-041179")</f>
        <v/>
      </c>
      <c r="L907" s="45">
        <f>IFERROR(__xludf.DUMMYFUNCTION("""COMPUTED_VALUE"""),3)</f>
        <v/>
      </c>
      <c r="M907" s="45">
        <f>IFERROR(__xludf.DUMMYFUNCTION("""COMPUTED_VALUE"""),138)</f>
        <v/>
      </c>
      <c r="N907" s="45">
        <f>IFERROR(__xludf.DUMMYFUNCTION("""COMPUTED_VALUE"""),25.327)</f>
        <v/>
      </c>
      <c r="O907" s="45">
        <f>IFERROR(__xludf.DUMMYFUNCTION("""COMPUTED_VALUE"""),0.242)</f>
        <v/>
      </c>
      <c r="P907" s="45">
        <f>IFERROR(__xludf.DUMMYFUNCTION("""COMPUTED_VALUE"""),"Colombo, LK")</f>
        <v/>
      </c>
      <c r="Q907" s="45">
        <f>IFERROR(__xludf.DUMMYFUNCTION("""COMPUTED_VALUE"""),"New York, NY, US")</f>
        <v/>
      </c>
      <c r="R907" s="44">
        <f>IFERROR(__xludf.DUMMYFUNCTION("""COMPUTED_VALUE"""),45838)</f>
        <v/>
      </c>
      <c r="S907" s="44">
        <f>IFERROR(__xludf.DUMMYFUNCTION("""COMPUTED_VALUE"""),45897)</f>
        <v/>
      </c>
      <c r="T907" s="45">
        <f>IFERROR(__xludf.DUMMYFUNCTION("""COMPUTED_VALUE"""),"Mississauga, ON, CA")</f>
        <v/>
      </c>
      <c r="U907" s="45" t="n"/>
      <c r="V907" s="45" t="n"/>
      <c r="W907" s="45" t="n"/>
      <c r="X907" s="45" t="n"/>
      <c r="Y907" s="46">
        <f>IFERROR(__xludf.DUMMYFUNCTION("""COMPUTED_VALUE"""),45845)</f>
        <v/>
      </c>
      <c r="Z907" s="46">
        <f>IFERROR(__xludf.DUMMYFUNCTION("""COMPUTED_VALUE"""),45866)</f>
        <v/>
      </c>
      <c r="AA907" s="46">
        <f>IFERROR(__xludf.DUMMYFUNCTION("""COMPUTED_VALUE"""),45866)</f>
        <v/>
      </c>
      <c r="AB907" s="45">
        <f>IFERROR(__xludf.DUMMYFUNCTION("""COMPUTED_VALUE"""),"3500 Argentia Road")</f>
        <v/>
      </c>
      <c r="AC907" s="45" t="n"/>
      <c r="AD907" s="45">
        <f>IFERROR(__xludf.DUMMYFUNCTION("""COMPUTED_VALUE"""),"OCEAN")</f>
        <v/>
      </c>
      <c r="AE907" s="45">
        <f>IFERROR(__xludf.DUMMYFUNCTION("""COMPUTED_VALUE"""),"N")</f>
        <v/>
      </c>
      <c r="AF907" s="45">
        <f>IFERROR(__xludf.DUMMYFUNCTION("""COMPUTED_VALUE"""),"New Booking")</f>
        <v/>
      </c>
      <c r="AG907" s="49">
        <f>IFERROR(__xludf.DUMMYFUNCTION("IFNA(vlookup(H907,IMPORTRANGE(""1vUGwO1n0QQGx9kKbO0_M5gmuhXZ6-LaxQxgrmJnzgP0"",""'TP# look up'!A:C""),3,0),"""")"),"")</f>
        <v/>
      </c>
      <c r="AH907" s="49">
        <f>LEFT(J907,2)</f>
        <v/>
      </c>
    </row>
    <row r="908" ht="12.75" customHeight="1">
      <c r="A908" s="45">
        <f>IFERROR(__xludf.DUMMYFUNCTION("""COMPUTED_VALUE"""),"Colombo")</f>
        <v/>
      </c>
      <c r="B908" s="45" t="n"/>
      <c r="C908" s="45">
        <f>IFERROR(__xludf.DUMMYFUNCTION("""COMPUTED_VALUE"""),3259528)</f>
        <v/>
      </c>
      <c r="D908" s="45" t="n"/>
      <c r="E908" s="45">
        <f>IFERROR(__xludf.DUMMYFUNCTION("""COMPUTED_VALUE"""),"CFS")</f>
        <v/>
      </c>
      <c r="F908" s="45">
        <f>IFERROR(__xludf.DUMMYFUNCTION("""COMPUTED_VALUE"""),"Bodyline Trading (Private) Limited")</f>
        <v/>
      </c>
      <c r="G908" s="45">
        <f>IFERROR(__xludf.DUMMYFUNCTION("""COMPUTED_VALUE"""),"Bodyline (Private) Limited")</f>
        <v/>
      </c>
      <c r="H908" s="43">
        <f>IFERROR(__xludf.DUMMYFUNCTION("""COMPUTED_VALUE"""),456420793213)</f>
        <v/>
      </c>
      <c r="I908" s="45">
        <f>IFERROR(__xludf.DUMMYFUNCTION("""COMPUTED_VALUE"""),19878676)</f>
        <v/>
      </c>
      <c r="J908" s="45">
        <f>IFERROR(__xludf.DUMMYFUNCTION("""COMPUTED_VALUE"""),"LW2DZVS")</f>
        <v/>
      </c>
      <c r="K908" s="45">
        <f>IFERROR(__xludf.DUMMYFUNCTION("""COMPUTED_VALUE"""),"LW2DZVS-041179")</f>
        <v/>
      </c>
      <c r="L908" s="45">
        <f>IFERROR(__xludf.DUMMYFUNCTION("""COMPUTED_VALUE"""),2)</f>
        <v/>
      </c>
      <c r="M908" s="45">
        <f>IFERROR(__xludf.DUMMYFUNCTION("""COMPUTED_VALUE"""),65)</f>
        <v/>
      </c>
      <c r="N908" s="45">
        <f>IFERROR(__xludf.DUMMYFUNCTION("""COMPUTED_VALUE"""),12.398)</f>
        <v/>
      </c>
      <c r="O908" s="45">
        <f>IFERROR(__xludf.DUMMYFUNCTION("""COMPUTED_VALUE"""),0.124)</f>
        <v/>
      </c>
      <c r="P908" s="45">
        <f>IFERROR(__xludf.DUMMYFUNCTION("""COMPUTED_VALUE"""),"Colombo, LK")</f>
        <v/>
      </c>
      <c r="Q908" s="45">
        <f>IFERROR(__xludf.DUMMYFUNCTION("""COMPUTED_VALUE"""),"New York, NY, US")</f>
        <v/>
      </c>
      <c r="R908" s="44">
        <f>IFERROR(__xludf.DUMMYFUNCTION("""COMPUTED_VALUE"""),45838)</f>
        <v/>
      </c>
      <c r="S908" s="44">
        <f>IFERROR(__xludf.DUMMYFUNCTION("""COMPUTED_VALUE"""),45897)</f>
        <v/>
      </c>
      <c r="T908" s="45">
        <f>IFERROR(__xludf.DUMMYFUNCTION("""COMPUTED_VALUE"""),"Mississauga, ON, CA")</f>
        <v/>
      </c>
      <c r="U908" s="45" t="n"/>
      <c r="V908" s="45" t="n"/>
      <c r="W908" s="45" t="n"/>
      <c r="X908" s="45" t="n"/>
      <c r="Y908" s="46">
        <f>IFERROR(__xludf.DUMMYFUNCTION("""COMPUTED_VALUE"""),45845)</f>
        <v/>
      </c>
      <c r="Z908" s="46">
        <f>IFERROR(__xludf.DUMMYFUNCTION("""COMPUTED_VALUE"""),45866)</f>
        <v/>
      </c>
      <c r="AA908" s="46">
        <f>IFERROR(__xludf.DUMMYFUNCTION("""COMPUTED_VALUE"""),45866)</f>
        <v/>
      </c>
      <c r="AB908" s="45">
        <f>IFERROR(__xludf.DUMMYFUNCTION("""COMPUTED_VALUE"""),"3500 Argentia Road")</f>
        <v/>
      </c>
      <c r="AC908" s="45" t="n"/>
      <c r="AD908" s="45">
        <f>IFERROR(__xludf.DUMMYFUNCTION("""COMPUTED_VALUE"""),"OCEAN")</f>
        <v/>
      </c>
      <c r="AE908" s="45">
        <f>IFERROR(__xludf.DUMMYFUNCTION("""COMPUTED_VALUE"""),"N")</f>
        <v/>
      </c>
      <c r="AF908" s="45">
        <f>IFERROR(__xludf.DUMMYFUNCTION("""COMPUTED_VALUE"""),"New Booking")</f>
        <v/>
      </c>
      <c r="AG908" s="49">
        <f>IFERROR(__xludf.DUMMYFUNCTION("IFNA(vlookup(H908,IMPORTRANGE(""1vUGwO1n0QQGx9kKbO0_M5gmuhXZ6-LaxQxgrmJnzgP0"",""'TP# look up'!A:C""),3,0),"""")"),"")</f>
        <v/>
      </c>
      <c r="AH908" s="49">
        <f>LEFT(J908,2)</f>
        <v/>
      </c>
    </row>
    <row r="909" ht="12.75" customHeight="1">
      <c r="A909" s="45">
        <f>IFERROR(__xludf.DUMMYFUNCTION("""COMPUTED_VALUE"""),"Colombo")</f>
        <v/>
      </c>
      <c r="B909" s="45" t="n"/>
      <c r="C909" s="45">
        <f>IFERROR(__xludf.DUMMYFUNCTION("""COMPUTED_VALUE"""),3259528)</f>
        <v/>
      </c>
      <c r="D909" s="45" t="n"/>
      <c r="E909" s="45">
        <f>IFERROR(__xludf.DUMMYFUNCTION("""COMPUTED_VALUE"""),"CFS")</f>
        <v/>
      </c>
      <c r="F909" s="45">
        <f>IFERROR(__xludf.DUMMYFUNCTION("""COMPUTED_VALUE"""),"Bodyline Trading (Private) Limited")</f>
        <v/>
      </c>
      <c r="G909" s="45">
        <f>IFERROR(__xludf.DUMMYFUNCTION("""COMPUTED_VALUE"""),"Bodyline (Private) Limited")</f>
        <v/>
      </c>
      <c r="H909" s="43">
        <f>IFERROR(__xludf.DUMMYFUNCTION("""COMPUTED_VALUE"""),456421346935)</f>
        <v/>
      </c>
      <c r="I909" s="45">
        <f>IFERROR(__xludf.DUMMYFUNCTION("""COMPUTED_VALUE"""),19878891)</f>
        <v/>
      </c>
      <c r="J909" s="45">
        <f>IFERROR(__xludf.DUMMYFUNCTION("""COMPUTED_VALUE"""),"LW2DZVS")</f>
        <v/>
      </c>
      <c r="K909" s="45">
        <f>IFERROR(__xludf.DUMMYFUNCTION("""COMPUTED_VALUE"""),"LW2DZVS-041179")</f>
        <v/>
      </c>
      <c r="L909" s="45">
        <f>IFERROR(__xludf.DUMMYFUNCTION("""COMPUTED_VALUE"""),6)</f>
        <v/>
      </c>
      <c r="M909" s="45">
        <f>IFERROR(__xludf.DUMMYFUNCTION("""COMPUTED_VALUE"""),260)</f>
        <v/>
      </c>
      <c r="N909" s="45">
        <f>IFERROR(__xludf.DUMMYFUNCTION("""COMPUTED_VALUE"""),47.667)</f>
        <v/>
      </c>
      <c r="O909" s="45">
        <f>IFERROR(__xludf.DUMMYFUNCTION("""COMPUTED_VALUE"""),0.41)</f>
        <v/>
      </c>
      <c r="P909" s="45">
        <f>IFERROR(__xludf.DUMMYFUNCTION("""COMPUTED_VALUE"""),"Colombo, LK")</f>
        <v/>
      </c>
      <c r="Q909" s="45">
        <f>IFERROR(__xludf.DUMMYFUNCTION("""COMPUTED_VALUE"""),"New York, NY, US")</f>
        <v/>
      </c>
      <c r="R909" s="44">
        <f>IFERROR(__xludf.DUMMYFUNCTION("""COMPUTED_VALUE"""),45838)</f>
        <v/>
      </c>
      <c r="S909" s="44">
        <f>IFERROR(__xludf.DUMMYFUNCTION("""COMPUTED_VALUE"""),45897)</f>
        <v/>
      </c>
      <c r="T909" s="45">
        <f>IFERROR(__xludf.DUMMYFUNCTION("""COMPUTED_VALUE"""),"Mississauga, ON, CA")</f>
        <v/>
      </c>
      <c r="U909" s="45" t="n"/>
      <c r="V909" s="45" t="n"/>
      <c r="W909" s="45" t="n"/>
      <c r="X909" s="45" t="n"/>
      <c r="Y909" s="46">
        <f>IFERROR(__xludf.DUMMYFUNCTION("""COMPUTED_VALUE"""),45845)</f>
        <v/>
      </c>
      <c r="Z909" s="46">
        <f>IFERROR(__xludf.DUMMYFUNCTION("""COMPUTED_VALUE"""),45866)</f>
        <v/>
      </c>
      <c r="AA909" s="46">
        <f>IFERROR(__xludf.DUMMYFUNCTION("""COMPUTED_VALUE"""),45866)</f>
        <v/>
      </c>
      <c r="AB909" s="45">
        <f>IFERROR(__xludf.DUMMYFUNCTION("""COMPUTED_VALUE"""),"3500 Argentia Road")</f>
        <v/>
      </c>
      <c r="AC909" s="45" t="n"/>
      <c r="AD909" s="45">
        <f>IFERROR(__xludf.DUMMYFUNCTION("""COMPUTED_VALUE"""),"OCEAN")</f>
        <v/>
      </c>
      <c r="AE909" s="45">
        <f>IFERROR(__xludf.DUMMYFUNCTION("""COMPUTED_VALUE"""),"N")</f>
        <v/>
      </c>
      <c r="AF909" s="45">
        <f>IFERROR(__xludf.DUMMYFUNCTION("""COMPUTED_VALUE"""),"New Booking")</f>
        <v/>
      </c>
      <c r="AG909" s="49">
        <f>IFERROR(__xludf.DUMMYFUNCTION("IFNA(vlookup(H909,IMPORTRANGE(""1vUGwO1n0QQGx9kKbO0_M5gmuhXZ6-LaxQxgrmJnzgP0"",""'TP# look up'!A:C""),3,0),"""")"),"")</f>
        <v/>
      </c>
      <c r="AH909" s="49">
        <f>LEFT(J909,2)</f>
        <v/>
      </c>
    </row>
    <row r="910" ht="12.75" customHeight="1">
      <c r="A910" s="45">
        <f>IFERROR(__xludf.DUMMYFUNCTION("""COMPUTED_VALUE"""),"Colombo")</f>
        <v/>
      </c>
      <c r="B910" s="45" t="n"/>
      <c r="C910" s="45">
        <f>IFERROR(__xludf.DUMMYFUNCTION("""COMPUTED_VALUE"""),3259528)</f>
        <v/>
      </c>
      <c r="D910" s="45" t="n"/>
      <c r="E910" s="45">
        <f>IFERROR(__xludf.DUMMYFUNCTION("""COMPUTED_VALUE"""),"CFS")</f>
        <v/>
      </c>
      <c r="F910" s="45">
        <f>IFERROR(__xludf.DUMMYFUNCTION("""COMPUTED_VALUE"""),"Bodyline Trading (Private) Limited")</f>
        <v/>
      </c>
      <c r="G910" s="45">
        <f>IFERROR(__xludf.DUMMYFUNCTION("""COMPUTED_VALUE"""),"Bodyline (Private) Limited")</f>
        <v/>
      </c>
      <c r="H910" s="43">
        <f>IFERROR(__xludf.DUMMYFUNCTION("""COMPUTED_VALUE"""),456422455090)</f>
        <v/>
      </c>
      <c r="I910" s="45">
        <f>IFERROR(__xludf.DUMMYFUNCTION("""COMPUTED_VALUE"""),19878895)</f>
        <v/>
      </c>
      <c r="J910" s="45">
        <f>IFERROR(__xludf.DUMMYFUNCTION("""COMPUTED_VALUE"""),"LW2DZVS")</f>
        <v/>
      </c>
      <c r="K910" s="45">
        <f>IFERROR(__xludf.DUMMYFUNCTION("""COMPUTED_VALUE"""),"LW2DZVS-041179")</f>
        <v/>
      </c>
      <c r="L910" s="45">
        <f>IFERROR(__xludf.DUMMYFUNCTION("""COMPUTED_VALUE"""),3)</f>
        <v/>
      </c>
      <c r="M910" s="45">
        <f>IFERROR(__xludf.DUMMYFUNCTION("""COMPUTED_VALUE"""),126)</f>
        <v/>
      </c>
      <c r="N910" s="45">
        <f>IFERROR(__xludf.DUMMYFUNCTION("""COMPUTED_VALUE"""),23.393)</f>
        <v/>
      </c>
      <c r="O910" s="45">
        <f>IFERROR(__xludf.DUMMYFUNCTION("""COMPUTED_VALUE"""),0.242)</f>
        <v/>
      </c>
      <c r="P910" s="45">
        <f>IFERROR(__xludf.DUMMYFUNCTION("""COMPUTED_VALUE"""),"Colombo, LK")</f>
        <v/>
      </c>
      <c r="Q910" s="45">
        <f>IFERROR(__xludf.DUMMYFUNCTION("""COMPUTED_VALUE"""),"New York, NY, US")</f>
        <v/>
      </c>
      <c r="R910" s="44">
        <f>IFERROR(__xludf.DUMMYFUNCTION("""COMPUTED_VALUE"""),45838)</f>
        <v/>
      </c>
      <c r="S910" s="44">
        <f>IFERROR(__xludf.DUMMYFUNCTION("""COMPUTED_VALUE"""),45897)</f>
        <v/>
      </c>
      <c r="T910" s="45">
        <f>IFERROR(__xludf.DUMMYFUNCTION("""COMPUTED_VALUE"""),"Mississauga, ON, CA")</f>
        <v/>
      </c>
      <c r="U910" s="45" t="n"/>
      <c r="V910" s="45" t="n"/>
      <c r="W910" s="45" t="n"/>
      <c r="X910" s="45" t="n"/>
      <c r="Y910" s="46">
        <f>IFERROR(__xludf.DUMMYFUNCTION("""COMPUTED_VALUE"""),45845)</f>
        <v/>
      </c>
      <c r="Z910" s="46">
        <f>IFERROR(__xludf.DUMMYFUNCTION("""COMPUTED_VALUE"""),45866)</f>
        <v/>
      </c>
      <c r="AA910" s="46">
        <f>IFERROR(__xludf.DUMMYFUNCTION("""COMPUTED_VALUE"""),45866)</f>
        <v/>
      </c>
      <c r="AB910" s="45">
        <f>IFERROR(__xludf.DUMMYFUNCTION("""COMPUTED_VALUE"""),"3500 Argentia Road")</f>
        <v/>
      </c>
      <c r="AC910" s="45" t="n"/>
      <c r="AD910" s="45">
        <f>IFERROR(__xludf.DUMMYFUNCTION("""COMPUTED_VALUE"""),"OCEAN")</f>
        <v/>
      </c>
      <c r="AE910" s="45">
        <f>IFERROR(__xludf.DUMMYFUNCTION("""COMPUTED_VALUE"""),"N")</f>
        <v/>
      </c>
      <c r="AF910" s="45">
        <f>IFERROR(__xludf.DUMMYFUNCTION("""COMPUTED_VALUE"""),"New Booking")</f>
        <v/>
      </c>
      <c r="AG910" s="49">
        <f>IFERROR(__xludf.DUMMYFUNCTION("IFNA(vlookup(H910,IMPORTRANGE(""1vUGwO1n0QQGx9kKbO0_M5gmuhXZ6-LaxQxgrmJnzgP0"",""'TP# look up'!A:C""),3,0),"""")"),"")</f>
        <v/>
      </c>
      <c r="AH910" s="49">
        <f>LEFT(J910,2)</f>
        <v/>
      </c>
    </row>
    <row r="911" ht="12.75" customHeight="1">
      <c r="A911" s="45">
        <f>IFERROR(__xludf.DUMMYFUNCTION("""COMPUTED_VALUE"""),"Colombo")</f>
        <v/>
      </c>
      <c r="B911" s="45" t="n"/>
      <c r="C911" s="45">
        <f>IFERROR(__xludf.DUMMYFUNCTION("""COMPUTED_VALUE"""),3259528)</f>
        <v/>
      </c>
      <c r="D911" s="45" t="n"/>
      <c r="E911" s="45">
        <f>IFERROR(__xludf.DUMMYFUNCTION("""COMPUTED_VALUE"""),"CFS")</f>
        <v/>
      </c>
      <c r="F911" s="45">
        <f>IFERROR(__xludf.DUMMYFUNCTION("""COMPUTED_VALUE"""),"Bodyline Trading (Private) Limited")</f>
        <v/>
      </c>
      <c r="G911" s="45">
        <f>IFERROR(__xludf.DUMMYFUNCTION("""COMPUTED_VALUE"""),"Bodyline (Private) Limited")</f>
        <v/>
      </c>
      <c r="H911" s="43">
        <f>IFERROR(__xludf.DUMMYFUNCTION("""COMPUTED_VALUE"""),456440059857)</f>
        <v/>
      </c>
      <c r="I911" s="45">
        <f>IFERROR(__xludf.DUMMYFUNCTION("""COMPUTED_VALUE"""),19878463)</f>
        <v/>
      </c>
      <c r="J911" s="45">
        <f>IFERROR(__xludf.DUMMYFUNCTION("""COMPUTED_VALUE"""),"LW2CRHS")</f>
        <v/>
      </c>
      <c r="K911" s="45">
        <f>IFERROR(__xludf.DUMMYFUNCTION("""COMPUTED_VALUE"""),"LW2CRHS-041179")</f>
        <v/>
      </c>
      <c r="L911" s="45">
        <f>IFERROR(__xludf.DUMMYFUNCTION("""COMPUTED_VALUE"""),6)</f>
        <v/>
      </c>
      <c r="M911" s="45">
        <f>IFERROR(__xludf.DUMMYFUNCTION("""COMPUTED_VALUE"""),287)</f>
        <v/>
      </c>
      <c r="N911" s="45">
        <f>IFERROR(__xludf.DUMMYFUNCTION("""COMPUTED_VALUE"""),35.528)</f>
        <v/>
      </c>
      <c r="O911" s="45">
        <f>IFERROR(__xludf.DUMMYFUNCTION("""COMPUTED_VALUE"""),0.447)</f>
        <v/>
      </c>
      <c r="P911" s="45">
        <f>IFERROR(__xludf.DUMMYFUNCTION("""COMPUTED_VALUE"""),"Colombo, LK")</f>
        <v/>
      </c>
      <c r="Q911" s="45">
        <f>IFERROR(__xludf.DUMMYFUNCTION("""COMPUTED_VALUE"""),"New York, NY, US")</f>
        <v/>
      </c>
      <c r="R911" s="44">
        <f>IFERROR(__xludf.DUMMYFUNCTION("""COMPUTED_VALUE"""),45838)</f>
        <v/>
      </c>
      <c r="S911" s="44">
        <f>IFERROR(__xludf.DUMMYFUNCTION("""COMPUTED_VALUE"""),45897)</f>
        <v/>
      </c>
      <c r="T911" s="45">
        <f>IFERROR(__xludf.DUMMYFUNCTION("""COMPUTED_VALUE"""),"Mississauga, ON, CA")</f>
        <v/>
      </c>
      <c r="U911" s="45" t="n"/>
      <c r="V911" s="45" t="n"/>
      <c r="W911" s="45" t="n"/>
      <c r="X911" s="45" t="n"/>
      <c r="Y911" s="46">
        <f>IFERROR(__xludf.DUMMYFUNCTION("""COMPUTED_VALUE"""),45845)</f>
        <v/>
      </c>
      <c r="Z911" s="46">
        <f>IFERROR(__xludf.DUMMYFUNCTION("""COMPUTED_VALUE"""),45866)</f>
        <v/>
      </c>
      <c r="AA911" s="46">
        <f>IFERROR(__xludf.DUMMYFUNCTION("""COMPUTED_VALUE"""),45866)</f>
        <v/>
      </c>
      <c r="AB911" s="45">
        <f>IFERROR(__xludf.DUMMYFUNCTION("""COMPUTED_VALUE"""),"3500 Argentia Road")</f>
        <v/>
      </c>
      <c r="AC911" s="45" t="n"/>
      <c r="AD911" s="45">
        <f>IFERROR(__xludf.DUMMYFUNCTION("""COMPUTED_VALUE"""),"OCEAN")</f>
        <v/>
      </c>
      <c r="AE911" s="45">
        <f>IFERROR(__xludf.DUMMYFUNCTION("""COMPUTED_VALUE"""),"N")</f>
        <v/>
      </c>
      <c r="AF911" s="45">
        <f>IFERROR(__xludf.DUMMYFUNCTION("""COMPUTED_VALUE"""),"New Booking")</f>
        <v/>
      </c>
      <c r="AG911" s="49">
        <f>IFERROR(__xludf.DUMMYFUNCTION("IFNA(vlookup(H911,IMPORTRANGE(""1vUGwO1n0QQGx9kKbO0_M5gmuhXZ6-LaxQxgrmJnzgP0"",""'TP# look up'!A:C""),3,0),"""")"),"")</f>
        <v/>
      </c>
      <c r="AH911" s="49">
        <f>LEFT(J911,2)</f>
        <v/>
      </c>
    </row>
    <row r="912" ht="12.75" customHeight="1">
      <c r="A912" s="45">
        <f>IFERROR(__xludf.DUMMYFUNCTION("""COMPUTED_VALUE"""),"Colombo")</f>
        <v/>
      </c>
      <c r="B912" s="45" t="n"/>
      <c r="C912" s="45">
        <f>IFERROR(__xludf.DUMMYFUNCTION("""COMPUTED_VALUE"""),3259528)</f>
        <v/>
      </c>
      <c r="D912" s="45" t="n"/>
      <c r="E912" s="45">
        <f>IFERROR(__xludf.DUMMYFUNCTION("""COMPUTED_VALUE"""),"CFS")</f>
        <v/>
      </c>
      <c r="F912" s="45">
        <f>IFERROR(__xludf.DUMMYFUNCTION("""COMPUTED_VALUE"""),"Bodyline Trading (Private) Limited")</f>
        <v/>
      </c>
      <c r="G912" s="45">
        <f>IFERROR(__xludf.DUMMYFUNCTION("""COMPUTED_VALUE"""),"Bodyline (Private) Limited")</f>
        <v/>
      </c>
      <c r="H912" s="43">
        <f>IFERROR(__xludf.DUMMYFUNCTION("""COMPUTED_VALUE"""),456441869483)</f>
        <v/>
      </c>
      <c r="I912" s="45">
        <f>IFERROR(__xludf.DUMMYFUNCTION("""COMPUTED_VALUE"""),19878681)</f>
        <v/>
      </c>
      <c r="J912" s="45">
        <f>IFERROR(__xludf.DUMMYFUNCTION("""COMPUTED_VALUE"""),"LW2CRHS")</f>
        <v/>
      </c>
      <c r="K912" s="45">
        <f>IFERROR(__xludf.DUMMYFUNCTION("""COMPUTED_VALUE"""),"LW2CRHS-071150")</f>
        <v/>
      </c>
      <c r="L912" s="45">
        <f>IFERROR(__xludf.DUMMYFUNCTION("""COMPUTED_VALUE"""),20)</f>
        <v/>
      </c>
      <c r="M912" s="45">
        <f>IFERROR(__xludf.DUMMYFUNCTION("""COMPUTED_VALUE"""),1164)</f>
        <v/>
      </c>
      <c r="N912" s="45">
        <f>IFERROR(__xludf.DUMMYFUNCTION("""COMPUTED_VALUE"""),137.691)</f>
        <v/>
      </c>
      <c r="O912" s="45">
        <f>IFERROR(__xludf.DUMMYFUNCTION("""COMPUTED_VALUE"""),1.537)</f>
        <v/>
      </c>
      <c r="P912" s="45">
        <f>IFERROR(__xludf.DUMMYFUNCTION("""COMPUTED_VALUE"""),"Colombo, LK")</f>
        <v/>
      </c>
      <c r="Q912" s="45">
        <f>IFERROR(__xludf.DUMMYFUNCTION("""COMPUTED_VALUE"""),"New York, NY, US")</f>
        <v/>
      </c>
      <c r="R912" s="44">
        <f>IFERROR(__xludf.DUMMYFUNCTION("""COMPUTED_VALUE"""),45838)</f>
        <v/>
      </c>
      <c r="S912" s="44">
        <f>IFERROR(__xludf.DUMMYFUNCTION("""COMPUTED_VALUE"""),45897)</f>
        <v/>
      </c>
      <c r="T912" s="45">
        <f>IFERROR(__xludf.DUMMYFUNCTION("""COMPUTED_VALUE"""),"Mississauga, ON, CA")</f>
        <v/>
      </c>
      <c r="U912" s="45" t="n"/>
      <c r="V912" s="45" t="n"/>
      <c r="W912" s="45" t="n"/>
      <c r="X912" s="45" t="n"/>
      <c r="Y912" s="46">
        <f>IFERROR(__xludf.DUMMYFUNCTION("""COMPUTED_VALUE"""),45845)</f>
        <v/>
      </c>
      <c r="Z912" s="46">
        <f>IFERROR(__xludf.DUMMYFUNCTION("""COMPUTED_VALUE"""),45866)</f>
        <v/>
      </c>
      <c r="AA912" s="46">
        <f>IFERROR(__xludf.DUMMYFUNCTION("""COMPUTED_VALUE"""),45866)</f>
        <v/>
      </c>
      <c r="AB912" s="45">
        <f>IFERROR(__xludf.DUMMYFUNCTION("""COMPUTED_VALUE"""),"3500 Argentia Road")</f>
        <v/>
      </c>
      <c r="AC912" s="45" t="n"/>
      <c r="AD912" s="45">
        <f>IFERROR(__xludf.DUMMYFUNCTION("""COMPUTED_VALUE"""),"OCEAN")</f>
        <v/>
      </c>
      <c r="AE912" s="45">
        <f>IFERROR(__xludf.DUMMYFUNCTION("""COMPUTED_VALUE"""),"N")</f>
        <v/>
      </c>
      <c r="AF912" s="45">
        <f>IFERROR(__xludf.DUMMYFUNCTION("""COMPUTED_VALUE"""),"New Booking")</f>
        <v/>
      </c>
      <c r="AG912" s="49">
        <f>IFERROR(__xludf.DUMMYFUNCTION("IFNA(vlookup(H912,IMPORTRANGE(""1vUGwO1n0QQGx9kKbO0_M5gmuhXZ6-LaxQxgrmJnzgP0"",""'TP# look up'!A:C""),3,0),"""")"),"")</f>
        <v/>
      </c>
      <c r="AH912" s="49">
        <f>LEFT(J912,2)</f>
        <v/>
      </c>
    </row>
    <row r="913" ht="12.75" customHeight="1">
      <c r="A913" s="45">
        <f>IFERROR(__xludf.DUMMYFUNCTION("""COMPUTED_VALUE"""),"Colombo")</f>
        <v/>
      </c>
      <c r="B913" s="45" t="n"/>
      <c r="C913" s="45">
        <f>IFERROR(__xludf.DUMMYFUNCTION("""COMPUTED_VALUE"""),3259528)</f>
        <v/>
      </c>
      <c r="D913" s="45" t="n"/>
      <c r="E913" s="45">
        <f>IFERROR(__xludf.DUMMYFUNCTION("""COMPUTED_VALUE"""),"CFS")</f>
        <v/>
      </c>
      <c r="F913" s="45">
        <f>IFERROR(__xludf.DUMMYFUNCTION("""COMPUTED_VALUE"""),"Bodyline Trading (Private) Limited")</f>
        <v/>
      </c>
      <c r="G913" s="45">
        <f>IFERROR(__xludf.DUMMYFUNCTION("""COMPUTED_VALUE"""),"Bodyline (Private) Limited")</f>
        <v/>
      </c>
      <c r="H913" s="43">
        <f>IFERROR(__xludf.DUMMYFUNCTION("""COMPUTED_VALUE"""),456442947945)</f>
        <v/>
      </c>
      <c r="I913" s="45">
        <f>IFERROR(__xludf.DUMMYFUNCTION("""COMPUTED_VALUE"""),19878610)</f>
        <v/>
      </c>
      <c r="J913" s="45">
        <f>IFERROR(__xludf.DUMMYFUNCTION("""COMPUTED_VALUE"""),"LW2DQ0S")</f>
        <v/>
      </c>
      <c r="K913" s="45">
        <f>IFERROR(__xludf.DUMMYFUNCTION("""COMPUTED_VALUE"""),"LW2DQ0S-041179")</f>
        <v/>
      </c>
      <c r="L913" s="45">
        <f>IFERROR(__xludf.DUMMYFUNCTION("""COMPUTED_VALUE"""),3)</f>
        <v/>
      </c>
      <c r="M913" s="45">
        <f>IFERROR(__xludf.DUMMYFUNCTION("""COMPUTED_VALUE"""),131)</f>
        <v/>
      </c>
      <c r="N913" s="45">
        <f>IFERROR(__xludf.DUMMYFUNCTION("""COMPUTED_VALUE"""),16.088)</f>
        <v/>
      </c>
      <c r="O913" s="45">
        <f>IFERROR(__xludf.DUMMYFUNCTION("""COMPUTED_VALUE"""),0.205)</f>
        <v/>
      </c>
      <c r="P913" s="45">
        <f>IFERROR(__xludf.DUMMYFUNCTION("""COMPUTED_VALUE"""),"Colombo, LK")</f>
        <v/>
      </c>
      <c r="Q913" s="45">
        <f>IFERROR(__xludf.DUMMYFUNCTION("""COMPUTED_VALUE"""),"New York, NY, US")</f>
        <v/>
      </c>
      <c r="R913" s="44">
        <f>IFERROR(__xludf.DUMMYFUNCTION("""COMPUTED_VALUE"""),45838)</f>
        <v/>
      </c>
      <c r="S913" s="44">
        <f>IFERROR(__xludf.DUMMYFUNCTION("""COMPUTED_VALUE"""),45897)</f>
        <v/>
      </c>
      <c r="T913" s="45">
        <f>IFERROR(__xludf.DUMMYFUNCTION("""COMPUTED_VALUE"""),"Mississauga, ON, CA")</f>
        <v/>
      </c>
      <c r="U913" s="45" t="n"/>
      <c r="V913" s="45" t="n"/>
      <c r="W913" s="45" t="n"/>
      <c r="X913" s="45" t="n"/>
      <c r="Y913" s="46">
        <f>IFERROR(__xludf.DUMMYFUNCTION("""COMPUTED_VALUE"""),45845)</f>
        <v/>
      </c>
      <c r="Z913" s="46">
        <f>IFERROR(__xludf.DUMMYFUNCTION("""COMPUTED_VALUE"""),45866)</f>
        <v/>
      </c>
      <c r="AA913" s="46">
        <f>IFERROR(__xludf.DUMMYFUNCTION("""COMPUTED_VALUE"""),45866)</f>
        <v/>
      </c>
      <c r="AB913" s="45">
        <f>IFERROR(__xludf.DUMMYFUNCTION("""COMPUTED_VALUE"""),"3500 Argentia Road")</f>
        <v/>
      </c>
      <c r="AC913" s="45" t="n"/>
      <c r="AD913" s="45">
        <f>IFERROR(__xludf.DUMMYFUNCTION("""COMPUTED_VALUE"""),"OCEAN")</f>
        <v/>
      </c>
      <c r="AE913" s="45">
        <f>IFERROR(__xludf.DUMMYFUNCTION("""COMPUTED_VALUE"""),"N")</f>
        <v/>
      </c>
      <c r="AF913" s="45">
        <f>IFERROR(__xludf.DUMMYFUNCTION("""COMPUTED_VALUE"""),"New Booking")</f>
        <v/>
      </c>
      <c r="AG913" s="49">
        <f>IFERROR(__xludf.DUMMYFUNCTION("IFNA(vlookup(H913,IMPORTRANGE(""1vUGwO1n0QQGx9kKbO0_M5gmuhXZ6-LaxQxgrmJnzgP0"",""'TP# look up'!A:C""),3,0),"""")"),"")</f>
        <v/>
      </c>
      <c r="AH913" s="49">
        <f>LEFT(J913,2)</f>
        <v/>
      </c>
    </row>
    <row r="914" ht="12.75" customHeight="1">
      <c r="A914" s="45">
        <f>IFERROR(__xludf.DUMMYFUNCTION("""COMPUTED_VALUE"""),"Colombo")</f>
        <v/>
      </c>
      <c r="B914" s="45" t="n"/>
      <c r="C914" s="45">
        <f>IFERROR(__xludf.DUMMYFUNCTION("""COMPUTED_VALUE"""),3259528)</f>
        <v/>
      </c>
      <c r="D914" s="45" t="n"/>
      <c r="E914" s="45">
        <f>IFERROR(__xludf.DUMMYFUNCTION("""COMPUTED_VALUE"""),"CFS")</f>
        <v/>
      </c>
      <c r="F914" s="45">
        <f>IFERROR(__xludf.DUMMYFUNCTION("""COMPUTED_VALUE"""),"Bodyline Trading (Private) Limited")</f>
        <v/>
      </c>
      <c r="G914" s="45">
        <f>IFERROR(__xludf.DUMMYFUNCTION("""COMPUTED_VALUE"""),"Bodyline (Private) Limited")</f>
        <v/>
      </c>
      <c r="H914" s="43">
        <f>IFERROR(__xludf.DUMMYFUNCTION("""COMPUTED_VALUE"""),456444203530)</f>
        <v/>
      </c>
      <c r="I914" s="45">
        <f>IFERROR(__xludf.DUMMYFUNCTION("""COMPUTED_VALUE"""),19878828)</f>
        <v/>
      </c>
      <c r="J914" s="45">
        <f>IFERROR(__xludf.DUMMYFUNCTION("""COMPUTED_VALUE"""),"LW2DQ0S")</f>
        <v/>
      </c>
      <c r="K914" s="45">
        <f>IFERROR(__xludf.DUMMYFUNCTION("""COMPUTED_VALUE"""),"LW2DQ0S-041179")</f>
        <v/>
      </c>
      <c r="L914" s="45">
        <f>IFERROR(__xludf.DUMMYFUNCTION("""COMPUTED_VALUE"""),6)</f>
        <v/>
      </c>
      <c r="M914" s="45">
        <f>IFERROR(__xludf.DUMMYFUNCTION("""COMPUTED_VALUE"""),287)</f>
        <v/>
      </c>
      <c r="N914" s="45">
        <f>IFERROR(__xludf.DUMMYFUNCTION("""COMPUTED_VALUE"""),34.647)</f>
        <v/>
      </c>
      <c r="O914" s="45">
        <f>IFERROR(__xludf.DUMMYFUNCTION("""COMPUTED_VALUE"""),0.447)</f>
        <v/>
      </c>
      <c r="P914" s="45">
        <f>IFERROR(__xludf.DUMMYFUNCTION("""COMPUTED_VALUE"""),"Colombo, LK")</f>
        <v/>
      </c>
      <c r="Q914" s="45">
        <f>IFERROR(__xludf.DUMMYFUNCTION("""COMPUTED_VALUE"""),"New York, NY, US")</f>
        <v/>
      </c>
      <c r="R914" s="44">
        <f>IFERROR(__xludf.DUMMYFUNCTION("""COMPUTED_VALUE"""),45838)</f>
        <v/>
      </c>
      <c r="S914" s="44">
        <f>IFERROR(__xludf.DUMMYFUNCTION("""COMPUTED_VALUE"""),45897)</f>
        <v/>
      </c>
      <c r="T914" s="45">
        <f>IFERROR(__xludf.DUMMYFUNCTION("""COMPUTED_VALUE"""),"Mississauga, ON, CA")</f>
        <v/>
      </c>
      <c r="U914" s="45" t="n"/>
      <c r="V914" s="45" t="n"/>
      <c r="W914" s="45" t="n"/>
      <c r="X914" s="45" t="n"/>
      <c r="Y914" s="46">
        <f>IFERROR(__xludf.DUMMYFUNCTION("""COMPUTED_VALUE"""),45845)</f>
        <v/>
      </c>
      <c r="Z914" s="46">
        <f>IFERROR(__xludf.DUMMYFUNCTION("""COMPUTED_VALUE"""),45866)</f>
        <v/>
      </c>
      <c r="AA914" s="46">
        <f>IFERROR(__xludf.DUMMYFUNCTION("""COMPUTED_VALUE"""),45866)</f>
        <v/>
      </c>
      <c r="AB914" s="45">
        <f>IFERROR(__xludf.DUMMYFUNCTION("""COMPUTED_VALUE"""),"3500 Argentia Road")</f>
        <v/>
      </c>
      <c r="AC914" s="45" t="n"/>
      <c r="AD914" s="45">
        <f>IFERROR(__xludf.DUMMYFUNCTION("""COMPUTED_VALUE"""),"OCEAN")</f>
        <v/>
      </c>
      <c r="AE914" s="45">
        <f>IFERROR(__xludf.DUMMYFUNCTION("""COMPUTED_VALUE"""),"N")</f>
        <v/>
      </c>
      <c r="AF914" s="45">
        <f>IFERROR(__xludf.DUMMYFUNCTION("""COMPUTED_VALUE"""),"New Booking")</f>
        <v/>
      </c>
      <c r="AG914" s="49">
        <f>IFERROR(__xludf.DUMMYFUNCTION("IFNA(vlookup(H914,IMPORTRANGE(""1vUGwO1n0QQGx9kKbO0_M5gmuhXZ6-LaxQxgrmJnzgP0"",""'TP# look up'!A:C""),3,0),"""")"),"")</f>
        <v/>
      </c>
      <c r="AH914" s="49">
        <f>LEFT(J914,2)</f>
        <v/>
      </c>
    </row>
    <row r="915" ht="12.75" customHeight="1">
      <c r="A915" s="45">
        <f>IFERROR(__xludf.DUMMYFUNCTION("""COMPUTED_VALUE"""),"Colombo")</f>
        <v/>
      </c>
      <c r="B915" s="45" t="n"/>
      <c r="C915" s="45">
        <f>IFERROR(__xludf.DUMMYFUNCTION("""COMPUTED_VALUE"""),3259528)</f>
        <v/>
      </c>
      <c r="D915" s="45" t="n"/>
      <c r="E915" s="45">
        <f>IFERROR(__xludf.DUMMYFUNCTION("""COMPUTED_VALUE"""),"CFS")</f>
        <v/>
      </c>
      <c r="F915" s="45">
        <f>IFERROR(__xludf.DUMMYFUNCTION("""COMPUTED_VALUE"""),"Inqube Global (PVT) Ltd")</f>
        <v/>
      </c>
      <c r="G915" s="45">
        <f>IFERROR(__xludf.DUMMYFUNCTION("""COMPUTED_VALUE"""),"BRANDIX APPAREL SOLUTION LTD - GIRITALE")</f>
        <v/>
      </c>
      <c r="H915" s="43">
        <f>IFERROR(__xludf.DUMMYFUNCTION("""COMPUTED_VALUE"""),456554138302)</f>
        <v/>
      </c>
      <c r="I915" s="45">
        <f>IFERROR(__xludf.DUMMYFUNCTION("""COMPUTED_VALUE"""),19855836)</f>
        <v/>
      </c>
      <c r="J915" s="45">
        <f>IFERROR(__xludf.DUMMYFUNCTION("""COMPUTED_VALUE"""),"LM5BL3S")</f>
        <v/>
      </c>
      <c r="K915" s="45">
        <f>IFERROR(__xludf.DUMMYFUNCTION("""COMPUTED_VALUE"""),"LM5BL3S-071148")</f>
        <v/>
      </c>
      <c r="L915" s="45">
        <f>IFERROR(__xludf.DUMMYFUNCTION("""COMPUTED_VALUE"""),8)</f>
        <v/>
      </c>
      <c r="M915" s="45">
        <f>IFERROR(__xludf.DUMMYFUNCTION("""COMPUTED_VALUE"""),240)</f>
        <v/>
      </c>
      <c r="N915" s="45">
        <f>IFERROR(__xludf.DUMMYFUNCTION("""COMPUTED_VALUE"""),96.86)</f>
        <v/>
      </c>
      <c r="O915" s="45">
        <f>IFERROR(__xludf.DUMMYFUNCTION("""COMPUTED_VALUE"""),0.66)</f>
        <v/>
      </c>
      <c r="P915" s="45">
        <f>IFERROR(__xludf.DUMMYFUNCTION("""COMPUTED_VALUE"""),"Colombo, LK")</f>
        <v/>
      </c>
      <c r="Q915" s="45">
        <f>IFERROR(__xludf.DUMMYFUNCTION("""COMPUTED_VALUE"""),"New York, NY, US")</f>
        <v/>
      </c>
      <c r="R915" s="44">
        <f>IFERROR(__xludf.DUMMYFUNCTION("""COMPUTED_VALUE"""),45838)</f>
        <v/>
      </c>
      <c r="S915" s="44">
        <f>IFERROR(__xludf.DUMMYFUNCTION("""COMPUTED_VALUE"""),45897)</f>
        <v/>
      </c>
      <c r="T915" s="45">
        <f>IFERROR(__xludf.DUMMYFUNCTION("""COMPUTED_VALUE"""),"Milton, ON, CA")</f>
        <v/>
      </c>
      <c r="U915" s="45" t="n"/>
      <c r="V915" s="45" t="n"/>
      <c r="W915" s="45" t="n"/>
      <c r="X915" s="45" t="n"/>
      <c r="Y915" s="46">
        <f>IFERROR(__xludf.DUMMYFUNCTION("""COMPUTED_VALUE"""),45845)</f>
        <v/>
      </c>
      <c r="Z915" s="46">
        <f>IFERROR(__xludf.DUMMYFUNCTION("""COMPUTED_VALUE"""),45866)</f>
        <v/>
      </c>
      <c r="AA915" s="46">
        <f>IFERROR(__xludf.DUMMYFUNCTION("""COMPUTED_VALUE"""),45866)</f>
        <v/>
      </c>
      <c r="AB915" s="45">
        <f>IFERROR(__xludf.DUMMYFUNCTION("""COMPUTED_VALUE"""),"7211 Fifth Line")</f>
        <v/>
      </c>
      <c r="AC915" s="45" t="n"/>
      <c r="AD915" s="45">
        <f>IFERROR(__xludf.DUMMYFUNCTION("""COMPUTED_VALUE"""),"OCEAN")</f>
        <v/>
      </c>
      <c r="AE915" s="45">
        <f>IFERROR(__xludf.DUMMYFUNCTION("""COMPUTED_VALUE"""),"N")</f>
        <v/>
      </c>
      <c r="AF915" s="45">
        <f>IFERROR(__xludf.DUMMYFUNCTION("""COMPUTED_VALUE"""),"New Booking")</f>
        <v/>
      </c>
      <c r="AG915" s="49">
        <f>IFERROR(__xludf.DUMMYFUNCTION("IFNA(vlookup(H915,IMPORTRANGE(""1vUGwO1n0QQGx9kKbO0_M5gmuhXZ6-LaxQxgrmJnzgP0"",""'TP# look up'!A:C""),3,0),"""")"),"")</f>
        <v/>
      </c>
      <c r="AH915" s="49">
        <f>LEFT(J915,2)</f>
        <v/>
      </c>
    </row>
    <row r="916" ht="12.75" customHeight="1">
      <c r="A916" s="45">
        <f>IFERROR(__xludf.DUMMYFUNCTION("""COMPUTED_VALUE"""),"Colombo")</f>
        <v/>
      </c>
      <c r="B916" s="45" t="n"/>
      <c r="C916" s="45">
        <f>IFERROR(__xludf.DUMMYFUNCTION("""COMPUTED_VALUE"""),3259528)</f>
        <v/>
      </c>
      <c r="D916" s="45" t="n"/>
      <c r="E916" s="45">
        <f>IFERROR(__xludf.DUMMYFUNCTION("""COMPUTED_VALUE"""),"CFS")</f>
        <v/>
      </c>
      <c r="F916" s="45">
        <f>IFERROR(__xludf.DUMMYFUNCTION("""COMPUTED_VALUE"""),"Inqube Global (PVT) Ltd")</f>
        <v/>
      </c>
      <c r="G916" s="45">
        <f>IFERROR(__xludf.DUMMYFUNCTION("""COMPUTED_VALUE"""),"BRANDIX APPAREL SOLUTION LTD - GIRITALE")</f>
        <v/>
      </c>
      <c r="H916" s="43">
        <f>IFERROR(__xludf.DUMMYFUNCTION("""COMPUTED_VALUE"""),456554901324)</f>
        <v/>
      </c>
      <c r="I916" s="45">
        <f>IFERROR(__xludf.DUMMYFUNCTION("""COMPUTED_VALUE"""),19855837)</f>
        <v/>
      </c>
      <c r="J916" s="45">
        <f>IFERROR(__xludf.DUMMYFUNCTION("""COMPUTED_VALUE"""),"LM5BL3S")</f>
        <v/>
      </c>
      <c r="K916" s="45">
        <f>IFERROR(__xludf.DUMMYFUNCTION("""COMPUTED_VALUE"""),"LM5BL3S-071148")</f>
        <v/>
      </c>
      <c r="L916" s="45">
        <f>IFERROR(__xludf.DUMMYFUNCTION("""COMPUTED_VALUE"""),5)</f>
        <v/>
      </c>
      <c r="M916" s="45">
        <f>IFERROR(__xludf.DUMMYFUNCTION("""COMPUTED_VALUE"""),91)</f>
        <v/>
      </c>
      <c r="N916" s="45">
        <f>IFERROR(__xludf.DUMMYFUNCTION("""COMPUTED_VALUE"""),38.52)</f>
        <v/>
      </c>
      <c r="O916" s="45">
        <f>IFERROR(__xludf.DUMMYFUNCTION("""COMPUTED_VALUE"""),0.373)</f>
        <v/>
      </c>
      <c r="P916" s="45">
        <f>IFERROR(__xludf.DUMMYFUNCTION("""COMPUTED_VALUE"""),"Colombo, LK")</f>
        <v/>
      </c>
      <c r="Q916" s="45">
        <f>IFERROR(__xludf.DUMMYFUNCTION("""COMPUTED_VALUE"""),"New York, NY, US")</f>
        <v/>
      </c>
      <c r="R916" s="44">
        <f>IFERROR(__xludf.DUMMYFUNCTION("""COMPUTED_VALUE"""),45838)</f>
        <v/>
      </c>
      <c r="S916" s="44">
        <f>IFERROR(__xludf.DUMMYFUNCTION("""COMPUTED_VALUE"""),45897)</f>
        <v/>
      </c>
      <c r="T916" s="45">
        <f>IFERROR(__xludf.DUMMYFUNCTION("""COMPUTED_VALUE"""),"Milton, ON, CA")</f>
        <v/>
      </c>
      <c r="U916" s="45" t="n"/>
      <c r="V916" s="45" t="n"/>
      <c r="W916" s="45" t="n"/>
      <c r="X916" s="45" t="n"/>
      <c r="Y916" s="46">
        <f>IFERROR(__xludf.DUMMYFUNCTION("""COMPUTED_VALUE"""),45845)</f>
        <v/>
      </c>
      <c r="Z916" s="46">
        <f>IFERROR(__xludf.DUMMYFUNCTION("""COMPUTED_VALUE"""),45866)</f>
        <v/>
      </c>
      <c r="AA916" s="46">
        <f>IFERROR(__xludf.DUMMYFUNCTION("""COMPUTED_VALUE"""),45866)</f>
        <v/>
      </c>
      <c r="AB916" s="45">
        <f>IFERROR(__xludf.DUMMYFUNCTION("""COMPUTED_VALUE"""),"7211 Fifth Line")</f>
        <v/>
      </c>
      <c r="AC916" s="45" t="n"/>
      <c r="AD916" s="45">
        <f>IFERROR(__xludf.DUMMYFUNCTION("""COMPUTED_VALUE"""),"OCEAN")</f>
        <v/>
      </c>
      <c r="AE916" s="45">
        <f>IFERROR(__xludf.DUMMYFUNCTION("""COMPUTED_VALUE"""),"N")</f>
        <v/>
      </c>
      <c r="AF916" s="45">
        <f>IFERROR(__xludf.DUMMYFUNCTION("""COMPUTED_VALUE"""),"New Booking")</f>
        <v/>
      </c>
      <c r="AG916" s="49">
        <f>IFERROR(__xludf.DUMMYFUNCTION("IFNA(vlookup(H916,IMPORTRANGE(""1vUGwO1n0QQGx9kKbO0_M5gmuhXZ6-LaxQxgrmJnzgP0"",""'TP# look up'!A:C""),3,0),"""")"),"")</f>
        <v/>
      </c>
      <c r="AH916" s="49">
        <f>LEFT(J916,2)</f>
        <v/>
      </c>
    </row>
    <row r="917" ht="12.75" customHeight="1">
      <c r="A917" s="45">
        <f>IFERROR(__xludf.DUMMYFUNCTION("""COMPUTED_VALUE"""),"Colombo")</f>
        <v/>
      </c>
      <c r="B917" s="45" t="n"/>
      <c r="C917" s="45">
        <f>IFERROR(__xludf.DUMMYFUNCTION("""COMPUTED_VALUE"""),3259528)</f>
        <v/>
      </c>
      <c r="D917" s="45" t="n"/>
      <c r="E917" s="45">
        <f>IFERROR(__xludf.DUMMYFUNCTION("""COMPUTED_VALUE"""),"CFS")</f>
        <v/>
      </c>
      <c r="F917" s="45">
        <f>IFERROR(__xludf.DUMMYFUNCTION("""COMPUTED_VALUE"""),"Inqube Global (PVT) Ltd")</f>
        <v/>
      </c>
      <c r="G917" s="45">
        <f>IFERROR(__xludf.DUMMYFUNCTION("""COMPUTED_VALUE"""),"BRANDIX APPAREL SOLUTION LTD - GIRITALE")</f>
        <v/>
      </c>
      <c r="H917" s="43">
        <f>IFERROR(__xludf.DUMMYFUNCTION("""COMPUTED_VALUE"""),456555144282)</f>
        <v/>
      </c>
      <c r="I917" s="45">
        <f>IFERROR(__xludf.DUMMYFUNCTION("""COMPUTED_VALUE"""),19855842)</f>
        <v/>
      </c>
      <c r="J917" s="45">
        <f>IFERROR(__xludf.DUMMYFUNCTION("""COMPUTED_VALUE"""),"LM5BL3S")</f>
        <v/>
      </c>
      <c r="K917" s="45">
        <f>IFERROR(__xludf.DUMMYFUNCTION("""COMPUTED_VALUE"""),"LM5BL3S-071148")</f>
        <v/>
      </c>
      <c r="L917" s="45">
        <f>IFERROR(__xludf.DUMMYFUNCTION("""COMPUTED_VALUE"""),2)</f>
        <v/>
      </c>
      <c r="M917" s="45">
        <f>IFERROR(__xludf.DUMMYFUNCTION("""COMPUTED_VALUE"""),40)</f>
        <v/>
      </c>
      <c r="N917" s="45">
        <f>IFERROR(__xludf.DUMMYFUNCTION("""COMPUTED_VALUE"""),16.39)</f>
        <v/>
      </c>
      <c r="O917" s="45">
        <f>IFERROR(__xludf.DUMMYFUNCTION("""COMPUTED_VALUE"""),0.125)</f>
        <v/>
      </c>
      <c r="P917" s="45">
        <f>IFERROR(__xludf.DUMMYFUNCTION("""COMPUTED_VALUE"""),"Colombo, LK")</f>
        <v/>
      </c>
      <c r="Q917" s="45">
        <f>IFERROR(__xludf.DUMMYFUNCTION("""COMPUTED_VALUE"""),"New York, NY, US")</f>
        <v/>
      </c>
      <c r="R917" s="44">
        <f>IFERROR(__xludf.DUMMYFUNCTION("""COMPUTED_VALUE"""),45838)</f>
        <v/>
      </c>
      <c r="S917" s="44">
        <f>IFERROR(__xludf.DUMMYFUNCTION("""COMPUTED_VALUE"""),45897)</f>
        <v/>
      </c>
      <c r="T917" s="45">
        <f>IFERROR(__xludf.DUMMYFUNCTION("""COMPUTED_VALUE"""),"Mississauga, ON, CA")</f>
        <v/>
      </c>
      <c r="U917" s="45" t="n"/>
      <c r="V917" s="45" t="n"/>
      <c r="W917" s="45" t="n"/>
      <c r="X917" s="45" t="n"/>
      <c r="Y917" s="46">
        <f>IFERROR(__xludf.DUMMYFUNCTION("""COMPUTED_VALUE"""),45845)</f>
        <v/>
      </c>
      <c r="Z917" s="46">
        <f>IFERROR(__xludf.DUMMYFUNCTION("""COMPUTED_VALUE"""),45866)</f>
        <v/>
      </c>
      <c r="AA917" s="46">
        <f>IFERROR(__xludf.DUMMYFUNCTION("""COMPUTED_VALUE"""),45866)</f>
        <v/>
      </c>
      <c r="AB917" s="45">
        <f>IFERROR(__xludf.DUMMYFUNCTION("""COMPUTED_VALUE"""),"3500 Argentia Road")</f>
        <v/>
      </c>
      <c r="AC917" s="45" t="n"/>
      <c r="AD917" s="45">
        <f>IFERROR(__xludf.DUMMYFUNCTION("""COMPUTED_VALUE"""),"OCEAN")</f>
        <v/>
      </c>
      <c r="AE917" s="45">
        <f>IFERROR(__xludf.DUMMYFUNCTION("""COMPUTED_VALUE"""),"N")</f>
        <v/>
      </c>
      <c r="AF917" s="45">
        <f>IFERROR(__xludf.DUMMYFUNCTION("""COMPUTED_VALUE"""),"New Booking")</f>
        <v/>
      </c>
      <c r="AG917" s="49">
        <f>IFERROR(__xludf.DUMMYFUNCTION("IFNA(vlookup(H917,IMPORTRANGE(""1vUGwO1n0QQGx9kKbO0_M5gmuhXZ6-LaxQxgrmJnzgP0"",""'TP# look up'!A:C""),3,0),"""")"),"")</f>
        <v/>
      </c>
      <c r="AH917" s="49">
        <f>LEFT(J917,2)</f>
        <v/>
      </c>
    </row>
    <row r="918" ht="12.75" customHeight="1">
      <c r="A918" s="45">
        <f>IFERROR(__xludf.DUMMYFUNCTION("""COMPUTED_VALUE"""),"Colombo")</f>
        <v/>
      </c>
      <c r="B918" s="45" t="n"/>
      <c r="C918" s="45">
        <f>IFERROR(__xludf.DUMMYFUNCTION("""COMPUTED_VALUE"""),3259528)</f>
        <v/>
      </c>
      <c r="D918" s="45" t="n"/>
      <c r="E918" s="45">
        <f>IFERROR(__xludf.DUMMYFUNCTION("""COMPUTED_VALUE"""),"CFS")</f>
        <v/>
      </c>
      <c r="F918" s="45">
        <f>IFERROR(__xludf.DUMMYFUNCTION("""COMPUTED_VALUE"""),"Inqube Global (PVT) Ltd")</f>
        <v/>
      </c>
      <c r="G918" s="45">
        <f>IFERROR(__xludf.DUMMYFUNCTION("""COMPUTED_VALUE"""),"BRANDIX APPAREL SOLUTION LTD - GIRITALE")</f>
        <v/>
      </c>
      <c r="H918" s="43">
        <f>IFERROR(__xludf.DUMMYFUNCTION("""COMPUTED_VALUE"""),456556700071)</f>
        <v/>
      </c>
      <c r="I918" s="45">
        <f>IFERROR(__xludf.DUMMYFUNCTION("""COMPUTED_VALUE"""),19855843)</f>
        <v/>
      </c>
      <c r="J918" s="45">
        <f>IFERROR(__xludf.DUMMYFUNCTION("""COMPUTED_VALUE"""),"LM5BL3S")</f>
        <v/>
      </c>
      <c r="K918" s="45">
        <f>IFERROR(__xludf.DUMMYFUNCTION("""COMPUTED_VALUE"""),"LM5BL3S-071148")</f>
        <v/>
      </c>
      <c r="L918" s="45">
        <f>IFERROR(__xludf.DUMMYFUNCTION("""COMPUTED_VALUE"""),4)</f>
        <v/>
      </c>
      <c r="M918" s="45">
        <f>IFERROR(__xludf.DUMMYFUNCTION("""COMPUTED_VALUE"""),61)</f>
        <v/>
      </c>
      <c r="N918" s="45">
        <f>IFERROR(__xludf.DUMMYFUNCTION("""COMPUTED_VALUE"""),25.65)</f>
        <v/>
      </c>
      <c r="O918" s="45">
        <f>IFERROR(__xludf.DUMMYFUNCTION("""COMPUTED_VALUE"""),0.21)</f>
        <v/>
      </c>
      <c r="P918" s="45">
        <f>IFERROR(__xludf.DUMMYFUNCTION("""COMPUTED_VALUE"""),"Colombo, LK")</f>
        <v/>
      </c>
      <c r="Q918" s="45">
        <f>IFERROR(__xludf.DUMMYFUNCTION("""COMPUTED_VALUE"""),"New York, NY, US")</f>
        <v/>
      </c>
      <c r="R918" s="44">
        <f>IFERROR(__xludf.DUMMYFUNCTION("""COMPUTED_VALUE"""),45838)</f>
        <v/>
      </c>
      <c r="S918" s="44">
        <f>IFERROR(__xludf.DUMMYFUNCTION("""COMPUTED_VALUE"""),45897)</f>
        <v/>
      </c>
      <c r="T918" s="45">
        <f>IFERROR(__xludf.DUMMYFUNCTION("""COMPUTED_VALUE"""),"Mississauga, ON, CA")</f>
        <v/>
      </c>
      <c r="U918" s="45" t="n"/>
      <c r="V918" s="45" t="n"/>
      <c r="W918" s="45" t="n"/>
      <c r="X918" s="45" t="n"/>
      <c r="Y918" s="46">
        <f>IFERROR(__xludf.DUMMYFUNCTION("""COMPUTED_VALUE"""),45845)</f>
        <v/>
      </c>
      <c r="Z918" s="46">
        <f>IFERROR(__xludf.DUMMYFUNCTION("""COMPUTED_VALUE"""),45866)</f>
        <v/>
      </c>
      <c r="AA918" s="46">
        <f>IFERROR(__xludf.DUMMYFUNCTION("""COMPUTED_VALUE"""),45866)</f>
        <v/>
      </c>
      <c r="AB918" s="45">
        <f>IFERROR(__xludf.DUMMYFUNCTION("""COMPUTED_VALUE"""),"3500 Argentia Road")</f>
        <v/>
      </c>
      <c r="AC918" s="45" t="n"/>
      <c r="AD918" s="45">
        <f>IFERROR(__xludf.DUMMYFUNCTION("""COMPUTED_VALUE"""),"OCEAN")</f>
        <v/>
      </c>
      <c r="AE918" s="45">
        <f>IFERROR(__xludf.DUMMYFUNCTION("""COMPUTED_VALUE"""),"N")</f>
        <v/>
      </c>
      <c r="AF918" s="45">
        <f>IFERROR(__xludf.DUMMYFUNCTION("""COMPUTED_VALUE"""),"New Booking")</f>
        <v/>
      </c>
      <c r="AG918" s="49">
        <f>IFERROR(__xludf.DUMMYFUNCTION("IFNA(vlookup(H918,IMPORTRANGE(""1vUGwO1n0QQGx9kKbO0_M5gmuhXZ6-LaxQxgrmJnzgP0"",""'TP# look up'!A:C""),3,0),"""")"),"")</f>
        <v/>
      </c>
      <c r="AH918" s="49">
        <f>LEFT(J918,2)</f>
        <v/>
      </c>
    </row>
    <row r="919" ht="12.75" customHeight="1">
      <c r="A919" s="45">
        <f>IFERROR(__xludf.DUMMYFUNCTION("""COMPUTED_VALUE"""),"Colombo")</f>
        <v/>
      </c>
      <c r="B919" s="45" t="n"/>
      <c r="C919" s="45">
        <f>IFERROR(__xludf.DUMMYFUNCTION("""COMPUTED_VALUE"""),3259528)</f>
        <v/>
      </c>
      <c r="D919" s="45" t="n"/>
      <c r="E919" s="45">
        <f>IFERROR(__xludf.DUMMYFUNCTION("""COMPUTED_VALUE"""),"CFS")</f>
        <v/>
      </c>
      <c r="F919" s="45">
        <f>IFERROR(__xludf.DUMMYFUNCTION("""COMPUTED_VALUE"""),"Inqube Global (PVT) Ltd")</f>
        <v/>
      </c>
      <c r="G919" s="45">
        <f>IFERROR(__xludf.DUMMYFUNCTION("""COMPUTED_VALUE"""),"BRANDIX APPAREL SOLUTION LTD - GIRITALE")</f>
        <v/>
      </c>
      <c r="H919" s="43">
        <f>IFERROR(__xludf.DUMMYFUNCTION("""COMPUTED_VALUE"""),456632533604)</f>
        <v/>
      </c>
      <c r="I919" s="45">
        <f>IFERROR(__xludf.DUMMYFUNCTION("""COMPUTED_VALUE"""),19856579)</f>
        <v/>
      </c>
      <c r="J919" s="45">
        <f>IFERROR(__xludf.DUMMYFUNCTION("""COMPUTED_VALUE"""),"LM5BL3S")</f>
        <v/>
      </c>
      <c r="K919" s="45">
        <f>IFERROR(__xludf.DUMMYFUNCTION("""COMPUTED_VALUE"""),"LM5BL3S-071148")</f>
        <v/>
      </c>
      <c r="L919" s="45">
        <f>IFERROR(__xludf.DUMMYFUNCTION("""COMPUTED_VALUE"""),7)</f>
        <v/>
      </c>
      <c r="M919" s="45">
        <f>IFERROR(__xludf.DUMMYFUNCTION("""COMPUTED_VALUE"""),175)</f>
        <v/>
      </c>
      <c r="N919" s="45">
        <f>IFERROR(__xludf.DUMMYFUNCTION("""COMPUTED_VALUE"""),70.12)</f>
        <v/>
      </c>
      <c r="O919" s="45">
        <f>IFERROR(__xludf.DUMMYFUNCTION("""COMPUTED_VALUE"""),0.458)</f>
        <v/>
      </c>
      <c r="P919" s="45">
        <f>IFERROR(__xludf.DUMMYFUNCTION("""COMPUTED_VALUE"""),"Colombo, LK")</f>
        <v/>
      </c>
      <c r="Q919" s="45">
        <f>IFERROR(__xludf.DUMMYFUNCTION("""COMPUTED_VALUE"""),"New York, NY, US")</f>
        <v/>
      </c>
      <c r="R919" s="44">
        <f>IFERROR(__xludf.DUMMYFUNCTION("""COMPUTED_VALUE"""),45838)</f>
        <v/>
      </c>
      <c r="S919" s="44">
        <f>IFERROR(__xludf.DUMMYFUNCTION("""COMPUTED_VALUE"""),45897)</f>
        <v/>
      </c>
      <c r="T919" s="45">
        <f>IFERROR(__xludf.DUMMYFUNCTION("""COMPUTED_VALUE"""),"Mississauga, ON, CA")</f>
        <v/>
      </c>
      <c r="U919" s="45" t="n"/>
      <c r="V919" s="45" t="n"/>
      <c r="W919" s="45" t="n"/>
      <c r="X919" s="45" t="n"/>
      <c r="Y919" s="46">
        <f>IFERROR(__xludf.DUMMYFUNCTION("""COMPUTED_VALUE"""),45845)</f>
        <v/>
      </c>
      <c r="Z919" s="46">
        <f>IFERROR(__xludf.DUMMYFUNCTION("""COMPUTED_VALUE"""),45866)</f>
        <v/>
      </c>
      <c r="AA919" s="46">
        <f>IFERROR(__xludf.DUMMYFUNCTION("""COMPUTED_VALUE"""),45866)</f>
        <v/>
      </c>
      <c r="AB919" s="45">
        <f>IFERROR(__xludf.DUMMYFUNCTION("""COMPUTED_VALUE"""),"3500 Argentia Road")</f>
        <v/>
      </c>
      <c r="AC919" s="45" t="n"/>
      <c r="AD919" s="45">
        <f>IFERROR(__xludf.DUMMYFUNCTION("""COMPUTED_VALUE"""),"OCEAN")</f>
        <v/>
      </c>
      <c r="AE919" s="45">
        <f>IFERROR(__xludf.DUMMYFUNCTION("""COMPUTED_VALUE"""),"N")</f>
        <v/>
      </c>
      <c r="AF919" s="45">
        <f>IFERROR(__xludf.DUMMYFUNCTION("""COMPUTED_VALUE"""),"New Booking")</f>
        <v/>
      </c>
      <c r="AG919" s="49">
        <f>IFERROR(__xludf.DUMMYFUNCTION("IFNA(vlookup(H919,IMPORTRANGE(""1vUGwO1n0QQGx9kKbO0_M5gmuhXZ6-LaxQxgrmJnzgP0"",""'TP# look up'!A:C""),3,0),"""")"),"")</f>
        <v/>
      </c>
      <c r="AH919" s="49">
        <f>LEFT(J919,2)</f>
        <v/>
      </c>
    </row>
    <row r="920" ht="12.75" customHeight="1">
      <c r="A920" s="45">
        <f>IFERROR(__xludf.DUMMYFUNCTION("""COMPUTED_VALUE"""),"Colombo")</f>
        <v/>
      </c>
      <c r="B920" s="45" t="n"/>
      <c r="C920" s="45">
        <f>IFERROR(__xludf.DUMMYFUNCTION("""COMPUTED_VALUE"""),3259528)</f>
        <v/>
      </c>
      <c r="D920" s="45" t="n"/>
      <c r="E920" s="45">
        <f>IFERROR(__xludf.DUMMYFUNCTION("""COMPUTED_VALUE"""),"CFS")</f>
        <v/>
      </c>
      <c r="F920" s="45">
        <f>IFERROR(__xludf.DUMMYFUNCTION("""COMPUTED_VALUE"""),"Inqube Global (PVT) Ltd")</f>
        <v/>
      </c>
      <c r="G920" s="45">
        <f>IFERROR(__xludf.DUMMYFUNCTION("""COMPUTED_VALUE"""),"BRANDIX APPAREL SOLUTION LTD - GIRITALE")</f>
        <v/>
      </c>
      <c r="H920" s="43">
        <f>IFERROR(__xludf.DUMMYFUNCTION("""COMPUTED_VALUE"""),456633041844)</f>
        <v/>
      </c>
      <c r="I920" s="45">
        <f>IFERROR(__xludf.DUMMYFUNCTION("""COMPUTED_VALUE"""),19856583)</f>
        <v/>
      </c>
      <c r="J920" s="45">
        <f>IFERROR(__xludf.DUMMYFUNCTION("""COMPUTED_VALUE"""),"LM5BL3S")</f>
        <v/>
      </c>
      <c r="K920" s="45">
        <f>IFERROR(__xludf.DUMMYFUNCTION("""COMPUTED_VALUE"""),"LM5BL3S-071148")</f>
        <v/>
      </c>
      <c r="L920" s="45">
        <f>IFERROR(__xludf.DUMMYFUNCTION("""COMPUTED_VALUE"""),7)</f>
        <v/>
      </c>
      <c r="M920" s="45">
        <f>IFERROR(__xludf.DUMMYFUNCTION("""COMPUTED_VALUE"""),170)</f>
        <v/>
      </c>
      <c r="N920" s="45">
        <f>IFERROR(__xludf.DUMMYFUNCTION("""COMPUTED_VALUE"""),68.34)</f>
        <v/>
      </c>
      <c r="O920" s="45">
        <f>IFERROR(__xludf.DUMMYFUNCTION("""COMPUTED_VALUE"""),0.458)</f>
        <v/>
      </c>
      <c r="P920" s="45">
        <f>IFERROR(__xludf.DUMMYFUNCTION("""COMPUTED_VALUE"""),"Colombo, LK")</f>
        <v/>
      </c>
      <c r="Q920" s="45">
        <f>IFERROR(__xludf.DUMMYFUNCTION("""COMPUTED_VALUE"""),"New York, NY, US")</f>
        <v/>
      </c>
      <c r="R920" s="44">
        <f>IFERROR(__xludf.DUMMYFUNCTION("""COMPUTED_VALUE"""),45838)</f>
        <v/>
      </c>
      <c r="S920" s="44">
        <f>IFERROR(__xludf.DUMMYFUNCTION("""COMPUTED_VALUE"""),45897)</f>
        <v/>
      </c>
      <c r="T920" s="45">
        <f>IFERROR(__xludf.DUMMYFUNCTION("""COMPUTED_VALUE"""),"Mississauga, ON, CA")</f>
        <v/>
      </c>
      <c r="U920" s="45" t="n"/>
      <c r="V920" s="45" t="n"/>
      <c r="W920" s="45" t="n"/>
      <c r="X920" s="45" t="n"/>
      <c r="Y920" s="46">
        <f>IFERROR(__xludf.DUMMYFUNCTION("""COMPUTED_VALUE"""),45845)</f>
        <v/>
      </c>
      <c r="Z920" s="46">
        <f>IFERROR(__xludf.DUMMYFUNCTION("""COMPUTED_VALUE"""),45866)</f>
        <v/>
      </c>
      <c r="AA920" s="46">
        <f>IFERROR(__xludf.DUMMYFUNCTION("""COMPUTED_VALUE"""),45866)</f>
        <v/>
      </c>
      <c r="AB920" s="45">
        <f>IFERROR(__xludf.DUMMYFUNCTION("""COMPUTED_VALUE"""),"3500 Argentia Road")</f>
        <v/>
      </c>
      <c r="AC920" s="45" t="n"/>
      <c r="AD920" s="45">
        <f>IFERROR(__xludf.DUMMYFUNCTION("""COMPUTED_VALUE"""),"OCEAN")</f>
        <v/>
      </c>
      <c r="AE920" s="45">
        <f>IFERROR(__xludf.DUMMYFUNCTION("""COMPUTED_VALUE"""),"N")</f>
        <v/>
      </c>
      <c r="AF920" s="45">
        <f>IFERROR(__xludf.DUMMYFUNCTION("""COMPUTED_VALUE"""),"New Booking")</f>
        <v/>
      </c>
      <c r="AG920" s="49">
        <f>IFERROR(__xludf.DUMMYFUNCTION("IFNA(vlookup(H920,IMPORTRANGE(""1vUGwO1n0QQGx9kKbO0_M5gmuhXZ6-LaxQxgrmJnzgP0"",""'TP# look up'!A:C""),3,0),"""")"),"")</f>
        <v/>
      </c>
      <c r="AH920" s="49">
        <f>LEFT(J920,2)</f>
        <v/>
      </c>
    </row>
    <row r="921" ht="12.75" customHeight="1">
      <c r="A921" s="45">
        <f>IFERROR(__xludf.DUMMYFUNCTION("""COMPUTED_VALUE"""),"Colombo")</f>
        <v/>
      </c>
      <c r="B921" s="45" t="n"/>
      <c r="C921" s="45">
        <f>IFERROR(__xludf.DUMMYFUNCTION("""COMPUTED_VALUE"""),3259528)</f>
        <v/>
      </c>
      <c r="D921" s="45" t="n"/>
      <c r="E921" s="45">
        <f>IFERROR(__xludf.DUMMYFUNCTION("""COMPUTED_VALUE"""),"CFS")</f>
        <v/>
      </c>
      <c r="F921" s="45">
        <f>IFERROR(__xludf.DUMMYFUNCTION("""COMPUTED_VALUE"""),"Inqube Global (PVT) Ltd")</f>
        <v/>
      </c>
      <c r="G921" s="45">
        <f>IFERROR(__xludf.DUMMYFUNCTION("""COMPUTED_VALUE"""),"Brandix Apparel Solutions Limited - Minuwangoda")</f>
        <v/>
      </c>
      <c r="H921" s="43">
        <f>IFERROR(__xludf.DUMMYFUNCTION("""COMPUTED_VALUE"""),456593481002)</f>
        <v/>
      </c>
      <c r="I921" s="45">
        <f>IFERROR(__xludf.DUMMYFUNCTION("""COMPUTED_VALUE"""),19855056)</f>
        <v/>
      </c>
      <c r="J921" s="45">
        <f>IFERROR(__xludf.DUMMYFUNCTION("""COMPUTED_VALUE"""),"LW3ISOS")</f>
        <v/>
      </c>
      <c r="K921" s="45">
        <f>IFERROR(__xludf.DUMMYFUNCTION("""COMPUTED_VALUE"""),"LW3ISOS-020392")</f>
        <v/>
      </c>
      <c r="L921" s="45">
        <f>IFERROR(__xludf.DUMMYFUNCTION("""COMPUTED_VALUE"""),3)</f>
        <v/>
      </c>
      <c r="M921" s="45">
        <f>IFERROR(__xludf.DUMMYFUNCTION("""COMPUTED_VALUE"""),137)</f>
        <v/>
      </c>
      <c r="N921" s="45">
        <f>IFERROR(__xludf.DUMMYFUNCTION("""COMPUTED_VALUE"""),25.23)</f>
        <v/>
      </c>
      <c r="O921" s="45">
        <f>IFERROR(__xludf.DUMMYFUNCTION("""COMPUTED_VALUE"""),0.236)</f>
        <v/>
      </c>
      <c r="P921" s="45">
        <f>IFERROR(__xludf.DUMMYFUNCTION("""COMPUTED_VALUE"""),"Colombo, LK")</f>
        <v/>
      </c>
      <c r="Q921" s="45">
        <f>IFERROR(__xludf.DUMMYFUNCTION("""COMPUTED_VALUE"""),"New York, NY, US")</f>
        <v/>
      </c>
      <c r="R921" s="44">
        <f>IFERROR(__xludf.DUMMYFUNCTION("""COMPUTED_VALUE"""),45838)</f>
        <v/>
      </c>
      <c r="S921" s="44">
        <f>IFERROR(__xludf.DUMMYFUNCTION("""COMPUTED_VALUE"""),45897)</f>
        <v/>
      </c>
      <c r="T921" s="45">
        <f>IFERROR(__xludf.DUMMYFUNCTION("""COMPUTED_VALUE"""),"Mississauga, ON, CA")</f>
        <v/>
      </c>
      <c r="U921" s="45" t="n"/>
      <c r="V921" s="45" t="n"/>
      <c r="W921" s="45" t="n"/>
      <c r="X921" s="45" t="n"/>
      <c r="Y921" s="46">
        <f>IFERROR(__xludf.DUMMYFUNCTION("""COMPUTED_VALUE"""),45845)</f>
        <v/>
      </c>
      <c r="Z921" s="46">
        <f>IFERROR(__xludf.DUMMYFUNCTION("""COMPUTED_VALUE"""),45866)</f>
        <v/>
      </c>
      <c r="AA921" s="46">
        <f>IFERROR(__xludf.DUMMYFUNCTION("""COMPUTED_VALUE"""),45866)</f>
        <v/>
      </c>
      <c r="AB921" s="45">
        <f>IFERROR(__xludf.DUMMYFUNCTION("""COMPUTED_VALUE"""),"3500 Argentia Road")</f>
        <v/>
      </c>
      <c r="AC921" s="45" t="n"/>
      <c r="AD921" s="45">
        <f>IFERROR(__xludf.DUMMYFUNCTION("""COMPUTED_VALUE"""),"OCEAN")</f>
        <v/>
      </c>
      <c r="AE921" s="45">
        <f>IFERROR(__xludf.DUMMYFUNCTION("""COMPUTED_VALUE"""),"N")</f>
        <v/>
      </c>
      <c r="AF921" s="45">
        <f>IFERROR(__xludf.DUMMYFUNCTION("""COMPUTED_VALUE"""),"New Booking")</f>
        <v/>
      </c>
      <c r="AG921" s="49">
        <f>IFERROR(__xludf.DUMMYFUNCTION("IFNA(vlookup(H921,IMPORTRANGE(""1vUGwO1n0QQGx9kKbO0_M5gmuhXZ6-LaxQxgrmJnzgP0"",""'TP# look up'!A:C""),3,0),"""")"),"")</f>
        <v/>
      </c>
      <c r="AH921" s="49">
        <f>LEFT(J921,2)</f>
        <v/>
      </c>
    </row>
    <row r="922" ht="12.75" customHeight="1">
      <c r="A922" s="45">
        <f>IFERROR(__xludf.DUMMYFUNCTION("""COMPUTED_VALUE"""),"Colombo")</f>
        <v/>
      </c>
      <c r="B922" s="45" t="n"/>
      <c r="C922" s="45">
        <f>IFERROR(__xludf.DUMMYFUNCTION("""COMPUTED_VALUE"""),3259528)</f>
        <v/>
      </c>
      <c r="D922" s="45" t="n"/>
      <c r="E922" s="45">
        <f>IFERROR(__xludf.DUMMYFUNCTION("""COMPUTED_VALUE"""),"CFS")</f>
        <v/>
      </c>
      <c r="F922" s="45">
        <f>IFERROR(__xludf.DUMMYFUNCTION("""COMPUTED_VALUE"""),"Inqube Global (PVT) Ltd")</f>
        <v/>
      </c>
      <c r="G922" s="45">
        <f>IFERROR(__xludf.DUMMYFUNCTION("""COMPUTED_VALUE"""),"Brandix Apparel Solutions Limited - Minuwangoda")</f>
        <v/>
      </c>
      <c r="H922" s="43">
        <f>IFERROR(__xludf.DUMMYFUNCTION("""COMPUTED_VALUE"""),456595082140)</f>
        <v/>
      </c>
      <c r="I922" s="45">
        <f>IFERROR(__xludf.DUMMYFUNCTION("""COMPUTED_VALUE"""),19855152)</f>
        <v/>
      </c>
      <c r="J922" s="45">
        <f>IFERROR(__xludf.DUMMYFUNCTION("""COMPUTED_VALUE"""),"LW3ISOS")</f>
        <v/>
      </c>
      <c r="K922" s="45">
        <f>IFERROR(__xludf.DUMMYFUNCTION("""COMPUTED_VALUE"""),"LW3ISOS-020392")</f>
        <v/>
      </c>
      <c r="L922" s="45">
        <f>IFERROR(__xludf.DUMMYFUNCTION("""COMPUTED_VALUE"""),3)</f>
        <v/>
      </c>
      <c r="M922" s="45">
        <f>IFERROR(__xludf.DUMMYFUNCTION("""COMPUTED_VALUE"""),217)</f>
        <v/>
      </c>
      <c r="N922" s="45">
        <f>IFERROR(__xludf.DUMMYFUNCTION("""COMPUTED_VALUE"""),38.16)</f>
        <v/>
      </c>
      <c r="O922" s="45">
        <f>IFERROR(__xludf.DUMMYFUNCTION("""COMPUTED_VALUE"""),0.236)</f>
        <v/>
      </c>
      <c r="P922" s="45">
        <f>IFERROR(__xludf.DUMMYFUNCTION("""COMPUTED_VALUE"""),"Colombo, LK")</f>
        <v/>
      </c>
      <c r="Q922" s="45">
        <f>IFERROR(__xludf.DUMMYFUNCTION("""COMPUTED_VALUE"""),"New York, NY, US")</f>
        <v/>
      </c>
      <c r="R922" s="44">
        <f>IFERROR(__xludf.DUMMYFUNCTION("""COMPUTED_VALUE"""),45838)</f>
        <v/>
      </c>
      <c r="S922" s="44">
        <f>IFERROR(__xludf.DUMMYFUNCTION("""COMPUTED_VALUE"""),45897)</f>
        <v/>
      </c>
      <c r="T922" s="45">
        <f>IFERROR(__xludf.DUMMYFUNCTION("""COMPUTED_VALUE"""),"Mississauga, ON, CA")</f>
        <v/>
      </c>
      <c r="U922" s="45" t="n"/>
      <c r="V922" s="45" t="n"/>
      <c r="W922" s="45" t="n"/>
      <c r="X922" s="45" t="n"/>
      <c r="Y922" s="46">
        <f>IFERROR(__xludf.DUMMYFUNCTION("""COMPUTED_VALUE"""),45845)</f>
        <v/>
      </c>
      <c r="Z922" s="46">
        <f>IFERROR(__xludf.DUMMYFUNCTION("""COMPUTED_VALUE"""),45866)</f>
        <v/>
      </c>
      <c r="AA922" s="46">
        <f>IFERROR(__xludf.DUMMYFUNCTION("""COMPUTED_VALUE"""),45866)</f>
        <v/>
      </c>
      <c r="AB922" s="45">
        <f>IFERROR(__xludf.DUMMYFUNCTION("""COMPUTED_VALUE"""),"3500 Argentia Road")</f>
        <v/>
      </c>
      <c r="AC922" s="45" t="n"/>
      <c r="AD922" s="45">
        <f>IFERROR(__xludf.DUMMYFUNCTION("""COMPUTED_VALUE"""),"OCEAN")</f>
        <v/>
      </c>
      <c r="AE922" s="45">
        <f>IFERROR(__xludf.DUMMYFUNCTION("""COMPUTED_VALUE"""),"N")</f>
        <v/>
      </c>
      <c r="AF922" s="45">
        <f>IFERROR(__xludf.DUMMYFUNCTION("""COMPUTED_VALUE"""),"New Booking")</f>
        <v/>
      </c>
      <c r="AG922" s="49">
        <f>IFERROR(__xludf.DUMMYFUNCTION("IFNA(vlookup(H922,IMPORTRANGE(""1vUGwO1n0QQGx9kKbO0_M5gmuhXZ6-LaxQxgrmJnzgP0"",""'TP# look up'!A:C""),3,0),"""")"),"")</f>
        <v/>
      </c>
      <c r="AH922" s="49">
        <f>LEFT(J922,2)</f>
        <v/>
      </c>
    </row>
    <row r="923" ht="12.75" customHeight="1">
      <c r="A923" s="45">
        <f>IFERROR(__xludf.DUMMYFUNCTION("""COMPUTED_VALUE"""),"Colombo")</f>
        <v/>
      </c>
      <c r="B923" s="45" t="n"/>
      <c r="C923" s="45">
        <f>IFERROR(__xludf.DUMMYFUNCTION("""COMPUTED_VALUE"""),3259528)</f>
        <v/>
      </c>
      <c r="D923" s="45" t="n"/>
      <c r="E923" s="45">
        <f>IFERROR(__xludf.DUMMYFUNCTION("""COMPUTED_VALUE"""),"CFS")</f>
        <v/>
      </c>
      <c r="F923" s="45">
        <f>IFERROR(__xludf.DUMMYFUNCTION("""COMPUTED_VALUE"""),"Inqube Global (PVT) Ltd")</f>
        <v/>
      </c>
      <c r="G923" s="45">
        <f>IFERROR(__xludf.DUMMYFUNCTION("""COMPUTED_VALUE"""),"Brandix Apparel Solutions Limited - Minuwangoda")</f>
        <v/>
      </c>
      <c r="H923" s="43">
        <f>IFERROR(__xludf.DUMMYFUNCTION("""COMPUTED_VALUE"""),456597296786)</f>
        <v/>
      </c>
      <c r="I923" s="45">
        <f>IFERROR(__xludf.DUMMYFUNCTION("""COMPUTED_VALUE"""),19855060)</f>
        <v/>
      </c>
      <c r="J923" s="45">
        <f>IFERROR(__xludf.DUMMYFUNCTION("""COMPUTED_VALUE"""),"LW3ISOS")</f>
        <v/>
      </c>
      <c r="K923" s="45">
        <f>IFERROR(__xludf.DUMMYFUNCTION("""COMPUTED_VALUE"""),"LW3ISOS-070108")</f>
        <v/>
      </c>
      <c r="L923" s="45">
        <f>IFERROR(__xludf.DUMMYFUNCTION("""COMPUTED_VALUE"""),5)</f>
        <v/>
      </c>
      <c r="M923" s="45">
        <f>IFERROR(__xludf.DUMMYFUNCTION("""COMPUTED_VALUE"""),453)</f>
        <v/>
      </c>
      <c r="N923" s="45">
        <f>IFERROR(__xludf.DUMMYFUNCTION("""COMPUTED_VALUE"""),78.68)</f>
        <v/>
      </c>
      <c r="O923" s="45">
        <f>IFERROR(__xludf.DUMMYFUNCTION("""COMPUTED_VALUE"""),0.393)</f>
        <v/>
      </c>
      <c r="P923" s="45">
        <f>IFERROR(__xludf.DUMMYFUNCTION("""COMPUTED_VALUE"""),"Colombo, LK")</f>
        <v/>
      </c>
      <c r="Q923" s="45">
        <f>IFERROR(__xludf.DUMMYFUNCTION("""COMPUTED_VALUE"""),"New York, NY, US")</f>
        <v/>
      </c>
      <c r="R923" s="44">
        <f>IFERROR(__xludf.DUMMYFUNCTION("""COMPUTED_VALUE"""),45838)</f>
        <v/>
      </c>
      <c r="S923" s="44">
        <f>IFERROR(__xludf.DUMMYFUNCTION("""COMPUTED_VALUE"""),45897)</f>
        <v/>
      </c>
      <c r="T923" s="45">
        <f>IFERROR(__xludf.DUMMYFUNCTION("""COMPUTED_VALUE"""),"Milton, ON, CA")</f>
        <v/>
      </c>
      <c r="U923" s="45" t="n"/>
      <c r="V923" s="45" t="n"/>
      <c r="W923" s="45" t="n"/>
      <c r="X923" s="45" t="n"/>
      <c r="Y923" s="46">
        <f>IFERROR(__xludf.DUMMYFUNCTION("""COMPUTED_VALUE"""),45845)</f>
        <v/>
      </c>
      <c r="Z923" s="46">
        <f>IFERROR(__xludf.DUMMYFUNCTION("""COMPUTED_VALUE"""),45866)</f>
        <v/>
      </c>
      <c r="AA923" s="46">
        <f>IFERROR(__xludf.DUMMYFUNCTION("""COMPUTED_VALUE"""),45866)</f>
        <v/>
      </c>
      <c r="AB923" s="45">
        <f>IFERROR(__xludf.DUMMYFUNCTION("""COMPUTED_VALUE"""),"7211 Fifth Line")</f>
        <v/>
      </c>
      <c r="AC923" s="45" t="n"/>
      <c r="AD923" s="45">
        <f>IFERROR(__xludf.DUMMYFUNCTION("""COMPUTED_VALUE"""),"OCEAN")</f>
        <v/>
      </c>
      <c r="AE923" s="45">
        <f>IFERROR(__xludf.DUMMYFUNCTION("""COMPUTED_VALUE"""),"N")</f>
        <v/>
      </c>
      <c r="AF923" s="45">
        <f>IFERROR(__xludf.DUMMYFUNCTION("""COMPUTED_VALUE"""),"New Booking")</f>
        <v/>
      </c>
      <c r="AG923" s="49">
        <f>IFERROR(__xludf.DUMMYFUNCTION("IFNA(vlookup(H923,IMPORTRANGE(""1vUGwO1n0QQGx9kKbO0_M5gmuhXZ6-LaxQxgrmJnzgP0"",""'TP# look up'!A:C""),3,0),"""")"),"")</f>
        <v/>
      </c>
      <c r="AH923" s="49">
        <f>LEFT(J923,2)</f>
        <v/>
      </c>
    </row>
    <row r="924" ht="12.75" customHeight="1">
      <c r="A924" s="45">
        <f>IFERROR(__xludf.DUMMYFUNCTION("""COMPUTED_VALUE"""),"Colombo")</f>
        <v/>
      </c>
      <c r="B924" s="45" t="n"/>
      <c r="C924" s="45">
        <f>IFERROR(__xludf.DUMMYFUNCTION("""COMPUTED_VALUE"""),3259528)</f>
        <v/>
      </c>
      <c r="D924" s="45" t="n"/>
      <c r="E924" s="45">
        <f>IFERROR(__xludf.DUMMYFUNCTION("""COMPUTED_VALUE"""),"CFS")</f>
        <v/>
      </c>
      <c r="F924" s="45">
        <f>IFERROR(__xludf.DUMMYFUNCTION("""COMPUTED_VALUE"""),"Inqube Global (PVT) Ltd")</f>
        <v/>
      </c>
      <c r="G924" s="45">
        <f>IFERROR(__xludf.DUMMYFUNCTION("""COMPUTED_VALUE"""),"Brandix Apparel Solutions Limited - Minuwangoda")</f>
        <v/>
      </c>
      <c r="H924" s="43">
        <f>IFERROR(__xludf.DUMMYFUNCTION("""COMPUTED_VALUE"""),456598096331)</f>
        <v/>
      </c>
      <c r="I924" s="45">
        <f>IFERROR(__xludf.DUMMYFUNCTION("""COMPUTED_VALUE"""),19855062)</f>
        <v/>
      </c>
      <c r="J924" s="45">
        <f>IFERROR(__xludf.DUMMYFUNCTION("""COMPUTED_VALUE"""),"LW3ISOS")</f>
        <v/>
      </c>
      <c r="K924" s="45">
        <f>IFERROR(__xludf.DUMMYFUNCTION("""COMPUTED_VALUE"""),"LW3ISOS-070108")</f>
        <v/>
      </c>
      <c r="L924" s="45">
        <f>IFERROR(__xludf.DUMMYFUNCTION("""COMPUTED_VALUE"""),3)</f>
        <v/>
      </c>
      <c r="M924" s="45">
        <f>IFERROR(__xludf.DUMMYFUNCTION("""COMPUTED_VALUE"""),186)</f>
        <v/>
      </c>
      <c r="N924" s="45">
        <f>IFERROR(__xludf.DUMMYFUNCTION("""COMPUTED_VALUE"""),33.1)</f>
        <v/>
      </c>
      <c r="O924" s="45">
        <f>IFERROR(__xludf.DUMMYFUNCTION("""COMPUTED_VALUE"""),0.236)</f>
        <v/>
      </c>
      <c r="P924" s="45">
        <f>IFERROR(__xludf.DUMMYFUNCTION("""COMPUTED_VALUE"""),"Colombo, LK")</f>
        <v/>
      </c>
      <c r="Q924" s="45">
        <f>IFERROR(__xludf.DUMMYFUNCTION("""COMPUTED_VALUE"""),"New York, NY, US")</f>
        <v/>
      </c>
      <c r="R924" s="44">
        <f>IFERROR(__xludf.DUMMYFUNCTION("""COMPUTED_VALUE"""),45838)</f>
        <v/>
      </c>
      <c r="S924" s="44">
        <f>IFERROR(__xludf.DUMMYFUNCTION("""COMPUTED_VALUE"""),45897)</f>
        <v/>
      </c>
      <c r="T924" s="45">
        <f>IFERROR(__xludf.DUMMYFUNCTION("""COMPUTED_VALUE"""),"Mississauga, ON, CA")</f>
        <v/>
      </c>
      <c r="U924" s="45" t="n"/>
      <c r="V924" s="45" t="n"/>
      <c r="W924" s="45" t="n"/>
      <c r="X924" s="45" t="n"/>
      <c r="Y924" s="46">
        <f>IFERROR(__xludf.DUMMYFUNCTION("""COMPUTED_VALUE"""),45845)</f>
        <v/>
      </c>
      <c r="Z924" s="46">
        <f>IFERROR(__xludf.DUMMYFUNCTION("""COMPUTED_VALUE"""),45866)</f>
        <v/>
      </c>
      <c r="AA924" s="46">
        <f>IFERROR(__xludf.DUMMYFUNCTION("""COMPUTED_VALUE"""),45866)</f>
        <v/>
      </c>
      <c r="AB924" s="45">
        <f>IFERROR(__xludf.DUMMYFUNCTION("""COMPUTED_VALUE"""),"3500 Argentia Road")</f>
        <v/>
      </c>
      <c r="AC924" s="45" t="n"/>
      <c r="AD924" s="45">
        <f>IFERROR(__xludf.DUMMYFUNCTION("""COMPUTED_VALUE"""),"OCEAN")</f>
        <v/>
      </c>
      <c r="AE924" s="45">
        <f>IFERROR(__xludf.DUMMYFUNCTION("""COMPUTED_VALUE"""),"N")</f>
        <v/>
      </c>
      <c r="AF924" s="45">
        <f>IFERROR(__xludf.DUMMYFUNCTION("""COMPUTED_VALUE"""),"New Booking")</f>
        <v/>
      </c>
      <c r="AG924" s="49">
        <f>IFERROR(__xludf.DUMMYFUNCTION("IFNA(vlookup(H924,IMPORTRANGE(""1vUGwO1n0QQGx9kKbO0_M5gmuhXZ6-LaxQxgrmJnzgP0"",""'TP# look up'!A:C""),3,0),"""")"),"")</f>
        <v/>
      </c>
      <c r="AH924" s="49">
        <f>LEFT(J924,2)</f>
        <v/>
      </c>
    </row>
    <row r="925" ht="12.75" customHeight="1">
      <c r="A925" s="45">
        <f>IFERROR(__xludf.DUMMYFUNCTION("""COMPUTED_VALUE"""),"Colombo")</f>
        <v/>
      </c>
      <c r="B925" s="45" t="n"/>
      <c r="C925" s="45">
        <f>IFERROR(__xludf.DUMMYFUNCTION("""COMPUTED_VALUE"""),3259528)</f>
        <v/>
      </c>
      <c r="D925" s="45" t="n"/>
      <c r="E925" s="45">
        <f>IFERROR(__xludf.DUMMYFUNCTION("""COMPUTED_VALUE"""),"CFS")</f>
        <v/>
      </c>
      <c r="F925" s="45">
        <f>IFERROR(__xludf.DUMMYFUNCTION("""COMPUTED_VALUE"""),"Inqube Global (PVT) Ltd")</f>
        <v/>
      </c>
      <c r="G925" s="45">
        <f>IFERROR(__xludf.DUMMYFUNCTION("""COMPUTED_VALUE"""),"Brandix Apparel Solutions Limited - Minuwangoda")</f>
        <v/>
      </c>
      <c r="H925" s="43">
        <f>IFERROR(__xludf.DUMMYFUNCTION("""COMPUTED_VALUE"""),456599341145)</f>
        <v/>
      </c>
      <c r="I925" s="45">
        <f>IFERROR(__xludf.DUMMYFUNCTION("""COMPUTED_VALUE"""),19855162)</f>
        <v/>
      </c>
      <c r="J925" s="45">
        <f>IFERROR(__xludf.DUMMYFUNCTION("""COMPUTED_VALUE"""),"LW3ISOS")</f>
        <v/>
      </c>
      <c r="K925" s="45">
        <f>IFERROR(__xludf.DUMMYFUNCTION("""COMPUTED_VALUE"""),"LW3ISOS-070108")</f>
        <v/>
      </c>
      <c r="L925" s="45">
        <f>IFERROR(__xludf.DUMMYFUNCTION("""COMPUTED_VALUE"""),4)</f>
        <v/>
      </c>
      <c r="M925" s="45">
        <f>IFERROR(__xludf.DUMMYFUNCTION("""COMPUTED_VALUE"""),288)</f>
        <v/>
      </c>
      <c r="N925" s="45">
        <f>IFERROR(__xludf.DUMMYFUNCTION("""COMPUTED_VALUE"""),50.64)</f>
        <v/>
      </c>
      <c r="O925" s="45">
        <f>IFERROR(__xludf.DUMMYFUNCTION("""COMPUTED_VALUE"""),0.314)</f>
        <v/>
      </c>
      <c r="P925" s="45">
        <f>IFERROR(__xludf.DUMMYFUNCTION("""COMPUTED_VALUE"""),"Colombo, LK")</f>
        <v/>
      </c>
      <c r="Q925" s="45">
        <f>IFERROR(__xludf.DUMMYFUNCTION("""COMPUTED_VALUE"""),"New York, NY, US")</f>
        <v/>
      </c>
      <c r="R925" s="44">
        <f>IFERROR(__xludf.DUMMYFUNCTION("""COMPUTED_VALUE"""),45838)</f>
        <v/>
      </c>
      <c r="S925" s="44">
        <f>IFERROR(__xludf.DUMMYFUNCTION("""COMPUTED_VALUE"""),45897)</f>
        <v/>
      </c>
      <c r="T925" s="45">
        <f>IFERROR(__xludf.DUMMYFUNCTION("""COMPUTED_VALUE"""),"Mississauga, ON, CA")</f>
        <v/>
      </c>
      <c r="U925" s="45" t="n"/>
      <c r="V925" s="45" t="n"/>
      <c r="W925" s="45" t="n"/>
      <c r="X925" s="45" t="n"/>
      <c r="Y925" s="46">
        <f>IFERROR(__xludf.DUMMYFUNCTION("""COMPUTED_VALUE"""),45845)</f>
        <v/>
      </c>
      <c r="Z925" s="46">
        <f>IFERROR(__xludf.DUMMYFUNCTION("""COMPUTED_VALUE"""),45866)</f>
        <v/>
      </c>
      <c r="AA925" s="46">
        <f>IFERROR(__xludf.DUMMYFUNCTION("""COMPUTED_VALUE"""),45866)</f>
        <v/>
      </c>
      <c r="AB925" s="45">
        <f>IFERROR(__xludf.DUMMYFUNCTION("""COMPUTED_VALUE"""),"3500 Argentia Road")</f>
        <v/>
      </c>
      <c r="AC925" s="45" t="n"/>
      <c r="AD925" s="45">
        <f>IFERROR(__xludf.DUMMYFUNCTION("""COMPUTED_VALUE"""),"OCEAN")</f>
        <v/>
      </c>
      <c r="AE925" s="45">
        <f>IFERROR(__xludf.DUMMYFUNCTION("""COMPUTED_VALUE"""),"N")</f>
        <v/>
      </c>
      <c r="AF925" s="45">
        <f>IFERROR(__xludf.DUMMYFUNCTION("""COMPUTED_VALUE"""),"New Booking")</f>
        <v/>
      </c>
      <c r="AG925" s="49">
        <f>IFERROR(__xludf.DUMMYFUNCTION("IFNA(vlookup(H925,IMPORTRANGE(""1vUGwO1n0QQGx9kKbO0_M5gmuhXZ6-LaxQxgrmJnzgP0"",""'TP# look up'!A:C""),3,0),"""")"),"")</f>
        <v/>
      </c>
      <c r="AH925" s="49">
        <f>LEFT(J925,2)</f>
        <v/>
      </c>
    </row>
    <row r="926" ht="12.75" customHeight="1">
      <c r="A926" s="45">
        <f>IFERROR(__xludf.DUMMYFUNCTION("""COMPUTED_VALUE"""),"Colombo")</f>
        <v/>
      </c>
      <c r="B926" s="45" t="n"/>
      <c r="C926" s="45">
        <f>IFERROR(__xludf.DUMMYFUNCTION("""COMPUTED_VALUE"""),3259528)</f>
        <v/>
      </c>
      <c r="D926" s="45" t="n"/>
      <c r="E926" s="45">
        <f>IFERROR(__xludf.DUMMYFUNCTION("""COMPUTED_VALUE"""),"CFS")</f>
        <v/>
      </c>
      <c r="F926" s="45">
        <f>IFERROR(__xludf.DUMMYFUNCTION("""COMPUTED_VALUE"""),"Inqube Global (PVT) Ltd")</f>
        <v/>
      </c>
      <c r="G926" s="45">
        <f>IFERROR(__xludf.DUMMYFUNCTION("""COMPUTED_VALUE"""),"Brandix Apparel Solutions Limited - Minuwangoda")</f>
        <v/>
      </c>
      <c r="H926" s="43">
        <f>IFERROR(__xludf.DUMMYFUNCTION("""COMPUTED_VALUE"""),456604308287)</f>
        <v/>
      </c>
      <c r="I926" s="45">
        <f>IFERROR(__xludf.DUMMYFUNCTION("""COMPUTED_VALUE"""),19897523)</f>
        <v/>
      </c>
      <c r="J926" s="45">
        <f>IFERROR(__xludf.DUMMYFUNCTION("""COMPUTED_VALUE"""),"LW3ISQS")</f>
        <v/>
      </c>
      <c r="K926" s="45">
        <f>IFERROR(__xludf.DUMMYFUNCTION("""COMPUTED_VALUE"""),"LW3ISQS-071168")</f>
        <v/>
      </c>
      <c r="L926" s="45">
        <f>IFERROR(__xludf.DUMMYFUNCTION("""COMPUTED_VALUE"""),16)</f>
        <v/>
      </c>
      <c r="M926" s="45">
        <f>IFERROR(__xludf.DUMMYFUNCTION("""COMPUTED_VALUE"""),517)</f>
        <v/>
      </c>
      <c r="N926" s="45">
        <f>IFERROR(__xludf.DUMMYFUNCTION("""COMPUTED_VALUE"""),114.99)</f>
        <v/>
      </c>
      <c r="O926" s="45">
        <f>IFERROR(__xludf.DUMMYFUNCTION("""COMPUTED_VALUE"""),1.256)</f>
        <v/>
      </c>
      <c r="P926" s="45">
        <f>IFERROR(__xludf.DUMMYFUNCTION("""COMPUTED_VALUE"""),"Colombo, LK")</f>
        <v/>
      </c>
      <c r="Q926" s="45">
        <f>IFERROR(__xludf.DUMMYFUNCTION("""COMPUTED_VALUE"""),"New York, NY, US")</f>
        <v/>
      </c>
      <c r="R926" s="44">
        <f>IFERROR(__xludf.DUMMYFUNCTION("""COMPUTED_VALUE"""),45838)</f>
        <v/>
      </c>
      <c r="S926" s="44">
        <f>IFERROR(__xludf.DUMMYFUNCTION("""COMPUTED_VALUE"""),45897)</f>
        <v/>
      </c>
      <c r="T926" s="45">
        <f>IFERROR(__xludf.DUMMYFUNCTION("""COMPUTED_VALUE"""),"Milton, ON, CA")</f>
        <v/>
      </c>
      <c r="U926" s="45" t="n"/>
      <c r="V926" s="45" t="n"/>
      <c r="W926" s="45" t="n"/>
      <c r="X926" s="45" t="n"/>
      <c r="Y926" s="46">
        <f>IFERROR(__xludf.DUMMYFUNCTION("""COMPUTED_VALUE"""),45845)</f>
        <v/>
      </c>
      <c r="Z926" s="46">
        <f>IFERROR(__xludf.DUMMYFUNCTION("""COMPUTED_VALUE"""),45866)</f>
        <v/>
      </c>
      <c r="AA926" s="46">
        <f>IFERROR(__xludf.DUMMYFUNCTION("""COMPUTED_VALUE"""),45866)</f>
        <v/>
      </c>
      <c r="AB926" s="45">
        <f>IFERROR(__xludf.DUMMYFUNCTION("""COMPUTED_VALUE"""),"7211 Fifth Line")</f>
        <v/>
      </c>
      <c r="AC926" s="45" t="n"/>
      <c r="AD926" s="45">
        <f>IFERROR(__xludf.DUMMYFUNCTION("""COMPUTED_VALUE"""),"OCEAN")</f>
        <v/>
      </c>
      <c r="AE926" s="45">
        <f>IFERROR(__xludf.DUMMYFUNCTION("""COMPUTED_VALUE"""),"N")</f>
        <v/>
      </c>
      <c r="AF926" s="45">
        <f>IFERROR(__xludf.DUMMYFUNCTION("""COMPUTED_VALUE"""),"New Booking")</f>
        <v/>
      </c>
      <c r="AG926" s="49">
        <f>IFERROR(__xludf.DUMMYFUNCTION("IFNA(vlookup(H926,IMPORTRANGE(""1vUGwO1n0QQGx9kKbO0_M5gmuhXZ6-LaxQxgrmJnzgP0"",""'TP# look up'!A:C""),3,0),"""")"),"")</f>
        <v/>
      </c>
      <c r="AH926" s="49">
        <f>LEFT(J926,2)</f>
        <v/>
      </c>
    </row>
    <row r="927" ht="12.75" customHeight="1">
      <c r="A927" s="45">
        <f>IFERROR(__xludf.DUMMYFUNCTION("""COMPUTED_VALUE"""),"Colombo")</f>
        <v/>
      </c>
      <c r="B927" s="45" t="n"/>
      <c r="C927" s="45">
        <f>IFERROR(__xludf.DUMMYFUNCTION("""COMPUTED_VALUE"""),3259528)</f>
        <v/>
      </c>
      <c r="D927" s="45" t="n"/>
      <c r="E927" s="45">
        <f>IFERROR(__xludf.DUMMYFUNCTION("""COMPUTED_VALUE"""),"CFS")</f>
        <v/>
      </c>
      <c r="F927" s="45">
        <f>IFERROR(__xludf.DUMMYFUNCTION("""COMPUTED_VALUE"""),"Inqube Global (PVT) Ltd")</f>
        <v/>
      </c>
      <c r="G927" s="45">
        <f>IFERROR(__xludf.DUMMYFUNCTION("""COMPUTED_VALUE"""),"Brandix Apparel Solutions Limited - Minuwangoda")</f>
        <v/>
      </c>
      <c r="H927" s="43">
        <f>IFERROR(__xludf.DUMMYFUNCTION("""COMPUTED_VALUE"""),456613427638)</f>
        <v/>
      </c>
      <c r="I927" s="45">
        <f>IFERROR(__xludf.DUMMYFUNCTION("""COMPUTED_VALUE"""),19897528)</f>
        <v/>
      </c>
      <c r="J927" s="45">
        <f>IFERROR(__xludf.DUMMYFUNCTION("""COMPUTED_VALUE"""),"LW3KASS")</f>
        <v/>
      </c>
      <c r="K927" s="45">
        <f>IFERROR(__xludf.DUMMYFUNCTION("""COMPUTED_VALUE"""),"LW3KASS-070108")</f>
        <v/>
      </c>
      <c r="L927" s="45">
        <f>IFERROR(__xludf.DUMMYFUNCTION("""COMPUTED_VALUE"""),6)</f>
        <v/>
      </c>
      <c r="M927" s="45">
        <f>IFERROR(__xludf.DUMMYFUNCTION("""COMPUTED_VALUE"""),97)</f>
        <v/>
      </c>
      <c r="N927" s="45">
        <f>IFERROR(__xludf.DUMMYFUNCTION("""COMPUTED_VALUE"""),32.375)</f>
        <v/>
      </c>
      <c r="O927" s="45">
        <f>IFERROR(__xludf.DUMMYFUNCTION("""COMPUTED_VALUE"""),0.471)</f>
        <v/>
      </c>
      <c r="P927" s="45">
        <f>IFERROR(__xludf.DUMMYFUNCTION("""COMPUTED_VALUE"""),"Colombo, LK")</f>
        <v/>
      </c>
      <c r="Q927" s="45">
        <f>IFERROR(__xludf.DUMMYFUNCTION("""COMPUTED_VALUE"""),"New York, NY, US")</f>
        <v/>
      </c>
      <c r="R927" s="44">
        <f>IFERROR(__xludf.DUMMYFUNCTION("""COMPUTED_VALUE"""),45838)</f>
        <v/>
      </c>
      <c r="S927" s="44">
        <f>IFERROR(__xludf.DUMMYFUNCTION("""COMPUTED_VALUE"""),45897)</f>
        <v/>
      </c>
      <c r="T927" s="45">
        <f>IFERROR(__xludf.DUMMYFUNCTION("""COMPUTED_VALUE"""),"Milton, ON, CA")</f>
        <v/>
      </c>
      <c r="U927" s="45" t="n"/>
      <c r="V927" s="45" t="n"/>
      <c r="W927" s="45" t="n"/>
      <c r="X927" s="45" t="n"/>
      <c r="Y927" s="46">
        <f>IFERROR(__xludf.DUMMYFUNCTION("""COMPUTED_VALUE"""),45845)</f>
        <v/>
      </c>
      <c r="Z927" s="46">
        <f>IFERROR(__xludf.DUMMYFUNCTION("""COMPUTED_VALUE"""),45866)</f>
        <v/>
      </c>
      <c r="AA927" s="46">
        <f>IFERROR(__xludf.DUMMYFUNCTION("""COMPUTED_VALUE"""),45866)</f>
        <v/>
      </c>
      <c r="AB927" s="45">
        <f>IFERROR(__xludf.DUMMYFUNCTION("""COMPUTED_VALUE"""),"7211 Fifth Line")</f>
        <v/>
      </c>
      <c r="AC927" s="45" t="n"/>
      <c r="AD927" s="45">
        <f>IFERROR(__xludf.DUMMYFUNCTION("""COMPUTED_VALUE"""),"OCEAN")</f>
        <v/>
      </c>
      <c r="AE927" s="45">
        <f>IFERROR(__xludf.DUMMYFUNCTION("""COMPUTED_VALUE"""),"N")</f>
        <v/>
      </c>
      <c r="AF927" s="45">
        <f>IFERROR(__xludf.DUMMYFUNCTION("""COMPUTED_VALUE"""),"New Booking")</f>
        <v/>
      </c>
      <c r="AG927" s="49">
        <f>IFERROR(__xludf.DUMMYFUNCTION("IFNA(vlookup(H927,IMPORTRANGE(""1vUGwO1n0QQGx9kKbO0_M5gmuhXZ6-LaxQxgrmJnzgP0"",""'TP# look up'!A:C""),3,0),"""")"),"")</f>
        <v/>
      </c>
      <c r="AH927" s="49">
        <f>LEFT(J927,2)</f>
        <v/>
      </c>
    </row>
    <row r="928" ht="12.75" customHeight="1">
      <c r="A928" s="45">
        <f>IFERROR(__xludf.DUMMYFUNCTION("""COMPUTED_VALUE"""),"Colombo")</f>
        <v/>
      </c>
      <c r="B928" s="45" t="n"/>
      <c r="C928" s="45">
        <f>IFERROR(__xludf.DUMMYFUNCTION("""COMPUTED_VALUE"""),3259528)</f>
        <v/>
      </c>
      <c r="D928" s="45" t="n"/>
      <c r="E928" s="45">
        <f>IFERROR(__xludf.DUMMYFUNCTION("""COMPUTED_VALUE"""),"CFS")</f>
        <v/>
      </c>
      <c r="F928" s="45">
        <f>IFERROR(__xludf.DUMMYFUNCTION("""COMPUTED_VALUE"""),"Inqube Global (PVT) Ltd")</f>
        <v/>
      </c>
      <c r="G928" s="45">
        <f>IFERROR(__xludf.DUMMYFUNCTION("""COMPUTED_VALUE"""),"Brandix Apparel Solutions Limited - Minuwangoda")</f>
        <v/>
      </c>
      <c r="H928" s="43">
        <f>IFERROR(__xludf.DUMMYFUNCTION("""COMPUTED_VALUE"""),456614488947)</f>
        <v/>
      </c>
      <c r="I928" s="45">
        <f>IFERROR(__xludf.DUMMYFUNCTION("""COMPUTED_VALUE"""),19910251)</f>
        <v/>
      </c>
      <c r="J928" s="45">
        <f>IFERROR(__xludf.DUMMYFUNCTION("""COMPUTED_VALUE"""),"LW3ISQS")</f>
        <v/>
      </c>
      <c r="K928" s="45">
        <f>IFERROR(__xludf.DUMMYFUNCTION("""COMPUTED_VALUE"""),"LW3ISQS-071168")</f>
        <v/>
      </c>
      <c r="L928" s="45">
        <f>IFERROR(__xludf.DUMMYFUNCTION("""COMPUTED_VALUE"""),8)</f>
        <v/>
      </c>
      <c r="M928" s="45">
        <f>IFERROR(__xludf.DUMMYFUNCTION("""COMPUTED_VALUE"""),204)</f>
        <v/>
      </c>
      <c r="N928" s="45">
        <f>IFERROR(__xludf.DUMMYFUNCTION("""COMPUTED_VALUE"""),47.69)</f>
        <v/>
      </c>
      <c r="O928" s="45">
        <f>IFERROR(__xludf.DUMMYFUNCTION("""COMPUTED_VALUE"""),0.628)</f>
        <v/>
      </c>
      <c r="P928" s="45">
        <f>IFERROR(__xludf.DUMMYFUNCTION("""COMPUTED_VALUE"""),"Colombo, LK")</f>
        <v/>
      </c>
      <c r="Q928" s="45">
        <f>IFERROR(__xludf.DUMMYFUNCTION("""COMPUTED_VALUE"""),"New York, NY, US")</f>
        <v/>
      </c>
      <c r="R928" s="44">
        <f>IFERROR(__xludf.DUMMYFUNCTION("""COMPUTED_VALUE"""),45838)</f>
        <v/>
      </c>
      <c r="S928" s="44">
        <f>IFERROR(__xludf.DUMMYFUNCTION("""COMPUTED_VALUE"""),45897)</f>
        <v/>
      </c>
      <c r="T928" s="45">
        <f>IFERROR(__xludf.DUMMYFUNCTION("""COMPUTED_VALUE"""),"Mississauga, ON, CA")</f>
        <v/>
      </c>
      <c r="U928" s="45" t="n"/>
      <c r="V928" s="45" t="n"/>
      <c r="W928" s="45" t="n"/>
      <c r="X928" s="45" t="n"/>
      <c r="Y928" s="46">
        <f>IFERROR(__xludf.DUMMYFUNCTION("""COMPUTED_VALUE"""),45845)</f>
        <v/>
      </c>
      <c r="Z928" s="46">
        <f>IFERROR(__xludf.DUMMYFUNCTION("""COMPUTED_VALUE"""),45866)</f>
        <v/>
      </c>
      <c r="AA928" s="46">
        <f>IFERROR(__xludf.DUMMYFUNCTION("""COMPUTED_VALUE"""),45866)</f>
        <v/>
      </c>
      <c r="AB928" s="45">
        <f>IFERROR(__xludf.DUMMYFUNCTION("""COMPUTED_VALUE"""),"3500 Argentia Road")</f>
        <v/>
      </c>
      <c r="AC928" s="45" t="n"/>
      <c r="AD928" s="45">
        <f>IFERROR(__xludf.DUMMYFUNCTION("""COMPUTED_VALUE"""),"OCEAN")</f>
        <v/>
      </c>
      <c r="AE928" s="45">
        <f>IFERROR(__xludf.DUMMYFUNCTION("""COMPUTED_VALUE"""),"N")</f>
        <v/>
      </c>
      <c r="AF928" s="45">
        <f>IFERROR(__xludf.DUMMYFUNCTION("""COMPUTED_VALUE"""),"New Booking")</f>
        <v/>
      </c>
      <c r="AG928" s="49">
        <f>IFERROR(__xludf.DUMMYFUNCTION("IFNA(vlookup(H928,IMPORTRANGE(""1vUGwO1n0QQGx9kKbO0_M5gmuhXZ6-LaxQxgrmJnzgP0"",""'TP# look up'!A:C""),3,0),"""")"),"")</f>
        <v/>
      </c>
      <c r="AH928" s="49">
        <f>LEFT(J928,2)</f>
        <v/>
      </c>
    </row>
    <row r="929" ht="12.75" customHeight="1">
      <c r="A929" s="45">
        <f>IFERROR(__xludf.DUMMYFUNCTION("""COMPUTED_VALUE"""),"Colombo")</f>
        <v/>
      </c>
      <c r="B929" s="45" t="n"/>
      <c r="C929" s="45">
        <f>IFERROR(__xludf.DUMMYFUNCTION("""COMPUTED_VALUE"""),3259528)</f>
        <v/>
      </c>
      <c r="D929" s="45" t="n"/>
      <c r="E929" s="45">
        <f>IFERROR(__xludf.DUMMYFUNCTION("""COMPUTED_VALUE"""),"CFS")</f>
        <v/>
      </c>
      <c r="F929" s="45">
        <f>IFERROR(__xludf.DUMMYFUNCTION("""COMPUTED_VALUE"""),"Inqube Global (PVT) Ltd")</f>
        <v/>
      </c>
      <c r="G929" s="45">
        <f>IFERROR(__xludf.DUMMYFUNCTION("""COMPUTED_VALUE"""),"Brandix Apparel Solutions Limited - Minuwangoda")</f>
        <v/>
      </c>
      <c r="H929" s="43">
        <f>IFERROR(__xludf.DUMMYFUNCTION("""COMPUTED_VALUE"""),456616040872)</f>
        <v/>
      </c>
      <c r="I929" s="45">
        <f>IFERROR(__xludf.DUMMYFUNCTION("""COMPUTED_VALUE"""),19910328)</f>
        <v/>
      </c>
      <c r="J929" s="45">
        <f>IFERROR(__xludf.DUMMYFUNCTION("""COMPUTED_VALUE"""),"LW3JNXS")</f>
        <v/>
      </c>
      <c r="K929" s="45">
        <f>IFERROR(__xludf.DUMMYFUNCTION("""COMPUTED_VALUE"""),"LW3JNXS-033454")</f>
        <v/>
      </c>
      <c r="L929" s="45">
        <f>IFERROR(__xludf.DUMMYFUNCTION("""COMPUTED_VALUE"""),11)</f>
        <v/>
      </c>
      <c r="M929" s="45">
        <f>IFERROR(__xludf.DUMMYFUNCTION("""COMPUTED_VALUE"""),304)</f>
        <v/>
      </c>
      <c r="N929" s="45">
        <f>IFERROR(__xludf.DUMMYFUNCTION("""COMPUTED_VALUE"""),71.01)</f>
        <v/>
      </c>
      <c r="O929" s="45">
        <f>IFERROR(__xludf.DUMMYFUNCTION("""COMPUTED_VALUE"""),0.864)</f>
        <v/>
      </c>
      <c r="P929" s="45">
        <f>IFERROR(__xludf.DUMMYFUNCTION("""COMPUTED_VALUE"""),"Colombo, LK")</f>
        <v/>
      </c>
      <c r="Q929" s="45">
        <f>IFERROR(__xludf.DUMMYFUNCTION("""COMPUTED_VALUE"""),"New York, NY, US")</f>
        <v/>
      </c>
      <c r="R929" s="44">
        <f>IFERROR(__xludf.DUMMYFUNCTION("""COMPUTED_VALUE"""),45838)</f>
        <v/>
      </c>
      <c r="S929" s="44">
        <f>IFERROR(__xludf.DUMMYFUNCTION("""COMPUTED_VALUE"""),45897)</f>
        <v/>
      </c>
      <c r="T929" s="45">
        <f>IFERROR(__xludf.DUMMYFUNCTION("""COMPUTED_VALUE"""),"Mississauga, ON, CA")</f>
        <v/>
      </c>
      <c r="U929" s="45" t="n"/>
      <c r="V929" s="45" t="n"/>
      <c r="W929" s="45" t="n"/>
      <c r="X929" s="45" t="n"/>
      <c r="Y929" s="46">
        <f>IFERROR(__xludf.DUMMYFUNCTION("""COMPUTED_VALUE"""),45845)</f>
        <v/>
      </c>
      <c r="Z929" s="46">
        <f>IFERROR(__xludf.DUMMYFUNCTION("""COMPUTED_VALUE"""),45866)</f>
        <v/>
      </c>
      <c r="AA929" s="46">
        <f>IFERROR(__xludf.DUMMYFUNCTION("""COMPUTED_VALUE"""),45866)</f>
        <v/>
      </c>
      <c r="AB929" s="45">
        <f>IFERROR(__xludf.DUMMYFUNCTION("""COMPUTED_VALUE"""),"3500 Argentia Road")</f>
        <v/>
      </c>
      <c r="AC929" s="45" t="n"/>
      <c r="AD929" s="45">
        <f>IFERROR(__xludf.DUMMYFUNCTION("""COMPUTED_VALUE"""),"OCEAN")</f>
        <v/>
      </c>
      <c r="AE929" s="45">
        <f>IFERROR(__xludf.DUMMYFUNCTION("""COMPUTED_VALUE"""),"N")</f>
        <v/>
      </c>
      <c r="AF929" s="45">
        <f>IFERROR(__xludf.DUMMYFUNCTION("""COMPUTED_VALUE"""),"New Booking")</f>
        <v/>
      </c>
      <c r="AG929" s="49">
        <f>IFERROR(__xludf.DUMMYFUNCTION("IFNA(vlookup(H929,IMPORTRANGE(""1vUGwO1n0QQGx9kKbO0_M5gmuhXZ6-LaxQxgrmJnzgP0"",""'TP# look up'!A:C""),3,0),"""")"),"")</f>
        <v/>
      </c>
      <c r="AH929" s="49">
        <f>LEFT(J929,2)</f>
        <v/>
      </c>
    </row>
    <row r="930" ht="12.75" customHeight="1">
      <c r="A930" s="45">
        <f>IFERROR(__xludf.DUMMYFUNCTION("""COMPUTED_VALUE"""),"Colombo")</f>
        <v/>
      </c>
      <c r="B930" s="45" t="n"/>
      <c r="C930" s="45">
        <f>IFERROR(__xludf.DUMMYFUNCTION("""COMPUTED_VALUE"""),3259528)</f>
        <v/>
      </c>
      <c r="D930" s="45" t="n"/>
      <c r="E930" s="45">
        <f>IFERROR(__xludf.DUMMYFUNCTION("""COMPUTED_VALUE"""),"CFS")</f>
        <v/>
      </c>
      <c r="F930" s="45">
        <f>IFERROR(__xludf.DUMMYFUNCTION("""COMPUTED_VALUE"""),"Inqube Global (PVT) Ltd")</f>
        <v/>
      </c>
      <c r="G930" s="45">
        <f>IFERROR(__xludf.DUMMYFUNCTION("""COMPUTED_VALUE"""),"Brandix Apparel Solutions Limited - Minuwangoda")</f>
        <v/>
      </c>
      <c r="H930" s="43">
        <f>IFERROR(__xludf.DUMMYFUNCTION("""COMPUTED_VALUE"""),456616041677)</f>
        <v/>
      </c>
      <c r="I930" s="45">
        <f>IFERROR(__xludf.DUMMYFUNCTION("""COMPUTED_VALUE"""),19910263)</f>
        <v/>
      </c>
      <c r="J930" s="45">
        <f>IFERROR(__xludf.DUMMYFUNCTION("""COMPUTED_VALUE"""),"LW3KASS")</f>
        <v/>
      </c>
      <c r="K930" s="45">
        <f>IFERROR(__xludf.DUMMYFUNCTION("""COMPUTED_VALUE"""),"LW3KASS-070108")</f>
        <v/>
      </c>
      <c r="L930" s="45">
        <f>IFERROR(__xludf.DUMMYFUNCTION("""COMPUTED_VALUE"""),5)</f>
        <v/>
      </c>
      <c r="M930" s="45">
        <f>IFERROR(__xludf.DUMMYFUNCTION("""COMPUTED_VALUE"""),144)</f>
        <v/>
      </c>
      <c r="N930" s="45">
        <f>IFERROR(__xludf.DUMMYFUNCTION("""COMPUTED_VALUE"""),43.84)</f>
        <v/>
      </c>
      <c r="O930" s="45">
        <f>IFERROR(__xludf.DUMMYFUNCTION("""COMPUTED_VALUE"""),0.393)</f>
        <v/>
      </c>
      <c r="P930" s="45">
        <f>IFERROR(__xludf.DUMMYFUNCTION("""COMPUTED_VALUE"""),"Colombo, LK")</f>
        <v/>
      </c>
      <c r="Q930" s="45">
        <f>IFERROR(__xludf.DUMMYFUNCTION("""COMPUTED_VALUE"""),"New York, NY, US")</f>
        <v/>
      </c>
      <c r="R930" s="44">
        <f>IFERROR(__xludf.DUMMYFUNCTION("""COMPUTED_VALUE"""),45838)</f>
        <v/>
      </c>
      <c r="S930" s="44">
        <f>IFERROR(__xludf.DUMMYFUNCTION("""COMPUTED_VALUE"""),45897)</f>
        <v/>
      </c>
      <c r="T930" s="45">
        <f>IFERROR(__xludf.DUMMYFUNCTION("""COMPUTED_VALUE"""),"Mississauga, ON, CA")</f>
        <v/>
      </c>
      <c r="U930" s="45" t="n"/>
      <c r="V930" s="45" t="n"/>
      <c r="W930" s="45" t="n"/>
      <c r="X930" s="45" t="n"/>
      <c r="Y930" s="46">
        <f>IFERROR(__xludf.DUMMYFUNCTION("""COMPUTED_VALUE"""),45845)</f>
        <v/>
      </c>
      <c r="Z930" s="46">
        <f>IFERROR(__xludf.DUMMYFUNCTION("""COMPUTED_VALUE"""),45866)</f>
        <v/>
      </c>
      <c r="AA930" s="46">
        <f>IFERROR(__xludf.DUMMYFUNCTION("""COMPUTED_VALUE"""),45866)</f>
        <v/>
      </c>
      <c r="AB930" s="45">
        <f>IFERROR(__xludf.DUMMYFUNCTION("""COMPUTED_VALUE"""),"3500 Argentia Road")</f>
        <v/>
      </c>
      <c r="AC930" s="45" t="n"/>
      <c r="AD930" s="45">
        <f>IFERROR(__xludf.DUMMYFUNCTION("""COMPUTED_VALUE"""),"OCEAN")</f>
        <v/>
      </c>
      <c r="AE930" s="45">
        <f>IFERROR(__xludf.DUMMYFUNCTION("""COMPUTED_VALUE"""),"N")</f>
        <v/>
      </c>
      <c r="AF930" s="45">
        <f>IFERROR(__xludf.DUMMYFUNCTION("""COMPUTED_VALUE"""),"New Booking")</f>
        <v/>
      </c>
      <c r="AG930" s="49">
        <f>IFERROR(__xludf.DUMMYFUNCTION("IFNA(vlookup(H930,IMPORTRANGE(""1vUGwO1n0QQGx9kKbO0_M5gmuhXZ6-LaxQxgrmJnzgP0"",""'TP# look up'!A:C""),3,0),"""")"),"")</f>
        <v/>
      </c>
      <c r="AH930" s="49">
        <f>LEFT(J930,2)</f>
        <v/>
      </c>
    </row>
    <row r="931" ht="12.75" customHeight="1">
      <c r="A931" s="45">
        <f>IFERROR(__xludf.DUMMYFUNCTION("""COMPUTED_VALUE"""),"Colombo")</f>
        <v/>
      </c>
      <c r="B931" s="45" t="n"/>
      <c r="C931" s="45">
        <f>IFERROR(__xludf.DUMMYFUNCTION("""COMPUTED_VALUE"""),3259528)</f>
        <v/>
      </c>
      <c r="D931" s="45" t="n"/>
      <c r="E931" s="45">
        <f>IFERROR(__xludf.DUMMYFUNCTION("""COMPUTED_VALUE"""),"CFS")</f>
        <v/>
      </c>
      <c r="F931" s="45">
        <f>IFERROR(__xludf.DUMMYFUNCTION("""COMPUTED_VALUE"""),"Inqube Global (PVT) Ltd")</f>
        <v/>
      </c>
      <c r="G931" s="45">
        <f>IFERROR(__xludf.DUMMYFUNCTION("""COMPUTED_VALUE"""),"Brandix Apparel Solutions Limited - Minuwangoda")</f>
        <v/>
      </c>
      <c r="H931" s="43">
        <f>IFERROR(__xludf.DUMMYFUNCTION("""COMPUTED_VALUE"""),456617740010)</f>
        <v/>
      </c>
      <c r="I931" s="45">
        <f>IFERROR(__xludf.DUMMYFUNCTION("""COMPUTED_VALUE"""),19910340)</f>
        <v/>
      </c>
      <c r="J931" s="45">
        <f>IFERROR(__xludf.DUMMYFUNCTION("""COMPUTED_VALUE"""),"LW3KASS")</f>
        <v/>
      </c>
      <c r="K931" s="45">
        <f>IFERROR(__xludf.DUMMYFUNCTION("""COMPUTED_VALUE"""),"LW3KASS-070108")</f>
        <v/>
      </c>
      <c r="L931" s="45">
        <f>IFERROR(__xludf.DUMMYFUNCTION("""COMPUTED_VALUE"""),10)</f>
        <v/>
      </c>
      <c r="M931" s="45">
        <f>IFERROR(__xludf.DUMMYFUNCTION("""COMPUTED_VALUE"""),270)</f>
        <v/>
      </c>
      <c r="N931" s="45">
        <f>IFERROR(__xludf.DUMMYFUNCTION("""COMPUTED_VALUE"""),82.765)</f>
        <v/>
      </c>
      <c r="O931" s="45">
        <f>IFERROR(__xludf.DUMMYFUNCTION("""COMPUTED_VALUE"""),0.785)</f>
        <v/>
      </c>
      <c r="P931" s="45">
        <f>IFERROR(__xludf.DUMMYFUNCTION("""COMPUTED_VALUE"""),"Colombo, LK")</f>
        <v/>
      </c>
      <c r="Q931" s="45">
        <f>IFERROR(__xludf.DUMMYFUNCTION("""COMPUTED_VALUE"""),"New York, NY, US")</f>
        <v/>
      </c>
      <c r="R931" s="44">
        <f>IFERROR(__xludf.DUMMYFUNCTION("""COMPUTED_VALUE"""),45838)</f>
        <v/>
      </c>
      <c r="S931" s="44">
        <f>IFERROR(__xludf.DUMMYFUNCTION("""COMPUTED_VALUE"""),45897)</f>
        <v/>
      </c>
      <c r="T931" s="45">
        <f>IFERROR(__xludf.DUMMYFUNCTION("""COMPUTED_VALUE"""),"Mississauga, ON, CA")</f>
        <v/>
      </c>
      <c r="U931" s="45" t="n"/>
      <c r="V931" s="45" t="n"/>
      <c r="W931" s="45" t="n"/>
      <c r="X931" s="45" t="n"/>
      <c r="Y931" s="46">
        <f>IFERROR(__xludf.DUMMYFUNCTION("""COMPUTED_VALUE"""),45845)</f>
        <v/>
      </c>
      <c r="Z931" s="46">
        <f>IFERROR(__xludf.DUMMYFUNCTION("""COMPUTED_VALUE"""),45866)</f>
        <v/>
      </c>
      <c r="AA931" s="46">
        <f>IFERROR(__xludf.DUMMYFUNCTION("""COMPUTED_VALUE"""),45866)</f>
        <v/>
      </c>
      <c r="AB931" s="45">
        <f>IFERROR(__xludf.DUMMYFUNCTION("""COMPUTED_VALUE"""),"3500 Argentia Road")</f>
        <v/>
      </c>
      <c r="AC931" s="45" t="n"/>
      <c r="AD931" s="45">
        <f>IFERROR(__xludf.DUMMYFUNCTION("""COMPUTED_VALUE"""),"OCEAN")</f>
        <v/>
      </c>
      <c r="AE931" s="45">
        <f>IFERROR(__xludf.DUMMYFUNCTION("""COMPUTED_VALUE"""),"N")</f>
        <v/>
      </c>
      <c r="AF931" s="45">
        <f>IFERROR(__xludf.DUMMYFUNCTION("""COMPUTED_VALUE"""),"New Booking")</f>
        <v/>
      </c>
      <c r="AG931" s="49">
        <f>IFERROR(__xludf.DUMMYFUNCTION("IFNA(vlookup(H931,IMPORTRANGE(""1vUGwO1n0QQGx9kKbO0_M5gmuhXZ6-LaxQxgrmJnzgP0"",""'TP# look up'!A:C""),3,0),"""")"),"")</f>
        <v/>
      </c>
      <c r="AH931" s="49">
        <f>LEFT(J931,2)</f>
        <v/>
      </c>
    </row>
    <row r="932" ht="12.75" customHeight="1">
      <c r="A932" s="45">
        <f>IFERROR(__xludf.DUMMYFUNCTION("""COMPUTED_VALUE"""),"Colombo")</f>
        <v/>
      </c>
      <c r="B932" s="45" t="n"/>
      <c r="C932" s="45">
        <f>IFERROR(__xludf.DUMMYFUNCTION("""COMPUTED_VALUE"""),3259528)</f>
        <v/>
      </c>
      <c r="D932" s="45" t="n"/>
      <c r="E932" s="45">
        <f>IFERROR(__xludf.DUMMYFUNCTION("""COMPUTED_VALUE"""),"CFS")</f>
        <v/>
      </c>
      <c r="F932" s="45">
        <f>IFERROR(__xludf.DUMMYFUNCTION("""COMPUTED_VALUE"""),"Inqube Global (PVT) Ltd")</f>
        <v/>
      </c>
      <c r="G932" s="45">
        <f>IFERROR(__xludf.DUMMYFUNCTION("""COMPUTED_VALUE"""),"Brandix Apparel Solutions Limited - Minuwangoda")</f>
        <v/>
      </c>
      <c r="H932" s="43">
        <f>IFERROR(__xludf.DUMMYFUNCTION("""COMPUTED_VALUE"""),456619827304)</f>
        <v/>
      </c>
      <c r="I932" s="45">
        <f>IFERROR(__xludf.DUMMYFUNCTION("""COMPUTED_VALUE"""),19925131)</f>
        <v/>
      </c>
      <c r="J932" s="45">
        <f>IFERROR(__xludf.DUMMYFUNCTION("""COMPUTED_VALUE"""),"LW3ISQS")</f>
        <v/>
      </c>
      <c r="K932" s="45">
        <f>IFERROR(__xludf.DUMMYFUNCTION("""COMPUTED_VALUE"""),"LW3ISQS-071168")</f>
        <v/>
      </c>
      <c r="L932" s="45">
        <f>IFERROR(__xludf.DUMMYFUNCTION("""COMPUTED_VALUE"""),13)</f>
        <v/>
      </c>
      <c r="M932" s="45">
        <f>IFERROR(__xludf.DUMMYFUNCTION("""COMPUTED_VALUE"""),386)</f>
        <v/>
      </c>
      <c r="N932" s="45">
        <f>IFERROR(__xludf.DUMMYFUNCTION("""COMPUTED_VALUE"""),88.49)</f>
        <v/>
      </c>
      <c r="O932" s="45">
        <f>IFERROR(__xludf.DUMMYFUNCTION("""COMPUTED_VALUE"""),1.021)</f>
        <v/>
      </c>
      <c r="P932" s="45">
        <f>IFERROR(__xludf.DUMMYFUNCTION("""COMPUTED_VALUE"""),"Colombo, LK")</f>
        <v/>
      </c>
      <c r="Q932" s="45">
        <f>IFERROR(__xludf.DUMMYFUNCTION("""COMPUTED_VALUE"""),"New York, NY, US")</f>
        <v/>
      </c>
      <c r="R932" s="44">
        <f>IFERROR(__xludf.DUMMYFUNCTION("""COMPUTED_VALUE"""),45838)</f>
        <v/>
      </c>
      <c r="S932" s="44">
        <f>IFERROR(__xludf.DUMMYFUNCTION("""COMPUTED_VALUE"""),45897)</f>
        <v/>
      </c>
      <c r="T932" s="45">
        <f>IFERROR(__xludf.DUMMYFUNCTION("""COMPUTED_VALUE"""),"Mississauga, ON, CA")</f>
        <v/>
      </c>
      <c r="U932" s="45" t="n"/>
      <c r="V932" s="45" t="n"/>
      <c r="W932" s="45" t="n"/>
      <c r="X932" s="45" t="n"/>
      <c r="Y932" s="46">
        <f>IFERROR(__xludf.DUMMYFUNCTION("""COMPUTED_VALUE"""),45845)</f>
        <v/>
      </c>
      <c r="Z932" s="46">
        <f>IFERROR(__xludf.DUMMYFUNCTION("""COMPUTED_VALUE"""),45866)</f>
        <v/>
      </c>
      <c r="AA932" s="46">
        <f>IFERROR(__xludf.DUMMYFUNCTION("""COMPUTED_VALUE"""),45866)</f>
        <v/>
      </c>
      <c r="AB932" s="45">
        <f>IFERROR(__xludf.DUMMYFUNCTION("""COMPUTED_VALUE"""),"3500 Argentia Road")</f>
        <v/>
      </c>
      <c r="AC932" s="45" t="n"/>
      <c r="AD932" s="45">
        <f>IFERROR(__xludf.DUMMYFUNCTION("""COMPUTED_VALUE"""),"OCEAN")</f>
        <v/>
      </c>
      <c r="AE932" s="45">
        <f>IFERROR(__xludf.DUMMYFUNCTION("""COMPUTED_VALUE"""),"N")</f>
        <v/>
      </c>
      <c r="AF932" s="45">
        <f>IFERROR(__xludf.DUMMYFUNCTION("""COMPUTED_VALUE"""),"New Booking")</f>
        <v/>
      </c>
      <c r="AG932" s="49">
        <f>IFERROR(__xludf.DUMMYFUNCTION("IFNA(vlookup(H932,IMPORTRANGE(""1vUGwO1n0QQGx9kKbO0_M5gmuhXZ6-LaxQxgrmJnzgP0"",""'TP# look up'!A:C""),3,0),"""")"),"")</f>
        <v/>
      </c>
      <c r="AH932" s="49">
        <f>LEFT(J932,2)</f>
        <v/>
      </c>
    </row>
    <row r="933" ht="12.75" customHeight="1">
      <c r="A933" s="45">
        <f>IFERROR(__xludf.DUMMYFUNCTION("""COMPUTED_VALUE"""),"Colombo")</f>
        <v/>
      </c>
      <c r="B933" s="45" t="n"/>
      <c r="C933" s="45">
        <f>IFERROR(__xludf.DUMMYFUNCTION("""COMPUTED_VALUE"""),3259528)</f>
        <v/>
      </c>
      <c r="D933" s="45" t="n"/>
      <c r="E933" s="45">
        <f>IFERROR(__xludf.DUMMYFUNCTION("""COMPUTED_VALUE"""),"CFS")</f>
        <v/>
      </c>
      <c r="F933" s="45">
        <f>IFERROR(__xludf.DUMMYFUNCTION("""COMPUTED_VALUE"""),"Inqube Global (PVT) Ltd")</f>
        <v/>
      </c>
      <c r="G933" s="45">
        <f>IFERROR(__xludf.DUMMYFUNCTION("""COMPUTED_VALUE"""),"Brandix Apparel Solutions Limited - Minuwangoda")</f>
        <v/>
      </c>
      <c r="H933" s="43">
        <f>IFERROR(__xludf.DUMMYFUNCTION("""COMPUTED_VALUE"""),456621882516)</f>
        <v/>
      </c>
      <c r="I933" s="45">
        <f>IFERROR(__xludf.DUMMYFUNCTION("""COMPUTED_VALUE"""),19925017)</f>
        <v/>
      </c>
      <c r="J933" s="45">
        <f>IFERROR(__xludf.DUMMYFUNCTION("""COMPUTED_VALUE"""),"LW3JNXS")</f>
        <v/>
      </c>
      <c r="K933" s="45">
        <f>IFERROR(__xludf.DUMMYFUNCTION("""COMPUTED_VALUE"""),"LW3JNXS-033454")</f>
        <v/>
      </c>
      <c r="L933" s="45">
        <f>IFERROR(__xludf.DUMMYFUNCTION("""COMPUTED_VALUE"""),5)</f>
        <v/>
      </c>
      <c r="M933" s="45">
        <f>IFERROR(__xludf.DUMMYFUNCTION("""COMPUTED_VALUE"""),138)</f>
        <v/>
      </c>
      <c r="N933" s="45">
        <f>IFERROR(__xludf.DUMMYFUNCTION("""COMPUTED_VALUE"""),31.87)</f>
        <v/>
      </c>
      <c r="O933" s="45">
        <f>IFERROR(__xludf.DUMMYFUNCTION("""COMPUTED_VALUE"""),0.393)</f>
        <v/>
      </c>
      <c r="P933" s="45">
        <f>IFERROR(__xludf.DUMMYFUNCTION("""COMPUTED_VALUE"""),"Colombo, LK")</f>
        <v/>
      </c>
      <c r="Q933" s="45">
        <f>IFERROR(__xludf.DUMMYFUNCTION("""COMPUTED_VALUE"""),"New York, NY, US")</f>
        <v/>
      </c>
      <c r="R933" s="44">
        <f>IFERROR(__xludf.DUMMYFUNCTION("""COMPUTED_VALUE"""),45838)</f>
        <v/>
      </c>
      <c r="S933" s="44">
        <f>IFERROR(__xludf.DUMMYFUNCTION("""COMPUTED_VALUE"""),45897)</f>
        <v/>
      </c>
      <c r="T933" s="45">
        <f>IFERROR(__xludf.DUMMYFUNCTION("""COMPUTED_VALUE"""),"Mississauga, ON, CA")</f>
        <v/>
      </c>
      <c r="U933" s="45" t="n"/>
      <c r="V933" s="45" t="n"/>
      <c r="W933" s="45" t="n"/>
      <c r="X933" s="45" t="n"/>
      <c r="Y933" s="46">
        <f>IFERROR(__xludf.DUMMYFUNCTION("""COMPUTED_VALUE"""),45845)</f>
        <v/>
      </c>
      <c r="Z933" s="46">
        <f>IFERROR(__xludf.DUMMYFUNCTION("""COMPUTED_VALUE"""),45866)</f>
        <v/>
      </c>
      <c r="AA933" s="46">
        <f>IFERROR(__xludf.DUMMYFUNCTION("""COMPUTED_VALUE"""),45866)</f>
        <v/>
      </c>
      <c r="AB933" s="45">
        <f>IFERROR(__xludf.DUMMYFUNCTION("""COMPUTED_VALUE"""),"3500 Argentia Road")</f>
        <v/>
      </c>
      <c r="AC933" s="45" t="n"/>
      <c r="AD933" s="45">
        <f>IFERROR(__xludf.DUMMYFUNCTION("""COMPUTED_VALUE"""),"OCEAN")</f>
        <v/>
      </c>
      <c r="AE933" s="45">
        <f>IFERROR(__xludf.DUMMYFUNCTION("""COMPUTED_VALUE"""),"N")</f>
        <v/>
      </c>
      <c r="AF933" s="45">
        <f>IFERROR(__xludf.DUMMYFUNCTION("""COMPUTED_VALUE"""),"New Booking")</f>
        <v/>
      </c>
      <c r="AG933" s="49">
        <f>IFERROR(__xludf.DUMMYFUNCTION("IFNA(vlookup(H933,IMPORTRANGE(""1vUGwO1n0QQGx9kKbO0_M5gmuhXZ6-LaxQxgrmJnzgP0"",""'TP# look up'!A:C""),3,0),"""")"),"")</f>
        <v/>
      </c>
      <c r="AH933" s="49">
        <f>LEFT(J933,2)</f>
        <v/>
      </c>
    </row>
    <row r="934" ht="12.75" customHeight="1">
      <c r="A934" s="45">
        <f>IFERROR(__xludf.DUMMYFUNCTION("""COMPUTED_VALUE"""),"Colombo")</f>
        <v/>
      </c>
      <c r="B934" s="45" t="n"/>
      <c r="C934" s="45">
        <f>IFERROR(__xludf.DUMMYFUNCTION("""COMPUTED_VALUE"""),3259528)</f>
        <v/>
      </c>
      <c r="D934" s="45" t="n"/>
      <c r="E934" s="45">
        <f>IFERROR(__xludf.DUMMYFUNCTION("""COMPUTED_VALUE"""),"CFS")</f>
        <v/>
      </c>
      <c r="F934" s="45">
        <f>IFERROR(__xludf.DUMMYFUNCTION("""COMPUTED_VALUE"""),"Inqube Global (PVT) Ltd")</f>
        <v/>
      </c>
      <c r="G934" s="45">
        <f>IFERROR(__xludf.DUMMYFUNCTION("""COMPUTED_VALUE"""),"Brandix Apparel Solutions Limited - Minuwangoda")</f>
        <v/>
      </c>
      <c r="H934" s="43">
        <f>IFERROR(__xludf.DUMMYFUNCTION("""COMPUTED_VALUE"""),456881501725)</f>
        <v/>
      </c>
      <c r="I934" s="45">
        <f>IFERROR(__xludf.DUMMYFUNCTION("""COMPUTED_VALUE"""),19897536)</f>
        <v/>
      </c>
      <c r="J934" s="45">
        <f>IFERROR(__xludf.DUMMYFUNCTION("""COMPUTED_VALUE"""),"LW3KHXS")</f>
        <v/>
      </c>
      <c r="K934" s="45">
        <f>IFERROR(__xludf.DUMMYFUNCTION("""COMPUTED_VALUE"""),"LW3KHXS-035486")</f>
        <v/>
      </c>
      <c r="L934" s="45">
        <f>IFERROR(__xludf.DUMMYFUNCTION("""COMPUTED_VALUE"""),26)</f>
        <v/>
      </c>
      <c r="M934" s="45">
        <f>IFERROR(__xludf.DUMMYFUNCTION("""COMPUTED_VALUE"""),550)</f>
        <v/>
      </c>
      <c r="N934" s="45">
        <f>IFERROR(__xludf.DUMMYFUNCTION("""COMPUTED_VALUE"""),182.03)</f>
        <v/>
      </c>
      <c r="O934" s="45">
        <f>IFERROR(__xludf.DUMMYFUNCTION("""COMPUTED_VALUE"""),2.041)</f>
        <v/>
      </c>
      <c r="P934" s="45">
        <f>IFERROR(__xludf.DUMMYFUNCTION("""COMPUTED_VALUE"""),"Colombo, LK")</f>
        <v/>
      </c>
      <c r="Q934" s="45">
        <f>IFERROR(__xludf.DUMMYFUNCTION("""COMPUTED_VALUE"""),"New York, NY, US")</f>
        <v/>
      </c>
      <c r="R934" s="44">
        <f>IFERROR(__xludf.DUMMYFUNCTION("""COMPUTED_VALUE"""),45838)</f>
        <v/>
      </c>
      <c r="S934" s="44">
        <f>IFERROR(__xludf.DUMMYFUNCTION("""COMPUTED_VALUE"""),45897)</f>
        <v/>
      </c>
      <c r="T934" s="45">
        <f>IFERROR(__xludf.DUMMYFUNCTION("""COMPUTED_VALUE"""),"Milton, ON, CA")</f>
        <v/>
      </c>
      <c r="U934" s="45" t="n"/>
      <c r="V934" s="45" t="n"/>
      <c r="W934" s="45" t="n"/>
      <c r="X934" s="45" t="n"/>
      <c r="Y934" s="46">
        <f>IFERROR(__xludf.DUMMYFUNCTION("""COMPUTED_VALUE"""),45845)</f>
        <v/>
      </c>
      <c r="Z934" s="46">
        <f>IFERROR(__xludf.DUMMYFUNCTION("""COMPUTED_VALUE"""),45861)</f>
        <v/>
      </c>
      <c r="AA934" s="46">
        <f>IFERROR(__xludf.DUMMYFUNCTION("""COMPUTED_VALUE"""),45861)</f>
        <v/>
      </c>
      <c r="AB934" s="45">
        <f>IFERROR(__xludf.DUMMYFUNCTION("""COMPUTED_VALUE"""),"7211 Fifth Line")</f>
        <v/>
      </c>
      <c r="AC934" s="45" t="n"/>
      <c r="AD934" s="45">
        <f>IFERROR(__xludf.DUMMYFUNCTION("""COMPUTED_VALUE"""),"OCEAN")</f>
        <v/>
      </c>
      <c r="AE934" s="45">
        <f>IFERROR(__xludf.DUMMYFUNCTION("""COMPUTED_VALUE"""),"N")</f>
        <v/>
      </c>
      <c r="AF934" s="45">
        <f>IFERROR(__xludf.DUMMYFUNCTION("""COMPUTED_VALUE"""),"New Booking")</f>
        <v/>
      </c>
      <c r="AG934" s="49">
        <f>IFERROR(__xludf.DUMMYFUNCTION("IFNA(vlookup(H934,IMPORTRANGE(""1vUGwO1n0QQGx9kKbO0_M5gmuhXZ6-LaxQxgrmJnzgP0"",""'TP# look up'!A:C""),3,0),"""")"),"")</f>
        <v/>
      </c>
      <c r="AH934" s="49">
        <f>LEFT(J934,2)</f>
        <v/>
      </c>
    </row>
    <row r="935" ht="12.75" customHeight="1">
      <c r="A935" s="45">
        <f>IFERROR(__xludf.DUMMYFUNCTION("""COMPUTED_VALUE"""),"Colombo")</f>
        <v/>
      </c>
      <c r="B935" s="45" t="n"/>
      <c r="C935" s="45">
        <f>IFERROR(__xludf.DUMMYFUNCTION("""COMPUTED_VALUE"""),3259528)</f>
        <v/>
      </c>
      <c r="D935" s="45" t="n"/>
      <c r="E935" s="45">
        <f>IFERROR(__xludf.DUMMYFUNCTION("""COMPUTED_VALUE"""),"CFS")</f>
        <v/>
      </c>
      <c r="F935" s="45">
        <f>IFERROR(__xludf.DUMMYFUNCTION("""COMPUTED_VALUE"""),"Inqube Global (PVT) Ltd")</f>
        <v/>
      </c>
      <c r="G935" s="45">
        <f>IFERROR(__xludf.DUMMYFUNCTION("""COMPUTED_VALUE"""),"Brandix Apparel Solutions Limited - Minuwangoda")</f>
        <v/>
      </c>
      <c r="H935" s="43">
        <f>IFERROR(__xludf.DUMMYFUNCTION("""COMPUTED_VALUE"""),456884138091)</f>
        <v/>
      </c>
      <c r="I935" s="45">
        <f>IFERROR(__xludf.DUMMYFUNCTION("""COMPUTED_VALUE"""),19910459)</f>
        <v/>
      </c>
      <c r="J935" s="45">
        <f>IFERROR(__xludf.DUMMYFUNCTION("""COMPUTED_VALUE"""),"LW3KHXS")</f>
        <v/>
      </c>
      <c r="K935" s="45">
        <f>IFERROR(__xludf.DUMMYFUNCTION("""COMPUTED_VALUE"""),"LW3KHXS-035486")</f>
        <v/>
      </c>
      <c r="L935" s="45">
        <f>IFERROR(__xludf.DUMMYFUNCTION("""COMPUTED_VALUE"""),16)</f>
        <v/>
      </c>
      <c r="M935" s="45">
        <f>IFERROR(__xludf.DUMMYFUNCTION("""COMPUTED_VALUE"""),331)</f>
        <v/>
      </c>
      <c r="N935" s="45">
        <f>IFERROR(__xludf.DUMMYFUNCTION("""COMPUTED_VALUE"""),110.25)</f>
        <v/>
      </c>
      <c r="O935" s="45">
        <f>IFERROR(__xludf.DUMMYFUNCTION("""COMPUTED_VALUE"""),1.256)</f>
        <v/>
      </c>
      <c r="P935" s="45">
        <f>IFERROR(__xludf.DUMMYFUNCTION("""COMPUTED_VALUE"""),"Colombo, LK")</f>
        <v/>
      </c>
      <c r="Q935" s="45">
        <f>IFERROR(__xludf.DUMMYFUNCTION("""COMPUTED_VALUE"""),"New York, NY, US")</f>
        <v/>
      </c>
      <c r="R935" s="44">
        <f>IFERROR(__xludf.DUMMYFUNCTION("""COMPUTED_VALUE"""),45838)</f>
        <v/>
      </c>
      <c r="S935" s="44">
        <f>IFERROR(__xludf.DUMMYFUNCTION("""COMPUTED_VALUE"""),45897)</f>
        <v/>
      </c>
      <c r="T935" s="45">
        <f>IFERROR(__xludf.DUMMYFUNCTION("""COMPUTED_VALUE"""),"Mississauga, ON, CA")</f>
        <v/>
      </c>
      <c r="U935" s="45" t="n"/>
      <c r="V935" s="45" t="n"/>
      <c r="W935" s="45" t="n"/>
      <c r="X935" s="45" t="n"/>
      <c r="Y935" s="46">
        <f>IFERROR(__xludf.DUMMYFUNCTION("""COMPUTED_VALUE"""),45845)</f>
        <v/>
      </c>
      <c r="Z935" s="46">
        <f>IFERROR(__xludf.DUMMYFUNCTION("""COMPUTED_VALUE"""),45861)</f>
        <v/>
      </c>
      <c r="AA935" s="46">
        <f>IFERROR(__xludf.DUMMYFUNCTION("""COMPUTED_VALUE"""),45861)</f>
        <v/>
      </c>
      <c r="AB935" s="45">
        <f>IFERROR(__xludf.DUMMYFUNCTION("""COMPUTED_VALUE"""),"3500 Argentia Road")</f>
        <v/>
      </c>
      <c r="AC935" s="45" t="n"/>
      <c r="AD935" s="45">
        <f>IFERROR(__xludf.DUMMYFUNCTION("""COMPUTED_VALUE"""),"OCEAN")</f>
        <v/>
      </c>
      <c r="AE935" s="45">
        <f>IFERROR(__xludf.DUMMYFUNCTION("""COMPUTED_VALUE"""),"N")</f>
        <v/>
      </c>
      <c r="AF935" s="45">
        <f>IFERROR(__xludf.DUMMYFUNCTION("""COMPUTED_VALUE"""),"New Booking")</f>
        <v/>
      </c>
      <c r="AG935" s="49">
        <f>IFERROR(__xludf.DUMMYFUNCTION("IFNA(vlookup(H935,IMPORTRANGE(""1vUGwO1n0QQGx9kKbO0_M5gmuhXZ6-LaxQxgrmJnzgP0"",""'TP# look up'!A:C""),3,0),"""")"),"")</f>
        <v/>
      </c>
      <c r="AH935" s="49">
        <f>LEFT(J935,2)</f>
        <v/>
      </c>
    </row>
    <row r="936" ht="12.75" customHeight="1">
      <c r="A936" s="45">
        <f>IFERROR(__xludf.DUMMYFUNCTION("""COMPUTED_VALUE"""),"Colombo")</f>
        <v/>
      </c>
      <c r="B936" s="45" t="n"/>
      <c r="C936" s="45">
        <f>IFERROR(__xludf.DUMMYFUNCTION("""COMPUTED_VALUE"""),3259528)</f>
        <v/>
      </c>
      <c r="D936" s="45" t="n"/>
      <c r="E936" s="45">
        <f>IFERROR(__xludf.DUMMYFUNCTION("""COMPUTED_VALUE"""),"CFS")</f>
        <v/>
      </c>
      <c r="F936" s="45">
        <f>IFERROR(__xludf.DUMMYFUNCTION("""COMPUTED_VALUE"""),"Inqube Global (PVT) Ltd")</f>
        <v/>
      </c>
      <c r="G936" s="45">
        <f>IFERROR(__xludf.DUMMYFUNCTION("""COMPUTED_VALUE"""),"Brandix Apparel Solutions Limited - Minuwangoda")</f>
        <v/>
      </c>
      <c r="H936" s="43">
        <f>IFERROR(__xludf.DUMMYFUNCTION("""COMPUTED_VALUE"""),456884193173)</f>
        <v/>
      </c>
      <c r="I936" s="45">
        <f>IFERROR(__xludf.DUMMYFUNCTION("""COMPUTED_VALUE"""),19910267)</f>
        <v/>
      </c>
      <c r="J936" s="45">
        <f>IFERROR(__xludf.DUMMYFUNCTION("""COMPUTED_VALUE"""),"LW3KHXS")</f>
        <v/>
      </c>
      <c r="K936" s="45">
        <f>IFERROR(__xludf.DUMMYFUNCTION("""COMPUTED_VALUE"""),"LW3KHXS-035486")</f>
        <v/>
      </c>
      <c r="L936" s="45">
        <f>IFERROR(__xludf.DUMMYFUNCTION("""COMPUTED_VALUE"""),9)</f>
        <v/>
      </c>
      <c r="M936" s="45">
        <f>IFERROR(__xludf.DUMMYFUNCTION("""COMPUTED_VALUE"""),172)</f>
        <v/>
      </c>
      <c r="N936" s="45">
        <f>IFERROR(__xludf.DUMMYFUNCTION("""COMPUTED_VALUE"""),57.95)</f>
        <v/>
      </c>
      <c r="O936" s="45">
        <f>IFERROR(__xludf.DUMMYFUNCTION("""COMPUTED_VALUE"""),0.707)</f>
        <v/>
      </c>
      <c r="P936" s="45">
        <f>IFERROR(__xludf.DUMMYFUNCTION("""COMPUTED_VALUE"""),"Colombo, LK")</f>
        <v/>
      </c>
      <c r="Q936" s="45">
        <f>IFERROR(__xludf.DUMMYFUNCTION("""COMPUTED_VALUE"""),"New York, NY, US")</f>
        <v/>
      </c>
      <c r="R936" s="44">
        <f>IFERROR(__xludf.DUMMYFUNCTION("""COMPUTED_VALUE"""),45838)</f>
        <v/>
      </c>
      <c r="S936" s="44">
        <f>IFERROR(__xludf.DUMMYFUNCTION("""COMPUTED_VALUE"""),45897)</f>
        <v/>
      </c>
      <c r="T936" s="45">
        <f>IFERROR(__xludf.DUMMYFUNCTION("""COMPUTED_VALUE"""),"Mississauga, ON, CA")</f>
        <v/>
      </c>
      <c r="U936" s="45" t="n"/>
      <c r="V936" s="45" t="n"/>
      <c r="W936" s="45" t="n"/>
      <c r="X936" s="45" t="n"/>
      <c r="Y936" s="46">
        <f>IFERROR(__xludf.DUMMYFUNCTION("""COMPUTED_VALUE"""),45845)</f>
        <v/>
      </c>
      <c r="Z936" s="46">
        <f>IFERROR(__xludf.DUMMYFUNCTION("""COMPUTED_VALUE"""),45861)</f>
        <v/>
      </c>
      <c r="AA936" s="46">
        <f>IFERROR(__xludf.DUMMYFUNCTION("""COMPUTED_VALUE"""),45861)</f>
        <v/>
      </c>
      <c r="AB936" s="45">
        <f>IFERROR(__xludf.DUMMYFUNCTION("""COMPUTED_VALUE"""),"3500 Argentia Road")</f>
        <v/>
      </c>
      <c r="AC936" s="45" t="n"/>
      <c r="AD936" s="45">
        <f>IFERROR(__xludf.DUMMYFUNCTION("""COMPUTED_VALUE"""),"OCEAN")</f>
        <v/>
      </c>
      <c r="AE936" s="45">
        <f>IFERROR(__xludf.DUMMYFUNCTION("""COMPUTED_VALUE"""),"N")</f>
        <v/>
      </c>
      <c r="AF936" s="45">
        <f>IFERROR(__xludf.DUMMYFUNCTION("""COMPUTED_VALUE"""),"New Booking")</f>
        <v/>
      </c>
      <c r="AG936" s="49">
        <f>IFERROR(__xludf.DUMMYFUNCTION("IFNA(vlookup(H936,IMPORTRANGE(""1vUGwO1n0QQGx9kKbO0_M5gmuhXZ6-LaxQxgrmJnzgP0"",""'TP# look up'!A:C""),3,0),"""")"),"")</f>
        <v/>
      </c>
      <c r="AH936" s="49">
        <f>LEFT(J936,2)</f>
        <v/>
      </c>
    </row>
    <row r="937" ht="12.75" customHeight="1">
      <c r="A937" s="45">
        <f>IFERROR(__xludf.DUMMYFUNCTION("""COMPUTED_VALUE"""),"Colombo")</f>
        <v/>
      </c>
      <c r="B937" s="45" t="n"/>
      <c r="C937" s="45">
        <f>IFERROR(__xludf.DUMMYFUNCTION("""COMPUTED_VALUE"""),3259528)</f>
        <v/>
      </c>
      <c r="D937" s="45" t="n"/>
      <c r="E937" s="45">
        <f>IFERROR(__xludf.DUMMYFUNCTION("""COMPUTED_VALUE"""),"CFS")</f>
        <v/>
      </c>
      <c r="F937" s="45">
        <f>IFERROR(__xludf.DUMMYFUNCTION("""COMPUTED_VALUE"""),"Inqube Global (PVT) Ltd")</f>
        <v/>
      </c>
      <c r="G937" s="45">
        <f>IFERROR(__xludf.DUMMYFUNCTION("""COMPUTED_VALUE"""),"Brandix Apparel Solutions Limited - Minuwangoda")</f>
        <v/>
      </c>
      <c r="H937" s="43">
        <f>IFERROR(__xludf.DUMMYFUNCTION("""COMPUTED_VALUE"""),456888715129)</f>
        <v/>
      </c>
      <c r="I937" s="45">
        <f>IFERROR(__xludf.DUMMYFUNCTION("""COMPUTED_VALUE"""),19855129)</f>
        <v/>
      </c>
      <c r="J937" s="45">
        <f>IFERROR(__xludf.DUMMYFUNCTION("""COMPUTED_VALUE"""),"LW1FQ4S")</f>
        <v/>
      </c>
      <c r="K937" s="45">
        <f>IFERROR(__xludf.DUMMYFUNCTION("""COMPUTED_VALUE"""),"LW1FQ4S-041179")</f>
        <v/>
      </c>
      <c r="L937" s="45">
        <f>IFERROR(__xludf.DUMMYFUNCTION("""COMPUTED_VALUE"""),6)</f>
        <v/>
      </c>
      <c r="M937" s="45">
        <f>IFERROR(__xludf.DUMMYFUNCTION("""COMPUTED_VALUE"""),234)</f>
        <v/>
      </c>
      <c r="N937" s="45">
        <f>IFERROR(__xludf.DUMMYFUNCTION("""COMPUTED_VALUE"""),45.946)</f>
        <v/>
      </c>
      <c r="O937" s="45">
        <f>IFERROR(__xludf.DUMMYFUNCTION("""COMPUTED_VALUE"""),0.471)</f>
        <v/>
      </c>
      <c r="P937" s="45">
        <f>IFERROR(__xludf.DUMMYFUNCTION("""COMPUTED_VALUE"""),"Colombo, LK")</f>
        <v/>
      </c>
      <c r="Q937" s="45">
        <f>IFERROR(__xludf.DUMMYFUNCTION("""COMPUTED_VALUE"""),"New York, NY, US")</f>
        <v/>
      </c>
      <c r="R937" s="44">
        <f>IFERROR(__xludf.DUMMYFUNCTION("""COMPUTED_VALUE"""),45838)</f>
        <v/>
      </c>
      <c r="S937" s="44">
        <f>IFERROR(__xludf.DUMMYFUNCTION("""COMPUTED_VALUE"""),45897)</f>
        <v/>
      </c>
      <c r="T937" s="45">
        <f>IFERROR(__xludf.DUMMYFUNCTION("""COMPUTED_VALUE"""),"Mississauga, ON, CA")</f>
        <v/>
      </c>
      <c r="U937" s="45" t="n"/>
      <c r="V937" s="45" t="n"/>
      <c r="W937" s="45" t="n"/>
      <c r="X937" s="45" t="n"/>
      <c r="Y937" s="46">
        <f>IFERROR(__xludf.DUMMYFUNCTION("""COMPUTED_VALUE"""),45845)</f>
        <v/>
      </c>
      <c r="Z937" s="46">
        <f>IFERROR(__xludf.DUMMYFUNCTION("""COMPUTED_VALUE"""),45861)</f>
        <v/>
      </c>
      <c r="AA937" s="46">
        <f>IFERROR(__xludf.DUMMYFUNCTION("""COMPUTED_VALUE"""),45861)</f>
        <v/>
      </c>
      <c r="AB937" s="45">
        <f>IFERROR(__xludf.DUMMYFUNCTION("""COMPUTED_VALUE"""),"3500 Argentia Road")</f>
        <v/>
      </c>
      <c r="AC937" s="45" t="n"/>
      <c r="AD937" s="45">
        <f>IFERROR(__xludf.DUMMYFUNCTION("""COMPUTED_VALUE"""),"OCEAN")</f>
        <v/>
      </c>
      <c r="AE937" s="45">
        <f>IFERROR(__xludf.DUMMYFUNCTION("""COMPUTED_VALUE"""),"N")</f>
        <v/>
      </c>
      <c r="AF937" s="45">
        <f>IFERROR(__xludf.DUMMYFUNCTION("""COMPUTED_VALUE"""),"New Booking")</f>
        <v/>
      </c>
      <c r="AG937" s="49">
        <f>IFERROR(__xludf.DUMMYFUNCTION("IFNA(vlookup(H937,IMPORTRANGE(""1vUGwO1n0QQGx9kKbO0_M5gmuhXZ6-LaxQxgrmJnzgP0"",""'TP# look up'!A:C""),3,0),"""")"),"")</f>
        <v/>
      </c>
      <c r="AH937" s="49">
        <f>LEFT(J937,2)</f>
        <v/>
      </c>
    </row>
    <row r="938" ht="12.75" customHeight="1">
      <c r="A938" s="45">
        <f>IFERROR(__xludf.DUMMYFUNCTION("""COMPUTED_VALUE"""),"Colombo")</f>
        <v/>
      </c>
      <c r="B938" s="45" t="n"/>
      <c r="C938" s="45">
        <f>IFERROR(__xludf.DUMMYFUNCTION("""COMPUTED_VALUE"""),3259528)</f>
        <v/>
      </c>
      <c r="D938" s="45" t="n"/>
      <c r="E938" s="45">
        <f>IFERROR(__xludf.DUMMYFUNCTION("""COMPUTED_VALUE"""),"CFS")</f>
        <v/>
      </c>
      <c r="F938" s="45">
        <f>IFERROR(__xludf.DUMMYFUNCTION("""COMPUTED_VALUE"""),"Inqube Global (PVT) Ltd")</f>
        <v/>
      </c>
      <c r="G938" s="45">
        <f>IFERROR(__xludf.DUMMYFUNCTION("""COMPUTED_VALUE"""),"Brandix Apparel Solutions Limited - Minuwangoda")</f>
        <v/>
      </c>
      <c r="H938" s="43">
        <f>IFERROR(__xludf.DUMMYFUNCTION("""COMPUTED_VALUE"""),456890376361)</f>
        <v/>
      </c>
      <c r="I938" s="45">
        <f>IFERROR(__xludf.DUMMYFUNCTION("""COMPUTED_VALUE"""),19855043)</f>
        <v/>
      </c>
      <c r="J938" s="45">
        <f>IFERROR(__xludf.DUMMYFUNCTION("""COMPUTED_VALUE"""),"LW1FQ4S")</f>
        <v/>
      </c>
      <c r="K938" s="45">
        <f>IFERROR(__xludf.DUMMYFUNCTION("""COMPUTED_VALUE"""),"LW1FQ4S-041179")</f>
        <v/>
      </c>
      <c r="L938" s="45">
        <f>IFERROR(__xludf.DUMMYFUNCTION("""COMPUTED_VALUE"""),3)</f>
        <v/>
      </c>
      <c r="M938" s="45">
        <f>IFERROR(__xludf.DUMMYFUNCTION("""COMPUTED_VALUE"""),83)</f>
        <v/>
      </c>
      <c r="N938" s="45">
        <f>IFERROR(__xludf.DUMMYFUNCTION("""COMPUTED_VALUE"""),17.209)</f>
        <v/>
      </c>
      <c r="O938" s="45">
        <f>IFERROR(__xludf.DUMMYFUNCTION("""COMPUTED_VALUE"""),0.236)</f>
        <v/>
      </c>
      <c r="P938" s="45">
        <f>IFERROR(__xludf.DUMMYFUNCTION("""COMPUTED_VALUE"""),"Colombo, LK")</f>
        <v/>
      </c>
      <c r="Q938" s="45">
        <f>IFERROR(__xludf.DUMMYFUNCTION("""COMPUTED_VALUE"""),"New York, NY, US")</f>
        <v/>
      </c>
      <c r="R938" s="44">
        <f>IFERROR(__xludf.DUMMYFUNCTION("""COMPUTED_VALUE"""),45838)</f>
        <v/>
      </c>
      <c r="S938" s="44">
        <f>IFERROR(__xludf.DUMMYFUNCTION("""COMPUTED_VALUE"""),45897)</f>
        <v/>
      </c>
      <c r="T938" s="45">
        <f>IFERROR(__xludf.DUMMYFUNCTION("""COMPUTED_VALUE"""),"Mississauga, ON, CA")</f>
        <v/>
      </c>
      <c r="U938" s="45" t="n"/>
      <c r="V938" s="45" t="n"/>
      <c r="W938" s="45" t="n"/>
      <c r="X938" s="45" t="n"/>
      <c r="Y938" s="46">
        <f>IFERROR(__xludf.DUMMYFUNCTION("""COMPUTED_VALUE"""),45845)</f>
        <v/>
      </c>
      <c r="Z938" s="46">
        <f>IFERROR(__xludf.DUMMYFUNCTION("""COMPUTED_VALUE"""),45861)</f>
        <v/>
      </c>
      <c r="AA938" s="46">
        <f>IFERROR(__xludf.DUMMYFUNCTION("""COMPUTED_VALUE"""),45861)</f>
        <v/>
      </c>
      <c r="AB938" s="45">
        <f>IFERROR(__xludf.DUMMYFUNCTION("""COMPUTED_VALUE"""),"3500 Argentia Road")</f>
        <v/>
      </c>
      <c r="AC938" s="45" t="n"/>
      <c r="AD938" s="45">
        <f>IFERROR(__xludf.DUMMYFUNCTION("""COMPUTED_VALUE"""),"OCEAN")</f>
        <v/>
      </c>
      <c r="AE938" s="45">
        <f>IFERROR(__xludf.DUMMYFUNCTION("""COMPUTED_VALUE"""),"N")</f>
        <v/>
      </c>
      <c r="AF938" s="45">
        <f>IFERROR(__xludf.DUMMYFUNCTION("""COMPUTED_VALUE"""),"New Booking")</f>
        <v/>
      </c>
      <c r="AG938" s="49">
        <f>IFERROR(__xludf.DUMMYFUNCTION("IFNA(vlookup(H938,IMPORTRANGE(""1vUGwO1n0QQGx9kKbO0_M5gmuhXZ6-LaxQxgrmJnzgP0"",""'TP# look up'!A:C""),3,0),"""")"),"")</f>
        <v/>
      </c>
      <c r="AH938" s="49">
        <f>LEFT(J938,2)</f>
        <v/>
      </c>
    </row>
    <row r="939" ht="12.75" customHeight="1">
      <c r="A939" s="45">
        <f>IFERROR(__xludf.DUMMYFUNCTION("""COMPUTED_VALUE"""),"Colombo")</f>
        <v/>
      </c>
      <c r="B939" s="45" t="n"/>
      <c r="C939" s="45">
        <f>IFERROR(__xludf.DUMMYFUNCTION("""COMPUTED_VALUE"""),3259528)</f>
        <v/>
      </c>
      <c r="D939" s="45" t="n"/>
      <c r="E939" s="45">
        <f>IFERROR(__xludf.DUMMYFUNCTION("""COMPUTED_VALUE"""),"CFS")</f>
        <v/>
      </c>
      <c r="F939" s="45">
        <f>IFERROR(__xludf.DUMMYFUNCTION("""COMPUTED_VALUE"""),"MAS AMITY PTE LTD")</f>
        <v/>
      </c>
      <c r="G939" s="45">
        <f>IFERROR(__xludf.DUMMYFUNCTION("""COMPUTED_VALUE"""),"MAS Active (Pvt) Ltd – Shadowline")</f>
        <v/>
      </c>
      <c r="H939" s="43">
        <f>IFERROR(__xludf.DUMMYFUNCTION("""COMPUTED_VALUE"""),457042295536)</f>
        <v/>
      </c>
      <c r="I939" s="45">
        <f>IFERROR(__xludf.DUMMYFUNCTION("""COMPUTED_VALUE"""),19923444)</f>
        <v/>
      </c>
      <c r="J939" s="45">
        <f>IFERROR(__xludf.DUMMYFUNCTION("""COMPUTED_VALUE"""),"LW1EUDS")</f>
        <v/>
      </c>
      <c r="K939" s="45">
        <f>IFERROR(__xludf.DUMMYFUNCTION("""COMPUTED_VALUE"""),"LW1EUDS-0002")</f>
        <v/>
      </c>
      <c r="L939" s="45">
        <f>IFERROR(__xludf.DUMMYFUNCTION("""COMPUTED_VALUE"""),3)</f>
        <v/>
      </c>
      <c r="M939" s="45">
        <f>IFERROR(__xludf.DUMMYFUNCTION("""COMPUTED_VALUE"""),111)</f>
        <v/>
      </c>
      <c r="N939" s="45">
        <f>IFERROR(__xludf.DUMMYFUNCTION("""COMPUTED_VALUE"""),22.253)</f>
        <v/>
      </c>
      <c r="O939" s="45">
        <f>IFERROR(__xludf.DUMMYFUNCTION("""COMPUTED_VALUE"""),0.158)</f>
        <v/>
      </c>
      <c r="P939" s="45">
        <f>IFERROR(__xludf.DUMMYFUNCTION("""COMPUTED_VALUE"""),"Colombo, LK")</f>
        <v/>
      </c>
      <c r="Q939" s="45">
        <f>IFERROR(__xludf.DUMMYFUNCTION("""COMPUTED_VALUE"""),"New York, NY, US")</f>
        <v/>
      </c>
      <c r="R939" s="44">
        <f>IFERROR(__xludf.DUMMYFUNCTION("""COMPUTED_VALUE"""),45838)</f>
        <v/>
      </c>
      <c r="S939" s="44">
        <f>IFERROR(__xludf.DUMMYFUNCTION("""COMPUTED_VALUE"""),45897)</f>
        <v/>
      </c>
      <c r="T939" s="45">
        <f>IFERROR(__xludf.DUMMYFUNCTION("""COMPUTED_VALUE"""),"Mississauga, ON, CA")</f>
        <v/>
      </c>
      <c r="U939" s="45" t="n"/>
      <c r="V939" s="45" t="n"/>
      <c r="W939" s="45" t="n"/>
      <c r="X939" s="45" t="n"/>
      <c r="Y939" s="46">
        <f>IFERROR(__xludf.DUMMYFUNCTION("""COMPUTED_VALUE"""),45845)</f>
        <v/>
      </c>
      <c r="Z939" s="46">
        <f>IFERROR(__xludf.DUMMYFUNCTION("""COMPUTED_VALUE"""),45866)</f>
        <v/>
      </c>
      <c r="AA939" s="46">
        <f>IFERROR(__xludf.DUMMYFUNCTION("""COMPUTED_VALUE"""),45866)</f>
        <v/>
      </c>
      <c r="AB939" s="45">
        <f>IFERROR(__xludf.DUMMYFUNCTION("""COMPUTED_VALUE"""),"3500 Argentia Road")</f>
        <v/>
      </c>
      <c r="AC939" s="45" t="n"/>
      <c r="AD939" s="45">
        <f>IFERROR(__xludf.DUMMYFUNCTION("""COMPUTED_VALUE"""),"OCEAN")</f>
        <v/>
      </c>
      <c r="AE939" s="45">
        <f>IFERROR(__xludf.DUMMYFUNCTION("""COMPUTED_VALUE"""),"N")</f>
        <v/>
      </c>
      <c r="AF939" s="45">
        <f>IFERROR(__xludf.DUMMYFUNCTION("""COMPUTED_VALUE"""),"New Booking, Status changed from Submitted to Approved, Port of Loading changed from None to Colombo, LK, Dates Added, Dates Added, Dates Added")</f>
        <v/>
      </c>
      <c r="AG939" s="49">
        <f>IFERROR(__xludf.DUMMYFUNCTION("IFNA(vlookup(H939,IMPORTRANGE(""1vUGwO1n0QQGx9kKbO0_M5gmuhXZ6-LaxQxgrmJnzgP0"",""'TP# look up'!A:C""),3,0),"""")"),"")</f>
        <v/>
      </c>
      <c r="AH939" s="49">
        <f>LEFT(J939,2)</f>
        <v/>
      </c>
    </row>
    <row r="940" ht="12.75" customHeight="1">
      <c r="A940" s="45">
        <f>IFERROR(__xludf.DUMMYFUNCTION("""COMPUTED_VALUE"""),"Colombo")</f>
        <v/>
      </c>
      <c r="B940" s="45" t="n"/>
      <c r="C940" s="45">
        <f>IFERROR(__xludf.DUMMYFUNCTION("""COMPUTED_VALUE"""),3259528)</f>
        <v/>
      </c>
      <c r="D940" s="45" t="n"/>
      <c r="E940" s="45">
        <f>IFERROR(__xludf.DUMMYFUNCTION("""COMPUTED_VALUE"""),"CFS")</f>
        <v/>
      </c>
      <c r="F940" s="45">
        <f>IFERROR(__xludf.DUMMYFUNCTION("""COMPUTED_VALUE"""),"MAS AMITY PTE LTD")</f>
        <v/>
      </c>
      <c r="G940" s="45">
        <f>IFERROR(__xludf.DUMMYFUNCTION("""COMPUTED_VALUE"""),"MAS Active (Pvt) Ltd – Shadowline")</f>
        <v/>
      </c>
      <c r="H940" s="43">
        <f>IFERROR(__xludf.DUMMYFUNCTION("""COMPUTED_VALUE"""),457042295619)</f>
        <v/>
      </c>
      <c r="I940" s="45">
        <f>IFERROR(__xludf.DUMMYFUNCTION("""COMPUTED_VALUE"""),19923534)</f>
        <v/>
      </c>
      <c r="J940" s="45">
        <f>IFERROR(__xludf.DUMMYFUNCTION("""COMPUTED_VALUE"""),"LW5FLOS")</f>
        <v/>
      </c>
      <c r="K940" s="45">
        <f>IFERROR(__xludf.DUMMYFUNCTION("""COMPUTED_VALUE"""),"LW5FLOS-0001")</f>
        <v/>
      </c>
      <c r="L940" s="45">
        <f>IFERROR(__xludf.DUMMYFUNCTION("""COMPUTED_VALUE"""),9)</f>
        <v/>
      </c>
      <c r="M940" s="45">
        <f>IFERROR(__xludf.DUMMYFUNCTION("""COMPUTED_VALUE"""),465)</f>
        <v/>
      </c>
      <c r="N940" s="45">
        <f>IFERROR(__xludf.DUMMYFUNCTION("""COMPUTED_VALUE"""),103.08)</f>
        <v/>
      </c>
      <c r="O940" s="45">
        <f>IFERROR(__xludf.DUMMYFUNCTION("""COMPUTED_VALUE"""),0.632)</f>
        <v/>
      </c>
      <c r="P940" s="45">
        <f>IFERROR(__xludf.DUMMYFUNCTION("""COMPUTED_VALUE"""),"Colombo, LK")</f>
        <v/>
      </c>
      <c r="Q940" s="45">
        <f>IFERROR(__xludf.DUMMYFUNCTION("""COMPUTED_VALUE"""),"New York, NY, US")</f>
        <v/>
      </c>
      <c r="R940" s="44">
        <f>IFERROR(__xludf.DUMMYFUNCTION("""COMPUTED_VALUE"""),45838)</f>
        <v/>
      </c>
      <c r="S940" s="44">
        <f>IFERROR(__xludf.DUMMYFUNCTION("""COMPUTED_VALUE"""),45897)</f>
        <v/>
      </c>
      <c r="T940" s="45">
        <f>IFERROR(__xludf.DUMMYFUNCTION("""COMPUTED_VALUE"""),"Mississauga, ON, CA")</f>
        <v/>
      </c>
      <c r="U940" s="45" t="n"/>
      <c r="V940" s="45" t="n"/>
      <c r="W940" s="45" t="n"/>
      <c r="X940" s="45" t="n"/>
      <c r="Y940" s="46">
        <f>IFERROR(__xludf.DUMMYFUNCTION("""COMPUTED_VALUE"""),45845)</f>
        <v/>
      </c>
      <c r="Z940" s="46">
        <f>IFERROR(__xludf.DUMMYFUNCTION("""COMPUTED_VALUE"""),45866)</f>
        <v/>
      </c>
      <c r="AA940" s="46">
        <f>IFERROR(__xludf.DUMMYFUNCTION("""COMPUTED_VALUE"""),45866)</f>
        <v/>
      </c>
      <c r="AB940" s="45">
        <f>IFERROR(__xludf.DUMMYFUNCTION("""COMPUTED_VALUE"""),"3500 Argentia Road")</f>
        <v/>
      </c>
      <c r="AC940" s="45" t="n"/>
      <c r="AD940" s="45">
        <f>IFERROR(__xludf.DUMMYFUNCTION("""COMPUTED_VALUE"""),"OCEAN")</f>
        <v/>
      </c>
      <c r="AE940" s="45">
        <f>IFERROR(__xludf.DUMMYFUNCTION("""COMPUTED_VALUE"""),"N")</f>
        <v/>
      </c>
      <c r="AF940" s="45">
        <f>IFERROR(__xludf.DUMMYFUNCTION("""COMPUTED_VALUE"""),"New Booking, Status changed from Submitted to Approved, Port of Loading changed from None to Colombo, LK, Dates Added, Dates Added, Dates Added")</f>
        <v/>
      </c>
      <c r="AG940" s="49">
        <f>IFERROR(__xludf.DUMMYFUNCTION("IFNA(vlookup(H940,IMPORTRANGE(""1vUGwO1n0QQGx9kKbO0_M5gmuhXZ6-LaxQxgrmJnzgP0"",""'TP# look up'!A:C""),3,0),"""")"),"")</f>
        <v/>
      </c>
      <c r="AH940" s="49">
        <f>LEFT(J940,2)</f>
        <v/>
      </c>
    </row>
    <row r="941" ht="12.75" customHeight="1">
      <c r="A941" s="45">
        <f>IFERROR(__xludf.DUMMYFUNCTION("""COMPUTED_VALUE"""),"Colombo")</f>
        <v/>
      </c>
      <c r="B941" s="45" t="n"/>
      <c r="C941" s="45">
        <f>IFERROR(__xludf.DUMMYFUNCTION("""COMPUTED_VALUE"""),3259528)</f>
        <v/>
      </c>
      <c r="D941" s="45" t="n"/>
      <c r="E941" s="45">
        <f>IFERROR(__xludf.DUMMYFUNCTION("""COMPUTED_VALUE"""),"CFS")</f>
        <v/>
      </c>
      <c r="F941" s="45">
        <f>IFERROR(__xludf.DUMMYFUNCTION("""COMPUTED_VALUE"""),"MAS AMITY PTE LTD")</f>
        <v/>
      </c>
      <c r="G941" s="45">
        <f>IFERROR(__xludf.DUMMYFUNCTION("""COMPUTED_VALUE"""),"MAS Active (Pvt) Ltd – Sleekline")</f>
        <v/>
      </c>
      <c r="H941" s="43">
        <f>IFERROR(__xludf.DUMMYFUNCTION("""COMPUTED_VALUE"""),457028104800)</f>
        <v/>
      </c>
      <c r="I941" s="45">
        <f>IFERROR(__xludf.DUMMYFUNCTION("""COMPUTED_VALUE"""),19940864)</f>
        <v/>
      </c>
      <c r="J941" s="45">
        <f>IFERROR(__xludf.DUMMYFUNCTION("""COMPUTED_VALUE"""),"LM9B91S")</f>
        <v/>
      </c>
      <c r="K941" s="45">
        <f>IFERROR(__xludf.DUMMYFUNCTION("""COMPUTED_VALUE"""),"LM9B91S-4310")</f>
        <v/>
      </c>
      <c r="L941" s="45">
        <f>IFERROR(__xludf.DUMMYFUNCTION("""COMPUTED_VALUE"""),5)</f>
        <v/>
      </c>
      <c r="M941" s="45">
        <f>IFERROR(__xludf.DUMMYFUNCTION("""COMPUTED_VALUE"""),186)</f>
        <v/>
      </c>
      <c r="N941" s="45">
        <f>IFERROR(__xludf.DUMMYFUNCTION("""COMPUTED_VALUE"""),51.05)</f>
        <v/>
      </c>
      <c r="O941" s="45">
        <f>IFERROR(__xludf.DUMMYFUNCTION("""COMPUTED_VALUE"""),0.357)</f>
        <v/>
      </c>
      <c r="P941" s="45">
        <f>IFERROR(__xludf.DUMMYFUNCTION("""COMPUTED_VALUE"""),"Colombo, LK")</f>
        <v/>
      </c>
      <c r="Q941" s="45">
        <f>IFERROR(__xludf.DUMMYFUNCTION("""COMPUTED_VALUE"""),"New York, NY, US")</f>
        <v/>
      </c>
      <c r="R941" s="44">
        <f>IFERROR(__xludf.DUMMYFUNCTION("""COMPUTED_VALUE"""),45838)</f>
        <v/>
      </c>
      <c r="S941" s="44">
        <f>IFERROR(__xludf.DUMMYFUNCTION("""COMPUTED_VALUE"""),45897)</f>
        <v/>
      </c>
      <c r="T941" s="45">
        <f>IFERROR(__xludf.DUMMYFUNCTION("""COMPUTED_VALUE"""),"Mississauga, ON, CA")</f>
        <v/>
      </c>
      <c r="U941" s="45" t="n"/>
      <c r="V941" s="45" t="n"/>
      <c r="W941" s="45" t="n"/>
      <c r="X941" s="45" t="n"/>
      <c r="Y941" s="46">
        <f>IFERROR(__xludf.DUMMYFUNCTION("""COMPUTED_VALUE"""),45845)</f>
        <v/>
      </c>
      <c r="Z941" s="46">
        <f>IFERROR(__xludf.DUMMYFUNCTION("""COMPUTED_VALUE"""),45866)</f>
        <v/>
      </c>
      <c r="AA941" s="46">
        <f>IFERROR(__xludf.DUMMYFUNCTION("""COMPUTED_VALUE"""),45866)</f>
        <v/>
      </c>
      <c r="AB941" s="45">
        <f>IFERROR(__xludf.DUMMYFUNCTION("""COMPUTED_VALUE"""),"3500 Argentia Road")</f>
        <v/>
      </c>
      <c r="AC941" s="45" t="n"/>
      <c r="AD941" s="45">
        <f>IFERROR(__xludf.DUMMYFUNCTION("""COMPUTED_VALUE"""),"OCEAN")</f>
        <v/>
      </c>
      <c r="AE941" s="45">
        <f>IFERROR(__xludf.DUMMYFUNCTION("""COMPUTED_VALUE"""),"N")</f>
        <v/>
      </c>
      <c r="AF941" s="45">
        <f>IFERROR(__xludf.DUMMYFUNCTION("""COMPUTED_VALUE"""),"New Booking, Status changed from Submitted to Approved, Port of Loading changed from None to Colombo, LK, Dates Added, Dates Added, Dates Added")</f>
        <v/>
      </c>
      <c r="AG941" s="49">
        <f>IFERROR(__xludf.DUMMYFUNCTION("IFNA(vlookup(H941,IMPORTRANGE(""1vUGwO1n0QQGx9kKbO0_M5gmuhXZ6-LaxQxgrmJnzgP0"",""'TP# look up'!A:C""),3,0),"""")"),"")</f>
        <v/>
      </c>
      <c r="AH941" s="49">
        <f>LEFT(J941,2)</f>
        <v/>
      </c>
    </row>
    <row r="942" ht="12.75" customHeight="1">
      <c r="A942" s="45">
        <f>IFERROR(__xludf.DUMMYFUNCTION("""COMPUTED_VALUE"""),"Colombo")</f>
        <v/>
      </c>
      <c r="B942" s="45" t="n"/>
      <c r="C942" s="45">
        <f>IFERROR(__xludf.DUMMYFUNCTION("""COMPUTED_VALUE"""),3259528)</f>
        <v/>
      </c>
      <c r="D942" s="45" t="n"/>
      <c r="E942" s="45">
        <f>IFERROR(__xludf.DUMMYFUNCTION("""COMPUTED_VALUE"""),"CFS")</f>
        <v/>
      </c>
      <c r="F942" s="45">
        <f>IFERROR(__xludf.DUMMYFUNCTION("""COMPUTED_VALUE"""),"MAS AMITY PTE LTD")</f>
        <v/>
      </c>
      <c r="G942" s="45">
        <f>IFERROR(__xludf.DUMMYFUNCTION("""COMPUTED_VALUE"""),"MAS Active (Pvt) Ltd – Sleekline")</f>
        <v/>
      </c>
      <c r="H942" s="43">
        <f>IFERROR(__xludf.DUMMYFUNCTION("""COMPUTED_VALUE"""),457035534565)</f>
        <v/>
      </c>
      <c r="I942" s="45">
        <f>IFERROR(__xludf.DUMMYFUNCTION("""COMPUTED_VALUE"""),19935899)</f>
        <v/>
      </c>
      <c r="J942" s="45">
        <f>IFERROR(__xludf.DUMMYFUNCTION("""COMPUTED_VALUE"""),"LM9AXZS")</f>
        <v/>
      </c>
      <c r="K942" s="45">
        <f>IFERROR(__xludf.DUMMYFUNCTION("""COMPUTED_VALUE"""),"LM9AXZS-072460")</f>
        <v/>
      </c>
      <c r="L942" s="45">
        <f>IFERROR(__xludf.DUMMYFUNCTION("""COMPUTED_VALUE"""),1)</f>
        <v/>
      </c>
      <c r="M942" s="45">
        <f>IFERROR(__xludf.DUMMYFUNCTION("""COMPUTED_VALUE"""),91)</f>
        <v/>
      </c>
      <c r="N942" s="45">
        <f>IFERROR(__xludf.DUMMYFUNCTION("""COMPUTED_VALUE"""),10.42)</f>
        <v/>
      </c>
      <c r="O942" s="45">
        <f>IFERROR(__xludf.DUMMYFUNCTION("""COMPUTED_VALUE"""),0.079)</f>
        <v/>
      </c>
      <c r="P942" s="45">
        <f>IFERROR(__xludf.DUMMYFUNCTION("""COMPUTED_VALUE"""),"Colombo, LK")</f>
        <v/>
      </c>
      <c r="Q942" s="45">
        <f>IFERROR(__xludf.DUMMYFUNCTION("""COMPUTED_VALUE"""),"New York, NY, US")</f>
        <v/>
      </c>
      <c r="R942" s="44">
        <f>IFERROR(__xludf.DUMMYFUNCTION("""COMPUTED_VALUE"""),45838)</f>
        <v/>
      </c>
      <c r="S942" s="44">
        <f>IFERROR(__xludf.DUMMYFUNCTION("""COMPUTED_VALUE"""),45897)</f>
        <v/>
      </c>
      <c r="T942" s="45">
        <f>IFERROR(__xludf.DUMMYFUNCTION("""COMPUTED_VALUE"""),"Mississauga, ON, CA")</f>
        <v/>
      </c>
      <c r="U942" s="45" t="n"/>
      <c r="V942" s="45" t="n"/>
      <c r="W942" s="45" t="n"/>
      <c r="X942" s="45" t="n"/>
      <c r="Y942" s="46">
        <f>IFERROR(__xludf.DUMMYFUNCTION("""COMPUTED_VALUE"""),45845)</f>
        <v/>
      </c>
      <c r="Z942" s="46">
        <f>IFERROR(__xludf.DUMMYFUNCTION("""COMPUTED_VALUE"""),45866)</f>
        <v/>
      </c>
      <c r="AA942" s="46">
        <f>IFERROR(__xludf.DUMMYFUNCTION("""COMPUTED_VALUE"""),45866)</f>
        <v/>
      </c>
      <c r="AB942" s="45">
        <f>IFERROR(__xludf.DUMMYFUNCTION("""COMPUTED_VALUE"""),"3500 Argentia Road")</f>
        <v/>
      </c>
      <c r="AC942" s="45" t="n"/>
      <c r="AD942" s="45">
        <f>IFERROR(__xludf.DUMMYFUNCTION("""COMPUTED_VALUE"""),"OCEAN")</f>
        <v/>
      </c>
      <c r="AE942" s="45">
        <f>IFERROR(__xludf.DUMMYFUNCTION("""COMPUTED_VALUE"""),"N")</f>
        <v/>
      </c>
      <c r="AF942" s="45">
        <f>IFERROR(__xludf.DUMMYFUNCTION("""COMPUTED_VALUE"""),"New Booking, Status changed from Submitted to Approved, Port of Loading changed from None to Colombo, LK, Dates Added, Dates Added, Dates Added")</f>
        <v/>
      </c>
      <c r="AG942" s="49">
        <f>IFERROR(__xludf.DUMMYFUNCTION("IFNA(vlookup(H942,IMPORTRANGE(""1vUGwO1n0QQGx9kKbO0_M5gmuhXZ6-LaxQxgrmJnzgP0"",""'TP# look up'!A:C""),3,0),"""")"),"")</f>
        <v/>
      </c>
      <c r="AH942" s="49">
        <f>LEFT(J942,2)</f>
        <v/>
      </c>
    </row>
    <row r="943" ht="12.75" customHeight="1">
      <c r="A943" s="45">
        <f>IFERROR(__xludf.DUMMYFUNCTION("""COMPUTED_VALUE"""),"Colombo")</f>
        <v/>
      </c>
      <c r="B943" s="45" t="n"/>
      <c r="C943" s="45">
        <f>IFERROR(__xludf.DUMMYFUNCTION("""COMPUTED_VALUE"""),3259528)</f>
        <v/>
      </c>
      <c r="D943" s="45" t="n"/>
      <c r="E943" s="45">
        <f>IFERROR(__xludf.DUMMYFUNCTION("""COMPUTED_VALUE"""),"CFS")</f>
        <v/>
      </c>
      <c r="F943" s="45">
        <f>IFERROR(__xludf.DUMMYFUNCTION("""COMPUTED_VALUE"""),"MAS AMITY PTE LTD")</f>
        <v/>
      </c>
      <c r="G943" s="45">
        <f>IFERROR(__xludf.DUMMYFUNCTION("""COMPUTED_VALUE"""),"MAS Active (Pvt) Ltd – Sleekline")</f>
        <v/>
      </c>
      <c r="H943" s="43">
        <f>IFERROR(__xludf.DUMMYFUNCTION("""COMPUTED_VALUE"""),457036881844)</f>
        <v/>
      </c>
      <c r="I943" s="45">
        <f>IFERROR(__xludf.DUMMYFUNCTION("""COMPUTED_VALUE"""),19940674)</f>
        <v/>
      </c>
      <c r="J943" s="45">
        <f>IFERROR(__xludf.DUMMYFUNCTION("""COMPUTED_VALUE"""),"LM9AXZS")</f>
        <v/>
      </c>
      <c r="K943" s="45">
        <f>IFERROR(__xludf.DUMMYFUNCTION("""COMPUTED_VALUE"""),"LM9AXZS-072460")</f>
        <v/>
      </c>
      <c r="L943" s="45">
        <f>IFERROR(__xludf.DUMMYFUNCTION("""COMPUTED_VALUE"""),3)</f>
        <v/>
      </c>
      <c r="M943" s="45">
        <f>IFERROR(__xludf.DUMMYFUNCTION("""COMPUTED_VALUE"""),207)</f>
        <v/>
      </c>
      <c r="N943" s="45">
        <f>IFERROR(__xludf.DUMMYFUNCTION("""COMPUTED_VALUE"""),24.03)</f>
        <v/>
      </c>
      <c r="O943" s="45">
        <f>IFERROR(__xludf.DUMMYFUNCTION("""COMPUTED_VALUE"""),0.159)</f>
        <v/>
      </c>
      <c r="P943" s="45">
        <f>IFERROR(__xludf.DUMMYFUNCTION("""COMPUTED_VALUE"""),"Colombo, LK")</f>
        <v/>
      </c>
      <c r="Q943" s="45">
        <f>IFERROR(__xludf.DUMMYFUNCTION("""COMPUTED_VALUE"""),"New York, NY, US")</f>
        <v/>
      </c>
      <c r="R943" s="44">
        <f>IFERROR(__xludf.DUMMYFUNCTION("""COMPUTED_VALUE"""),45838)</f>
        <v/>
      </c>
      <c r="S943" s="44">
        <f>IFERROR(__xludf.DUMMYFUNCTION("""COMPUTED_VALUE"""),45897)</f>
        <v/>
      </c>
      <c r="T943" s="45">
        <f>IFERROR(__xludf.DUMMYFUNCTION("""COMPUTED_VALUE"""),"Mississauga, ON, CA")</f>
        <v/>
      </c>
      <c r="U943" s="45" t="n"/>
      <c r="V943" s="45" t="n"/>
      <c r="W943" s="45" t="n"/>
      <c r="X943" s="45" t="n"/>
      <c r="Y943" s="46">
        <f>IFERROR(__xludf.DUMMYFUNCTION("""COMPUTED_VALUE"""),45845)</f>
        <v/>
      </c>
      <c r="Z943" s="46">
        <f>IFERROR(__xludf.DUMMYFUNCTION("""COMPUTED_VALUE"""),45866)</f>
        <v/>
      </c>
      <c r="AA943" s="46">
        <f>IFERROR(__xludf.DUMMYFUNCTION("""COMPUTED_VALUE"""),45866)</f>
        <v/>
      </c>
      <c r="AB943" s="45">
        <f>IFERROR(__xludf.DUMMYFUNCTION("""COMPUTED_VALUE"""),"3500 Argentia Road")</f>
        <v/>
      </c>
      <c r="AC943" s="45" t="n"/>
      <c r="AD943" s="45">
        <f>IFERROR(__xludf.DUMMYFUNCTION("""COMPUTED_VALUE"""),"OCEAN")</f>
        <v/>
      </c>
      <c r="AE943" s="45">
        <f>IFERROR(__xludf.DUMMYFUNCTION("""COMPUTED_VALUE"""),"N")</f>
        <v/>
      </c>
      <c r="AF943" s="45">
        <f>IFERROR(__xludf.DUMMYFUNCTION("""COMPUTED_VALUE"""),"New Booking, Status changed from Submitted to Approved, Port of Loading changed from None to Colombo, LK, Dates Added, Dates Added, Dates Added")</f>
        <v/>
      </c>
      <c r="AG943" s="49">
        <f>IFERROR(__xludf.DUMMYFUNCTION("IFNA(vlookup(H943,IMPORTRANGE(""1vUGwO1n0QQGx9kKbO0_M5gmuhXZ6-LaxQxgrmJnzgP0"",""'TP# look up'!A:C""),3,0),"""")"),"")</f>
        <v/>
      </c>
      <c r="AH943" s="49">
        <f>LEFT(J943,2)</f>
        <v/>
      </c>
    </row>
    <row r="944" ht="12.75" customHeight="1">
      <c r="A944" s="45">
        <f>IFERROR(__xludf.DUMMYFUNCTION("""COMPUTED_VALUE"""),"Colombo")</f>
        <v/>
      </c>
      <c r="B944" s="45" t="n"/>
      <c r="C944" s="45">
        <f>IFERROR(__xludf.DUMMYFUNCTION("""COMPUTED_VALUE"""),3259528)</f>
        <v/>
      </c>
      <c r="D944" s="45" t="n"/>
      <c r="E944" s="45">
        <f>IFERROR(__xludf.DUMMYFUNCTION("""COMPUTED_VALUE"""),"CFS")</f>
        <v/>
      </c>
      <c r="F944" s="45">
        <f>IFERROR(__xludf.DUMMYFUNCTION("""COMPUTED_VALUE"""),"MAS AMITY PTE LTD")</f>
        <v/>
      </c>
      <c r="G944" s="45">
        <f>IFERROR(__xludf.DUMMYFUNCTION("""COMPUTED_VALUE"""),"MAS Active (Pvt) Ltd – Sleekline")</f>
        <v/>
      </c>
      <c r="H944" s="43">
        <f>IFERROR(__xludf.DUMMYFUNCTION("""COMPUTED_VALUE"""),457040480208)</f>
        <v/>
      </c>
      <c r="I944" s="45">
        <f>IFERROR(__xludf.DUMMYFUNCTION("""COMPUTED_VALUE"""),19926894)</f>
        <v/>
      </c>
      <c r="J944" s="45">
        <f>IFERROR(__xludf.DUMMYFUNCTION("""COMPUTED_VALUE"""),"LM9B91S")</f>
        <v/>
      </c>
      <c r="K944" s="45">
        <f>IFERROR(__xludf.DUMMYFUNCTION("""COMPUTED_VALUE"""),"LM9B91S-4310")</f>
        <v/>
      </c>
      <c r="L944" s="45">
        <f>IFERROR(__xludf.DUMMYFUNCTION("""COMPUTED_VALUE"""),3)</f>
        <v/>
      </c>
      <c r="M944" s="45">
        <f>IFERROR(__xludf.DUMMYFUNCTION("""COMPUTED_VALUE"""),121)</f>
        <v/>
      </c>
      <c r="N944" s="45">
        <f>IFERROR(__xludf.DUMMYFUNCTION("""COMPUTED_VALUE"""),32.77)</f>
        <v/>
      </c>
      <c r="O944" s="45">
        <f>IFERROR(__xludf.DUMMYFUNCTION("""COMPUTED_VALUE"""),0.238)</f>
        <v/>
      </c>
      <c r="P944" s="45">
        <f>IFERROR(__xludf.DUMMYFUNCTION("""COMPUTED_VALUE"""),"Colombo, LK")</f>
        <v/>
      </c>
      <c r="Q944" s="45">
        <f>IFERROR(__xludf.DUMMYFUNCTION("""COMPUTED_VALUE"""),"New York, NY, US")</f>
        <v/>
      </c>
      <c r="R944" s="44">
        <f>IFERROR(__xludf.DUMMYFUNCTION("""COMPUTED_VALUE"""),45838)</f>
        <v/>
      </c>
      <c r="S944" s="44">
        <f>IFERROR(__xludf.DUMMYFUNCTION("""COMPUTED_VALUE"""),45897)</f>
        <v/>
      </c>
      <c r="T944" s="45">
        <f>IFERROR(__xludf.DUMMYFUNCTION("""COMPUTED_VALUE"""),"Mississauga, ON, CA")</f>
        <v/>
      </c>
      <c r="U944" s="45" t="n"/>
      <c r="V944" s="45" t="n"/>
      <c r="W944" s="45" t="n"/>
      <c r="X944" s="45" t="n"/>
      <c r="Y944" s="46">
        <f>IFERROR(__xludf.DUMMYFUNCTION("""COMPUTED_VALUE"""),45845)</f>
        <v/>
      </c>
      <c r="Z944" s="46">
        <f>IFERROR(__xludf.DUMMYFUNCTION("""COMPUTED_VALUE"""),45866)</f>
        <v/>
      </c>
      <c r="AA944" s="46">
        <f>IFERROR(__xludf.DUMMYFUNCTION("""COMPUTED_VALUE"""),45866)</f>
        <v/>
      </c>
      <c r="AB944" s="45">
        <f>IFERROR(__xludf.DUMMYFUNCTION("""COMPUTED_VALUE"""),"3500 Argentia Road")</f>
        <v/>
      </c>
      <c r="AC944" s="45" t="n"/>
      <c r="AD944" s="45">
        <f>IFERROR(__xludf.DUMMYFUNCTION("""COMPUTED_VALUE"""),"OCEAN")</f>
        <v/>
      </c>
      <c r="AE944" s="45">
        <f>IFERROR(__xludf.DUMMYFUNCTION("""COMPUTED_VALUE"""),"N")</f>
        <v/>
      </c>
      <c r="AF944" s="45">
        <f>IFERROR(__xludf.DUMMYFUNCTION("""COMPUTED_VALUE"""),"New Booking, Status changed from Submitted to Approved, Port of Loading changed from None to Colombo, LK, Dates Added, Dates Added, Dates Added")</f>
        <v/>
      </c>
      <c r="AG944" s="49">
        <f>IFERROR(__xludf.DUMMYFUNCTION("IFNA(vlookup(H944,IMPORTRANGE(""1vUGwO1n0QQGx9kKbO0_M5gmuhXZ6-LaxQxgrmJnzgP0"",""'TP# look up'!A:C""),3,0),"""")"),"")</f>
        <v/>
      </c>
      <c r="AH944" s="49">
        <f>LEFT(J944,2)</f>
        <v/>
      </c>
    </row>
    <row r="945" ht="12.75" customHeight="1">
      <c r="A945" s="45">
        <f>IFERROR(__xludf.DUMMYFUNCTION("""COMPUTED_VALUE"""),"Colombo")</f>
        <v/>
      </c>
      <c r="B945" s="45" t="n"/>
      <c r="C945" s="45">
        <f>IFERROR(__xludf.DUMMYFUNCTION("""COMPUTED_VALUE"""),3259528)</f>
        <v/>
      </c>
      <c r="D945" s="45" t="n"/>
      <c r="E945" s="45">
        <f>IFERROR(__xludf.DUMMYFUNCTION("""COMPUTED_VALUE"""),"CFS")</f>
        <v/>
      </c>
      <c r="F945" s="45">
        <f>IFERROR(__xludf.DUMMYFUNCTION("""COMPUTED_VALUE"""),"MAS AMITY PTE LTD")</f>
        <v/>
      </c>
      <c r="G945" s="45">
        <f>IFERROR(__xludf.DUMMYFUNCTION("""COMPUTED_VALUE"""),"MAS Active (Pvt) Ltd – Sleekline")</f>
        <v/>
      </c>
      <c r="H945" s="43">
        <f>IFERROR(__xludf.DUMMYFUNCTION("""COMPUTED_VALUE"""),457040480257)</f>
        <v/>
      </c>
      <c r="I945" s="45">
        <f>IFERROR(__xludf.DUMMYFUNCTION("""COMPUTED_VALUE"""),19927026)</f>
        <v/>
      </c>
      <c r="J945" s="45">
        <f>IFERROR(__xludf.DUMMYFUNCTION("""COMPUTED_VALUE"""),"LM9AN0S")</f>
        <v/>
      </c>
      <c r="K945" s="45">
        <f>IFERROR(__xludf.DUMMYFUNCTION("""COMPUTED_VALUE"""),"LM9AN0S-072460")</f>
        <v/>
      </c>
      <c r="L945" s="45">
        <f>IFERROR(__xludf.DUMMYFUNCTION("""COMPUTED_VALUE"""),3)</f>
        <v/>
      </c>
      <c r="M945" s="45">
        <f>IFERROR(__xludf.DUMMYFUNCTION("""COMPUTED_VALUE"""),244)</f>
        <v/>
      </c>
      <c r="N945" s="45">
        <f>IFERROR(__xludf.DUMMYFUNCTION("""COMPUTED_VALUE"""),29.52)</f>
        <v/>
      </c>
      <c r="O945" s="45">
        <f>IFERROR(__xludf.DUMMYFUNCTION("""COMPUTED_VALUE"""),0.238)</f>
        <v/>
      </c>
      <c r="P945" s="45">
        <f>IFERROR(__xludf.DUMMYFUNCTION("""COMPUTED_VALUE"""),"Colombo, LK")</f>
        <v/>
      </c>
      <c r="Q945" s="45">
        <f>IFERROR(__xludf.DUMMYFUNCTION("""COMPUTED_VALUE"""),"New York, NY, US")</f>
        <v/>
      </c>
      <c r="R945" s="44">
        <f>IFERROR(__xludf.DUMMYFUNCTION("""COMPUTED_VALUE"""),45838)</f>
        <v/>
      </c>
      <c r="S945" s="44">
        <f>IFERROR(__xludf.DUMMYFUNCTION("""COMPUTED_VALUE"""),45897)</f>
        <v/>
      </c>
      <c r="T945" s="45">
        <f>IFERROR(__xludf.DUMMYFUNCTION("""COMPUTED_VALUE"""),"Mississauga, ON, CA")</f>
        <v/>
      </c>
      <c r="U945" s="45" t="n"/>
      <c r="V945" s="45" t="n"/>
      <c r="W945" s="45" t="n"/>
      <c r="X945" s="45" t="n"/>
      <c r="Y945" s="46">
        <f>IFERROR(__xludf.DUMMYFUNCTION("""COMPUTED_VALUE"""),45845)</f>
        <v/>
      </c>
      <c r="Z945" s="46">
        <f>IFERROR(__xludf.DUMMYFUNCTION("""COMPUTED_VALUE"""),45866)</f>
        <v/>
      </c>
      <c r="AA945" s="46">
        <f>IFERROR(__xludf.DUMMYFUNCTION("""COMPUTED_VALUE"""),45866)</f>
        <v/>
      </c>
      <c r="AB945" s="45">
        <f>IFERROR(__xludf.DUMMYFUNCTION("""COMPUTED_VALUE"""),"3500 Argentia Road")</f>
        <v/>
      </c>
      <c r="AC945" s="45" t="n"/>
      <c r="AD945" s="45">
        <f>IFERROR(__xludf.DUMMYFUNCTION("""COMPUTED_VALUE"""),"OCEAN")</f>
        <v/>
      </c>
      <c r="AE945" s="45">
        <f>IFERROR(__xludf.DUMMYFUNCTION("""COMPUTED_VALUE"""),"N")</f>
        <v/>
      </c>
      <c r="AF945" s="45">
        <f>IFERROR(__xludf.DUMMYFUNCTION("""COMPUTED_VALUE"""),"New Booking, Status changed from Submitted to Approved, Port of Loading changed from None to Colombo, LK, Dates Added, Dates Added, Dates Added")</f>
        <v/>
      </c>
      <c r="AG945" s="49">
        <f>IFERROR(__xludf.DUMMYFUNCTION("IFNA(vlookup(H945,IMPORTRANGE(""1vUGwO1n0QQGx9kKbO0_M5gmuhXZ6-LaxQxgrmJnzgP0"",""'TP# look up'!A:C""),3,0),"""")"),"")</f>
        <v/>
      </c>
      <c r="AH945" s="49">
        <f>LEFT(J945,2)</f>
        <v/>
      </c>
    </row>
    <row r="946" ht="12.75" customHeight="1">
      <c r="A946" s="45">
        <f>IFERROR(__xludf.DUMMYFUNCTION("""COMPUTED_VALUE"""),"Colombo")</f>
        <v/>
      </c>
      <c r="B946" s="45" t="n"/>
      <c r="C946" s="45">
        <f>IFERROR(__xludf.DUMMYFUNCTION("""COMPUTED_VALUE"""),3259528)</f>
        <v/>
      </c>
      <c r="D946" s="45" t="n"/>
      <c r="E946" s="45">
        <f>IFERROR(__xludf.DUMMYFUNCTION("""COMPUTED_VALUE"""),"CFS")</f>
        <v/>
      </c>
      <c r="F946" s="45">
        <f>IFERROR(__xludf.DUMMYFUNCTION("""COMPUTED_VALUE"""),"MAS AMITY PTE LTD")</f>
        <v/>
      </c>
      <c r="G946" s="45">
        <f>IFERROR(__xludf.DUMMYFUNCTION("""COMPUTED_VALUE"""),"MAS Active (Pvt) Ltd – Sleekline")</f>
        <v/>
      </c>
      <c r="H946" s="43">
        <f>IFERROR(__xludf.DUMMYFUNCTION("""COMPUTED_VALUE"""),457042295906)</f>
        <v/>
      </c>
      <c r="I946" s="45">
        <f>IFERROR(__xludf.DUMMYFUNCTION("""COMPUTED_VALUE"""),19935856)</f>
        <v/>
      </c>
      <c r="J946" s="45">
        <f>IFERROR(__xludf.DUMMYFUNCTION("""COMPUTED_VALUE"""),"LM9AN0S")</f>
        <v/>
      </c>
      <c r="K946" s="45">
        <f>IFERROR(__xludf.DUMMYFUNCTION("""COMPUTED_VALUE"""),"LM9AN0S-072460")</f>
        <v/>
      </c>
      <c r="L946" s="45">
        <f>IFERROR(__xludf.DUMMYFUNCTION("""COMPUTED_VALUE"""),1)</f>
        <v/>
      </c>
      <c r="M946" s="45">
        <f>IFERROR(__xludf.DUMMYFUNCTION("""COMPUTED_VALUE"""),84)</f>
        <v/>
      </c>
      <c r="N946" s="45">
        <f>IFERROR(__xludf.DUMMYFUNCTION("""COMPUTED_VALUE"""),10.11)</f>
        <v/>
      </c>
      <c r="O946" s="45">
        <f>IFERROR(__xludf.DUMMYFUNCTION("""COMPUTED_VALUE"""),0.079)</f>
        <v/>
      </c>
      <c r="P946" s="45">
        <f>IFERROR(__xludf.DUMMYFUNCTION("""COMPUTED_VALUE"""),"Colombo, LK")</f>
        <v/>
      </c>
      <c r="Q946" s="45">
        <f>IFERROR(__xludf.DUMMYFUNCTION("""COMPUTED_VALUE"""),"New York, NY, US")</f>
        <v/>
      </c>
      <c r="R946" s="44">
        <f>IFERROR(__xludf.DUMMYFUNCTION("""COMPUTED_VALUE"""),45838)</f>
        <v/>
      </c>
      <c r="S946" s="44">
        <f>IFERROR(__xludf.DUMMYFUNCTION("""COMPUTED_VALUE"""),45897)</f>
        <v/>
      </c>
      <c r="T946" s="45">
        <f>IFERROR(__xludf.DUMMYFUNCTION("""COMPUTED_VALUE"""),"Mississauga, ON, CA")</f>
        <v/>
      </c>
      <c r="U946" s="45" t="n"/>
      <c r="V946" s="45" t="n"/>
      <c r="W946" s="45" t="n"/>
      <c r="X946" s="45" t="n"/>
      <c r="Y946" s="46">
        <f>IFERROR(__xludf.DUMMYFUNCTION("""COMPUTED_VALUE"""),45845)</f>
        <v/>
      </c>
      <c r="Z946" s="46">
        <f>IFERROR(__xludf.DUMMYFUNCTION("""COMPUTED_VALUE"""),45866)</f>
        <v/>
      </c>
      <c r="AA946" s="46">
        <f>IFERROR(__xludf.DUMMYFUNCTION("""COMPUTED_VALUE"""),45866)</f>
        <v/>
      </c>
      <c r="AB946" s="45">
        <f>IFERROR(__xludf.DUMMYFUNCTION("""COMPUTED_VALUE"""),"3500 Argentia Road")</f>
        <v/>
      </c>
      <c r="AC946" s="45" t="n"/>
      <c r="AD946" s="45">
        <f>IFERROR(__xludf.DUMMYFUNCTION("""COMPUTED_VALUE"""),"OCEAN")</f>
        <v/>
      </c>
      <c r="AE946" s="45">
        <f>IFERROR(__xludf.DUMMYFUNCTION("""COMPUTED_VALUE"""),"N")</f>
        <v/>
      </c>
      <c r="AF946" s="45">
        <f>IFERROR(__xludf.DUMMYFUNCTION("""COMPUTED_VALUE"""),"New Booking, Status changed from Submitted to Approved, Port of Loading changed from None to Colombo, LK, Dates Added, Dates Added, Dates Added")</f>
        <v/>
      </c>
      <c r="AG946" s="49">
        <f>IFERROR(__xludf.DUMMYFUNCTION("IFNA(vlookup(H946,IMPORTRANGE(""1vUGwO1n0QQGx9kKbO0_M5gmuhXZ6-LaxQxgrmJnzgP0"",""'TP# look up'!A:C""),3,0),"""")"),"")</f>
        <v/>
      </c>
      <c r="AH946" s="49">
        <f>LEFT(J946,2)</f>
        <v/>
      </c>
    </row>
    <row r="947" ht="12.75" customHeight="1">
      <c r="A947" s="45">
        <f>IFERROR(__xludf.DUMMYFUNCTION("""COMPUTED_VALUE"""),"Colombo")</f>
        <v/>
      </c>
      <c r="B947" s="45" t="n"/>
      <c r="C947" s="45">
        <f>IFERROR(__xludf.DUMMYFUNCTION("""COMPUTED_VALUE"""),3259528)</f>
        <v/>
      </c>
      <c r="D947" s="45" t="n"/>
      <c r="E947" s="45">
        <f>IFERROR(__xludf.DUMMYFUNCTION("""COMPUTED_VALUE"""),"CFS")</f>
        <v/>
      </c>
      <c r="F947" s="45">
        <f>IFERROR(__xludf.DUMMYFUNCTION("""COMPUTED_VALUE"""),"MAS AMITY PTE LTD")</f>
        <v/>
      </c>
      <c r="G947" s="45">
        <f>IFERROR(__xludf.DUMMYFUNCTION("""COMPUTED_VALUE"""),"MAS Active (Pvt) Ltd – Sleekline")</f>
        <v/>
      </c>
      <c r="H947" s="43">
        <f>IFERROR(__xludf.DUMMYFUNCTION("""COMPUTED_VALUE"""),457042296025)</f>
        <v/>
      </c>
      <c r="I947" s="45">
        <f>IFERROR(__xludf.DUMMYFUNCTION("""COMPUTED_VALUE"""),19936233)</f>
        <v/>
      </c>
      <c r="J947" s="45">
        <f>IFERROR(__xludf.DUMMYFUNCTION("""COMPUTED_VALUE"""),"LM9B91S")</f>
        <v/>
      </c>
      <c r="K947" s="45">
        <f>IFERROR(__xludf.DUMMYFUNCTION("""COMPUTED_VALUE"""),"LM9B91S-072075")</f>
        <v/>
      </c>
      <c r="L947" s="45">
        <f>IFERROR(__xludf.DUMMYFUNCTION("""COMPUTED_VALUE"""),3)</f>
        <v/>
      </c>
      <c r="M947" s="45">
        <f>IFERROR(__xludf.DUMMYFUNCTION("""COMPUTED_VALUE"""),131)</f>
        <v/>
      </c>
      <c r="N947" s="45">
        <f>IFERROR(__xludf.DUMMYFUNCTION("""COMPUTED_VALUE"""),35.37)</f>
        <v/>
      </c>
      <c r="O947" s="45">
        <f>IFERROR(__xludf.DUMMYFUNCTION("""COMPUTED_VALUE"""),0.238)</f>
        <v/>
      </c>
      <c r="P947" s="45">
        <f>IFERROR(__xludf.DUMMYFUNCTION("""COMPUTED_VALUE"""),"Colombo, LK")</f>
        <v/>
      </c>
      <c r="Q947" s="45">
        <f>IFERROR(__xludf.DUMMYFUNCTION("""COMPUTED_VALUE"""),"New York, NY, US")</f>
        <v/>
      </c>
      <c r="R947" s="44">
        <f>IFERROR(__xludf.DUMMYFUNCTION("""COMPUTED_VALUE"""),45838)</f>
        <v/>
      </c>
      <c r="S947" s="44">
        <f>IFERROR(__xludf.DUMMYFUNCTION("""COMPUTED_VALUE"""),45897)</f>
        <v/>
      </c>
      <c r="T947" s="45">
        <f>IFERROR(__xludf.DUMMYFUNCTION("""COMPUTED_VALUE"""),"Mississauga, ON, CA")</f>
        <v/>
      </c>
      <c r="U947" s="45" t="n"/>
      <c r="V947" s="45" t="n"/>
      <c r="W947" s="45" t="n"/>
      <c r="X947" s="45" t="n"/>
      <c r="Y947" s="46">
        <f>IFERROR(__xludf.DUMMYFUNCTION("""COMPUTED_VALUE"""),45845)</f>
        <v/>
      </c>
      <c r="Z947" s="46">
        <f>IFERROR(__xludf.DUMMYFUNCTION("""COMPUTED_VALUE"""),45866)</f>
        <v/>
      </c>
      <c r="AA947" s="46">
        <f>IFERROR(__xludf.DUMMYFUNCTION("""COMPUTED_VALUE"""),45866)</f>
        <v/>
      </c>
      <c r="AB947" s="45">
        <f>IFERROR(__xludf.DUMMYFUNCTION("""COMPUTED_VALUE"""),"3500 Argentia Road")</f>
        <v/>
      </c>
      <c r="AC947" s="45" t="n"/>
      <c r="AD947" s="45">
        <f>IFERROR(__xludf.DUMMYFUNCTION("""COMPUTED_VALUE"""),"OCEAN")</f>
        <v/>
      </c>
      <c r="AE947" s="45">
        <f>IFERROR(__xludf.DUMMYFUNCTION("""COMPUTED_VALUE"""),"N")</f>
        <v/>
      </c>
      <c r="AF947" s="45">
        <f>IFERROR(__xludf.DUMMYFUNCTION("""COMPUTED_VALUE"""),"New Booking, Status changed from Submitted to Approved, Port of Loading changed from None to Colombo, LK, Dates Added, Dates Added, Dates Added")</f>
        <v/>
      </c>
      <c r="AG947" s="49">
        <f>IFERROR(__xludf.DUMMYFUNCTION("IFNA(vlookup(H947,IMPORTRANGE(""1vUGwO1n0QQGx9kKbO0_M5gmuhXZ6-LaxQxgrmJnzgP0"",""'TP# look up'!A:C""),3,0),"""")"),"")</f>
        <v/>
      </c>
      <c r="AH947" s="49">
        <f>LEFT(J947,2)</f>
        <v/>
      </c>
    </row>
    <row r="948" ht="12.75" customHeight="1">
      <c r="A948" s="45">
        <f>IFERROR(__xludf.DUMMYFUNCTION("""COMPUTED_VALUE"""),"Colombo")</f>
        <v/>
      </c>
      <c r="B948" s="45" t="n"/>
      <c r="C948" s="45">
        <f>IFERROR(__xludf.DUMMYFUNCTION("""COMPUTED_VALUE"""),3259528)</f>
        <v/>
      </c>
      <c r="D948" s="45" t="n"/>
      <c r="E948" s="45">
        <f>IFERROR(__xludf.DUMMYFUNCTION("""COMPUTED_VALUE"""),"CFS")</f>
        <v/>
      </c>
      <c r="F948" s="45">
        <f>IFERROR(__xludf.DUMMYFUNCTION("""COMPUTED_VALUE"""),"MAS AMITY PTE LTD")</f>
        <v/>
      </c>
      <c r="G948" s="45">
        <f>IFERROR(__xludf.DUMMYFUNCTION("""COMPUTED_VALUE"""),"MAS Active (Pvt) Ltd – Sleekline")</f>
        <v/>
      </c>
      <c r="H948" s="43">
        <f>IFERROR(__xludf.DUMMYFUNCTION("""COMPUTED_VALUE"""),457043193266)</f>
        <v/>
      </c>
      <c r="I948" s="45">
        <f>IFERROR(__xludf.DUMMYFUNCTION("""COMPUTED_VALUE"""),19940605)</f>
        <v/>
      </c>
      <c r="J948" s="45">
        <f>IFERROR(__xludf.DUMMYFUNCTION("""COMPUTED_VALUE"""),"LM9B90S")</f>
        <v/>
      </c>
      <c r="K948" s="45">
        <f>IFERROR(__xludf.DUMMYFUNCTION("""COMPUTED_VALUE"""),"LM9B90S-0001")</f>
        <v/>
      </c>
      <c r="L948" s="45">
        <f>IFERROR(__xludf.DUMMYFUNCTION("""COMPUTED_VALUE"""),2)</f>
        <v/>
      </c>
      <c r="M948" s="45">
        <f>IFERROR(__xludf.DUMMYFUNCTION("""COMPUTED_VALUE"""),153)</f>
        <v/>
      </c>
      <c r="N948" s="45">
        <f>IFERROR(__xludf.DUMMYFUNCTION("""COMPUTED_VALUE"""),16.52)</f>
        <v/>
      </c>
      <c r="O948" s="45">
        <f>IFERROR(__xludf.DUMMYFUNCTION("""COMPUTED_VALUE"""),0.119)</f>
        <v/>
      </c>
      <c r="P948" s="45">
        <f>IFERROR(__xludf.DUMMYFUNCTION("""COMPUTED_VALUE"""),"Colombo, LK")</f>
        <v/>
      </c>
      <c r="Q948" s="45">
        <f>IFERROR(__xludf.DUMMYFUNCTION("""COMPUTED_VALUE"""),"New York, NY, US")</f>
        <v/>
      </c>
      <c r="R948" s="44">
        <f>IFERROR(__xludf.DUMMYFUNCTION("""COMPUTED_VALUE"""),45838)</f>
        <v/>
      </c>
      <c r="S948" s="44">
        <f>IFERROR(__xludf.DUMMYFUNCTION("""COMPUTED_VALUE"""),45897)</f>
        <v/>
      </c>
      <c r="T948" s="45">
        <f>IFERROR(__xludf.DUMMYFUNCTION("""COMPUTED_VALUE"""),"Mississauga, ON, CA")</f>
        <v/>
      </c>
      <c r="U948" s="45" t="n"/>
      <c r="V948" s="45" t="n"/>
      <c r="W948" s="45" t="n"/>
      <c r="X948" s="45" t="n"/>
      <c r="Y948" s="46">
        <f>IFERROR(__xludf.DUMMYFUNCTION("""COMPUTED_VALUE"""),45845)</f>
        <v/>
      </c>
      <c r="Z948" s="46">
        <f>IFERROR(__xludf.DUMMYFUNCTION("""COMPUTED_VALUE"""),45866)</f>
        <v/>
      </c>
      <c r="AA948" s="46">
        <f>IFERROR(__xludf.DUMMYFUNCTION("""COMPUTED_VALUE"""),45866)</f>
        <v/>
      </c>
      <c r="AB948" s="45">
        <f>IFERROR(__xludf.DUMMYFUNCTION("""COMPUTED_VALUE"""),"3500 Argentia Road")</f>
        <v/>
      </c>
      <c r="AC948" s="45" t="n"/>
      <c r="AD948" s="45">
        <f>IFERROR(__xludf.DUMMYFUNCTION("""COMPUTED_VALUE"""),"OCEAN")</f>
        <v/>
      </c>
      <c r="AE948" s="45">
        <f>IFERROR(__xludf.DUMMYFUNCTION("""COMPUTED_VALUE"""),"N")</f>
        <v/>
      </c>
      <c r="AF948" s="45">
        <f>IFERROR(__xludf.DUMMYFUNCTION("""COMPUTED_VALUE"""),"New Booking, Status changed from Submitted to Approved, Port of Loading changed from None to Colombo, LK, Dates Added, Dates Added, Dates Added")</f>
        <v/>
      </c>
      <c r="AG948" s="49">
        <f>IFERROR(__xludf.DUMMYFUNCTION("IFNA(vlookup(H948,IMPORTRANGE(""1vUGwO1n0QQGx9kKbO0_M5gmuhXZ6-LaxQxgrmJnzgP0"",""'TP# look up'!A:C""),3,0),"""")"),"")</f>
        <v/>
      </c>
      <c r="AH948" s="49">
        <f>LEFT(J948,2)</f>
        <v/>
      </c>
    </row>
    <row r="949" ht="12.75" customHeight="1">
      <c r="A949" s="45">
        <f>IFERROR(__xludf.DUMMYFUNCTION("""COMPUTED_VALUE"""),"Colombo")</f>
        <v/>
      </c>
      <c r="B949" s="45" t="n"/>
      <c r="C949" s="45">
        <f>IFERROR(__xludf.DUMMYFUNCTION("""COMPUTED_VALUE"""),3259528)</f>
        <v/>
      </c>
      <c r="D949" s="45" t="n"/>
      <c r="E949" s="45">
        <f>IFERROR(__xludf.DUMMYFUNCTION("""COMPUTED_VALUE"""),"CFS")</f>
        <v/>
      </c>
      <c r="F949" s="45">
        <f>IFERROR(__xludf.DUMMYFUNCTION("""COMPUTED_VALUE"""),"MAS AMITY PTE LTD")</f>
        <v/>
      </c>
      <c r="G949" s="45">
        <f>IFERROR(__xludf.DUMMYFUNCTION("""COMPUTED_VALUE"""),"MAS Active (Pvt) Ltd – Sleekline")</f>
        <v/>
      </c>
      <c r="H949" s="43">
        <f>IFERROR(__xludf.DUMMYFUNCTION("""COMPUTED_VALUE"""),457048399527)</f>
        <v/>
      </c>
      <c r="I949" s="45">
        <f>IFERROR(__xludf.DUMMYFUNCTION("""COMPUTED_VALUE"""),19926870)</f>
        <v/>
      </c>
      <c r="J949" s="45">
        <f>IFERROR(__xludf.DUMMYFUNCTION("""COMPUTED_VALUE"""),"LM9B20S")</f>
        <v/>
      </c>
      <c r="K949" s="45">
        <f>IFERROR(__xludf.DUMMYFUNCTION("""COMPUTED_VALUE"""),"LM9B20S-072075")</f>
        <v/>
      </c>
      <c r="L949" s="45">
        <f>IFERROR(__xludf.DUMMYFUNCTION("""COMPUTED_VALUE"""),3)</f>
        <v/>
      </c>
      <c r="M949" s="45">
        <f>IFERROR(__xludf.DUMMYFUNCTION("""COMPUTED_VALUE"""),107)</f>
        <v/>
      </c>
      <c r="N949" s="45">
        <f>IFERROR(__xludf.DUMMYFUNCTION("""COMPUTED_VALUE"""),33.96)</f>
        <v/>
      </c>
      <c r="O949" s="45">
        <f>IFERROR(__xludf.DUMMYFUNCTION("""COMPUTED_VALUE"""),0.238)</f>
        <v/>
      </c>
      <c r="P949" s="45">
        <f>IFERROR(__xludf.DUMMYFUNCTION("""COMPUTED_VALUE"""),"Colombo, LK")</f>
        <v/>
      </c>
      <c r="Q949" s="45">
        <f>IFERROR(__xludf.DUMMYFUNCTION("""COMPUTED_VALUE"""),"New York, NY, US")</f>
        <v/>
      </c>
      <c r="R949" s="44">
        <f>IFERROR(__xludf.DUMMYFUNCTION("""COMPUTED_VALUE"""),45838)</f>
        <v/>
      </c>
      <c r="S949" s="44">
        <f>IFERROR(__xludf.DUMMYFUNCTION("""COMPUTED_VALUE"""),45897)</f>
        <v/>
      </c>
      <c r="T949" s="45">
        <f>IFERROR(__xludf.DUMMYFUNCTION("""COMPUTED_VALUE"""),"Mississauga, ON, CA")</f>
        <v/>
      </c>
      <c r="U949" s="45" t="n"/>
      <c r="V949" s="45" t="n"/>
      <c r="W949" s="45" t="n"/>
      <c r="X949" s="45" t="n"/>
      <c r="Y949" s="46">
        <f>IFERROR(__xludf.DUMMYFUNCTION("""COMPUTED_VALUE"""),45845)</f>
        <v/>
      </c>
      <c r="Z949" s="46">
        <f>IFERROR(__xludf.DUMMYFUNCTION("""COMPUTED_VALUE"""),45866)</f>
        <v/>
      </c>
      <c r="AA949" s="46">
        <f>IFERROR(__xludf.DUMMYFUNCTION("""COMPUTED_VALUE"""),45866)</f>
        <v/>
      </c>
      <c r="AB949" s="45">
        <f>IFERROR(__xludf.DUMMYFUNCTION("""COMPUTED_VALUE"""),"3500 Argentia Road")</f>
        <v/>
      </c>
      <c r="AC949" s="45" t="n"/>
      <c r="AD949" s="45">
        <f>IFERROR(__xludf.DUMMYFUNCTION("""COMPUTED_VALUE"""),"OCEAN")</f>
        <v/>
      </c>
      <c r="AE949" s="45">
        <f>IFERROR(__xludf.DUMMYFUNCTION("""COMPUTED_VALUE"""),"N")</f>
        <v/>
      </c>
      <c r="AF949" s="45">
        <f>IFERROR(__xludf.DUMMYFUNCTION("""COMPUTED_VALUE"""),"New Booking, Status changed from Submitted to Approved, Port of Loading changed from None to Colombo, LK, Dates Added, Dates Added, Dates Added")</f>
        <v/>
      </c>
      <c r="AG949" s="49">
        <f>IFERROR(__xludf.DUMMYFUNCTION("IFNA(vlookup(H949,IMPORTRANGE(""1vUGwO1n0QQGx9kKbO0_M5gmuhXZ6-LaxQxgrmJnzgP0"",""'TP# look up'!A:C""),3,0),"""")"),"")</f>
        <v/>
      </c>
      <c r="AH949" s="49">
        <f>LEFT(J949,2)</f>
        <v/>
      </c>
    </row>
    <row r="950" ht="12.75" customHeight="1">
      <c r="A950" s="45">
        <f>IFERROR(__xludf.DUMMYFUNCTION("""COMPUTED_VALUE"""),"Colombo")</f>
        <v/>
      </c>
      <c r="B950" s="45" t="n"/>
      <c r="C950" s="45">
        <f>IFERROR(__xludf.DUMMYFUNCTION("""COMPUTED_VALUE"""),3259528)</f>
        <v/>
      </c>
      <c r="D950" s="45" t="n"/>
      <c r="E950" s="45">
        <f>IFERROR(__xludf.DUMMYFUNCTION("""COMPUTED_VALUE"""),"CFS")</f>
        <v/>
      </c>
      <c r="F950" s="45">
        <f>IFERROR(__xludf.DUMMYFUNCTION("""COMPUTED_VALUE"""),"MAS AMITY PTE LTD")</f>
        <v/>
      </c>
      <c r="G950" s="45">
        <f>IFERROR(__xludf.DUMMYFUNCTION("""COMPUTED_VALUE"""),"MAS Active (Pvt) Ltd – Sleekline")</f>
        <v/>
      </c>
      <c r="H950" s="43">
        <f>IFERROR(__xludf.DUMMYFUNCTION("""COMPUTED_VALUE"""),457048399847)</f>
        <v/>
      </c>
      <c r="I950" s="45">
        <f>IFERROR(__xludf.DUMMYFUNCTION("""COMPUTED_VALUE"""),19940695)</f>
        <v/>
      </c>
      <c r="J950" s="45">
        <f>IFERROR(__xludf.DUMMYFUNCTION("""COMPUTED_VALUE"""),"LM9AY9S")</f>
        <v/>
      </c>
      <c r="K950" s="45">
        <f>IFERROR(__xludf.DUMMYFUNCTION("""COMPUTED_VALUE"""),"LM9AY9S-042751")</f>
        <v/>
      </c>
      <c r="L950" s="45">
        <f>IFERROR(__xludf.DUMMYFUNCTION("""COMPUTED_VALUE"""),3)</f>
        <v/>
      </c>
      <c r="M950" s="45">
        <f>IFERROR(__xludf.DUMMYFUNCTION("""COMPUTED_VALUE"""),138)</f>
        <v/>
      </c>
      <c r="N950" s="45">
        <f>IFERROR(__xludf.DUMMYFUNCTION("""COMPUTED_VALUE"""),40.36)</f>
        <v/>
      </c>
      <c r="O950" s="45">
        <f>IFERROR(__xludf.DUMMYFUNCTION("""COMPUTED_VALUE"""),0.238)</f>
        <v/>
      </c>
      <c r="P950" s="45">
        <f>IFERROR(__xludf.DUMMYFUNCTION("""COMPUTED_VALUE"""),"Colombo, LK")</f>
        <v/>
      </c>
      <c r="Q950" s="45">
        <f>IFERROR(__xludf.DUMMYFUNCTION("""COMPUTED_VALUE"""),"New York, NY, US")</f>
        <v/>
      </c>
      <c r="R950" s="44">
        <f>IFERROR(__xludf.DUMMYFUNCTION("""COMPUTED_VALUE"""),45838)</f>
        <v/>
      </c>
      <c r="S950" s="44">
        <f>IFERROR(__xludf.DUMMYFUNCTION("""COMPUTED_VALUE"""),45897)</f>
        <v/>
      </c>
      <c r="T950" s="45">
        <f>IFERROR(__xludf.DUMMYFUNCTION("""COMPUTED_VALUE"""),"Mississauga, ON, CA")</f>
        <v/>
      </c>
      <c r="U950" s="45" t="n"/>
      <c r="V950" s="45" t="n"/>
      <c r="W950" s="45" t="n"/>
      <c r="X950" s="45" t="n"/>
      <c r="Y950" s="46">
        <f>IFERROR(__xludf.DUMMYFUNCTION("""COMPUTED_VALUE"""),45845)</f>
        <v/>
      </c>
      <c r="Z950" s="46">
        <f>IFERROR(__xludf.DUMMYFUNCTION("""COMPUTED_VALUE"""),45866)</f>
        <v/>
      </c>
      <c r="AA950" s="46">
        <f>IFERROR(__xludf.DUMMYFUNCTION("""COMPUTED_VALUE"""),45866)</f>
        <v/>
      </c>
      <c r="AB950" s="45">
        <f>IFERROR(__xludf.DUMMYFUNCTION("""COMPUTED_VALUE"""),"3500 Argentia Road")</f>
        <v/>
      </c>
      <c r="AC950" s="45" t="n"/>
      <c r="AD950" s="45">
        <f>IFERROR(__xludf.DUMMYFUNCTION("""COMPUTED_VALUE"""),"OCEAN")</f>
        <v/>
      </c>
      <c r="AE950" s="45">
        <f>IFERROR(__xludf.DUMMYFUNCTION("""COMPUTED_VALUE"""),"N")</f>
        <v/>
      </c>
      <c r="AF950" s="45">
        <f>IFERROR(__xludf.DUMMYFUNCTION("""COMPUTED_VALUE"""),"New Booking, Status changed from Submitted to Approved, Port of Loading changed from None to Colombo, LK, Dates Added, Dates Added, Dates Added")</f>
        <v/>
      </c>
      <c r="AG950" s="49">
        <f>IFERROR(__xludf.DUMMYFUNCTION("IFNA(vlookup(H950,IMPORTRANGE(""1vUGwO1n0QQGx9kKbO0_M5gmuhXZ6-LaxQxgrmJnzgP0"",""'TP# look up'!A:C""),3,0),"""")"),"")</f>
        <v/>
      </c>
      <c r="AH950" s="49">
        <f>LEFT(J950,2)</f>
        <v/>
      </c>
    </row>
    <row r="951" ht="12.75" customHeight="1">
      <c r="A951" s="45">
        <f>IFERROR(__xludf.DUMMYFUNCTION("""COMPUTED_VALUE"""),"Colombo")</f>
        <v/>
      </c>
      <c r="B951" s="45" t="n"/>
      <c r="C951" s="45">
        <f>IFERROR(__xludf.DUMMYFUNCTION("""COMPUTED_VALUE"""),3259528)</f>
        <v/>
      </c>
      <c r="D951" s="45" t="n"/>
      <c r="E951" s="45">
        <f>IFERROR(__xludf.DUMMYFUNCTION("""COMPUTED_VALUE"""),"CFS")</f>
        <v/>
      </c>
      <c r="F951" s="45">
        <f>IFERROR(__xludf.DUMMYFUNCTION("""COMPUTED_VALUE"""),"MAS AMITY PTE LTD")</f>
        <v/>
      </c>
      <c r="G951" s="45">
        <f>IFERROR(__xludf.DUMMYFUNCTION("""COMPUTED_VALUE"""),"MAS Active (Pvt) Ltd – Sleekline")</f>
        <v/>
      </c>
      <c r="H951" s="43">
        <f>IFERROR(__xludf.DUMMYFUNCTION("""COMPUTED_VALUE"""),457050478554)</f>
        <v/>
      </c>
      <c r="I951" s="45">
        <f>IFERROR(__xludf.DUMMYFUNCTION("""COMPUTED_VALUE"""),19927349)</f>
        <v/>
      </c>
      <c r="J951" s="45">
        <f>IFERROR(__xludf.DUMMYFUNCTION("""COMPUTED_VALUE"""),"LM9B20S")</f>
        <v/>
      </c>
      <c r="K951" s="45">
        <f>IFERROR(__xludf.DUMMYFUNCTION("""COMPUTED_VALUE"""),"LM9B20S-072075")</f>
        <v/>
      </c>
      <c r="L951" s="45">
        <f>IFERROR(__xludf.DUMMYFUNCTION("""COMPUTED_VALUE"""),4)</f>
        <v/>
      </c>
      <c r="M951" s="45">
        <f>IFERROR(__xludf.DUMMYFUNCTION("""COMPUTED_VALUE"""),176)</f>
        <v/>
      </c>
      <c r="N951" s="45">
        <f>IFERROR(__xludf.DUMMYFUNCTION("""COMPUTED_VALUE"""),54.56)</f>
        <v/>
      </c>
      <c r="O951" s="45">
        <f>IFERROR(__xludf.DUMMYFUNCTION("""COMPUTED_VALUE"""),0.317)</f>
        <v/>
      </c>
      <c r="P951" s="45">
        <f>IFERROR(__xludf.DUMMYFUNCTION("""COMPUTED_VALUE"""),"Colombo, LK")</f>
        <v/>
      </c>
      <c r="Q951" s="45">
        <f>IFERROR(__xludf.DUMMYFUNCTION("""COMPUTED_VALUE"""),"New York, NY, US")</f>
        <v/>
      </c>
      <c r="R951" s="44">
        <f>IFERROR(__xludf.DUMMYFUNCTION("""COMPUTED_VALUE"""),45838)</f>
        <v/>
      </c>
      <c r="S951" s="44">
        <f>IFERROR(__xludf.DUMMYFUNCTION("""COMPUTED_VALUE"""),45897)</f>
        <v/>
      </c>
      <c r="T951" s="45">
        <f>IFERROR(__xludf.DUMMYFUNCTION("""COMPUTED_VALUE"""),"Mississauga, ON, CA")</f>
        <v/>
      </c>
      <c r="U951" s="45" t="n"/>
      <c r="V951" s="45" t="n"/>
      <c r="W951" s="45" t="n"/>
      <c r="X951" s="45" t="n"/>
      <c r="Y951" s="46">
        <f>IFERROR(__xludf.DUMMYFUNCTION("""COMPUTED_VALUE"""),45845)</f>
        <v/>
      </c>
      <c r="Z951" s="46">
        <f>IFERROR(__xludf.DUMMYFUNCTION("""COMPUTED_VALUE"""),45866)</f>
        <v/>
      </c>
      <c r="AA951" s="46">
        <f>IFERROR(__xludf.DUMMYFUNCTION("""COMPUTED_VALUE"""),45866)</f>
        <v/>
      </c>
      <c r="AB951" s="45">
        <f>IFERROR(__xludf.DUMMYFUNCTION("""COMPUTED_VALUE"""),"3500 Argentia Road")</f>
        <v/>
      </c>
      <c r="AC951" s="45" t="n"/>
      <c r="AD951" s="45">
        <f>IFERROR(__xludf.DUMMYFUNCTION("""COMPUTED_VALUE"""),"OCEAN")</f>
        <v/>
      </c>
      <c r="AE951" s="45">
        <f>IFERROR(__xludf.DUMMYFUNCTION("""COMPUTED_VALUE"""),"N")</f>
        <v/>
      </c>
      <c r="AF951" s="45">
        <f>IFERROR(__xludf.DUMMYFUNCTION("""COMPUTED_VALUE"""),"New Booking, Status changed from Submitted to Approved, Port of Loading changed from None to Colombo, LK, Dates Added, Dates Added, Dates Added")</f>
        <v/>
      </c>
      <c r="AG951" s="49">
        <f>IFERROR(__xludf.DUMMYFUNCTION("IFNA(vlookup(H951,IMPORTRANGE(""1vUGwO1n0QQGx9kKbO0_M5gmuhXZ6-LaxQxgrmJnzgP0"",""'TP# look up'!A:C""),3,0),"""")"),"")</f>
        <v/>
      </c>
      <c r="AH951" s="49">
        <f>LEFT(J951,2)</f>
        <v/>
      </c>
    </row>
    <row r="952" ht="12.75" customHeight="1">
      <c r="A952" s="45">
        <f>IFERROR(__xludf.DUMMYFUNCTION("""COMPUTED_VALUE"""),"Colombo")</f>
        <v/>
      </c>
      <c r="B952" s="45" t="n"/>
      <c r="C952" s="45">
        <f>IFERROR(__xludf.DUMMYFUNCTION("""COMPUTED_VALUE"""),3259528)</f>
        <v/>
      </c>
      <c r="D952" s="45" t="n"/>
      <c r="E952" s="45">
        <f>IFERROR(__xludf.DUMMYFUNCTION("""COMPUTED_VALUE"""),"CFS")</f>
        <v/>
      </c>
      <c r="F952" s="45">
        <f>IFERROR(__xludf.DUMMYFUNCTION("""COMPUTED_VALUE"""),"MAS AMITY PTE LTD")</f>
        <v/>
      </c>
      <c r="G952" s="45">
        <f>IFERROR(__xludf.DUMMYFUNCTION("""COMPUTED_VALUE"""),"MAS Active (Pvt) Ltd – Sleekline")</f>
        <v/>
      </c>
      <c r="H952" s="43">
        <f>IFERROR(__xludf.DUMMYFUNCTION("""COMPUTED_VALUE"""),457050478665)</f>
        <v/>
      </c>
      <c r="I952" s="45">
        <f>IFERROR(__xludf.DUMMYFUNCTION("""COMPUTED_VALUE"""),19940632)</f>
        <v/>
      </c>
      <c r="J952" s="45">
        <f>IFERROR(__xludf.DUMMYFUNCTION("""COMPUTED_VALUE"""),"LM9B91S")</f>
        <v/>
      </c>
      <c r="K952" s="45">
        <f>IFERROR(__xludf.DUMMYFUNCTION("""COMPUTED_VALUE"""),"LM9B91S-072075")</f>
        <v/>
      </c>
      <c r="L952" s="45">
        <f>IFERROR(__xludf.DUMMYFUNCTION("""COMPUTED_VALUE"""),3)</f>
        <v/>
      </c>
      <c r="M952" s="45">
        <f>IFERROR(__xludf.DUMMYFUNCTION("""COMPUTED_VALUE"""),77)</f>
        <v/>
      </c>
      <c r="N952" s="45">
        <f>IFERROR(__xludf.DUMMYFUNCTION("""COMPUTED_VALUE"""),21.84)</f>
        <v/>
      </c>
      <c r="O952" s="45">
        <f>IFERROR(__xludf.DUMMYFUNCTION("""COMPUTED_VALUE"""),0.198)</f>
        <v/>
      </c>
      <c r="P952" s="45">
        <f>IFERROR(__xludf.DUMMYFUNCTION("""COMPUTED_VALUE"""),"Colombo, LK")</f>
        <v/>
      </c>
      <c r="Q952" s="45">
        <f>IFERROR(__xludf.DUMMYFUNCTION("""COMPUTED_VALUE"""),"New York, NY, US")</f>
        <v/>
      </c>
      <c r="R952" s="44">
        <f>IFERROR(__xludf.DUMMYFUNCTION("""COMPUTED_VALUE"""),45838)</f>
        <v/>
      </c>
      <c r="S952" s="44">
        <f>IFERROR(__xludf.DUMMYFUNCTION("""COMPUTED_VALUE"""),45897)</f>
        <v/>
      </c>
      <c r="T952" s="45">
        <f>IFERROR(__xludf.DUMMYFUNCTION("""COMPUTED_VALUE"""),"Mississauga, ON, CA")</f>
        <v/>
      </c>
      <c r="U952" s="45" t="n"/>
      <c r="V952" s="45" t="n"/>
      <c r="W952" s="45" t="n"/>
      <c r="X952" s="45" t="n"/>
      <c r="Y952" s="46">
        <f>IFERROR(__xludf.DUMMYFUNCTION("""COMPUTED_VALUE"""),45845)</f>
        <v/>
      </c>
      <c r="Z952" s="46">
        <f>IFERROR(__xludf.DUMMYFUNCTION("""COMPUTED_VALUE"""),45866)</f>
        <v/>
      </c>
      <c r="AA952" s="46">
        <f>IFERROR(__xludf.DUMMYFUNCTION("""COMPUTED_VALUE"""),45866)</f>
        <v/>
      </c>
      <c r="AB952" s="45">
        <f>IFERROR(__xludf.DUMMYFUNCTION("""COMPUTED_VALUE"""),"3500 Argentia Road")</f>
        <v/>
      </c>
      <c r="AC952" s="45" t="n"/>
      <c r="AD952" s="45">
        <f>IFERROR(__xludf.DUMMYFUNCTION("""COMPUTED_VALUE"""),"OCEAN")</f>
        <v/>
      </c>
      <c r="AE952" s="45">
        <f>IFERROR(__xludf.DUMMYFUNCTION("""COMPUTED_VALUE"""),"N")</f>
        <v/>
      </c>
      <c r="AF952" s="45">
        <f>IFERROR(__xludf.DUMMYFUNCTION("""COMPUTED_VALUE"""),"New Booking, Status changed from Submitted to Approved, Port of Loading changed from None to Colombo, LK, Dates Added, Dates Added, Dates Added")</f>
        <v/>
      </c>
      <c r="AG952" s="49">
        <f>IFERROR(__xludf.DUMMYFUNCTION("IFNA(vlookup(H952,IMPORTRANGE(""1vUGwO1n0QQGx9kKbO0_M5gmuhXZ6-LaxQxgrmJnzgP0"",""'TP# look up'!A:C""),3,0),"""")"),"")</f>
        <v/>
      </c>
      <c r="AH952" s="49">
        <f>LEFT(J952,2)</f>
        <v/>
      </c>
    </row>
    <row r="953" ht="12.75" customHeight="1">
      <c r="A953" s="45">
        <f>IFERROR(__xludf.DUMMYFUNCTION("""COMPUTED_VALUE"""),"Colombo")</f>
        <v/>
      </c>
      <c r="B953" s="45" t="n"/>
      <c r="C953" s="45">
        <f>IFERROR(__xludf.DUMMYFUNCTION("""COMPUTED_VALUE"""),3259528)</f>
        <v/>
      </c>
      <c r="D953" s="45" t="n"/>
      <c r="E953" s="45">
        <f>IFERROR(__xludf.DUMMYFUNCTION("""COMPUTED_VALUE"""),"CFS")</f>
        <v/>
      </c>
      <c r="F953" s="45">
        <f>IFERROR(__xludf.DUMMYFUNCTION("""COMPUTED_VALUE"""),"MAS AMITY PTE LTD")</f>
        <v/>
      </c>
      <c r="G953" s="45">
        <f>IFERROR(__xludf.DUMMYFUNCTION("""COMPUTED_VALUE"""),"MAS Active(Pvt) Ltd – CONTOURLINE")</f>
        <v/>
      </c>
      <c r="H953" s="43">
        <f>IFERROR(__xludf.DUMMYFUNCTION("""COMPUTED_VALUE"""),457028103824)</f>
        <v/>
      </c>
      <c r="I953" s="45">
        <f>IFERROR(__xludf.DUMMYFUNCTION("""COMPUTED_VALUE"""),19925189)</f>
        <v/>
      </c>
      <c r="J953" s="45">
        <f>IFERROR(__xludf.DUMMYFUNCTION("""COMPUTED_VALUE"""),"LW5HNQS")</f>
        <v/>
      </c>
      <c r="K953" s="45">
        <f>IFERROR(__xludf.DUMMYFUNCTION("""COMPUTED_VALUE"""),"LW5HNQS-071169")</f>
        <v/>
      </c>
      <c r="L953" s="45">
        <f>IFERROR(__xludf.DUMMYFUNCTION("""COMPUTED_VALUE"""),3)</f>
        <v/>
      </c>
      <c r="M953" s="45">
        <f>IFERROR(__xludf.DUMMYFUNCTION("""COMPUTED_VALUE"""),94)</f>
        <v/>
      </c>
      <c r="N953" s="45">
        <f>IFERROR(__xludf.DUMMYFUNCTION("""COMPUTED_VALUE"""),24.763)</f>
        <v/>
      </c>
      <c r="O953" s="45">
        <f>IFERROR(__xludf.DUMMYFUNCTION("""COMPUTED_VALUE"""),0.158)</f>
        <v/>
      </c>
      <c r="P953" s="45">
        <f>IFERROR(__xludf.DUMMYFUNCTION("""COMPUTED_VALUE"""),"Colombo, LK")</f>
        <v/>
      </c>
      <c r="Q953" s="45">
        <f>IFERROR(__xludf.DUMMYFUNCTION("""COMPUTED_VALUE"""),"New York, NY, US")</f>
        <v/>
      </c>
      <c r="R953" s="44">
        <f>IFERROR(__xludf.DUMMYFUNCTION("""COMPUTED_VALUE"""),45838)</f>
        <v/>
      </c>
      <c r="S953" s="44">
        <f>IFERROR(__xludf.DUMMYFUNCTION("""COMPUTED_VALUE"""),45897)</f>
        <v/>
      </c>
      <c r="T953" s="45">
        <f>IFERROR(__xludf.DUMMYFUNCTION("""COMPUTED_VALUE"""),"Mississauga, ON, CA")</f>
        <v/>
      </c>
      <c r="U953" s="45" t="n"/>
      <c r="V953" s="45" t="n"/>
      <c r="W953" s="45" t="n"/>
      <c r="X953" s="45" t="n"/>
      <c r="Y953" s="46">
        <f>IFERROR(__xludf.DUMMYFUNCTION("""COMPUTED_VALUE"""),45845)</f>
        <v/>
      </c>
      <c r="Z953" s="46">
        <f>IFERROR(__xludf.DUMMYFUNCTION("""COMPUTED_VALUE"""),45866)</f>
        <v/>
      </c>
      <c r="AA953" s="46">
        <f>IFERROR(__xludf.DUMMYFUNCTION("""COMPUTED_VALUE"""),45866)</f>
        <v/>
      </c>
      <c r="AB953" s="45">
        <f>IFERROR(__xludf.DUMMYFUNCTION("""COMPUTED_VALUE"""),"3500 Argentia Road")</f>
        <v/>
      </c>
      <c r="AC953" s="45" t="n"/>
      <c r="AD953" s="45">
        <f>IFERROR(__xludf.DUMMYFUNCTION("""COMPUTED_VALUE"""),"OCEAN")</f>
        <v/>
      </c>
      <c r="AE953" s="45">
        <f>IFERROR(__xludf.DUMMYFUNCTION("""COMPUTED_VALUE"""),"N")</f>
        <v/>
      </c>
      <c r="AF953" s="45">
        <f>IFERROR(__xludf.DUMMYFUNCTION("""COMPUTED_VALUE"""),"New Booking, Status changed from Submitted to Approved, Port of Loading changed from None to Colombo, LK, Dates Added, Dates Added, Dates Added")</f>
        <v/>
      </c>
      <c r="AG953" s="49">
        <f>IFERROR(__xludf.DUMMYFUNCTION("IFNA(vlookup(H953,IMPORTRANGE(""1vUGwO1n0QQGx9kKbO0_M5gmuhXZ6-LaxQxgrmJnzgP0"",""'TP# look up'!A:C""),3,0),"""")"),"")</f>
        <v/>
      </c>
      <c r="AH953" s="49">
        <f>LEFT(J953,2)</f>
        <v/>
      </c>
    </row>
    <row r="954" ht="12.75" customHeight="1">
      <c r="A954" s="45">
        <f>IFERROR(__xludf.DUMMYFUNCTION("""COMPUTED_VALUE"""),"Colombo")</f>
        <v/>
      </c>
      <c r="B954" s="45" t="n"/>
      <c r="C954" s="45">
        <f>IFERROR(__xludf.DUMMYFUNCTION("""COMPUTED_VALUE"""),3259528)</f>
        <v/>
      </c>
      <c r="D954" s="45" t="n"/>
      <c r="E954" s="45">
        <f>IFERROR(__xludf.DUMMYFUNCTION("""COMPUTED_VALUE"""),"CFS")</f>
        <v/>
      </c>
      <c r="F954" s="45">
        <f>IFERROR(__xludf.DUMMYFUNCTION("""COMPUTED_VALUE"""),"MAS AMITY PTE LTD")</f>
        <v/>
      </c>
      <c r="G954" s="45">
        <f>IFERROR(__xludf.DUMMYFUNCTION("""COMPUTED_VALUE"""),"MAS Active(Pvt) Ltd – CONTOURLINE")</f>
        <v/>
      </c>
      <c r="H954" s="43">
        <f>IFERROR(__xludf.DUMMYFUNCTION("""COMPUTED_VALUE"""),457028103891)</f>
        <v/>
      </c>
      <c r="I954" s="45">
        <f>IFERROR(__xludf.DUMMYFUNCTION("""COMPUTED_VALUE"""),19807619)</f>
        <v/>
      </c>
      <c r="J954" s="45">
        <f>IFERROR(__xludf.DUMMYFUNCTION("""COMPUTED_VALUE"""),"LW1FLES")</f>
        <v/>
      </c>
      <c r="K954" s="45">
        <f>IFERROR(__xludf.DUMMYFUNCTION("""COMPUTED_VALUE"""),"LW1FLES-031045")</f>
        <v/>
      </c>
      <c r="L954" s="45">
        <f>IFERROR(__xludf.DUMMYFUNCTION("""COMPUTED_VALUE"""),12)</f>
        <v/>
      </c>
      <c r="M954" s="45">
        <f>IFERROR(__xludf.DUMMYFUNCTION("""COMPUTED_VALUE"""),1169)</f>
        <v/>
      </c>
      <c r="N954" s="45">
        <f>IFERROR(__xludf.DUMMYFUNCTION("""COMPUTED_VALUE"""),112.899)</f>
        <v/>
      </c>
      <c r="O954" s="45">
        <f>IFERROR(__xludf.DUMMYFUNCTION("""COMPUTED_VALUE"""),0.948)</f>
        <v/>
      </c>
      <c r="P954" s="45">
        <f>IFERROR(__xludf.DUMMYFUNCTION("""COMPUTED_VALUE"""),"Colombo, LK")</f>
        <v/>
      </c>
      <c r="Q954" s="45">
        <f>IFERROR(__xludf.DUMMYFUNCTION("""COMPUTED_VALUE"""),"New York, NY, US")</f>
        <v/>
      </c>
      <c r="R954" s="44">
        <f>IFERROR(__xludf.DUMMYFUNCTION("""COMPUTED_VALUE"""),45838)</f>
        <v/>
      </c>
      <c r="S954" s="44">
        <f>IFERROR(__xludf.DUMMYFUNCTION("""COMPUTED_VALUE"""),45897)</f>
        <v/>
      </c>
      <c r="T954" s="45">
        <f>IFERROR(__xludf.DUMMYFUNCTION("""COMPUTED_VALUE"""),"Mississauga, ON, CA")</f>
        <v/>
      </c>
      <c r="U954" s="45" t="n"/>
      <c r="V954" s="45" t="n"/>
      <c r="W954" s="45" t="n"/>
      <c r="X954" s="45" t="n"/>
      <c r="Y954" s="46">
        <f>IFERROR(__xludf.DUMMYFUNCTION("""COMPUTED_VALUE"""),45845)</f>
        <v/>
      </c>
      <c r="Z954" s="46">
        <f>IFERROR(__xludf.DUMMYFUNCTION("""COMPUTED_VALUE"""),45866)</f>
        <v/>
      </c>
      <c r="AA954" s="46">
        <f>IFERROR(__xludf.DUMMYFUNCTION("""COMPUTED_VALUE"""),45866)</f>
        <v/>
      </c>
      <c r="AB954" s="45">
        <f>IFERROR(__xludf.DUMMYFUNCTION("""COMPUTED_VALUE"""),"3500 Argentia Road")</f>
        <v/>
      </c>
      <c r="AC954" s="45" t="n"/>
      <c r="AD954" s="45">
        <f>IFERROR(__xludf.DUMMYFUNCTION("""COMPUTED_VALUE"""),"OCEAN")</f>
        <v/>
      </c>
      <c r="AE954" s="45">
        <f>IFERROR(__xludf.DUMMYFUNCTION("""COMPUTED_VALUE"""),"N")</f>
        <v/>
      </c>
      <c r="AF954" s="45">
        <f>IFERROR(__xludf.DUMMYFUNCTION("""COMPUTED_VALUE"""),"New Booking, Status changed from Submitted to Approved, Port of Loading changed from None to Colombo, LK, Dates Added, Dates Added, Dates Added")</f>
        <v/>
      </c>
      <c r="AG954" s="49">
        <f>IFERROR(__xludf.DUMMYFUNCTION("IFNA(vlookup(H954,IMPORTRANGE(""1vUGwO1n0QQGx9kKbO0_M5gmuhXZ6-LaxQxgrmJnzgP0"",""'TP# look up'!A:C""),3,0),"""")"),"")</f>
        <v/>
      </c>
      <c r="AH954" s="49">
        <f>LEFT(J954,2)</f>
        <v/>
      </c>
    </row>
    <row r="955" ht="12.75" customHeight="1">
      <c r="A955" s="45">
        <f>IFERROR(__xludf.DUMMYFUNCTION("""COMPUTED_VALUE"""),"Colombo")</f>
        <v/>
      </c>
      <c r="B955" s="45" t="n"/>
      <c r="C955" s="45">
        <f>IFERROR(__xludf.DUMMYFUNCTION("""COMPUTED_VALUE"""),3259528)</f>
        <v/>
      </c>
      <c r="D955" s="45" t="n"/>
      <c r="E955" s="45">
        <f>IFERROR(__xludf.DUMMYFUNCTION("""COMPUTED_VALUE"""),"CFS")</f>
        <v/>
      </c>
      <c r="F955" s="45">
        <f>IFERROR(__xludf.DUMMYFUNCTION("""COMPUTED_VALUE"""),"MAS AMITY PTE LTD")</f>
        <v/>
      </c>
      <c r="G955" s="45">
        <f>IFERROR(__xludf.DUMMYFUNCTION("""COMPUTED_VALUE"""),"MAS Active(Pvt) Ltd – CONTOURLINE")</f>
        <v/>
      </c>
      <c r="H955" s="43">
        <f>IFERROR(__xludf.DUMMYFUNCTION("""COMPUTED_VALUE"""),457028104175)</f>
        <v/>
      </c>
      <c r="I955" s="45">
        <f>IFERROR(__xludf.DUMMYFUNCTION("""COMPUTED_VALUE"""),19807624)</f>
        <v/>
      </c>
      <c r="J955" s="45">
        <f>IFERROR(__xludf.DUMMYFUNCTION("""COMPUTED_VALUE"""),"LW1FLES")</f>
        <v/>
      </c>
      <c r="K955" s="45">
        <f>IFERROR(__xludf.DUMMYFUNCTION("""COMPUTED_VALUE"""),"LW1FLES-031045")</f>
        <v/>
      </c>
      <c r="L955" s="45">
        <f>IFERROR(__xludf.DUMMYFUNCTION("""COMPUTED_VALUE"""),17)</f>
        <v/>
      </c>
      <c r="M955" s="45">
        <f>IFERROR(__xludf.DUMMYFUNCTION("""COMPUTED_VALUE"""),1842)</f>
        <v/>
      </c>
      <c r="N955" s="45">
        <f>IFERROR(__xludf.DUMMYFUNCTION("""COMPUTED_VALUE"""),175.834)</f>
        <v/>
      </c>
      <c r="O955" s="45">
        <f>IFERROR(__xludf.DUMMYFUNCTION("""COMPUTED_VALUE"""),1.343)</f>
        <v/>
      </c>
      <c r="P955" s="45">
        <f>IFERROR(__xludf.DUMMYFUNCTION("""COMPUTED_VALUE"""),"Colombo, LK")</f>
        <v/>
      </c>
      <c r="Q955" s="45">
        <f>IFERROR(__xludf.DUMMYFUNCTION("""COMPUTED_VALUE"""),"New York, NY, US")</f>
        <v/>
      </c>
      <c r="R955" s="44">
        <f>IFERROR(__xludf.DUMMYFUNCTION("""COMPUTED_VALUE"""),45838)</f>
        <v/>
      </c>
      <c r="S955" s="44">
        <f>IFERROR(__xludf.DUMMYFUNCTION("""COMPUTED_VALUE"""),45897)</f>
        <v/>
      </c>
      <c r="T955" s="45">
        <f>IFERROR(__xludf.DUMMYFUNCTION("""COMPUTED_VALUE"""),"Mississauga, ON, CA")</f>
        <v/>
      </c>
      <c r="U955" s="45" t="n"/>
      <c r="V955" s="45" t="n"/>
      <c r="W955" s="45" t="n"/>
      <c r="X955" s="45" t="n"/>
      <c r="Y955" s="46">
        <f>IFERROR(__xludf.DUMMYFUNCTION("""COMPUTED_VALUE"""),45845)</f>
        <v/>
      </c>
      <c r="Z955" s="46">
        <f>IFERROR(__xludf.DUMMYFUNCTION("""COMPUTED_VALUE"""),45866)</f>
        <v/>
      </c>
      <c r="AA955" s="46">
        <f>IFERROR(__xludf.DUMMYFUNCTION("""COMPUTED_VALUE"""),45866)</f>
        <v/>
      </c>
      <c r="AB955" s="45">
        <f>IFERROR(__xludf.DUMMYFUNCTION("""COMPUTED_VALUE"""),"3500 Argentia Road")</f>
        <v/>
      </c>
      <c r="AC955" s="45" t="n"/>
      <c r="AD955" s="45">
        <f>IFERROR(__xludf.DUMMYFUNCTION("""COMPUTED_VALUE"""),"OCEAN")</f>
        <v/>
      </c>
      <c r="AE955" s="45">
        <f>IFERROR(__xludf.DUMMYFUNCTION("""COMPUTED_VALUE"""),"N")</f>
        <v/>
      </c>
      <c r="AF955" s="45">
        <f>IFERROR(__xludf.DUMMYFUNCTION("""COMPUTED_VALUE"""),"New Booking, Status changed from Submitted to Approved, Port of Loading changed from None to Colombo, LK, Dates Added, Dates Added, Dates Added")</f>
        <v/>
      </c>
      <c r="AG955" s="49">
        <f>IFERROR(__xludf.DUMMYFUNCTION("IFNA(vlookup(H955,IMPORTRANGE(""1vUGwO1n0QQGx9kKbO0_M5gmuhXZ6-LaxQxgrmJnzgP0"",""'TP# look up'!A:C""),3,0),"""")"),"")</f>
        <v/>
      </c>
      <c r="AH955" s="49">
        <f>LEFT(J955,2)</f>
        <v/>
      </c>
    </row>
    <row r="956" ht="12.75" customHeight="1">
      <c r="A956" s="45">
        <f>IFERROR(__xludf.DUMMYFUNCTION("""COMPUTED_VALUE"""),"Colombo")</f>
        <v/>
      </c>
      <c r="B956" s="45" t="n"/>
      <c r="C956" s="45">
        <f>IFERROR(__xludf.DUMMYFUNCTION("""COMPUTED_VALUE"""),3259528)</f>
        <v/>
      </c>
      <c r="D956" s="45" t="n"/>
      <c r="E956" s="45">
        <f>IFERROR(__xludf.DUMMYFUNCTION("""COMPUTED_VALUE"""),"CFS")</f>
        <v/>
      </c>
      <c r="F956" s="45">
        <f>IFERROR(__xludf.DUMMYFUNCTION("""COMPUTED_VALUE"""),"MAS AMITY PTE LTD")</f>
        <v/>
      </c>
      <c r="G956" s="45">
        <f>IFERROR(__xludf.DUMMYFUNCTION("""COMPUTED_VALUE"""),"MAS Active(Pvt) Ltd – CONTOURLINE")</f>
        <v/>
      </c>
      <c r="H956" s="43">
        <f>IFERROR(__xludf.DUMMYFUNCTION("""COMPUTED_VALUE"""),457032094017)</f>
        <v/>
      </c>
      <c r="I956" s="45">
        <f>IFERROR(__xludf.DUMMYFUNCTION("""COMPUTED_VALUE"""),19939627)</f>
        <v/>
      </c>
      <c r="J956" s="45">
        <f>IFERROR(__xludf.DUMMYFUNCTION("""COMPUTED_VALUE"""),"LW5HXOS")</f>
        <v/>
      </c>
      <c r="K956" s="45">
        <f>IFERROR(__xludf.DUMMYFUNCTION("""COMPUTED_VALUE"""),"LW5HXOS-070108")</f>
        <v/>
      </c>
      <c r="L956" s="45">
        <f>IFERROR(__xludf.DUMMYFUNCTION("""COMPUTED_VALUE"""),12)</f>
        <v/>
      </c>
      <c r="M956" s="45">
        <f>IFERROR(__xludf.DUMMYFUNCTION("""COMPUTED_VALUE"""),614)</f>
        <v/>
      </c>
      <c r="N956" s="45">
        <f>IFERROR(__xludf.DUMMYFUNCTION("""COMPUTED_VALUE"""),157.18)</f>
        <v/>
      </c>
      <c r="O956" s="45">
        <f>IFERROR(__xludf.DUMMYFUNCTION("""COMPUTED_VALUE"""),0.869)</f>
        <v/>
      </c>
      <c r="P956" s="45">
        <f>IFERROR(__xludf.DUMMYFUNCTION("""COMPUTED_VALUE"""),"Colombo, LK")</f>
        <v/>
      </c>
      <c r="Q956" s="45">
        <f>IFERROR(__xludf.DUMMYFUNCTION("""COMPUTED_VALUE"""),"New York, NY, US")</f>
        <v/>
      </c>
      <c r="R956" s="44">
        <f>IFERROR(__xludf.DUMMYFUNCTION("""COMPUTED_VALUE"""),45838)</f>
        <v/>
      </c>
      <c r="S956" s="44">
        <f>IFERROR(__xludf.DUMMYFUNCTION("""COMPUTED_VALUE"""),45897)</f>
        <v/>
      </c>
      <c r="T956" s="45">
        <f>IFERROR(__xludf.DUMMYFUNCTION("""COMPUTED_VALUE"""),"Mississauga, ON, CA")</f>
        <v/>
      </c>
      <c r="U956" s="45" t="n"/>
      <c r="V956" s="45" t="n"/>
      <c r="W956" s="45" t="n"/>
      <c r="X956" s="45" t="n"/>
      <c r="Y956" s="46">
        <f>IFERROR(__xludf.DUMMYFUNCTION("""COMPUTED_VALUE"""),45845)</f>
        <v/>
      </c>
      <c r="Z956" s="46">
        <f>IFERROR(__xludf.DUMMYFUNCTION("""COMPUTED_VALUE"""),45866)</f>
        <v/>
      </c>
      <c r="AA956" s="46">
        <f>IFERROR(__xludf.DUMMYFUNCTION("""COMPUTED_VALUE"""),45866)</f>
        <v/>
      </c>
      <c r="AB956" s="45">
        <f>IFERROR(__xludf.DUMMYFUNCTION("""COMPUTED_VALUE"""),"3500 Argentia Road")</f>
        <v/>
      </c>
      <c r="AC956" s="45" t="n"/>
      <c r="AD956" s="45">
        <f>IFERROR(__xludf.DUMMYFUNCTION("""COMPUTED_VALUE"""),"OCEAN")</f>
        <v/>
      </c>
      <c r="AE956" s="45">
        <f>IFERROR(__xludf.DUMMYFUNCTION("""COMPUTED_VALUE"""),"N")</f>
        <v/>
      </c>
      <c r="AF956" s="45">
        <f>IFERROR(__xludf.DUMMYFUNCTION("""COMPUTED_VALUE"""),"New Booking, Status changed from Submitted to Approved, Port of Loading changed from None to Colombo, LK, Dates Added, Dates Added, Dates Added")</f>
        <v/>
      </c>
      <c r="AG956" s="49">
        <f>IFERROR(__xludf.DUMMYFUNCTION("IFNA(vlookup(H956,IMPORTRANGE(""1vUGwO1n0QQGx9kKbO0_M5gmuhXZ6-LaxQxgrmJnzgP0"",""'TP# look up'!A:C""),3,0),"""")"),"")</f>
        <v/>
      </c>
      <c r="AH956" s="49">
        <f>LEFT(J956,2)</f>
        <v/>
      </c>
    </row>
    <row r="957" ht="12.75" customHeight="1">
      <c r="A957" s="45">
        <f>IFERROR(__xludf.DUMMYFUNCTION("""COMPUTED_VALUE"""),"Colombo")</f>
        <v/>
      </c>
      <c r="B957" s="45" t="n"/>
      <c r="C957" s="45">
        <f>IFERROR(__xludf.DUMMYFUNCTION("""COMPUTED_VALUE"""),3259528)</f>
        <v/>
      </c>
      <c r="D957" s="45" t="n"/>
      <c r="E957" s="45">
        <f>IFERROR(__xludf.DUMMYFUNCTION("""COMPUTED_VALUE"""),"CFS")</f>
        <v/>
      </c>
      <c r="F957" s="45">
        <f>IFERROR(__xludf.DUMMYFUNCTION("""COMPUTED_VALUE"""),"MAS AMITY PTE LTD")</f>
        <v/>
      </c>
      <c r="G957" s="45">
        <f>IFERROR(__xludf.DUMMYFUNCTION("""COMPUTED_VALUE"""),"MAS Active(Pvt) Ltd – CONTOURLINE")</f>
        <v/>
      </c>
      <c r="H957" s="43">
        <f>IFERROR(__xludf.DUMMYFUNCTION("""COMPUTED_VALUE"""),457036881439)</f>
        <v/>
      </c>
      <c r="I957" s="45">
        <f>IFERROR(__xludf.DUMMYFUNCTION("""COMPUTED_VALUE"""),19807631)</f>
        <v/>
      </c>
      <c r="J957" s="45">
        <f>IFERROR(__xludf.DUMMYFUNCTION("""COMPUTED_VALUE"""),"LW1FLES")</f>
        <v/>
      </c>
      <c r="K957" s="45">
        <f>IFERROR(__xludf.DUMMYFUNCTION("""COMPUTED_VALUE"""),"LW1FLES-031045")</f>
        <v/>
      </c>
      <c r="L957" s="45">
        <f>IFERROR(__xludf.DUMMYFUNCTION("""COMPUTED_VALUE"""),14)</f>
        <v/>
      </c>
      <c r="M957" s="45">
        <f>IFERROR(__xludf.DUMMYFUNCTION("""COMPUTED_VALUE"""),1412)</f>
        <v/>
      </c>
      <c r="N957" s="45">
        <f>IFERROR(__xludf.DUMMYFUNCTION("""COMPUTED_VALUE"""),139.222)</f>
        <v/>
      </c>
      <c r="O957" s="45">
        <f>IFERROR(__xludf.DUMMYFUNCTION("""COMPUTED_VALUE"""),1.106)</f>
        <v/>
      </c>
      <c r="P957" s="45">
        <f>IFERROR(__xludf.DUMMYFUNCTION("""COMPUTED_VALUE"""),"Colombo, LK")</f>
        <v/>
      </c>
      <c r="Q957" s="45">
        <f>IFERROR(__xludf.DUMMYFUNCTION("""COMPUTED_VALUE"""),"New York, NY, US")</f>
        <v/>
      </c>
      <c r="R957" s="44">
        <f>IFERROR(__xludf.DUMMYFUNCTION("""COMPUTED_VALUE"""),45838)</f>
        <v/>
      </c>
      <c r="S957" s="44">
        <f>IFERROR(__xludf.DUMMYFUNCTION("""COMPUTED_VALUE"""),45897)</f>
        <v/>
      </c>
      <c r="T957" s="45">
        <f>IFERROR(__xludf.DUMMYFUNCTION("""COMPUTED_VALUE"""),"Milton, ON, CA")</f>
        <v/>
      </c>
      <c r="U957" s="45" t="n"/>
      <c r="V957" s="45" t="n"/>
      <c r="W957" s="45" t="n"/>
      <c r="X957" s="45" t="n"/>
      <c r="Y957" s="46">
        <f>IFERROR(__xludf.DUMMYFUNCTION("""COMPUTED_VALUE"""),45845)</f>
        <v/>
      </c>
      <c r="Z957" s="46">
        <f>IFERROR(__xludf.DUMMYFUNCTION("""COMPUTED_VALUE"""),45866)</f>
        <v/>
      </c>
      <c r="AA957" s="46">
        <f>IFERROR(__xludf.DUMMYFUNCTION("""COMPUTED_VALUE"""),45866)</f>
        <v/>
      </c>
      <c r="AB957" s="45">
        <f>IFERROR(__xludf.DUMMYFUNCTION("""COMPUTED_VALUE"""),"7211 Fifth Line")</f>
        <v/>
      </c>
      <c r="AC957" s="45" t="n"/>
      <c r="AD957" s="45">
        <f>IFERROR(__xludf.DUMMYFUNCTION("""COMPUTED_VALUE"""),"OCEAN")</f>
        <v/>
      </c>
      <c r="AE957" s="45">
        <f>IFERROR(__xludf.DUMMYFUNCTION("""COMPUTED_VALUE"""),"N")</f>
        <v/>
      </c>
      <c r="AF957" s="45">
        <f>IFERROR(__xludf.DUMMYFUNCTION("""COMPUTED_VALUE"""),"New Booking, Status changed from Submitted to Approved, Port of Loading changed from None to Colombo, LK, Dates Added, Dates Added, Dates Added")</f>
        <v/>
      </c>
      <c r="AG957" s="49">
        <f>IFERROR(__xludf.DUMMYFUNCTION("IFNA(vlookup(H957,IMPORTRANGE(""1vUGwO1n0QQGx9kKbO0_M5gmuhXZ6-LaxQxgrmJnzgP0"",""'TP# look up'!A:C""),3,0),"""")"),"")</f>
        <v/>
      </c>
      <c r="AH957" s="49">
        <f>LEFT(J957,2)</f>
        <v/>
      </c>
    </row>
    <row r="958" ht="12.75" customHeight="1">
      <c r="A958" s="45">
        <f>IFERROR(__xludf.DUMMYFUNCTION("""COMPUTED_VALUE"""),"Colombo")</f>
        <v/>
      </c>
      <c r="B958" s="45" t="n"/>
      <c r="C958" s="45">
        <f>IFERROR(__xludf.DUMMYFUNCTION("""COMPUTED_VALUE"""),3259528)</f>
        <v/>
      </c>
      <c r="D958" s="45" t="n"/>
      <c r="E958" s="45">
        <f>IFERROR(__xludf.DUMMYFUNCTION("""COMPUTED_VALUE"""),"CFS")</f>
        <v/>
      </c>
      <c r="F958" s="45">
        <f>IFERROR(__xludf.DUMMYFUNCTION("""COMPUTED_VALUE"""),"MAS AMITY PTE LTD")</f>
        <v/>
      </c>
      <c r="G958" s="45">
        <f>IFERROR(__xludf.DUMMYFUNCTION("""COMPUTED_VALUE"""),"MAS Active(Pvt) Ltd – CONTOURLINE")</f>
        <v/>
      </c>
      <c r="H958" s="43">
        <f>IFERROR(__xludf.DUMMYFUNCTION("""COMPUTED_VALUE"""),457042295068)</f>
        <v/>
      </c>
      <c r="I958" s="45">
        <f>IFERROR(__xludf.DUMMYFUNCTION("""COMPUTED_VALUE"""),19920762)</f>
        <v/>
      </c>
      <c r="J958" s="45">
        <f>IFERROR(__xludf.DUMMYFUNCTION("""COMPUTED_VALUE"""),"LW5HXOS")</f>
        <v/>
      </c>
      <c r="K958" s="45">
        <f>IFERROR(__xludf.DUMMYFUNCTION("""COMPUTED_VALUE"""),"LW5HXOS-070108")</f>
        <v/>
      </c>
      <c r="L958" s="45">
        <f>IFERROR(__xludf.DUMMYFUNCTION("""COMPUTED_VALUE"""),5)</f>
        <v/>
      </c>
      <c r="M958" s="45">
        <f>IFERROR(__xludf.DUMMYFUNCTION("""COMPUTED_VALUE"""),204)</f>
        <v/>
      </c>
      <c r="N958" s="45">
        <f>IFERROR(__xludf.DUMMYFUNCTION("""COMPUTED_VALUE"""),54.202)</f>
        <v/>
      </c>
      <c r="O958" s="45">
        <f>IFERROR(__xludf.DUMMYFUNCTION("""COMPUTED_VALUE"""),0.355)</f>
        <v/>
      </c>
      <c r="P958" s="45">
        <f>IFERROR(__xludf.DUMMYFUNCTION("""COMPUTED_VALUE"""),"Colombo, LK")</f>
        <v/>
      </c>
      <c r="Q958" s="45">
        <f>IFERROR(__xludf.DUMMYFUNCTION("""COMPUTED_VALUE"""),"New York, NY, US")</f>
        <v/>
      </c>
      <c r="R958" s="44">
        <f>IFERROR(__xludf.DUMMYFUNCTION("""COMPUTED_VALUE"""),45838)</f>
        <v/>
      </c>
      <c r="S958" s="44">
        <f>IFERROR(__xludf.DUMMYFUNCTION("""COMPUTED_VALUE"""),45897)</f>
        <v/>
      </c>
      <c r="T958" s="45">
        <f>IFERROR(__xludf.DUMMYFUNCTION("""COMPUTED_VALUE"""),"Mississauga, ON, CA")</f>
        <v/>
      </c>
      <c r="U958" s="45" t="n"/>
      <c r="V958" s="45" t="n"/>
      <c r="W958" s="45" t="n"/>
      <c r="X958" s="45" t="n"/>
      <c r="Y958" s="46">
        <f>IFERROR(__xludf.DUMMYFUNCTION("""COMPUTED_VALUE"""),45845)</f>
        <v/>
      </c>
      <c r="Z958" s="46">
        <f>IFERROR(__xludf.DUMMYFUNCTION("""COMPUTED_VALUE"""),45866)</f>
        <v/>
      </c>
      <c r="AA958" s="46">
        <f>IFERROR(__xludf.DUMMYFUNCTION("""COMPUTED_VALUE"""),45866)</f>
        <v/>
      </c>
      <c r="AB958" s="45">
        <f>IFERROR(__xludf.DUMMYFUNCTION("""COMPUTED_VALUE"""),"3500 Argentia Road")</f>
        <v/>
      </c>
      <c r="AC958" s="45" t="n"/>
      <c r="AD958" s="45">
        <f>IFERROR(__xludf.DUMMYFUNCTION("""COMPUTED_VALUE"""),"OCEAN")</f>
        <v/>
      </c>
      <c r="AE958" s="45">
        <f>IFERROR(__xludf.DUMMYFUNCTION("""COMPUTED_VALUE"""),"N")</f>
        <v/>
      </c>
      <c r="AF958" s="45">
        <f>IFERROR(__xludf.DUMMYFUNCTION("""COMPUTED_VALUE"""),"New Booking, Status changed from Submitted to Approved, Port of Loading changed from None to Colombo, LK, Dates Added, Dates Added, Dates Added")</f>
        <v/>
      </c>
      <c r="AG958" s="49">
        <f>IFERROR(__xludf.DUMMYFUNCTION("IFNA(vlookup(H958,IMPORTRANGE(""1vUGwO1n0QQGx9kKbO0_M5gmuhXZ6-LaxQxgrmJnzgP0"",""'TP# look up'!A:C""),3,0),"""")"),"")</f>
        <v/>
      </c>
      <c r="AH958" s="49">
        <f>LEFT(J958,2)</f>
        <v/>
      </c>
    </row>
    <row r="959" ht="12.75" customHeight="1">
      <c r="A959" s="45">
        <f>IFERROR(__xludf.DUMMYFUNCTION("""COMPUTED_VALUE"""),"Colombo")</f>
        <v/>
      </c>
      <c r="B959" s="45" t="n"/>
      <c r="C959" s="45">
        <f>IFERROR(__xludf.DUMMYFUNCTION("""COMPUTED_VALUE"""),3259528)</f>
        <v/>
      </c>
      <c r="D959" s="45" t="n"/>
      <c r="E959" s="45">
        <f>IFERROR(__xludf.DUMMYFUNCTION("""COMPUTED_VALUE"""),"CFS")</f>
        <v/>
      </c>
      <c r="F959" s="45">
        <f>IFERROR(__xludf.DUMMYFUNCTION("""COMPUTED_VALUE"""),"MAS AMITY PTE LTD")</f>
        <v/>
      </c>
      <c r="G959" s="45">
        <f>IFERROR(__xludf.DUMMYFUNCTION("""COMPUTED_VALUE"""),"MAS Active(Pvt) Ltd – CONTOURLINE")</f>
        <v/>
      </c>
      <c r="H959" s="43">
        <f>IFERROR(__xludf.DUMMYFUNCTION("""COMPUTED_VALUE"""),457043192958)</f>
        <v/>
      </c>
      <c r="I959" s="45">
        <f>IFERROR(__xludf.DUMMYFUNCTION("""COMPUTED_VALUE"""),19807606)</f>
        <v/>
      </c>
      <c r="J959" s="45">
        <f>IFERROR(__xludf.DUMMYFUNCTION("""COMPUTED_VALUE"""),"LW1FLES")</f>
        <v/>
      </c>
      <c r="K959" s="45">
        <f>IFERROR(__xludf.DUMMYFUNCTION("""COMPUTED_VALUE"""),"LW1FLES-031045")</f>
        <v/>
      </c>
      <c r="L959" s="45">
        <f>IFERROR(__xludf.DUMMYFUNCTION("""COMPUTED_VALUE"""),6)</f>
        <v/>
      </c>
      <c r="M959" s="45">
        <f>IFERROR(__xludf.DUMMYFUNCTION("""COMPUTED_VALUE"""),345)</f>
        <v/>
      </c>
      <c r="N959" s="45">
        <f>IFERROR(__xludf.DUMMYFUNCTION("""COMPUTED_VALUE"""),37.153)</f>
        <v/>
      </c>
      <c r="O959" s="45">
        <f>IFERROR(__xludf.DUMMYFUNCTION("""COMPUTED_VALUE"""),0.355)</f>
        <v/>
      </c>
      <c r="P959" s="45">
        <f>IFERROR(__xludf.DUMMYFUNCTION("""COMPUTED_VALUE"""),"Colombo, LK")</f>
        <v/>
      </c>
      <c r="Q959" s="45">
        <f>IFERROR(__xludf.DUMMYFUNCTION("""COMPUTED_VALUE"""),"New York, NY, US")</f>
        <v/>
      </c>
      <c r="R959" s="44">
        <f>IFERROR(__xludf.DUMMYFUNCTION("""COMPUTED_VALUE"""),45838)</f>
        <v/>
      </c>
      <c r="S959" s="44">
        <f>IFERROR(__xludf.DUMMYFUNCTION("""COMPUTED_VALUE"""),45897)</f>
        <v/>
      </c>
      <c r="T959" s="45">
        <f>IFERROR(__xludf.DUMMYFUNCTION("""COMPUTED_VALUE"""),"Mississauga, ON, CA")</f>
        <v/>
      </c>
      <c r="U959" s="45" t="n"/>
      <c r="V959" s="45" t="n"/>
      <c r="W959" s="45" t="n"/>
      <c r="X959" s="45" t="n"/>
      <c r="Y959" s="46">
        <f>IFERROR(__xludf.DUMMYFUNCTION("""COMPUTED_VALUE"""),45845)</f>
        <v/>
      </c>
      <c r="Z959" s="46">
        <f>IFERROR(__xludf.DUMMYFUNCTION("""COMPUTED_VALUE"""),45866)</f>
        <v/>
      </c>
      <c r="AA959" s="46">
        <f>IFERROR(__xludf.DUMMYFUNCTION("""COMPUTED_VALUE"""),45866)</f>
        <v/>
      </c>
      <c r="AB959" s="45">
        <f>IFERROR(__xludf.DUMMYFUNCTION("""COMPUTED_VALUE"""),"3500 Argentia Road")</f>
        <v/>
      </c>
      <c r="AC959" s="45" t="n"/>
      <c r="AD959" s="45">
        <f>IFERROR(__xludf.DUMMYFUNCTION("""COMPUTED_VALUE"""),"OCEAN")</f>
        <v/>
      </c>
      <c r="AE959" s="45">
        <f>IFERROR(__xludf.DUMMYFUNCTION("""COMPUTED_VALUE"""),"N")</f>
        <v/>
      </c>
      <c r="AF959" s="45">
        <f>IFERROR(__xludf.DUMMYFUNCTION("""COMPUTED_VALUE"""),"New Booking, Status changed from Submitted to Approved, Port of Loading changed from None to Colombo, LK, Dates Added, Dates Added, Dates Added")</f>
        <v/>
      </c>
      <c r="AG959" s="49">
        <f>IFERROR(__xludf.DUMMYFUNCTION("IFNA(vlookup(H959,IMPORTRANGE(""1vUGwO1n0QQGx9kKbO0_M5gmuhXZ6-LaxQxgrmJnzgP0"",""'TP# look up'!A:C""),3,0),"""")"),"")</f>
        <v/>
      </c>
      <c r="AH959" s="49">
        <f>LEFT(J959,2)</f>
        <v/>
      </c>
    </row>
    <row r="960" ht="12.75" customHeight="1">
      <c r="A960" s="45">
        <f>IFERROR(__xludf.DUMMYFUNCTION("""COMPUTED_VALUE"""),"Colombo")</f>
        <v/>
      </c>
      <c r="B960" s="45" t="n"/>
      <c r="C960" s="45">
        <f>IFERROR(__xludf.DUMMYFUNCTION("""COMPUTED_VALUE"""),3259528)</f>
        <v/>
      </c>
      <c r="D960" s="45" t="n"/>
      <c r="E960" s="45">
        <f>IFERROR(__xludf.DUMMYFUNCTION("""COMPUTED_VALUE"""),"CFS")</f>
        <v/>
      </c>
      <c r="F960" s="45">
        <f>IFERROR(__xludf.DUMMYFUNCTION("""COMPUTED_VALUE"""),"MAS AMITY PTE LTD")</f>
        <v/>
      </c>
      <c r="G960" s="45">
        <f>IFERROR(__xludf.DUMMYFUNCTION("""COMPUTED_VALUE"""),"MAS Active(Pvt) Ltd – CONTOURLINE")</f>
        <v/>
      </c>
      <c r="H960" s="43">
        <f>IFERROR(__xludf.DUMMYFUNCTION("""COMPUTED_VALUE"""),457046358906)</f>
        <v/>
      </c>
      <c r="I960" s="45">
        <f>IFERROR(__xludf.DUMMYFUNCTION("""COMPUTED_VALUE"""),19920875)</f>
        <v/>
      </c>
      <c r="J960" s="45">
        <f>IFERROR(__xludf.DUMMYFUNCTION("""COMPUTED_VALUE"""),"LW5HNQS")</f>
        <v/>
      </c>
      <c r="K960" s="45">
        <f>IFERROR(__xludf.DUMMYFUNCTION("""COMPUTED_VALUE"""),"LW5HNQS-071169")</f>
        <v/>
      </c>
      <c r="L960" s="45">
        <f>IFERROR(__xludf.DUMMYFUNCTION("""COMPUTED_VALUE"""),6)</f>
        <v/>
      </c>
      <c r="M960" s="45">
        <f>IFERROR(__xludf.DUMMYFUNCTION("""COMPUTED_VALUE"""),275)</f>
        <v/>
      </c>
      <c r="N960" s="45">
        <f>IFERROR(__xludf.DUMMYFUNCTION("""COMPUTED_VALUE"""),70.217)</f>
        <v/>
      </c>
      <c r="O960" s="45">
        <f>IFERROR(__xludf.DUMMYFUNCTION("""COMPUTED_VALUE"""),0.395)</f>
        <v/>
      </c>
      <c r="P960" s="45">
        <f>IFERROR(__xludf.DUMMYFUNCTION("""COMPUTED_VALUE"""),"Colombo, LK")</f>
        <v/>
      </c>
      <c r="Q960" s="45">
        <f>IFERROR(__xludf.DUMMYFUNCTION("""COMPUTED_VALUE"""),"New York, NY, US")</f>
        <v/>
      </c>
      <c r="R960" s="44">
        <f>IFERROR(__xludf.DUMMYFUNCTION("""COMPUTED_VALUE"""),45838)</f>
        <v/>
      </c>
      <c r="S960" s="44">
        <f>IFERROR(__xludf.DUMMYFUNCTION("""COMPUTED_VALUE"""),45897)</f>
        <v/>
      </c>
      <c r="T960" s="45">
        <f>IFERROR(__xludf.DUMMYFUNCTION("""COMPUTED_VALUE"""),"Mississauga, ON, CA")</f>
        <v/>
      </c>
      <c r="U960" s="45" t="n"/>
      <c r="V960" s="45" t="n"/>
      <c r="W960" s="45" t="n"/>
      <c r="X960" s="45" t="n"/>
      <c r="Y960" s="46">
        <f>IFERROR(__xludf.DUMMYFUNCTION("""COMPUTED_VALUE"""),45845)</f>
        <v/>
      </c>
      <c r="Z960" s="46">
        <f>IFERROR(__xludf.DUMMYFUNCTION("""COMPUTED_VALUE"""),45866)</f>
        <v/>
      </c>
      <c r="AA960" s="46">
        <f>IFERROR(__xludf.DUMMYFUNCTION("""COMPUTED_VALUE"""),45866)</f>
        <v/>
      </c>
      <c r="AB960" s="45">
        <f>IFERROR(__xludf.DUMMYFUNCTION("""COMPUTED_VALUE"""),"3500 Argentia Road")</f>
        <v/>
      </c>
      <c r="AC960" s="45" t="n"/>
      <c r="AD960" s="45">
        <f>IFERROR(__xludf.DUMMYFUNCTION("""COMPUTED_VALUE"""),"OCEAN")</f>
        <v/>
      </c>
      <c r="AE960" s="45">
        <f>IFERROR(__xludf.DUMMYFUNCTION("""COMPUTED_VALUE"""),"N")</f>
        <v/>
      </c>
      <c r="AF960" s="45">
        <f>IFERROR(__xludf.DUMMYFUNCTION("""COMPUTED_VALUE"""),"New Booking, Status changed from Submitted to Approved, Port of Loading changed from None to Colombo, LK, Dates Added, Dates Added, Dates Added")</f>
        <v/>
      </c>
      <c r="AG960" s="49">
        <f>IFERROR(__xludf.DUMMYFUNCTION("IFNA(vlookup(H960,IMPORTRANGE(""1vUGwO1n0QQGx9kKbO0_M5gmuhXZ6-LaxQxgrmJnzgP0"",""'TP# look up'!A:C""),3,0),"""")"),"")</f>
        <v/>
      </c>
      <c r="AH960" s="49">
        <f>LEFT(J960,2)</f>
        <v/>
      </c>
    </row>
    <row r="961" ht="12.75" customHeight="1">
      <c r="A961" s="45">
        <f>IFERROR(__xludf.DUMMYFUNCTION("""COMPUTED_VALUE"""),"Colombo")</f>
        <v/>
      </c>
      <c r="B961" s="45" t="n"/>
      <c r="C961" s="45">
        <f>IFERROR(__xludf.DUMMYFUNCTION("""COMPUTED_VALUE"""),3259528)</f>
        <v/>
      </c>
      <c r="D961" s="45" t="n"/>
      <c r="E961" s="45">
        <f>IFERROR(__xludf.DUMMYFUNCTION("""COMPUTED_VALUE"""),"CFS")</f>
        <v/>
      </c>
      <c r="F961" s="45">
        <f>IFERROR(__xludf.DUMMYFUNCTION("""COMPUTED_VALUE"""),"MAS AMITY PTE LTD")</f>
        <v/>
      </c>
      <c r="G961" s="45">
        <f>IFERROR(__xludf.DUMMYFUNCTION("""COMPUTED_VALUE"""),"MAS Active(Pvt) Ltd – CONTOURLINE")</f>
        <v/>
      </c>
      <c r="H961" s="43">
        <f>IFERROR(__xludf.DUMMYFUNCTION("""COMPUTED_VALUE"""),457046359063)</f>
        <v/>
      </c>
      <c r="I961" s="45">
        <f>IFERROR(__xludf.DUMMYFUNCTION("""COMPUTED_VALUE"""),19897873)</f>
        <v/>
      </c>
      <c r="J961" s="45">
        <f>IFERROR(__xludf.DUMMYFUNCTION("""COMPUTED_VALUE"""),"LW5HNQS")</f>
        <v/>
      </c>
      <c r="K961" s="45">
        <f>IFERROR(__xludf.DUMMYFUNCTION("""COMPUTED_VALUE"""),"LW5HNQS-071169")</f>
        <v/>
      </c>
      <c r="L961" s="45">
        <f>IFERROR(__xludf.DUMMYFUNCTION("""COMPUTED_VALUE"""),4)</f>
        <v/>
      </c>
      <c r="M961" s="45">
        <f>IFERROR(__xludf.DUMMYFUNCTION("""COMPUTED_VALUE"""),143)</f>
        <v/>
      </c>
      <c r="N961" s="45">
        <f>IFERROR(__xludf.DUMMYFUNCTION("""COMPUTED_VALUE"""),37.497)</f>
        <v/>
      </c>
      <c r="O961" s="45">
        <f>IFERROR(__xludf.DUMMYFUNCTION("""COMPUTED_VALUE"""),0.276)</f>
        <v/>
      </c>
      <c r="P961" s="45">
        <f>IFERROR(__xludf.DUMMYFUNCTION("""COMPUTED_VALUE"""),"Colombo, LK")</f>
        <v/>
      </c>
      <c r="Q961" s="45">
        <f>IFERROR(__xludf.DUMMYFUNCTION("""COMPUTED_VALUE"""),"New York, NY, US")</f>
        <v/>
      </c>
      <c r="R961" s="44">
        <f>IFERROR(__xludf.DUMMYFUNCTION("""COMPUTED_VALUE"""),45838)</f>
        <v/>
      </c>
      <c r="S961" s="44">
        <f>IFERROR(__xludf.DUMMYFUNCTION("""COMPUTED_VALUE"""),45897)</f>
        <v/>
      </c>
      <c r="T961" s="45">
        <f>IFERROR(__xludf.DUMMYFUNCTION("""COMPUTED_VALUE"""),"Milton, ON, CA")</f>
        <v/>
      </c>
      <c r="U961" s="45" t="n"/>
      <c r="V961" s="45" t="n"/>
      <c r="W961" s="45" t="n"/>
      <c r="X961" s="45" t="n"/>
      <c r="Y961" s="46">
        <f>IFERROR(__xludf.DUMMYFUNCTION("""COMPUTED_VALUE"""),45845)</f>
        <v/>
      </c>
      <c r="Z961" s="46">
        <f>IFERROR(__xludf.DUMMYFUNCTION("""COMPUTED_VALUE"""),45866)</f>
        <v/>
      </c>
      <c r="AA961" s="46">
        <f>IFERROR(__xludf.DUMMYFUNCTION("""COMPUTED_VALUE"""),45866)</f>
        <v/>
      </c>
      <c r="AB961" s="45">
        <f>IFERROR(__xludf.DUMMYFUNCTION("""COMPUTED_VALUE"""),"7211 Fifth Line")</f>
        <v/>
      </c>
      <c r="AC961" s="45" t="n"/>
      <c r="AD961" s="45">
        <f>IFERROR(__xludf.DUMMYFUNCTION("""COMPUTED_VALUE"""),"OCEAN")</f>
        <v/>
      </c>
      <c r="AE961" s="45">
        <f>IFERROR(__xludf.DUMMYFUNCTION("""COMPUTED_VALUE"""),"N")</f>
        <v/>
      </c>
      <c r="AF961" s="45">
        <f>IFERROR(__xludf.DUMMYFUNCTION("""COMPUTED_VALUE"""),"New Booking, Status changed from Submitted to Approved, Port of Loading changed from None to Colombo, LK, Dates Added, Dates Added, Dates Added")</f>
        <v/>
      </c>
      <c r="AG961" s="49">
        <f>IFERROR(__xludf.DUMMYFUNCTION("IFNA(vlookup(H961,IMPORTRANGE(""1vUGwO1n0QQGx9kKbO0_M5gmuhXZ6-LaxQxgrmJnzgP0"",""'TP# look up'!A:C""),3,0),"""")"),"")</f>
        <v/>
      </c>
      <c r="AH961" s="49">
        <f>LEFT(J961,2)</f>
        <v/>
      </c>
    </row>
    <row r="962" ht="12.75" customHeight="1">
      <c r="A962" s="45">
        <f>IFERROR(__xludf.DUMMYFUNCTION("""COMPUTED_VALUE"""),"Colombo")</f>
        <v/>
      </c>
      <c r="B962" s="45" t="n"/>
      <c r="C962" s="45">
        <f>IFERROR(__xludf.DUMMYFUNCTION("""COMPUTED_VALUE"""),3259528)</f>
        <v/>
      </c>
      <c r="D962" s="45" t="n"/>
      <c r="E962" s="45">
        <f>IFERROR(__xludf.DUMMYFUNCTION("""COMPUTED_VALUE"""),"CFS")</f>
        <v/>
      </c>
      <c r="F962" s="45">
        <f>IFERROR(__xludf.DUMMYFUNCTION("""COMPUTED_VALUE"""),"MAS AMITY PTE LTD")</f>
        <v/>
      </c>
      <c r="G962" s="45">
        <f>IFERROR(__xludf.DUMMYFUNCTION("""COMPUTED_VALUE"""),"MAS Active(Pvt) Ltd – CONTOURLINE")</f>
        <v/>
      </c>
      <c r="H962" s="43">
        <f>IFERROR(__xludf.DUMMYFUNCTION("""COMPUTED_VALUE"""),457047245917)</f>
        <v/>
      </c>
      <c r="I962" s="45">
        <f>IFERROR(__xludf.DUMMYFUNCTION("""COMPUTED_VALUE"""),19849758)</f>
        <v/>
      </c>
      <c r="J962" s="45">
        <f>IFERROR(__xludf.DUMMYFUNCTION("""COMPUTED_VALUE"""),"LW5HXOS")</f>
        <v/>
      </c>
      <c r="K962" s="45">
        <f>IFERROR(__xludf.DUMMYFUNCTION("""COMPUTED_VALUE"""),"LW5HXOS-0001")</f>
        <v/>
      </c>
      <c r="L962" s="45">
        <f>IFERROR(__xludf.DUMMYFUNCTION("""COMPUTED_VALUE"""),13)</f>
        <v/>
      </c>
      <c r="M962" s="45">
        <f>IFERROR(__xludf.DUMMYFUNCTION("""COMPUTED_VALUE"""),689)</f>
        <v/>
      </c>
      <c r="N962" s="45">
        <f>IFERROR(__xludf.DUMMYFUNCTION("""COMPUTED_VALUE"""),179.454)</f>
        <v/>
      </c>
      <c r="O962" s="45">
        <f>IFERROR(__xludf.DUMMYFUNCTION("""COMPUTED_VALUE"""),0.987)</f>
        <v/>
      </c>
      <c r="P962" s="45">
        <f>IFERROR(__xludf.DUMMYFUNCTION("""COMPUTED_VALUE"""),"Colombo, LK")</f>
        <v/>
      </c>
      <c r="Q962" s="45">
        <f>IFERROR(__xludf.DUMMYFUNCTION("""COMPUTED_VALUE"""),"New York, NY, US")</f>
        <v/>
      </c>
      <c r="R962" s="44">
        <f>IFERROR(__xludf.DUMMYFUNCTION("""COMPUTED_VALUE"""),45838)</f>
        <v/>
      </c>
      <c r="S962" s="44">
        <f>IFERROR(__xludf.DUMMYFUNCTION("""COMPUTED_VALUE"""),45897)</f>
        <v/>
      </c>
      <c r="T962" s="45">
        <f>IFERROR(__xludf.DUMMYFUNCTION("""COMPUTED_VALUE"""),"Mississauga, ON, CA")</f>
        <v/>
      </c>
      <c r="U962" s="45" t="n"/>
      <c r="V962" s="45" t="n"/>
      <c r="W962" s="45" t="n"/>
      <c r="X962" s="45" t="n"/>
      <c r="Y962" s="46">
        <f>IFERROR(__xludf.DUMMYFUNCTION("""COMPUTED_VALUE"""),45845)</f>
        <v/>
      </c>
      <c r="Z962" s="46">
        <f>IFERROR(__xludf.DUMMYFUNCTION("""COMPUTED_VALUE"""),45866)</f>
        <v/>
      </c>
      <c r="AA962" s="46">
        <f>IFERROR(__xludf.DUMMYFUNCTION("""COMPUTED_VALUE"""),45866)</f>
        <v/>
      </c>
      <c r="AB962" s="45">
        <f>IFERROR(__xludf.DUMMYFUNCTION("""COMPUTED_VALUE"""),"3500 Argentia Road")</f>
        <v/>
      </c>
      <c r="AC962" s="45" t="n"/>
      <c r="AD962" s="45">
        <f>IFERROR(__xludf.DUMMYFUNCTION("""COMPUTED_VALUE"""),"OCEAN")</f>
        <v/>
      </c>
      <c r="AE962" s="45">
        <f>IFERROR(__xludf.DUMMYFUNCTION("""COMPUTED_VALUE"""),"N")</f>
        <v/>
      </c>
      <c r="AF962" s="45">
        <f>IFERROR(__xludf.DUMMYFUNCTION("""COMPUTED_VALUE"""),"New Booking, Status changed from Submitted to Approved, Port of Loading changed from None to Colombo, LK, Dates Added, Dates Added, Dates Added")</f>
        <v/>
      </c>
      <c r="AG962" s="49">
        <f>IFERROR(__xludf.DUMMYFUNCTION("IFNA(vlookup(H962,IMPORTRANGE(""1vUGwO1n0QQGx9kKbO0_M5gmuhXZ6-LaxQxgrmJnzgP0"",""'TP# look up'!A:C""),3,0),"""")"),"")</f>
        <v/>
      </c>
      <c r="AH962" s="49">
        <f>LEFT(J962,2)</f>
        <v/>
      </c>
    </row>
    <row r="963" ht="12.75" customHeight="1">
      <c r="A963" s="45">
        <f>IFERROR(__xludf.DUMMYFUNCTION("""COMPUTED_VALUE"""),"Colombo")</f>
        <v/>
      </c>
      <c r="B963" s="45" t="n"/>
      <c r="C963" s="45">
        <f>IFERROR(__xludf.DUMMYFUNCTION("""COMPUTED_VALUE"""),3259528)</f>
        <v/>
      </c>
      <c r="D963" s="45" t="n"/>
      <c r="E963" s="45">
        <f>IFERROR(__xludf.DUMMYFUNCTION("""COMPUTED_VALUE"""),"CFS")</f>
        <v/>
      </c>
      <c r="F963" s="45">
        <f>IFERROR(__xludf.DUMMYFUNCTION("""COMPUTED_VALUE"""),"MAS AMITY PTE LTD")</f>
        <v/>
      </c>
      <c r="G963" s="45">
        <f>IFERROR(__xludf.DUMMYFUNCTION("""COMPUTED_VALUE"""),"MAS Active(Pvt) Ltd – CONTOURLINE")</f>
        <v/>
      </c>
      <c r="H963" s="43">
        <f>IFERROR(__xludf.DUMMYFUNCTION("""COMPUTED_VALUE"""),457048185514)</f>
        <v/>
      </c>
      <c r="I963" s="45">
        <f>IFERROR(__xludf.DUMMYFUNCTION("""COMPUTED_VALUE"""),19807623)</f>
        <v/>
      </c>
      <c r="J963" s="45">
        <f>IFERROR(__xludf.DUMMYFUNCTION("""COMPUTED_VALUE"""),"LW1FLES")</f>
        <v/>
      </c>
      <c r="K963" s="45">
        <f>IFERROR(__xludf.DUMMYFUNCTION("""COMPUTED_VALUE"""),"LW1FLES-031045")</f>
        <v/>
      </c>
      <c r="L963" s="45">
        <f>IFERROR(__xludf.DUMMYFUNCTION("""COMPUTED_VALUE"""),15)</f>
        <v/>
      </c>
      <c r="M963" s="45">
        <f>IFERROR(__xludf.DUMMYFUNCTION("""COMPUTED_VALUE"""),1414)</f>
        <v/>
      </c>
      <c r="N963" s="45">
        <f>IFERROR(__xludf.DUMMYFUNCTION("""COMPUTED_VALUE"""),136.832)</f>
        <v/>
      </c>
      <c r="O963" s="45">
        <f>IFERROR(__xludf.DUMMYFUNCTION("""COMPUTED_VALUE"""),1.145)</f>
        <v/>
      </c>
      <c r="P963" s="45">
        <f>IFERROR(__xludf.DUMMYFUNCTION("""COMPUTED_VALUE"""),"Colombo, LK")</f>
        <v/>
      </c>
      <c r="Q963" s="45">
        <f>IFERROR(__xludf.DUMMYFUNCTION("""COMPUTED_VALUE"""),"New York, NY, US")</f>
        <v/>
      </c>
      <c r="R963" s="44">
        <f>IFERROR(__xludf.DUMMYFUNCTION("""COMPUTED_VALUE"""),45838)</f>
        <v/>
      </c>
      <c r="S963" s="44">
        <f>IFERROR(__xludf.DUMMYFUNCTION("""COMPUTED_VALUE"""),45897)</f>
        <v/>
      </c>
      <c r="T963" s="45">
        <f>IFERROR(__xludf.DUMMYFUNCTION("""COMPUTED_VALUE"""),"Mississauga, ON, CA")</f>
        <v/>
      </c>
      <c r="U963" s="45" t="n"/>
      <c r="V963" s="45" t="n"/>
      <c r="W963" s="45" t="n"/>
      <c r="X963" s="45" t="n"/>
      <c r="Y963" s="46">
        <f>IFERROR(__xludf.DUMMYFUNCTION("""COMPUTED_VALUE"""),45845)</f>
        <v/>
      </c>
      <c r="Z963" s="46">
        <f>IFERROR(__xludf.DUMMYFUNCTION("""COMPUTED_VALUE"""),45866)</f>
        <v/>
      </c>
      <c r="AA963" s="46">
        <f>IFERROR(__xludf.DUMMYFUNCTION("""COMPUTED_VALUE"""),45866)</f>
        <v/>
      </c>
      <c r="AB963" s="45">
        <f>IFERROR(__xludf.DUMMYFUNCTION("""COMPUTED_VALUE"""),"3500 Argentia Road")</f>
        <v/>
      </c>
      <c r="AC963" s="45" t="n"/>
      <c r="AD963" s="45">
        <f>IFERROR(__xludf.DUMMYFUNCTION("""COMPUTED_VALUE"""),"OCEAN")</f>
        <v/>
      </c>
      <c r="AE963" s="45">
        <f>IFERROR(__xludf.DUMMYFUNCTION("""COMPUTED_VALUE"""),"N")</f>
        <v/>
      </c>
      <c r="AF963" s="45">
        <f>IFERROR(__xludf.DUMMYFUNCTION("""COMPUTED_VALUE"""),"New Booking, Status changed from Submitted to Approved, Port of Loading changed from None to Colombo, LK, Dates Added, Dates Added, Dates Added")</f>
        <v/>
      </c>
      <c r="AG963" s="49">
        <f>IFERROR(__xludf.DUMMYFUNCTION("IFNA(vlookup(H963,IMPORTRANGE(""1vUGwO1n0QQGx9kKbO0_M5gmuhXZ6-LaxQxgrmJnzgP0"",""'TP# look up'!A:C""),3,0),"""")"),"")</f>
        <v/>
      </c>
      <c r="AH963" s="49">
        <f>LEFT(J963,2)</f>
        <v/>
      </c>
    </row>
    <row r="964" ht="12.75" customHeight="1">
      <c r="A964" s="45">
        <f>IFERROR(__xludf.DUMMYFUNCTION("""COMPUTED_VALUE"""),"Colombo")</f>
        <v/>
      </c>
      <c r="B964" s="45" t="n"/>
      <c r="C964" s="45">
        <f>IFERROR(__xludf.DUMMYFUNCTION("""COMPUTED_VALUE"""),3259528)</f>
        <v/>
      </c>
      <c r="D964" s="45" t="n"/>
      <c r="E964" s="45">
        <f>IFERROR(__xludf.DUMMYFUNCTION("""COMPUTED_VALUE"""),"CFS")</f>
        <v/>
      </c>
      <c r="F964" s="45">
        <f>IFERROR(__xludf.DUMMYFUNCTION("""COMPUTED_VALUE"""),"MAS AMITY PTE LTD")</f>
        <v/>
      </c>
      <c r="G964" s="45">
        <f>IFERROR(__xludf.DUMMYFUNCTION("""COMPUTED_VALUE"""),"MAS Active(Pvt) Ltd – CONTOURLINE")</f>
        <v/>
      </c>
      <c r="H964" s="43">
        <f>IFERROR(__xludf.DUMMYFUNCTION("""COMPUTED_VALUE"""),457049184931)</f>
        <v/>
      </c>
      <c r="I964" s="45">
        <f>IFERROR(__xludf.DUMMYFUNCTION("""COMPUTED_VALUE"""),19807605)</f>
        <v/>
      </c>
      <c r="J964" s="45">
        <f>IFERROR(__xludf.DUMMYFUNCTION("""COMPUTED_VALUE"""),"LW1FLES")</f>
        <v/>
      </c>
      <c r="K964" s="45">
        <f>IFERROR(__xludf.DUMMYFUNCTION("""COMPUTED_VALUE"""),"LW1FLES-031045")</f>
        <v/>
      </c>
      <c r="L964" s="45">
        <f>IFERROR(__xludf.DUMMYFUNCTION("""COMPUTED_VALUE"""),6)</f>
        <v/>
      </c>
      <c r="M964" s="45">
        <f>IFERROR(__xludf.DUMMYFUNCTION("""COMPUTED_VALUE"""),358)</f>
        <v/>
      </c>
      <c r="N964" s="45">
        <f>IFERROR(__xludf.DUMMYFUNCTION("""COMPUTED_VALUE"""),36.534)</f>
        <v/>
      </c>
      <c r="O964" s="45">
        <f>IFERROR(__xludf.DUMMYFUNCTION("""COMPUTED_VALUE"""),0.395)</f>
        <v/>
      </c>
      <c r="P964" s="45">
        <f>IFERROR(__xludf.DUMMYFUNCTION("""COMPUTED_VALUE"""),"Colombo, LK")</f>
        <v/>
      </c>
      <c r="Q964" s="45">
        <f>IFERROR(__xludf.DUMMYFUNCTION("""COMPUTED_VALUE"""),"New York, NY, US")</f>
        <v/>
      </c>
      <c r="R964" s="44">
        <f>IFERROR(__xludf.DUMMYFUNCTION("""COMPUTED_VALUE"""),45838)</f>
        <v/>
      </c>
      <c r="S964" s="44">
        <f>IFERROR(__xludf.DUMMYFUNCTION("""COMPUTED_VALUE"""),45897)</f>
        <v/>
      </c>
      <c r="T964" s="45">
        <f>IFERROR(__xludf.DUMMYFUNCTION("""COMPUTED_VALUE"""),"Mississauga, ON, CA")</f>
        <v/>
      </c>
      <c r="U964" s="45" t="n"/>
      <c r="V964" s="45" t="n"/>
      <c r="W964" s="45" t="n"/>
      <c r="X964" s="45" t="n"/>
      <c r="Y964" s="46">
        <f>IFERROR(__xludf.DUMMYFUNCTION("""COMPUTED_VALUE"""),45845)</f>
        <v/>
      </c>
      <c r="Z964" s="46">
        <f>IFERROR(__xludf.DUMMYFUNCTION("""COMPUTED_VALUE"""),45866)</f>
        <v/>
      </c>
      <c r="AA964" s="46">
        <f>IFERROR(__xludf.DUMMYFUNCTION("""COMPUTED_VALUE"""),45866)</f>
        <v/>
      </c>
      <c r="AB964" s="45">
        <f>IFERROR(__xludf.DUMMYFUNCTION("""COMPUTED_VALUE"""),"3500 Argentia Road")</f>
        <v/>
      </c>
      <c r="AC964" s="45" t="n"/>
      <c r="AD964" s="45">
        <f>IFERROR(__xludf.DUMMYFUNCTION("""COMPUTED_VALUE"""),"OCEAN")</f>
        <v/>
      </c>
      <c r="AE964" s="45">
        <f>IFERROR(__xludf.DUMMYFUNCTION("""COMPUTED_VALUE"""),"N")</f>
        <v/>
      </c>
      <c r="AF964" s="45">
        <f>IFERROR(__xludf.DUMMYFUNCTION("""COMPUTED_VALUE"""),"New Booking, Status changed from Submitted to Approved, Port of Loading changed from None to Colombo, LK, Dates Added, Dates Added, Dates Added")</f>
        <v/>
      </c>
      <c r="AG964" s="49">
        <f>IFERROR(__xludf.DUMMYFUNCTION("IFNA(vlookup(H964,IMPORTRANGE(""1vUGwO1n0QQGx9kKbO0_M5gmuhXZ6-LaxQxgrmJnzgP0"",""'TP# look up'!A:C""),3,0),"""")"),"")</f>
        <v/>
      </c>
      <c r="AH964" s="49">
        <f>LEFT(J964,2)</f>
        <v/>
      </c>
    </row>
    <row r="965" ht="12.75" customHeight="1">
      <c r="A965" s="45">
        <f>IFERROR(__xludf.DUMMYFUNCTION("""COMPUTED_VALUE"""),"Colombo")</f>
        <v/>
      </c>
      <c r="B965" s="45" t="n"/>
      <c r="C965" s="45">
        <f>IFERROR(__xludf.DUMMYFUNCTION("""COMPUTED_VALUE"""),3259528)</f>
        <v/>
      </c>
      <c r="D965" s="45" t="n"/>
      <c r="E965" s="45">
        <f>IFERROR(__xludf.DUMMYFUNCTION("""COMPUTED_VALUE"""),"CFS")</f>
        <v/>
      </c>
      <c r="F965" s="45">
        <f>IFERROR(__xludf.DUMMYFUNCTION("""COMPUTED_VALUE"""),"MAS AMITY PTE LTD")</f>
        <v/>
      </c>
      <c r="G965" s="45">
        <f>IFERROR(__xludf.DUMMYFUNCTION("""COMPUTED_VALUE"""),"MAS Active(Pvt) Ltd – CONTOURLINE")</f>
        <v/>
      </c>
      <c r="H965" s="43">
        <f>IFERROR(__xludf.DUMMYFUNCTION("""COMPUTED_VALUE"""),457049185145)</f>
        <v/>
      </c>
      <c r="I965" s="45">
        <f>IFERROR(__xludf.DUMMYFUNCTION("""COMPUTED_VALUE"""),19807632)</f>
        <v/>
      </c>
      <c r="J965" s="45">
        <f>IFERROR(__xludf.DUMMYFUNCTION("""COMPUTED_VALUE"""),"LW1FLES")</f>
        <v/>
      </c>
      <c r="K965" s="45">
        <f>IFERROR(__xludf.DUMMYFUNCTION("""COMPUTED_VALUE"""),"LW1FLES-031045")</f>
        <v/>
      </c>
      <c r="L965" s="45">
        <f>IFERROR(__xludf.DUMMYFUNCTION("""COMPUTED_VALUE"""),1)</f>
        <v/>
      </c>
      <c r="M965" s="45">
        <f>IFERROR(__xludf.DUMMYFUNCTION("""COMPUTED_VALUE"""),29)</f>
        <v/>
      </c>
      <c r="N965" s="45">
        <f>IFERROR(__xludf.DUMMYFUNCTION("""COMPUTED_VALUE"""),3.652)</f>
        <v/>
      </c>
      <c r="O965" s="45">
        <f>IFERROR(__xludf.DUMMYFUNCTION("""COMPUTED_VALUE"""),0.079)</f>
        <v/>
      </c>
      <c r="P965" s="45">
        <f>IFERROR(__xludf.DUMMYFUNCTION("""COMPUTED_VALUE"""),"Colombo, LK")</f>
        <v/>
      </c>
      <c r="Q965" s="45">
        <f>IFERROR(__xludf.DUMMYFUNCTION("""COMPUTED_VALUE"""),"New York, NY, US")</f>
        <v/>
      </c>
      <c r="R965" s="44">
        <f>IFERROR(__xludf.DUMMYFUNCTION("""COMPUTED_VALUE"""),45838)</f>
        <v/>
      </c>
      <c r="S965" s="44">
        <f>IFERROR(__xludf.DUMMYFUNCTION("""COMPUTED_VALUE"""),45897)</f>
        <v/>
      </c>
      <c r="T965" s="45">
        <f>IFERROR(__xludf.DUMMYFUNCTION("""COMPUTED_VALUE"""),"Milton, ON, CA")</f>
        <v/>
      </c>
      <c r="U965" s="45" t="n"/>
      <c r="V965" s="45" t="n"/>
      <c r="W965" s="45" t="n"/>
      <c r="X965" s="45" t="n"/>
      <c r="Y965" s="46">
        <f>IFERROR(__xludf.DUMMYFUNCTION("""COMPUTED_VALUE"""),45845)</f>
        <v/>
      </c>
      <c r="Z965" s="46">
        <f>IFERROR(__xludf.DUMMYFUNCTION("""COMPUTED_VALUE"""),45866)</f>
        <v/>
      </c>
      <c r="AA965" s="46">
        <f>IFERROR(__xludf.DUMMYFUNCTION("""COMPUTED_VALUE"""),45866)</f>
        <v/>
      </c>
      <c r="AB965" s="45">
        <f>IFERROR(__xludf.DUMMYFUNCTION("""COMPUTED_VALUE"""),"7211 Fifth Line")</f>
        <v/>
      </c>
      <c r="AC965" s="45" t="n"/>
      <c r="AD965" s="45">
        <f>IFERROR(__xludf.DUMMYFUNCTION("""COMPUTED_VALUE"""),"OCEAN")</f>
        <v/>
      </c>
      <c r="AE965" s="45">
        <f>IFERROR(__xludf.DUMMYFUNCTION("""COMPUTED_VALUE"""),"N")</f>
        <v/>
      </c>
      <c r="AF965" s="45">
        <f>IFERROR(__xludf.DUMMYFUNCTION("""COMPUTED_VALUE"""),"New Booking, Status changed from Submitted to Approved, Port of Loading changed from None to Colombo, LK, Dates Added, Dates Added, Dates Added")</f>
        <v/>
      </c>
      <c r="AG965" s="49">
        <f>IFERROR(__xludf.DUMMYFUNCTION("IFNA(vlookup(H965,IMPORTRANGE(""1vUGwO1n0QQGx9kKbO0_M5gmuhXZ6-LaxQxgrmJnzgP0"",""'TP# look up'!A:C""),3,0),"""")"),"")</f>
        <v/>
      </c>
      <c r="AH965" s="49">
        <f>LEFT(J965,2)</f>
        <v/>
      </c>
    </row>
    <row r="966" ht="12.75" customHeight="1">
      <c r="A966" s="45">
        <f>IFERROR(__xludf.DUMMYFUNCTION("""COMPUTED_VALUE"""),"Colombo")</f>
        <v/>
      </c>
      <c r="B966" s="45" t="n"/>
      <c r="C966" s="45">
        <f>IFERROR(__xludf.DUMMYFUNCTION("""COMPUTED_VALUE"""),3259528)</f>
        <v/>
      </c>
      <c r="D966" s="45" t="n"/>
      <c r="E966" s="45">
        <f>IFERROR(__xludf.DUMMYFUNCTION("""COMPUTED_VALUE"""),"CFS")</f>
        <v/>
      </c>
      <c r="F966" s="45">
        <f>IFERROR(__xludf.DUMMYFUNCTION("""COMPUTED_VALUE"""),"MAS AMITY PTE LTD")</f>
        <v/>
      </c>
      <c r="G966" s="45">
        <f>IFERROR(__xludf.DUMMYFUNCTION("""COMPUTED_VALUE"""),"MAS Active(Pvt) Ltd – CONTOURLINE")</f>
        <v/>
      </c>
      <c r="H966" s="43">
        <f>IFERROR(__xludf.DUMMYFUNCTION("""COMPUTED_VALUE"""),457050017397)</f>
        <v/>
      </c>
      <c r="I966" s="45">
        <f>IFERROR(__xludf.DUMMYFUNCTION("""COMPUTED_VALUE"""),19807607)</f>
        <v/>
      </c>
      <c r="J966" s="45">
        <f>IFERROR(__xludf.DUMMYFUNCTION("""COMPUTED_VALUE"""),"LW1FLES")</f>
        <v/>
      </c>
      <c r="K966" s="45">
        <f>IFERROR(__xludf.DUMMYFUNCTION("""COMPUTED_VALUE"""),"LW1FLES-031045")</f>
        <v/>
      </c>
      <c r="L966" s="45">
        <f>IFERROR(__xludf.DUMMYFUNCTION("""COMPUTED_VALUE"""),6)</f>
        <v/>
      </c>
      <c r="M966" s="45">
        <f>IFERROR(__xludf.DUMMYFUNCTION("""COMPUTED_VALUE"""),456)</f>
        <v/>
      </c>
      <c r="N966" s="45">
        <f>IFERROR(__xludf.DUMMYFUNCTION("""COMPUTED_VALUE"""),44.895)</f>
        <v/>
      </c>
      <c r="O966" s="45">
        <f>IFERROR(__xludf.DUMMYFUNCTION("""COMPUTED_VALUE"""),0.395)</f>
        <v/>
      </c>
      <c r="P966" s="45">
        <f>IFERROR(__xludf.DUMMYFUNCTION("""COMPUTED_VALUE"""),"Colombo, LK")</f>
        <v/>
      </c>
      <c r="Q966" s="45">
        <f>IFERROR(__xludf.DUMMYFUNCTION("""COMPUTED_VALUE"""),"New York, NY, US")</f>
        <v/>
      </c>
      <c r="R966" s="44">
        <f>IFERROR(__xludf.DUMMYFUNCTION("""COMPUTED_VALUE"""),45838)</f>
        <v/>
      </c>
      <c r="S966" s="44">
        <f>IFERROR(__xludf.DUMMYFUNCTION("""COMPUTED_VALUE"""),45897)</f>
        <v/>
      </c>
      <c r="T966" s="45">
        <f>IFERROR(__xludf.DUMMYFUNCTION("""COMPUTED_VALUE"""),"Mississauga, ON, CA")</f>
        <v/>
      </c>
      <c r="U966" s="45" t="n"/>
      <c r="V966" s="45" t="n"/>
      <c r="W966" s="45" t="n"/>
      <c r="X966" s="45" t="n"/>
      <c r="Y966" s="46">
        <f>IFERROR(__xludf.DUMMYFUNCTION("""COMPUTED_VALUE"""),45845)</f>
        <v/>
      </c>
      <c r="Z966" s="46">
        <f>IFERROR(__xludf.DUMMYFUNCTION("""COMPUTED_VALUE"""),45866)</f>
        <v/>
      </c>
      <c r="AA966" s="46">
        <f>IFERROR(__xludf.DUMMYFUNCTION("""COMPUTED_VALUE"""),45866)</f>
        <v/>
      </c>
      <c r="AB966" s="45">
        <f>IFERROR(__xludf.DUMMYFUNCTION("""COMPUTED_VALUE"""),"3500 Argentia Road")</f>
        <v/>
      </c>
      <c r="AC966" s="45" t="n"/>
      <c r="AD966" s="45">
        <f>IFERROR(__xludf.DUMMYFUNCTION("""COMPUTED_VALUE"""),"OCEAN")</f>
        <v/>
      </c>
      <c r="AE966" s="45">
        <f>IFERROR(__xludf.DUMMYFUNCTION("""COMPUTED_VALUE"""),"N")</f>
        <v/>
      </c>
      <c r="AF966" s="45">
        <f>IFERROR(__xludf.DUMMYFUNCTION("""COMPUTED_VALUE"""),"New Booking, Status changed from Submitted to Approved, Port of Loading changed from None to Colombo, LK, Dates Added, Dates Added, Dates Added")</f>
        <v/>
      </c>
      <c r="AG966" s="49">
        <f>IFERROR(__xludf.DUMMYFUNCTION("IFNA(vlookup(H966,IMPORTRANGE(""1vUGwO1n0QQGx9kKbO0_M5gmuhXZ6-LaxQxgrmJnzgP0"",""'TP# look up'!A:C""),3,0),"""")"),"")</f>
        <v/>
      </c>
      <c r="AH966" s="49">
        <f>LEFT(J966,2)</f>
        <v/>
      </c>
    </row>
    <row r="967" ht="12.75" customHeight="1">
      <c r="A967" s="45">
        <f>IFERROR(__xludf.DUMMYFUNCTION("""COMPUTED_VALUE"""),"Colombo")</f>
        <v/>
      </c>
      <c r="B967" s="45" t="n"/>
      <c r="C967" s="45">
        <f>IFERROR(__xludf.DUMMYFUNCTION("""COMPUTED_VALUE"""),3259528)</f>
        <v/>
      </c>
      <c r="D967" s="45" t="n"/>
      <c r="E967" s="45">
        <f>IFERROR(__xludf.DUMMYFUNCTION("""COMPUTED_VALUE"""),"CFS")</f>
        <v/>
      </c>
      <c r="F967" s="45">
        <f>IFERROR(__xludf.DUMMYFUNCTION("""COMPUTED_VALUE"""),"Inqube Global (PVT) Ltd")</f>
        <v/>
      </c>
      <c r="G967" s="45">
        <f>IFERROR(__xludf.DUMMYFUNCTION("""COMPUTED_VALUE"""),"BRANDIX APPAREL SOLUTION LTD - GIRITALE")</f>
        <v/>
      </c>
      <c r="H967" s="43">
        <f>IFERROR(__xludf.DUMMYFUNCTION("""COMPUTED_VALUE"""),455745654231)</f>
        <v/>
      </c>
      <c r="I967" s="45">
        <f>IFERROR(__xludf.DUMMYFUNCTION("""COMPUTED_VALUE"""),19856365)</f>
        <v/>
      </c>
      <c r="J967" s="45">
        <f>IFERROR(__xludf.DUMMYFUNCTION("""COMPUTED_VALUE"""),"LM5AXAS")</f>
        <v/>
      </c>
      <c r="K967" s="45">
        <f>IFERROR(__xludf.DUMMYFUNCTION("""COMPUTED_VALUE"""),"LM5AXAS-031382")</f>
        <v/>
      </c>
      <c r="L967" s="45">
        <f>IFERROR(__xludf.DUMMYFUNCTION("""COMPUTED_VALUE"""),7)</f>
        <v/>
      </c>
      <c r="M967" s="45">
        <f>IFERROR(__xludf.DUMMYFUNCTION("""COMPUTED_VALUE"""),196)</f>
        <v/>
      </c>
      <c r="N967" s="45">
        <f>IFERROR(__xludf.DUMMYFUNCTION("""COMPUTED_VALUE"""),75.34)</f>
        <v/>
      </c>
      <c r="O967" s="45">
        <f>IFERROR(__xludf.DUMMYFUNCTION("""COMPUTED_VALUE"""),0.458)</f>
        <v/>
      </c>
      <c r="P967" s="45">
        <f>IFERROR(__xludf.DUMMYFUNCTION("""COMPUTED_VALUE"""),"Colombo, LK")</f>
        <v/>
      </c>
      <c r="Q967" s="45">
        <f>IFERROR(__xludf.DUMMYFUNCTION("""COMPUTED_VALUE"""),"New York, NY, US")</f>
        <v/>
      </c>
      <c r="R967" s="44">
        <f>IFERROR(__xludf.DUMMYFUNCTION("""COMPUTED_VALUE"""),45838)</f>
        <v/>
      </c>
      <c r="S967" s="44">
        <f>IFERROR(__xludf.DUMMYFUNCTION("""COMPUTED_VALUE"""),45897)</f>
        <v/>
      </c>
      <c r="T967" s="45">
        <f>IFERROR(__xludf.DUMMYFUNCTION("""COMPUTED_VALUE"""),"Mississauga, ON, CA")</f>
        <v/>
      </c>
      <c r="U967" s="45" t="n"/>
      <c r="V967" s="45" t="n"/>
      <c r="W967" s="45" t="n"/>
      <c r="X967" s="45" t="n"/>
      <c r="Y967" s="46">
        <f>IFERROR(__xludf.DUMMYFUNCTION("""COMPUTED_VALUE"""),45845)</f>
        <v/>
      </c>
      <c r="Z967" s="46">
        <f>IFERROR(__xludf.DUMMYFUNCTION("""COMPUTED_VALUE"""),45866)</f>
        <v/>
      </c>
      <c r="AA967" s="46">
        <f>IFERROR(__xludf.DUMMYFUNCTION("""COMPUTED_VALUE"""),45866)</f>
        <v/>
      </c>
      <c r="AB967" s="45">
        <f>IFERROR(__xludf.DUMMYFUNCTION("""COMPUTED_VALUE"""),"3500 Argentia Road")</f>
        <v/>
      </c>
      <c r="AC967" s="45" t="n"/>
      <c r="AD967" s="45">
        <f>IFERROR(__xludf.DUMMYFUNCTION("""COMPUTED_VALUE"""),"OCEAN")</f>
        <v/>
      </c>
      <c r="AE967" s="45">
        <f>IFERROR(__xludf.DUMMYFUNCTION("""COMPUTED_VALUE"""),"N")</f>
        <v/>
      </c>
      <c r="AF967" s="45">
        <f>IFERROR(__xludf.DUMMYFUNCTION("""COMPUTED_VALUE"""),"New Booking, Status changed from Submitted to Approved, Port of Loading changed from None to Colombo, LK, Dates Added, Dates Added")</f>
        <v/>
      </c>
      <c r="AG967" s="49">
        <f>IFERROR(__xludf.DUMMYFUNCTION("IFNA(vlookup(H967,IMPORTRANGE(""1vUGwO1n0QQGx9kKbO0_M5gmuhXZ6-LaxQxgrmJnzgP0"",""'TP# look up'!A:C""),3,0),"""")"),"")</f>
        <v/>
      </c>
      <c r="AH967" s="49">
        <f>LEFT(J967,2)</f>
        <v/>
      </c>
    </row>
    <row r="968" ht="12.75" customHeight="1">
      <c r="A968" s="45">
        <f>IFERROR(__xludf.DUMMYFUNCTION("""COMPUTED_VALUE"""),"Colombo")</f>
        <v/>
      </c>
      <c r="B968" s="45" t="n"/>
      <c r="C968" s="45">
        <f>IFERROR(__xludf.DUMMYFUNCTION("""COMPUTED_VALUE"""),3259528)</f>
        <v/>
      </c>
      <c r="D968" s="45" t="n"/>
      <c r="E968" s="45">
        <f>IFERROR(__xludf.DUMMYFUNCTION("""COMPUTED_VALUE"""),"CFS")</f>
        <v/>
      </c>
      <c r="F968" s="45">
        <f>IFERROR(__xludf.DUMMYFUNCTION("""COMPUTED_VALUE"""),"Inqube Global (PVT) Ltd")</f>
        <v/>
      </c>
      <c r="G968" s="45">
        <f>IFERROR(__xludf.DUMMYFUNCTION("""COMPUTED_VALUE"""),"Quantum Clothing Lanka (Pvt) Ltd")</f>
        <v/>
      </c>
      <c r="H968" s="43">
        <f>IFERROR(__xludf.DUMMYFUNCTION("""COMPUTED_VALUE"""),457247944085)</f>
        <v/>
      </c>
      <c r="I968" s="45">
        <f>IFERROR(__xludf.DUMMYFUNCTION("""COMPUTED_VALUE"""),19876535)</f>
        <v/>
      </c>
      <c r="J968" s="45">
        <f>IFERROR(__xludf.DUMMYFUNCTION("""COMPUTED_VALUE"""),"LW2DS6S")</f>
        <v/>
      </c>
      <c r="K968" s="45">
        <f>IFERROR(__xludf.DUMMYFUNCTION("""COMPUTED_VALUE"""),"LW2DS6S-0001")</f>
        <v/>
      </c>
      <c r="L968" s="45">
        <f>IFERROR(__xludf.DUMMYFUNCTION("""COMPUTED_VALUE"""),8)</f>
        <v/>
      </c>
      <c r="M968" s="45">
        <f>IFERROR(__xludf.DUMMYFUNCTION("""COMPUTED_VALUE"""),352)</f>
        <v/>
      </c>
      <c r="N968" s="45">
        <f>IFERROR(__xludf.DUMMYFUNCTION("""COMPUTED_VALUE"""),56.393)</f>
        <v/>
      </c>
      <c r="O968" s="45">
        <f>IFERROR(__xludf.DUMMYFUNCTION("""COMPUTED_VALUE"""),0.514)</f>
        <v/>
      </c>
      <c r="P968" s="45">
        <f>IFERROR(__xludf.DUMMYFUNCTION("""COMPUTED_VALUE"""),"Colombo, LK")</f>
        <v/>
      </c>
      <c r="Q968" s="45">
        <f>IFERROR(__xludf.DUMMYFUNCTION("""COMPUTED_VALUE"""),"New York, NY, US")</f>
        <v/>
      </c>
      <c r="R968" s="44">
        <f>IFERROR(__xludf.DUMMYFUNCTION("""COMPUTED_VALUE"""),45838)</f>
        <v/>
      </c>
      <c r="S968" s="44">
        <f>IFERROR(__xludf.DUMMYFUNCTION("""COMPUTED_VALUE"""),45897)</f>
        <v/>
      </c>
      <c r="T968" s="45">
        <f>IFERROR(__xludf.DUMMYFUNCTION("""COMPUTED_VALUE"""),"Milton, ON, CA")</f>
        <v/>
      </c>
      <c r="U968" s="45" t="n"/>
      <c r="V968" s="45" t="n"/>
      <c r="W968" s="45" t="n"/>
      <c r="X968" s="45" t="n"/>
      <c r="Y968" s="46">
        <f>IFERROR(__xludf.DUMMYFUNCTION("""COMPUTED_VALUE"""),45838)</f>
        <v/>
      </c>
      <c r="Z968" s="46">
        <f>IFERROR(__xludf.DUMMYFUNCTION("""COMPUTED_VALUE"""),45845)</f>
        <v/>
      </c>
      <c r="AA968" s="46">
        <f>IFERROR(__xludf.DUMMYFUNCTION("""COMPUTED_VALUE"""),45866)</f>
        <v/>
      </c>
      <c r="AB968" s="45">
        <f>IFERROR(__xludf.DUMMYFUNCTION("""COMPUTED_VALUE"""),"7211 Fifth Line")</f>
        <v/>
      </c>
      <c r="AC968" s="45" t="n"/>
      <c r="AD968" s="45">
        <f>IFERROR(__xludf.DUMMYFUNCTION("""COMPUTED_VALUE"""),"OCEAN")</f>
        <v/>
      </c>
      <c r="AE968" s="45">
        <f>IFERROR(__xludf.DUMMYFUNCTION("""COMPUTED_VALUE"""),"N")</f>
        <v/>
      </c>
      <c r="AF968" s="45">
        <f>IFERROR(__xludf.DUMMYFUNCTION("""COMPUTED_VALUE"""),"New Booking")</f>
        <v/>
      </c>
      <c r="AG968" s="49">
        <f>IFERROR(__xludf.DUMMYFUNCTION("IFNA(vlookup(H968,IMPORTRANGE(""1vUGwO1n0QQGx9kKbO0_M5gmuhXZ6-LaxQxgrmJnzgP0"",""'TP# look up'!A:C""),3,0),"""")"),"")</f>
        <v/>
      </c>
      <c r="AH968" s="49">
        <f>LEFT(J968,2)</f>
        <v/>
      </c>
    </row>
    <row r="969" ht="12.75" customHeight="1">
      <c r="A969" s="45">
        <f>IFERROR(__xludf.DUMMYFUNCTION("""COMPUTED_VALUE"""),"Colombo")</f>
        <v/>
      </c>
      <c r="B969" s="45" t="n"/>
      <c r="C969" s="45">
        <f>IFERROR(__xludf.DUMMYFUNCTION("""COMPUTED_VALUE"""),3259528)</f>
        <v/>
      </c>
      <c r="D969" s="45" t="n"/>
      <c r="E969" s="45">
        <f>IFERROR(__xludf.DUMMYFUNCTION("""COMPUTED_VALUE"""),"CFS")</f>
        <v/>
      </c>
      <c r="F969" s="45">
        <f>IFERROR(__xludf.DUMMYFUNCTION("""COMPUTED_VALUE"""),"Inqube Global (PVT) Ltd")</f>
        <v/>
      </c>
      <c r="G969" s="45">
        <f>IFERROR(__xludf.DUMMYFUNCTION("""COMPUTED_VALUE"""),"Quantum Clothing Lanka (Pvt) Ltd")</f>
        <v/>
      </c>
      <c r="H969" s="43">
        <f>IFERROR(__xludf.DUMMYFUNCTION("""COMPUTED_VALUE"""),457248694203)</f>
        <v/>
      </c>
      <c r="I969" s="45">
        <f>IFERROR(__xludf.DUMMYFUNCTION("""COMPUTED_VALUE"""),19876553)</f>
        <v/>
      </c>
      <c r="J969" s="45">
        <f>IFERROR(__xludf.DUMMYFUNCTION("""COMPUTED_VALUE"""),"LW2DS6S")</f>
        <v/>
      </c>
      <c r="K969" s="45">
        <f>IFERROR(__xludf.DUMMYFUNCTION("""COMPUTED_VALUE"""),"LW2DS6S-0001")</f>
        <v/>
      </c>
      <c r="L969" s="45">
        <f>IFERROR(__xludf.DUMMYFUNCTION("""COMPUTED_VALUE"""),3)</f>
        <v/>
      </c>
      <c r="M969" s="45">
        <f>IFERROR(__xludf.DUMMYFUNCTION("""COMPUTED_VALUE"""),93)</f>
        <v/>
      </c>
      <c r="N969" s="45">
        <f>IFERROR(__xludf.DUMMYFUNCTION("""COMPUTED_VALUE"""),16.17)</f>
        <v/>
      </c>
      <c r="O969" s="45">
        <f>IFERROR(__xludf.DUMMYFUNCTION("""COMPUTED_VALUE"""),0.159)</f>
        <v/>
      </c>
      <c r="P969" s="45">
        <f>IFERROR(__xludf.DUMMYFUNCTION("""COMPUTED_VALUE"""),"Colombo, LK")</f>
        <v/>
      </c>
      <c r="Q969" s="45">
        <f>IFERROR(__xludf.DUMMYFUNCTION("""COMPUTED_VALUE"""),"New York, NY, US")</f>
        <v/>
      </c>
      <c r="R969" s="44">
        <f>IFERROR(__xludf.DUMMYFUNCTION("""COMPUTED_VALUE"""),45838)</f>
        <v/>
      </c>
      <c r="S969" s="44">
        <f>IFERROR(__xludf.DUMMYFUNCTION("""COMPUTED_VALUE"""),45897)</f>
        <v/>
      </c>
      <c r="T969" s="45">
        <f>IFERROR(__xludf.DUMMYFUNCTION("""COMPUTED_VALUE"""),"Mississauga, ON, CA")</f>
        <v/>
      </c>
      <c r="U969" s="45" t="n"/>
      <c r="V969" s="45" t="n"/>
      <c r="W969" s="45" t="n"/>
      <c r="X969" s="45" t="n"/>
      <c r="Y969" s="46">
        <f>IFERROR(__xludf.DUMMYFUNCTION("""COMPUTED_VALUE"""),45838)</f>
        <v/>
      </c>
      <c r="Z969" s="46">
        <f>IFERROR(__xludf.DUMMYFUNCTION("""COMPUTED_VALUE"""),45845)</f>
        <v/>
      </c>
      <c r="AA969" s="46">
        <f>IFERROR(__xludf.DUMMYFUNCTION("""COMPUTED_VALUE"""),45866)</f>
        <v/>
      </c>
      <c r="AB969" s="45">
        <f>IFERROR(__xludf.DUMMYFUNCTION("""COMPUTED_VALUE"""),"3500 Argentia Road")</f>
        <v/>
      </c>
      <c r="AC969" s="45" t="n"/>
      <c r="AD969" s="45">
        <f>IFERROR(__xludf.DUMMYFUNCTION("""COMPUTED_VALUE"""),"OCEAN")</f>
        <v/>
      </c>
      <c r="AE969" s="45">
        <f>IFERROR(__xludf.DUMMYFUNCTION("""COMPUTED_VALUE"""),"N")</f>
        <v/>
      </c>
      <c r="AF969" s="45">
        <f>IFERROR(__xludf.DUMMYFUNCTION("""COMPUTED_VALUE"""),"New Booking")</f>
        <v/>
      </c>
      <c r="AG969" s="49">
        <f>IFERROR(__xludf.DUMMYFUNCTION("IFNA(vlookup(H969,IMPORTRANGE(""1vUGwO1n0QQGx9kKbO0_M5gmuhXZ6-LaxQxgrmJnzgP0"",""'TP# look up'!A:C""),3,0),"""")"),"")</f>
        <v/>
      </c>
      <c r="AH969" s="49">
        <f>LEFT(J969,2)</f>
        <v/>
      </c>
    </row>
    <row r="970" ht="12.75" customHeight="1">
      <c r="A970" s="45">
        <f>IFERROR(__xludf.DUMMYFUNCTION("""COMPUTED_VALUE"""),"Colombo")</f>
        <v/>
      </c>
      <c r="B970" s="45" t="n"/>
      <c r="C970" s="45">
        <f>IFERROR(__xludf.DUMMYFUNCTION("""COMPUTED_VALUE"""),3259528)</f>
        <v/>
      </c>
      <c r="D970" s="45" t="n"/>
      <c r="E970" s="45">
        <f>IFERROR(__xludf.DUMMYFUNCTION("""COMPUTED_VALUE"""),"CFS")</f>
        <v/>
      </c>
      <c r="F970" s="45">
        <f>IFERROR(__xludf.DUMMYFUNCTION("""COMPUTED_VALUE"""),"Inqube Global (PVT) Ltd")</f>
        <v/>
      </c>
      <c r="G970" s="45">
        <f>IFERROR(__xludf.DUMMYFUNCTION("""COMPUTED_VALUE"""),"Quantum Clothing Lanka (Pvt) Ltd")</f>
        <v/>
      </c>
      <c r="H970" s="43">
        <f>IFERROR(__xludf.DUMMYFUNCTION("""COMPUTED_VALUE"""),457249650135)</f>
        <v/>
      </c>
      <c r="I970" s="45">
        <f>IFERROR(__xludf.DUMMYFUNCTION("""COMPUTED_VALUE"""),19876179)</f>
        <v/>
      </c>
      <c r="J970" s="45">
        <f>IFERROR(__xludf.DUMMYFUNCTION("""COMPUTED_VALUE"""),"LW2DS6S")</f>
        <v/>
      </c>
      <c r="K970" s="45">
        <f>IFERROR(__xludf.DUMMYFUNCTION("""COMPUTED_VALUE"""),"LW2DS6S-0001")</f>
        <v/>
      </c>
      <c r="L970" s="45">
        <f>IFERROR(__xludf.DUMMYFUNCTION("""COMPUTED_VALUE"""),5)</f>
        <v/>
      </c>
      <c r="M970" s="45">
        <f>IFERROR(__xludf.DUMMYFUNCTION("""COMPUTED_VALUE"""),220)</f>
        <v/>
      </c>
      <c r="N970" s="45">
        <f>IFERROR(__xludf.DUMMYFUNCTION("""COMPUTED_VALUE"""),37.249)</f>
        <v/>
      </c>
      <c r="O970" s="45">
        <f>IFERROR(__xludf.DUMMYFUNCTION("""COMPUTED_VALUE"""),0.393)</f>
        <v/>
      </c>
      <c r="P970" s="45">
        <f>IFERROR(__xludf.DUMMYFUNCTION("""COMPUTED_VALUE"""),"Colombo, LK")</f>
        <v/>
      </c>
      <c r="Q970" s="45">
        <f>IFERROR(__xludf.DUMMYFUNCTION("""COMPUTED_VALUE"""),"New York, NY, US")</f>
        <v/>
      </c>
      <c r="R970" s="44">
        <f>IFERROR(__xludf.DUMMYFUNCTION("""COMPUTED_VALUE"""),45838)</f>
        <v/>
      </c>
      <c r="S970" s="44">
        <f>IFERROR(__xludf.DUMMYFUNCTION("""COMPUTED_VALUE"""),45897)</f>
        <v/>
      </c>
      <c r="T970" s="45">
        <f>IFERROR(__xludf.DUMMYFUNCTION("""COMPUTED_VALUE"""),"Mississauga, ON, CA")</f>
        <v/>
      </c>
      <c r="U970" s="45" t="n"/>
      <c r="V970" s="45" t="n"/>
      <c r="W970" s="45" t="n"/>
      <c r="X970" s="45" t="n"/>
      <c r="Y970" s="46">
        <f>IFERROR(__xludf.DUMMYFUNCTION("""COMPUTED_VALUE"""),45838)</f>
        <v/>
      </c>
      <c r="Z970" s="46">
        <f>IFERROR(__xludf.DUMMYFUNCTION("""COMPUTED_VALUE"""),45845)</f>
        <v/>
      </c>
      <c r="AA970" s="46">
        <f>IFERROR(__xludf.DUMMYFUNCTION("""COMPUTED_VALUE"""),45866)</f>
        <v/>
      </c>
      <c r="AB970" s="45">
        <f>IFERROR(__xludf.DUMMYFUNCTION("""COMPUTED_VALUE"""),"3500 Argentia Road")</f>
        <v/>
      </c>
      <c r="AC970" s="45" t="n"/>
      <c r="AD970" s="45">
        <f>IFERROR(__xludf.DUMMYFUNCTION("""COMPUTED_VALUE"""),"OCEAN")</f>
        <v/>
      </c>
      <c r="AE970" s="45">
        <f>IFERROR(__xludf.DUMMYFUNCTION("""COMPUTED_VALUE"""),"N")</f>
        <v/>
      </c>
      <c r="AF970" s="45">
        <f>IFERROR(__xludf.DUMMYFUNCTION("""COMPUTED_VALUE"""),"New Booking")</f>
        <v/>
      </c>
      <c r="AG970" s="49">
        <f>IFERROR(__xludf.DUMMYFUNCTION("IFNA(vlookup(H970,IMPORTRANGE(""1vUGwO1n0QQGx9kKbO0_M5gmuhXZ6-LaxQxgrmJnzgP0"",""'TP# look up'!A:C""),3,0),"""")"),"")</f>
        <v/>
      </c>
      <c r="AH970" s="49">
        <f>LEFT(J970,2)</f>
        <v/>
      </c>
    </row>
    <row r="971" ht="12.75" customHeight="1">
      <c r="A971" s="45">
        <f>IFERROR(__xludf.DUMMYFUNCTION("""COMPUTED_VALUE"""),"Colombo")</f>
        <v/>
      </c>
      <c r="B971" s="45" t="n"/>
      <c r="C971" s="45">
        <f>IFERROR(__xludf.DUMMYFUNCTION("""COMPUTED_VALUE"""),3259528)</f>
        <v/>
      </c>
      <c r="D971" s="45" t="n"/>
      <c r="E971" s="45">
        <f>IFERROR(__xludf.DUMMYFUNCTION("""COMPUTED_VALUE"""),"CFS")</f>
        <v/>
      </c>
      <c r="F971" s="45">
        <f>IFERROR(__xludf.DUMMYFUNCTION("""COMPUTED_VALUE"""),"Inqube Global (PVT) Ltd")</f>
        <v/>
      </c>
      <c r="G971" s="45">
        <f>IFERROR(__xludf.DUMMYFUNCTION("""COMPUTED_VALUE"""),"BRANDIX APPAREL SOLUTION LTD - GIRITALE")</f>
        <v/>
      </c>
      <c r="H971" s="43">
        <f>IFERROR(__xludf.DUMMYFUNCTION("""COMPUTED_VALUE"""),455745655090)</f>
        <v/>
      </c>
      <c r="I971" s="45">
        <f>IFERROR(__xludf.DUMMYFUNCTION("""COMPUTED_VALUE"""),19856369)</f>
        <v/>
      </c>
      <c r="J971" s="45">
        <f>IFERROR(__xludf.DUMMYFUNCTION("""COMPUTED_VALUE"""),"LM5AXAS")</f>
        <v/>
      </c>
      <c r="K971" s="45">
        <f>IFERROR(__xludf.DUMMYFUNCTION("""COMPUTED_VALUE"""),"LM5AXAS-031382")</f>
        <v/>
      </c>
      <c r="L971" s="45">
        <f>IFERROR(__xludf.DUMMYFUNCTION("""COMPUTED_VALUE"""),6)</f>
        <v/>
      </c>
      <c r="M971" s="45">
        <f>IFERROR(__xludf.DUMMYFUNCTION("""COMPUTED_VALUE"""),154)</f>
        <v/>
      </c>
      <c r="N971" s="45">
        <f>IFERROR(__xludf.DUMMYFUNCTION("""COMPUTED_VALUE"""),59.57)</f>
        <v/>
      </c>
      <c r="O971" s="45">
        <f>IFERROR(__xludf.DUMMYFUNCTION("""COMPUTED_VALUE"""),0.375)</f>
        <v/>
      </c>
      <c r="P971" s="45">
        <f>IFERROR(__xludf.DUMMYFUNCTION("""COMPUTED_VALUE"""),"Colombo, LK")</f>
        <v/>
      </c>
      <c r="Q971" s="45">
        <f>IFERROR(__xludf.DUMMYFUNCTION("""COMPUTED_VALUE"""),"New York, NY, US")</f>
        <v/>
      </c>
      <c r="R971" s="44">
        <f>IFERROR(__xludf.DUMMYFUNCTION("""COMPUTED_VALUE"""),45838)</f>
        <v/>
      </c>
      <c r="S971" s="44">
        <f>IFERROR(__xludf.DUMMYFUNCTION("""COMPUTED_VALUE"""),45897)</f>
        <v/>
      </c>
      <c r="T971" s="45">
        <f>IFERROR(__xludf.DUMMYFUNCTION("""COMPUTED_VALUE"""),"Mississauga, ON, CA")</f>
        <v/>
      </c>
      <c r="U971" s="45" t="n"/>
      <c r="V971" s="45" t="n"/>
      <c r="W971" s="45" t="n"/>
      <c r="X971" s="45" t="n"/>
      <c r="Y971" s="46">
        <f>IFERROR(__xludf.DUMMYFUNCTION("""COMPUTED_VALUE"""),45845)</f>
        <v/>
      </c>
      <c r="Z971" s="46">
        <f>IFERROR(__xludf.DUMMYFUNCTION("""COMPUTED_VALUE"""),45866)</f>
        <v/>
      </c>
      <c r="AA971" s="46">
        <f>IFERROR(__xludf.DUMMYFUNCTION("""COMPUTED_VALUE"""),45866)</f>
        <v/>
      </c>
      <c r="AB971" s="45">
        <f>IFERROR(__xludf.DUMMYFUNCTION("""COMPUTED_VALUE"""),"3500 Argentia Road")</f>
        <v/>
      </c>
      <c r="AC971" s="45" t="n"/>
      <c r="AD971" s="45">
        <f>IFERROR(__xludf.DUMMYFUNCTION("""COMPUTED_VALUE"""),"OCEAN")</f>
        <v/>
      </c>
      <c r="AE971" s="45">
        <f>IFERROR(__xludf.DUMMYFUNCTION("""COMPUTED_VALUE"""),"N")</f>
        <v/>
      </c>
      <c r="AF971" s="45">
        <f>IFERROR(__xludf.DUMMYFUNCTION("""COMPUTED_VALUE"""),"New Booking, Status changed from Submitted to Approved, Port of Loading changed from None to Colombo, LK, Dates Added, Dates Added")</f>
        <v/>
      </c>
      <c r="AG971" s="49">
        <f>IFERROR(__xludf.DUMMYFUNCTION("IFNA(vlookup(H971,IMPORTRANGE(""1vUGwO1n0QQGx9kKbO0_M5gmuhXZ6-LaxQxgrmJnzgP0"",""'TP# look up'!A:C""),3,0),"""")"),"")</f>
        <v/>
      </c>
      <c r="AH971" s="49">
        <f>LEFT(J971,2)</f>
        <v/>
      </c>
    </row>
    <row r="972" ht="12.75" customHeight="1">
      <c r="A972" s="45">
        <f>IFERROR(__xludf.DUMMYFUNCTION("""COMPUTED_VALUE"""),"Colombo")</f>
        <v/>
      </c>
      <c r="B972" s="45" t="n"/>
      <c r="C972" s="45">
        <f>IFERROR(__xludf.DUMMYFUNCTION("""COMPUTED_VALUE"""),3259827)</f>
        <v/>
      </c>
      <c r="D972" s="45" t="n"/>
      <c r="E972" s="45">
        <f>IFERROR(__xludf.DUMMYFUNCTION("""COMPUTED_VALUE"""),"CFS")</f>
        <v/>
      </c>
      <c r="F972" s="45">
        <f>IFERROR(__xludf.DUMMYFUNCTION("""COMPUTED_VALUE"""),"MAS AMITY PTE LTD")</f>
        <v/>
      </c>
      <c r="G972" s="45">
        <f>IFERROR(__xludf.DUMMYFUNCTION("""COMPUTED_VALUE"""),"MAS Active (Pvt) Ltd - Linea Intimo")</f>
        <v/>
      </c>
      <c r="H972" s="43">
        <f>IFERROR(__xludf.DUMMYFUNCTION("""COMPUTED_VALUE"""),456905779390)</f>
        <v/>
      </c>
      <c r="I972" s="45">
        <f>IFERROR(__xludf.DUMMYFUNCTION("""COMPUTED_VALUE"""),19920606)</f>
        <v/>
      </c>
      <c r="J972" s="45">
        <f>IFERROR(__xludf.DUMMYFUNCTION("""COMPUTED_VALUE"""),"LW7DK4S")</f>
        <v/>
      </c>
      <c r="K972" s="45">
        <f>IFERROR(__xludf.DUMMYFUNCTION("""COMPUTED_VALUE"""),"LW7DK4S-041850")</f>
        <v/>
      </c>
      <c r="L972" s="45">
        <f>IFERROR(__xludf.DUMMYFUNCTION("""COMPUTED_VALUE"""),2)</f>
        <v/>
      </c>
      <c r="M972" s="45">
        <f>IFERROR(__xludf.DUMMYFUNCTION("""COMPUTED_VALUE"""),21)</f>
        <v/>
      </c>
      <c r="N972" s="45">
        <f>IFERROR(__xludf.DUMMYFUNCTION("""COMPUTED_VALUE"""),4.239)</f>
        <v/>
      </c>
      <c r="O972" s="45">
        <f>IFERROR(__xludf.DUMMYFUNCTION("""COMPUTED_VALUE"""),0.079)</f>
        <v/>
      </c>
      <c r="P972" s="45">
        <f>IFERROR(__xludf.DUMMYFUNCTION("""COMPUTED_VALUE"""),"Colombo, LK")</f>
        <v/>
      </c>
      <c r="Q972" s="45">
        <f>IFERROR(__xludf.DUMMYFUNCTION("""COMPUTED_VALUE"""),"New York, NY, US")</f>
        <v/>
      </c>
      <c r="R972" s="44">
        <f>IFERROR(__xludf.DUMMYFUNCTION("""COMPUTED_VALUE"""),45831)</f>
        <v/>
      </c>
      <c r="S972" s="44">
        <f>IFERROR(__xludf.DUMMYFUNCTION("""COMPUTED_VALUE"""),45890)</f>
        <v/>
      </c>
      <c r="T972" s="45">
        <f>IFERROR(__xludf.DUMMYFUNCTION("""COMPUTED_VALUE"""),"Birmingham, GB")</f>
        <v/>
      </c>
      <c r="U972" s="45" t="n"/>
      <c r="V972" s="45" t="n"/>
      <c r="W972" s="45" t="n"/>
      <c r="X972" s="45" t="n"/>
      <c r="Y972" s="46">
        <f>IFERROR(__xludf.DUMMYFUNCTION("""COMPUTED_VALUE"""),45838)</f>
        <v/>
      </c>
      <c r="Z972" s="46">
        <f>IFERROR(__xludf.DUMMYFUNCTION("""COMPUTED_VALUE"""),45852)</f>
        <v/>
      </c>
      <c r="AA972" s="46">
        <f>IFERROR(__xludf.DUMMYFUNCTION("""COMPUTED_VALUE"""),45852)</f>
        <v/>
      </c>
      <c r="AB972" s="45">
        <f>IFERROR(__xludf.DUMMYFUNCTION("""COMPUTED_VALUE"""),"10A Faraday Ave")</f>
        <v/>
      </c>
      <c r="AC972" s="45" t="n"/>
      <c r="AD972" s="45">
        <f>IFERROR(__xludf.DUMMYFUNCTION("""COMPUTED_VALUE"""),"OCEAN")</f>
        <v/>
      </c>
      <c r="AE972" s="45">
        <f>IFERROR(__xludf.DUMMYFUNCTION("""COMPUTED_VALUE"""),"N")</f>
        <v/>
      </c>
      <c r="AF972" s="45" t="n"/>
      <c r="AG972" s="49">
        <f>IFERROR(__xludf.DUMMYFUNCTION("IFNA(vlookup(H972,IMPORTRANGE(""1vUGwO1n0QQGx9kKbO0_M5gmuhXZ6-LaxQxgrmJnzgP0"",""'TP# look up'!A:C""),3,0),"""")"),"")</f>
        <v/>
      </c>
      <c r="AH972" s="49">
        <f>LEFT(J972,2)</f>
        <v/>
      </c>
    </row>
    <row r="973" ht="12.75" customHeight="1">
      <c r="A973" s="45">
        <f>IFERROR(__xludf.DUMMYFUNCTION("""COMPUTED_VALUE"""),"Colombo")</f>
        <v/>
      </c>
      <c r="B973" s="45" t="n"/>
      <c r="C973" s="45">
        <f>IFERROR(__xludf.DUMMYFUNCTION("""COMPUTED_VALUE"""),3259827)</f>
        <v/>
      </c>
      <c r="D973" s="45" t="n"/>
      <c r="E973" s="45">
        <f>IFERROR(__xludf.DUMMYFUNCTION("""COMPUTED_VALUE"""),"CFS")</f>
        <v/>
      </c>
      <c r="F973" s="45">
        <f>IFERROR(__xludf.DUMMYFUNCTION("""COMPUTED_VALUE"""),"MAS AMITY PTE LTD")</f>
        <v/>
      </c>
      <c r="G973" s="45">
        <f>IFERROR(__xludf.DUMMYFUNCTION("""COMPUTED_VALUE"""),"MAS Active (Pvt) Ltd - Linea Intimo")</f>
        <v/>
      </c>
      <c r="H973" s="43">
        <f>IFERROR(__xludf.DUMMYFUNCTION("""COMPUTED_VALUE"""),456900748368)</f>
        <v/>
      </c>
      <c r="I973" s="45">
        <f>IFERROR(__xludf.DUMMYFUNCTION("""COMPUTED_VALUE"""),19822091)</f>
        <v/>
      </c>
      <c r="J973" s="45">
        <f>IFERROR(__xludf.DUMMYFUNCTION("""COMPUTED_VALUE"""),"LW3JE9S")</f>
        <v/>
      </c>
      <c r="K973" s="45">
        <f>IFERROR(__xludf.DUMMYFUNCTION("""COMPUTED_VALUE"""),"LW3JE9S-071170")</f>
        <v/>
      </c>
      <c r="L973" s="45">
        <f>IFERROR(__xludf.DUMMYFUNCTION("""COMPUTED_VALUE"""),3)</f>
        <v/>
      </c>
      <c r="M973" s="45">
        <f>IFERROR(__xludf.DUMMYFUNCTION("""COMPUTED_VALUE"""),98)</f>
        <v/>
      </c>
      <c r="N973" s="45">
        <f>IFERROR(__xludf.DUMMYFUNCTION("""COMPUTED_VALUE"""),19.098)</f>
        <v/>
      </c>
      <c r="O973" s="45">
        <f>IFERROR(__xludf.DUMMYFUNCTION("""COMPUTED_VALUE"""),0.158)</f>
        <v/>
      </c>
      <c r="P973" s="45">
        <f>IFERROR(__xludf.DUMMYFUNCTION("""COMPUTED_VALUE"""),"Colombo, LK")</f>
        <v/>
      </c>
      <c r="Q973" s="45">
        <f>IFERROR(__xludf.DUMMYFUNCTION("""COMPUTED_VALUE"""),"Felixstowe, GB")</f>
        <v/>
      </c>
      <c r="R973" s="44">
        <f>IFERROR(__xludf.DUMMYFUNCTION("""COMPUTED_VALUE"""),45831)</f>
        <v/>
      </c>
      <c r="S973" s="44">
        <f>IFERROR(__xludf.DUMMYFUNCTION("""COMPUTED_VALUE"""),45890)</f>
        <v/>
      </c>
      <c r="T973" s="45">
        <f>IFERROR(__xludf.DUMMYFUNCTION("""COMPUTED_VALUE"""),"Birmingham, GB")</f>
        <v/>
      </c>
      <c r="U973" s="45" t="n"/>
      <c r="V973" s="45" t="n"/>
      <c r="W973" s="45" t="n"/>
      <c r="X973" s="45" t="n"/>
      <c r="Y973" s="46">
        <f>IFERROR(__xludf.DUMMYFUNCTION("""COMPUTED_VALUE"""),45838)</f>
        <v/>
      </c>
      <c r="Z973" s="46">
        <f>IFERROR(__xludf.DUMMYFUNCTION("""COMPUTED_VALUE"""),45859)</f>
        <v/>
      </c>
      <c r="AA973" s="46">
        <f>IFERROR(__xludf.DUMMYFUNCTION("""COMPUTED_VALUE"""),45859)</f>
        <v/>
      </c>
      <c r="AB973" s="45">
        <f>IFERROR(__xludf.DUMMYFUNCTION("""COMPUTED_VALUE"""),"10A Faraday Ave")</f>
        <v/>
      </c>
      <c r="AC973" s="45" t="n"/>
      <c r="AD973" s="45">
        <f>IFERROR(__xludf.DUMMYFUNCTION("""COMPUTED_VALUE"""),"OCEAN")</f>
        <v/>
      </c>
      <c r="AE973" s="45">
        <f>IFERROR(__xludf.DUMMYFUNCTION("""COMPUTED_VALUE"""),"N")</f>
        <v/>
      </c>
      <c r="AF973" s="45" t="n"/>
      <c r="AG973" s="49">
        <f>IFERROR(__xludf.DUMMYFUNCTION("IFNA(vlookup(H973,IMPORTRANGE(""1vUGwO1n0QQGx9kKbO0_M5gmuhXZ6-LaxQxgrmJnzgP0"",""'TP# look up'!A:C""),3,0),"""")"),"")</f>
        <v/>
      </c>
      <c r="AH973" s="49">
        <f>LEFT(J973,2)</f>
        <v/>
      </c>
    </row>
    <row r="974" ht="12.75" customHeight="1">
      <c r="A974" s="45">
        <f>IFERROR(__xludf.DUMMYFUNCTION("""COMPUTED_VALUE"""),"Colombo")</f>
        <v/>
      </c>
      <c r="B974" s="45" t="n"/>
      <c r="C974" s="45">
        <f>IFERROR(__xludf.DUMMYFUNCTION("""COMPUTED_VALUE"""),3259827)</f>
        <v/>
      </c>
      <c r="D974" s="45" t="n"/>
      <c r="E974" s="45">
        <f>IFERROR(__xludf.DUMMYFUNCTION("""COMPUTED_VALUE"""),"CFS")</f>
        <v/>
      </c>
      <c r="F974" s="45">
        <f>IFERROR(__xludf.DUMMYFUNCTION("""COMPUTED_VALUE"""),"MAS AMITY PTE LTD")</f>
        <v/>
      </c>
      <c r="G974" s="45">
        <f>IFERROR(__xludf.DUMMYFUNCTION("""COMPUTED_VALUE"""),"MAS Fabrics (Pvt) Ltd Intimo")</f>
        <v/>
      </c>
      <c r="H974" s="43">
        <f>IFERROR(__xludf.DUMMYFUNCTION("""COMPUTED_VALUE"""),456895958466)</f>
        <v/>
      </c>
      <c r="I974" s="45">
        <f>IFERROR(__xludf.DUMMYFUNCTION("""COMPUTED_VALUE"""),19820871)</f>
        <v/>
      </c>
      <c r="J974" s="45">
        <f>IFERROR(__xludf.DUMMYFUNCTION("""COMPUTED_VALUE"""),"LW3JE8S")</f>
        <v/>
      </c>
      <c r="K974" s="45">
        <f>IFERROR(__xludf.DUMMYFUNCTION("""COMPUTED_VALUE"""),"LW3JE8S-071170")</f>
        <v/>
      </c>
      <c r="L974" s="45">
        <f>IFERROR(__xludf.DUMMYFUNCTION("""COMPUTED_VALUE"""),3)</f>
        <v/>
      </c>
      <c r="M974" s="45">
        <f>IFERROR(__xludf.DUMMYFUNCTION("""COMPUTED_VALUE"""),74)</f>
        <v/>
      </c>
      <c r="N974" s="45">
        <f>IFERROR(__xludf.DUMMYFUNCTION("""COMPUTED_VALUE"""),14.96)</f>
        <v/>
      </c>
      <c r="O974" s="45">
        <f>IFERROR(__xludf.DUMMYFUNCTION("""COMPUTED_VALUE"""),0.158)</f>
        <v/>
      </c>
      <c r="P974" s="45">
        <f>IFERROR(__xludf.DUMMYFUNCTION("""COMPUTED_VALUE"""),"Colombo, LK")</f>
        <v/>
      </c>
      <c r="Q974" s="45">
        <f>IFERROR(__xludf.DUMMYFUNCTION("""COMPUTED_VALUE"""),"Felixstowe, GB")</f>
        <v/>
      </c>
      <c r="R974" s="44">
        <f>IFERROR(__xludf.DUMMYFUNCTION("""COMPUTED_VALUE"""),45831)</f>
        <v/>
      </c>
      <c r="S974" s="44">
        <f>IFERROR(__xludf.DUMMYFUNCTION("""COMPUTED_VALUE"""),45890)</f>
        <v/>
      </c>
      <c r="T974" s="45">
        <f>IFERROR(__xludf.DUMMYFUNCTION("""COMPUTED_VALUE"""),"Birmingham, GB")</f>
        <v/>
      </c>
      <c r="U974" s="45" t="n"/>
      <c r="V974" s="45" t="n"/>
      <c r="W974" s="45" t="n"/>
      <c r="X974" s="45" t="n"/>
      <c r="Y974" s="46">
        <f>IFERROR(__xludf.DUMMYFUNCTION("""COMPUTED_VALUE"""),45838)</f>
        <v/>
      </c>
      <c r="Z974" s="46">
        <f>IFERROR(__xludf.DUMMYFUNCTION("""COMPUTED_VALUE"""),45859)</f>
        <v/>
      </c>
      <c r="AA974" s="46">
        <f>IFERROR(__xludf.DUMMYFUNCTION("""COMPUTED_VALUE"""),45859)</f>
        <v/>
      </c>
      <c r="AB974" s="45">
        <f>IFERROR(__xludf.DUMMYFUNCTION("""COMPUTED_VALUE"""),"10A Faraday Ave")</f>
        <v/>
      </c>
      <c r="AC974" s="45" t="n"/>
      <c r="AD974" s="45">
        <f>IFERROR(__xludf.DUMMYFUNCTION("""COMPUTED_VALUE"""),"OCEAN")</f>
        <v/>
      </c>
      <c r="AE974" s="45">
        <f>IFERROR(__xludf.DUMMYFUNCTION("""COMPUTED_VALUE"""),"N")</f>
        <v/>
      </c>
      <c r="AF974" s="45" t="n"/>
      <c r="AG974" s="49">
        <f>IFERROR(__xludf.DUMMYFUNCTION("IFNA(vlookup(H974,IMPORTRANGE(""1vUGwO1n0QQGx9kKbO0_M5gmuhXZ6-LaxQxgrmJnzgP0"",""'TP# look up'!A:C""),3,0),"""")"),"")</f>
        <v/>
      </c>
      <c r="AH974" s="49">
        <f>LEFT(J974,2)</f>
        <v/>
      </c>
    </row>
    <row r="975" ht="12.75" customHeight="1">
      <c r="A975" s="45">
        <f>IFERROR(__xludf.DUMMYFUNCTION("""COMPUTED_VALUE"""),"Colombo")</f>
        <v/>
      </c>
      <c r="B975" s="45" t="n"/>
      <c r="C975" s="45">
        <f>IFERROR(__xludf.DUMMYFUNCTION("""COMPUTED_VALUE"""),3259827)</f>
        <v/>
      </c>
      <c r="D975" s="45" t="n"/>
      <c r="E975" s="45">
        <f>IFERROR(__xludf.DUMMYFUNCTION("""COMPUTED_VALUE"""),"CFS")</f>
        <v/>
      </c>
      <c r="F975" s="45">
        <f>IFERROR(__xludf.DUMMYFUNCTION("""COMPUTED_VALUE"""),"MAS AMITY PTE LTD")</f>
        <v/>
      </c>
      <c r="G975" s="45">
        <f>IFERROR(__xludf.DUMMYFUNCTION("""COMPUTED_VALUE"""),"MAS Active (Pvt) Ltd – Shadowline")</f>
        <v/>
      </c>
      <c r="H975" s="43">
        <f>IFERROR(__xludf.DUMMYFUNCTION("""COMPUTED_VALUE"""),457032093502)</f>
        <v/>
      </c>
      <c r="I975" s="45">
        <f>IFERROR(__xludf.DUMMYFUNCTION("""COMPUTED_VALUE"""),19814196)</f>
        <v/>
      </c>
      <c r="J975" s="45">
        <f>IFERROR(__xludf.DUMMYFUNCTION("""COMPUTED_VALUE"""),"LW1DUDS")</f>
        <v/>
      </c>
      <c r="K975" s="45">
        <f>IFERROR(__xludf.DUMMYFUNCTION("""COMPUTED_VALUE"""),"LW1DUDS-0002")</f>
        <v/>
      </c>
      <c r="L975" s="45">
        <f>IFERROR(__xludf.DUMMYFUNCTION("""COMPUTED_VALUE"""),6)</f>
        <v/>
      </c>
      <c r="M975" s="45">
        <f>IFERROR(__xludf.DUMMYFUNCTION("""COMPUTED_VALUE"""),257)</f>
        <v/>
      </c>
      <c r="N975" s="45">
        <f>IFERROR(__xludf.DUMMYFUNCTION("""COMPUTED_VALUE"""),40.889)</f>
        <v/>
      </c>
      <c r="O975" s="45">
        <f>IFERROR(__xludf.DUMMYFUNCTION("""COMPUTED_VALUE"""),0.355)</f>
        <v/>
      </c>
      <c r="P975" s="45">
        <f>IFERROR(__xludf.DUMMYFUNCTION("""COMPUTED_VALUE"""),"Colombo, LK")</f>
        <v/>
      </c>
      <c r="Q975" s="45">
        <f>IFERROR(__xludf.DUMMYFUNCTION("""COMPUTED_VALUE"""),"Felixstowe, GB")</f>
        <v/>
      </c>
      <c r="R975" s="44">
        <f>IFERROR(__xludf.DUMMYFUNCTION("""COMPUTED_VALUE"""),45831)</f>
        <v/>
      </c>
      <c r="S975" s="44">
        <f>IFERROR(__xludf.DUMMYFUNCTION("""COMPUTED_VALUE"""),45890)</f>
        <v/>
      </c>
      <c r="T975" s="45">
        <f>IFERROR(__xludf.DUMMYFUNCTION("""COMPUTED_VALUE"""),"Birmingham, GB")</f>
        <v/>
      </c>
      <c r="U975" s="45" t="n"/>
      <c r="V975" s="45" t="n"/>
      <c r="W975" s="45" t="n"/>
      <c r="X975" s="45" t="n"/>
      <c r="Y975" s="46">
        <f>IFERROR(__xludf.DUMMYFUNCTION("""COMPUTED_VALUE"""),45838)</f>
        <v/>
      </c>
      <c r="Z975" s="46">
        <f>IFERROR(__xludf.DUMMYFUNCTION("""COMPUTED_VALUE"""),45859)</f>
        <v/>
      </c>
      <c r="AA975" s="46">
        <f>IFERROR(__xludf.DUMMYFUNCTION("""COMPUTED_VALUE"""),45859)</f>
        <v/>
      </c>
      <c r="AB975" s="45">
        <f>IFERROR(__xludf.DUMMYFUNCTION("""COMPUTED_VALUE"""),"10A Faraday Ave")</f>
        <v/>
      </c>
      <c r="AC975" s="45" t="n"/>
      <c r="AD975" s="45">
        <f>IFERROR(__xludf.DUMMYFUNCTION("""COMPUTED_VALUE"""),"OCEAN")</f>
        <v/>
      </c>
      <c r="AE975" s="45">
        <f>IFERROR(__xludf.DUMMYFUNCTION("""COMPUTED_VALUE"""),"N")</f>
        <v/>
      </c>
      <c r="AF975" s="45" t="n"/>
      <c r="AG975" s="49">
        <f>IFERROR(__xludf.DUMMYFUNCTION("IFNA(vlookup(H975,IMPORTRANGE(""1vUGwO1n0QQGx9kKbO0_M5gmuhXZ6-LaxQxgrmJnzgP0"",""'TP# look up'!A:C""),3,0),"""")"),"")</f>
        <v/>
      </c>
      <c r="AH975" s="49">
        <f>LEFT(J975,2)</f>
        <v/>
      </c>
    </row>
    <row r="976" ht="12.75" customHeight="1">
      <c r="A976" s="45">
        <f>IFERROR(__xludf.DUMMYFUNCTION("""COMPUTED_VALUE"""),"Colombo")</f>
        <v/>
      </c>
      <c r="B976" s="45" t="n"/>
      <c r="C976" s="45">
        <f>IFERROR(__xludf.DUMMYFUNCTION("""COMPUTED_VALUE"""),3259827)</f>
        <v/>
      </c>
      <c r="D976" s="45" t="n"/>
      <c r="E976" s="45">
        <f>IFERROR(__xludf.DUMMYFUNCTION("""COMPUTED_VALUE"""),"CFS")</f>
        <v/>
      </c>
      <c r="F976" s="45">
        <f>IFERROR(__xludf.DUMMYFUNCTION("""COMPUTED_VALUE"""),"MAS AMITY PTE LTD")</f>
        <v/>
      </c>
      <c r="G976" s="45">
        <f>IFERROR(__xludf.DUMMYFUNCTION("""COMPUTED_VALUE"""),"MAS Active (Pvt) Ltd – Shadowline")</f>
        <v/>
      </c>
      <c r="H976" s="43">
        <f>IFERROR(__xludf.DUMMYFUNCTION("""COMPUTED_VALUE"""),457036880264)</f>
        <v/>
      </c>
      <c r="I976" s="45">
        <f>IFERROR(__xludf.DUMMYFUNCTION("""COMPUTED_VALUE"""),19814200)</f>
        <v/>
      </c>
      <c r="J976" s="45">
        <f>IFERROR(__xludf.DUMMYFUNCTION("""COMPUTED_VALUE"""),"LW1DUDS")</f>
        <v/>
      </c>
      <c r="K976" s="45">
        <f>IFERROR(__xludf.DUMMYFUNCTION("""COMPUTED_VALUE"""),"LW1DUDS-020392")</f>
        <v/>
      </c>
      <c r="L976" s="45">
        <f>IFERROR(__xludf.DUMMYFUNCTION("""COMPUTED_VALUE"""),8)</f>
        <v/>
      </c>
      <c r="M976" s="45">
        <f>IFERROR(__xludf.DUMMYFUNCTION("""COMPUTED_VALUE"""),297)</f>
        <v/>
      </c>
      <c r="N976" s="45">
        <f>IFERROR(__xludf.DUMMYFUNCTION("""COMPUTED_VALUE"""),48.063)</f>
        <v/>
      </c>
      <c r="O976" s="45">
        <f>IFERROR(__xludf.DUMMYFUNCTION("""COMPUTED_VALUE"""),0.434)</f>
        <v/>
      </c>
      <c r="P976" s="45">
        <f>IFERROR(__xludf.DUMMYFUNCTION("""COMPUTED_VALUE"""),"Colombo, LK")</f>
        <v/>
      </c>
      <c r="Q976" s="45">
        <f>IFERROR(__xludf.DUMMYFUNCTION("""COMPUTED_VALUE"""),"Felixstowe, GB")</f>
        <v/>
      </c>
      <c r="R976" s="44">
        <f>IFERROR(__xludf.DUMMYFUNCTION("""COMPUTED_VALUE"""),45831)</f>
        <v/>
      </c>
      <c r="S976" s="44">
        <f>IFERROR(__xludf.DUMMYFUNCTION("""COMPUTED_VALUE"""),45890)</f>
        <v/>
      </c>
      <c r="T976" s="45">
        <f>IFERROR(__xludf.DUMMYFUNCTION("""COMPUTED_VALUE"""),"Birmingham, GB")</f>
        <v/>
      </c>
      <c r="U976" s="45" t="n"/>
      <c r="V976" s="45" t="n"/>
      <c r="W976" s="45" t="n"/>
      <c r="X976" s="45" t="n"/>
      <c r="Y976" s="46">
        <f>IFERROR(__xludf.DUMMYFUNCTION("""COMPUTED_VALUE"""),45838)</f>
        <v/>
      </c>
      <c r="Z976" s="46">
        <f>IFERROR(__xludf.DUMMYFUNCTION("""COMPUTED_VALUE"""),45859)</f>
        <v/>
      </c>
      <c r="AA976" s="46">
        <f>IFERROR(__xludf.DUMMYFUNCTION("""COMPUTED_VALUE"""),45859)</f>
        <v/>
      </c>
      <c r="AB976" s="45">
        <f>IFERROR(__xludf.DUMMYFUNCTION("""COMPUTED_VALUE"""),"10A Faraday Ave")</f>
        <v/>
      </c>
      <c r="AC976" s="45" t="n"/>
      <c r="AD976" s="45">
        <f>IFERROR(__xludf.DUMMYFUNCTION("""COMPUTED_VALUE"""),"OCEAN")</f>
        <v/>
      </c>
      <c r="AE976" s="45">
        <f>IFERROR(__xludf.DUMMYFUNCTION("""COMPUTED_VALUE"""),"N")</f>
        <v/>
      </c>
      <c r="AF976" s="45" t="n"/>
      <c r="AG976" s="49">
        <f>IFERROR(__xludf.DUMMYFUNCTION("IFNA(vlookup(H976,IMPORTRANGE(""1vUGwO1n0QQGx9kKbO0_M5gmuhXZ6-LaxQxgrmJnzgP0"",""'TP# look up'!A:C""),3,0),"""")"),"")</f>
        <v/>
      </c>
      <c r="AH976" s="49">
        <f>LEFT(J976,2)</f>
        <v/>
      </c>
    </row>
    <row r="977" ht="12.75" customHeight="1">
      <c r="A977" s="45">
        <f>IFERROR(__xludf.DUMMYFUNCTION("""COMPUTED_VALUE"""),"Colombo")</f>
        <v/>
      </c>
      <c r="B977" s="45" t="n"/>
      <c r="C977" s="45">
        <f>IFERROR(__xludf.DUMMYFUNCTION("""COMPUTED_VALUE"""),3259827)</f>
        <v/>
      </c>
      <c r="D977" s="45" t="n"/>
      <c r="E977" s="45">
        <f>IFERROR(__xludf.DUMMYFUNCTION("""COMPUTED_VALUE"""),"CFS")</f>
        <v/>
      </c>
      <c r="F977" s="45">
        <f>IFERROR(__xludf.DUMMYFUNCTION("""COMPUTED_VALUE"""),"MAS AMITY PTE LTD")</f>
        <v/>
      </c>
      <c r="G977" s="45">
        <f>IFERROR(__xludf.DUMMYFUNCTION("""COMPUTED_VALUE"""),"MAS Active (Pvt) Ltd – Shadowline")</f>
        <v/>
      </c>
      <c r="H977" s="43">
        <f>IFERROR(__xludf.DUMMYFUNCTION("""COMPUTED_VALUE"""),457040479184)</f>
        <v/>
      </c>
      <c r="I977" s="45">
        <f>IFERROR(__xludf.DUMMYFUNCTION("""COMPUTED_VALUE"""),19814192)</f>
        <v/>
      </c>
      <c r="J977" s="45">
        <f>IFERROR(__xludf.DUMMYFUNCTION("""COMPUTED_VALUE"""),"LW1DUDS")</f>
        <v/>
      </c>
      <c r="K977" s="45">
        <f>IFERROR(__xludf.DUMMYFUNCTION("""COMPUTED_VALUE"""),"LW1DUDS-0002")</f>
        <v/>
      </c>
      <c r="L977" s="45">
        <f>IFERROR(__xludf.DUMMYFUNCTION("""COMPUTED_VALUE"""),10)</f>
        <v/>
      </c>
      <c r="M977" s="45">
        <f>IFERROR(__xludf.DUMMYFUNCTION("""COMPUTED_VALUE"""),548)</f>
        <v/>
      </c>
      <c r="N977" s="45">
        <f>IFERROR(__xludf.DUMMYFUNCTION("""COMPUTED_VALUE"""),83.787)</f>
        <v/>
      </c>
      <c r="O977" s="45">
        <f>IFERROR(__xludf.DUMMYFUNCTION("""COMPUTED_VALUE"""),0.711)</f>
        <v/>
      </c>
      <c r="P977" s="45">
        <f>IFERROR(__xludf.DUMMYFUNCTION("""COMPUTED_VALUE"""),"Colombo, LK")</f>
        <v/>
      </c>
      <c r="Q977" s="45">
        <f>IFERROR(__xludf.DUMMYFUNCTION("""COMPUTED_VALUE"""),"Felixstowe, GB")</f>
        <v/>
      </c>
      <c r="R977" s="44">
        <f>IFERROR(__xludf.DUMMYFUNCTION("""COMPUTED_VALUE"""),45831)</f>
        <v/>
      </c>
      <c r="S977" s="44">
        <f>IFERROR(__xludf.DUMMYFUNCTION("""COMPUTED_VALUE"""),45890)</f>
        <v/>
      </c>
      <c r="T977" s="45">
        <f>IFERROR(__xludf.DUMMYFUNCTION("""COMPUTED_VALUE"""),"Birmingham, GB")</f>
        <v/>
      </c>
      <c r="U977" s="45" t="n"/>
      <c r="V977" s="45" t="n"/>
      <c r="W977" s="45" t="n"/>
      <c r="X977" s="45" t="n"/>
      <c r="Y977" s="46">
        <f>IFERROR(__xludf.DUMMYFUNCTION("""COMPUTED_VALUE"""),45838)</f>
        <v/>
      </c>
      <c r="Z977" s="46">
        <f>IFERROR(__xludf.DUMMYFUNCTION("""COMPUTED_VALUE"""),45859)</f>
        <v/>
      </c>
      <c r="AA977" s="46">
        <f>IFERROR(__xludf.DUMMYFUNCTION("""COMPUTED_VALUE"""),45859)</f>
        <v/>
      </c>
      <c r="AB977" s="45">
        <f>IFERROR(__xludf.DUMMYFUNCTION("""COMPUTED_VALUE"""),"10A Faraday Ave")</f>
        <v/>
      </c>
      <c r="AC977" s="45" t="n"/>
      <c r="AD977" s="45">
        <f>IFERROR(__xludf.DUMMYFUNCTION("""COMPUTED_VALUE"""),"OCEAN")</f>
        <v/>
      </c>
      <c r="AE977" s="45">
        <f>IFERROR(__xludf.DUMMYFUNCTION("""COMPUTED_VALUE"""),"N")</f>
        <v/>
      </c>
      <c r="AF977" s="45" t="n"/>
      <c r="AG977" s="49">
        <f>IFERROR(__xludf.DUMMYFUNCTION("IFNA(vlookup(H977,IMPORTRANGE(""1vUGwO1n0QQGx9kKbO0_M5gmuhXZ6-LaxQxgrmJnzgP0"",""'TP# look up'!A:C""),3,0),"""")"),"")</f>
        <v/>
      </c>
      <c r="AH977" s="49">
        <f>LEFT(J977,2)</f>
        <v/>
      </c>
    </row>
    <row r="978" ht="12.75" customHeight="1">
      <c r="A978" s="45">
        <f>IFERROR(__xludf.DUMMYFUNCTION("""COMPUTED_VALUE"""),"Colombo")</f>
        <v/>
      </c>
      <c r="B978" s="45" t="n"/>
      <c r="C978" s="45">
        <f>IFERROR(__xludf.DUMMYFUNCTION("""COMPUTED_VALUE"""),3259827)</f>
        <v/>
      </c>
      <c r="D978" s="45" t="n"/>
      <c r="E978" s="45">
        <f>IFERROR(__xludf.DUMMYFUNCTION("""COMPUTED_VALUE"""),"CFS")</f>
        <v/>
      </c>
      <c r="F978" s="45">
        <f>IFERROR(__xludf.DUMMYFUNCTION("""COMPUTED_VALUE"""),"MAS AMITY PTE LTD")</f>
        <v/>
      </c>
      <c r="G978" s="45">
        <f>IFERROR(__xludf.DUMMYFUNCTION("""COMPUTED_VALUE"""),"MAS Active (Pvt) Ltd – Sleekline")</f>
        <v/>
      </c>
      <c r="H978" s="43">
        <f>IFERROR(__xludf.DUMMYFUNCTION("""COMPUTED_VALUE"""),457014040221)</f>
        <v/>
      </c>
      <c r="I978" s="45">
        <f>IFERROR(__xludf.DUMMYFUNCTION("""COMPUTED_VALUE"""),19805643)</f>
        <v/>
      </c>
      <c r="J978" s="45">
        <f>IFERROR(__xludf.DUMMYFUNCTION("""COMPUTED_VALUE"""),"LM9B19S")</f>
        <v/>
      </c>
      <c r="K978" s="45">
        <f>IFERROR(__xludf.DUMMYFUNCTION("""COMPUTED_VALUE"""),"LM9B19S-4310")</f>
        <v/>
      </c>
      <c r="L978" s="45">
        <f>IFERROR(__xludf.DUMMYFUNCTION("""COMPUTED_VALUE"""),1)</f>
        <v/>
      </c>
      <c r="M978" s="45">
        <f>IFERROR(__xludf.DUMMYFUNCTION("""COMPUTED_VALUE"""),34)</f>
        <v/>
      </c>
      <c r="N978" s="45">
        <f>IFERROR(__xludf.DUMMYFUNCTION("""COMPUTED_VALUE"""),9.86)</f>
        <v/>
      </c>
      <c r="O978" s="45">
        <f>IFERROR(__xludf.DUMMYFUNCTION("""COMPUTED_VALUE"""),0.079)</f>
        <v/>
      </c>
      <c r="P978" s="45">
        <f>IFERROR(__xludf.DUMMYFUNCTION("""COMPUTED_VALUE"""),"Colombo, LK")</f>
        <v/>
      </c>
      <c r="Q978" s="45">
        <f>IFERROR(__xludf.DUMMYFUNCTION("""COMPUTED_VALUE"""),"Felixstowe, GB")</f>
        <v/>
      </c>
      <c r="R978" s="44">
        <f>IFERROR(__xludf.DUMMYFUNCTION("""COMPUTED_VALUE"""),45831)</f>
        <v/>
      </c>
      <c r="S978" s="44">
        <f>IFERROR(__xludf.DUMMYFUNCTION("""COMPUTED_VALUE"""),45890)</f>
        <v/>
      </c>
      <c r="T978" s="45">
        <f>IFERROR(__xludf.DUMMYFUNCTION("""COMPUTED_VALUE"""),"Birmingham, GB")</f>
        <v/>
      </c>
      <c r="U978" s="45" t="n"/>
      <c r="V978" s="45" t="n"/>
      <c r="W978" s="45" t="n"/>
      <c r="X978" s="45" t="n"/>
      <c r="Y978" s="46">
        <f>IFERROR(__xludf.DUMMYFUNCTION("""COMPUTED_VALUE"""),45838)</f>
        <v/>
      </c>
      <c r="Z978" s="46">
        <f>IFERROR(__xludf.DUMMYFUNCTION("""COMPUTED_VALUE"""),45859)</f>
        <v/>
      </c>
      <c r="AA978" s="46">
        <f>IFERROR(__xludf.DUMMYFUNCTION("""COMPUTED_VALUE"""),45859)</f>
        <v/>
      </c>
      <c r="AB978" s="45">
        <f>IFERROR(__xludf.DUMMYFUNCTION("""COMPUTED_VALUE"""),"10A Faraday Ave")</f>
        <v/>
      </c>
      <c r="AC978" s="45" t="n"/>
      <c r="AD978" s="45">
        <f>IFERROR(__xludf.DUMMYFUNCTION("""COMPUTED_VALUE"""),"OCEAN")</f>
        <v/>
      </c>
      <c r="AE978" s="45">
        <f>IFERROR(__xludf.DUMMYFUNCTION("""COMPUTED_VALUE"""),"N")</f>
        <v/>
      </c>
      <c r="AF978" s="45" t="n"/>
      <c r="AG978" s="49">
        <f>IFERROR(__xludf.DUMMYFUNCTION("IFNA(vlookup(H978,IMPORTRANGE(""1vUGwO1n0QQGx9kKbO0_M5gmuhXZ6-LaxQxgrmJnzgP0"",""'TP# look up'!A:C""),3,0),"""")"),"")</f>
        <v/>
      </c>
      <c r="AH978" s="49">
        <f>LEFT(J978,2)</f>
        <v/>
      </c>
    </row>
    <row r="979" ht="12.75" customHeight="1">
      <c r="A979" s="45">
        <f>IFERROR(__xludf.DUMMYFUNCTION("""COMPUTED_VALUE"""),"Colombo")</f>
        <v/>
      </c>
      <c r="B979" s="45" t="n"/>
      <c r="C979" s="45">
        <f>IFERROR(__xludf.DUMMYFUNCTION("""COMPUTED_VALUE"""),3259827)</f>
        <v/>
      </c>
      <c r="D979" s="45" t="n"/>
      <c r="E979" s="45">
        <f>IFERROR(__xludf.DUMMYFUNCTION("""COMPUTED_VALUE"""),"CFS")</f>
        <v/>
      </c>
      <c r="F979" s="45">
        <f>IFERROR(__xludf.DUMMYFUNCTION("""COMPUTED_VALUE"""),"MAS AMITY PTE LTD")</f>
        <v/>
      </c>
      <c r="G979" s="45">
        <f>IFERROR(__xludf.DUMMYFUNCTION("""COMPUTED_VALUE"""),"MAS Active (Pvt) Ltd – Sleekline")</f>
        <v/>
      </c>
      <c r="H979" s="43">
        <f>IFERROR(__xludf.DUMMYFUNCTION("""COMPUTED_VALUE"""),457014040774)</f>
        <v/>
      </c>
      <c r="I979" s="45">
        <f>IFERROR(__xludf.DUMMYFUNCTION("""COMPUTED_VALUE"""),19810100)</f>
        <v/>
      </c>
      <c r="J979" s="45">
        <f>IFERROR(__xludf.DUMMYFUNCTION("""COMPUTED_VALUE"""),"LM9AYLS")</f>
        <v/>
      </c>
      <c r="K979" s="45">
        <f>IFERROR(__xludf.DUMMYFUNCTION("""COMPUTED_VALUE"""),"LM9AYLS-035487")</f>
        <v/>
      </c>
      <c r="L979" s="45">
        <f>IFERROR(__xludf.DUMMYFUNCTION("""COMPUTED_VALUE"""),2)</f>
        <v/>
      </c>
      <c r="M979" s="45">
        <f>IFERROR(__xludf.DUMMYFUNCTION("""COMPUTED_VALUE"""),187)</f>
        <v/>
      </c>
      <c r="N979" s="45">
        <f>IFERROR(__xludf.DUMMYFUNCTION("""COMPUTED_VALUE"""),17.99)</f>
        <v/>
      </c>
      <c r="O979" s="45">
        <f>IFERROR(__xludf.DUMMYFUNCTION("""COMPUTED_VALUE"""),0.119)</f>
        <v/>
      </c>
      <c r="P979" s="45">
        <f>IFERROR(__xludf.DUMMYFUNCTION("""COMPUTED_VALUE"""),"Colombo, LK")</f>
        <v/>
      </c>
      <c r="Q979" s="45">
        <f>IFERROR(__xludf.DUMMYFUNCTION("""COMPUTED_VALUE"""),"Felixstowe, GB")</f>
        <v/>
      </c>
      <c r="R979" s="44">
        <f>IFERROR(__xludf.DUMMYFUNCTION("""COMPUTED_VALUE"""),45831)</f>
        <v/>
      </c>
      <c r="S979" s="44">
        <f>IFERROR(__xludf.DUMMYFUNCTION("""COMPUTED_VALUE"""),45890)</f>
        <v/>
      </c>
      <c r="T979" s="45">
        <f>IFERROR(__xludf.DUMMYFUNCTION("""COMPUTED_VALUE"""),"Birmingham, GB")</f>
        <v/>
      </c>
      <c r="U979" s="45" t="n"/>
      <c r="V979" s="45" t="n"/>
      <c r="W979" s="45" t="n"/>
      <c r="X979" s="45" t="n"/>
      <c r="Y979" s="46">
        <f>IFERROR(__xludf.DUMMYFUNCTION("""COMPUTED_VALUE"""),45838)</f>
        <v/>
      </c>
      <c r="Z979" s="46">
        <f>IFERROR(__xludf.DUMMYFUNCTION("""COMPUTED_VALUE"""),45859)</f>
        <v/>
      </c>
      <c r="AA979" s="46">
        <f>IFERROR(__xludf.DUMMYFUNCTION("""COMPUTED_VALUE"""),45859)</f>
        <v/>
      </c>
      <c r="AB979" s="45">
        <f>IFERROR(__xludf.DUMMYFUNCTION("""COMPUTED_VALUE"""),"10A Faraday Ave")</f>
        <v/>
      </c>
      <c r="AC979" s="45" t="n"/>
      <c r="AD979" s="45">
        <f>IFERROR(__xludf.DUMMYFUNCTION("""COMPUTED_VALUE"""),"OCEAN")</f>
        <v/>
      </c>
      <c r="AE979" s="45">
        <f>IFERROR(__xludf.DUMMYFUNCTION("""COMPUTED_VALUE"""),"N")</f>
        <v/>
      </c>
      <c r="AF979" s="45" t="n"/>
      <c r="AG979" s="49">
        <f>IFERROR(__xludf.DUMMYFUNCTION("IFNA(vlookup(H979,IMPORTRANGE(""1vUGwO1n0QQGx9kKbO0_M5gmuhXZ6-LaxQxgrmJnzgP0"",""'TP# look up'!A:C""),3,0),"""")"),"")</f>
        <v/>
      </c>
      <c r="AH979" s="49">
        <f>LEFT(J979,2)</f>
        <v/>
      </c>
    </row>
    <row r="980" ht="12.75" customHeight="1">
      <c r="A980" s="45">
        <f>IFERROR(__xludf.DUMMYFUNCTION("""COMPUTED_VALUE"""),"Colombo")</f>
        <v/>
      </c>
      <c r="B980" s="45" t="n"/>
      <c r="C980" s="45">
        <f>IFERROR(__xludf.DUMMYFUNCTION("""COMPUTED_VALUE"""),3259827)</f>
        <v/>
      </c>
      <c r="D980" s="45" t="n"/>
      <c r="E980" s="45">
        <f>IFERROR(__xludf.DUMMYFUNCTION("""COMPUTED_VALUE"""),"CFS")</f>
        <v/>
      </c>
      <c r="F980" s="45">
        <f>IFERROR(__xludf.DUMMYFUNCTION("""COMPUTED_VALUE"""),"MAS AMITY PTE LTD")</f>
        <v/>
      </c>
      <c r="G980" s="45">
        <f>IFERROR(__xludf.DUMMYFUNCTION("""COMPUTED_VALUE"""),"MAS Active (Pvt) Ltd – Sleekline")</f>
        <v/>
      </c>
      <c r="H980" s="43">
        <f>IFERROR(__xludf.DUMMYFUNCTION("""COMPUTED_VALUE"""),457017261636)</f>
        <v/>
      </c>
      <c r="I980" s="45">
        <f>IFERROR(__xludf.DUMMYFUNCTION("""COMPUTED_VALUE"""),19805695)</f>
        <v/>
      </c>
      <c r="J980" s="45">
        <f>IFERROR(__xludf.DUMMYFUNCTION("""COMPUTED_VALUE"""),"LM9AY9S")</f>
        <v/>
      </c>
      <c r="K980" s="45">
        <f>IFERROR(__xludf.DUMMYFUNCTION("""COMPUTED_VALUE"""),"LM9AY9S-042751")</f>
        <v/>
      </c>
      <c r="L980" s="45">
        <f>IFERROR(__xludf.DUMMYFUNCTION("""COMPUTED_VALUE"""),2)</f>
        <v/>
      </c>
      <c r="M980" s="45">
        <f>IFERROR(__xludf.DUMMYFUNCTION("""COMPUTED_VALUE"""),63)</f>
        <v/>
      </c>
      <c r="N980" s="45">
        <f>IFERROR(__xludf.DUMMYFUNCTION("""COMPUTED_VALUE"""),18.92)</f>
        <v/>
      </c>
      <c r="O980" s="45">
        <f>IFERROR(__xludf.DUMMYFUNCTION("""COMPUTED_VALUE"""),0.119)</f>
        <v/>
      </c>
      <c r="P980" s="45">
        <f>IFERROR(__xludf.DUMMYFUNCTION("""COMPUTED_VALUE"""),"Colombo, LK")</f>
        <v/>
      </c>
      <c r="Q980" s="45">
        <f>IFERROR(__xludf.DUMMYFUNCTION("""COMPUTED_VALUE"""),"Felixstowe, GB")</f>
        <v/>
      </c>
      <c r="R980" s="44">
        <f>IFERROR(__xludf.DUMMYFUNCTION("""COMPUTED_VALUE"""),45831)</f>
        <v/>
      </c>
      <c r="S980" s="44">
        <f>IFERROR(__xludf.DUMMYFUNCTION("""COMPUTED_VALUE"""),45890)</f>
        <v/>
      </c>
      <c r="T980" s="45">
        <f>IFERROR(__xludf.DUMMYFUNCTION("""COMPUTED_VALUE"""),"Birmingham, GB")</f>
        <v/>
      </c>
      <c r="U980" s="45" t="n"/>
      <c r="V980" s="45" t="n"/>
      <c r="W980" s="45" t="n"/>
      <c r="X980" s="45" t="n"/>
      <c r="Y980" s="46">
        <f>IFERROR(__xludf.DUMMYFUNCTION("""COMPUTED_VALUE"""),45838)</f>
        <v/>
      </c>
      <c r="Z980" s="46">
        <f>IFERROR(__xludf.DUMMYFUNCTION("""COMPUTED_VALUE"""),45859)</f>
        <v/>
      </c>
      <c r="AA980" s="46">
        <f>IFERROR(__xludf.DUMMYFUNCTION("""COMPUTED_VALUE"""),45859)</f>
        <v/>
      </c>
      <c r="AB980" s="45">
        <f>IFERROR(__xludf.DUMMYFUNCTION("""COMPUTED_VALUE"""),"10A Faraday Ave")</f>
        <v/>
      </c>
      <c r="AC980" s="45" t="n"/>
      <c r="AD980" s="45">
        <f>IFERROR(__xludf.DUMMYFUNCTION("""COMPUTED_VALUE"""),"OCEAN")</f>
        <v/>
      </c>
      <c r="AE980" s="45">
        <f>IFERROR(__xludf.DUMMYFUNCTION("""COMPUTED_VALUE"""),"N")</f>
        <v/>
      </c>
      <c r="AF980" s="45" t="n"/>
      <c r="AG980" s="49">
        <f>IFERROR(__xludf.DUMMYFUNCTION("IFNA(vlookup(H980,IMPORTRANGE(""1vUGwO1n0QQGx9kKbO0_M5gmuhXZ6-LaxQxgrmJnzgP0"",""'TP# look up'!A:C""),3,0),"""")"),"")</f>
        <v/>
      </c>
      <c r="AH980" s="49">
        <f>LEFT(J980,2)</f>
        <v/>
      </c>
    </row>
    <row r="981" ht="12.75" customHeight="1">
      <c r="A981" s="45">
        <f>IFERROR(__xludf.DUMMYFUNCTION("""COMPUTED_VALUE"""),"Colombo")</f>
        <v/>
      </c>
      <c r="B981" s="45" t="n"/>
      <c r="C981" s="45">
        <f>IFERROR(__xludf.DUMMYFUNCTION("""COMPUTED_VALUE"""),3259827)</f>
        <v/>
      </c>
      <c r="D981" s="45" t="n"/>
      <c r="E981" s="45">
        <f>IFERROR(__xludf.DUMMYFUNCTION("""COMPUTED_VALUE"""),"CFS")</f>
        <v/>
      </c>
      <c r="F981" s="45">
        <f>IFERROR(__xludf.DUMMYFUNCTION("""COMPUTED_VALUE"""),"MAS AMITY PTE LTD")</f>
        <v/>
      </c>
      <c r="G981" s="45">
        <f>IFERROR(__xludf.DUMMYFUNCTION("""COMPUTED_VALUE"""),"MAS Active (Pvt) Ltd – Sleekline")</f>
        <v/>
      </c>
      <c r="H981" s="43">
        <f>IFERROR(__xludf.DUMMYFUNCTION("""COMPUTED_VALUE"""),457017261834)</f>
        <v/>
      </c>
      <c r="I981" s="45">
        <f>IFERROR(__xludf.DUMMYFUNCTION("""COMPUTED_VALUE"""),19810098)</f>
        <v/>
      </c>
      <c r="J981" s="45">
        <f>IFERROR(__xludf.DUMMYFUNCTION("""COMPUTED_VALUE"""),"LM9AY9S")</f>
        <v/>
      </c>
      <c r="K981" s="45">
        <f>IFERROR(__xludf.DUMMYFUNCTION("""COMPUTED_VALUE"""),"LM9AY9S-042751")</f>
        <v/>
      </c>
      <c r="L981" s="45">
        <f>IFERROR(__xludf.DUMMYFUNCTION("""COMPUTED_VALUE"""),5)</f>
        <v/>
      </c>
      <c r="M981" s="45">
        <f>IFERROR(__xludf.DUMMYFUNCTION("""COMPUTED_VALUE"""),217)</f>
        <v/>
      </c>
      <c r="N981" s="45">
        <f>IFERROR(__xludf.DUMMYFUNCTION("""COMPUTED_VALUE"""),63.516)</f>
        <v/>
      </c>
      <c r="O981" s="45">
        <f>IFERROR(__xludf.DUMMYFUNCTION("""COMPUTED_VALUE"""),0.357)</f>
        <v/>
      </c>
      <c r="P981" s="45">
        <f>IFERROR(__xludf.DUMMYFUNCTION("""COMPUTED_VALUE"""),"Colombo, LK")</f>
        <v/>
      </c>
      <c r="Q981" s="45">
        <f>IFERROR(__xludf.DUMMYFUNCTION("""COMPUTED_VALUE"""),"Felixstowe, GB")</f>
        <v/>
      </c>
      <c r="R981" s="44">
        <f>IFERROR(__xludf.DUMMYFUNCTION("""COMPUTED_VALUE"""),45831)</f>
        <v/>
      </c>
      <c r="S981" s="44">
        <f>IFERROR(__xludf.DUMMYFUNCTION("""COMPUTED_VALUE"""),45890)</f>
        <v/>
      </c>
      <c r="T981" s="45">
        <f>IFERROR(__xludf.DUMMYFUNCTION("""COMPUTED_VALUE"""),"Birmingham, GB")</f>
        <v/>
      </c>
      <c r="U981" s="45" t="n"/>
      <c r="V981" s="45" t="n"/>
      <c r="W981" s="45" t="n"/>
      <c r="X981" s="45" t="n"/>
      <c r="Y981" s="46">
        <f>IFERROR(__xludf.DUMMYFUNCTION("""COMPUTED_VALUE"""),45838)</f>
        <v/>
      </c>
      <c r="Z981" s="46">
        <f>IFERROR(__xludf.DUMMYFUNCTION("""COMPUTED_VALUE"""),45859)</f>
        <v/>
      </c>
      <c r="AA981" s="46">
        <f>IFERROR(__xludf.DUMMYFUNCTION("""COMPUTED_VALUE"""),45859)</f>
        <v/>
      </c>
      <c r="AB981" s="45">
        <f>IFERROR(__xludf.DUMMYFUNCTION("""COMPUTED_VALUE"""),"10A Faraday Ave")</f>
        <v/>
      </c>
      <c r="AC981" s="45" t="n"/>
      <c r="AD981" s="45">
        <f>IFERROR(__xludf.DUMMYFUNCTION("""COMPUTED_VALUE"""),"OCEAN")</f>
        <v/>
      </c>
      <c r="AE981" s="45">
        <f>IFERROR(__xludf.DUMMYFUNCTION("""COMPUTED_VALUE"""),"N")</f>
        <v/>
      </c>
      <c r="AF981" s="45" t="n"/>
      <c r="AG981" s="49">
        <f>IFERROR(__xludf.DUMMYFUNCTION("IFNA(vlookup(H981,IMPORTRANGE(""1vUGwO1n0QQGx9kKbO0_M5gmuhXZ6-LaxQxgrmJnzgP0"",""'TP# look up'!A:C""),3,0),"""")"),"")</f>
        <v/>
      </c>
      <c r="AH981" s="49">
        <f>LEFT(J981,2)</f>
        <v/>
      </c>
    </row>
    <row r="982" ht="12.75" customHeight="1">
      <c r="A982" s="45">
        <f>IFERROR(__xludf.DUMMYFUNCTION("""COMPUTED_VALUE"""),"Colombo")</f>
        <v/>
      </c>
      <c r="B982" s="45" t="n"/>
      <c r="C982" s="45">
        <f>IFERROR(__xludf.DUMMYFUNCTION("""COMPUTED_VALUE"""),3259827)</f>
        <v/>
      </c>
      <c r="D982" s="45" t="n"/>
      <c r="E982" s="45">
        <f>IFERROR(__xludf.DUMMYFUNCTION("""COMPUTED_VALUE"""),"CFS")</f>
        <v/>
      </c>
      <c r="F982" s="45">
        <f>IFERROR(__xludf.DUMMYFUNCTION("""COMPUTED_VALUE"""),"MAS AMITY PTE LTD")</f>
        <v/>
      </c>
      <c r="G982" s="45">
        <f>IFERROR(__xludf.DUMMYFUNCTION("""COMPUTED_VALUE"""),"MAS Active (Pvt) Ltd – Sleekline")</f>
        <v/>
      </c>
      <c r="H982" s="43">
        <f>IFERROR(__xludf.DUMMYFUNCTION("""COMPUTED_VALUE"""),457018535243)</f>
        <v/>
      </c>
      <c r="I982" s="45">
        <f>IFERROR(__xludf.DUMMYFUNCTION("""COMPUTED_VALUE"""),19805639)</f>
        <v/>
      </c>
      <c r="J982" s="45">
        <f>IFERROR(__xludf.DUMMYFUNCTION("""COMPUTED_VALUE"""),"LM9AYLS")</f>
        <v/>
      </c>
      <c r="K982" s="45">
        <f>IFERROR(__xludf.DUMMYFUNCTION("""COMPUTED_VALUE"""),"LM9AYLS-035487")</f>
        <v/>
      </c>
      <c r="L982" s="45">
        <f>IFERROR(__xludf.DUMMYFUNCTION("""COMPUTED_VALUE"""),1)</f>
        <v/>
      </c>
      <c r="M982" s="45">
        <f>IFERROR(__xludf.DUMMYFUNCTION("""COMPUTED_VALUE"""),43)</f>
        <v/>
      </c>
      <c r="N982" s="45">
        <f>IFERROR(__xludf.DUMMYFUNCTION("""COMPUTED_VALUE"""),4.55)</f>
        <v/>
      </c>
      <c r="O982" s="45">
        <f>IFERROR(__xludf.DUMMYFUNCTION("""COMPUTED_VALUE"""),0.04)</f>
        <v/>
      </c>
      <c r="P982" s="45">
        <f>IFERROR(__xludf.DUMMYFUNCTION("""COMPUTED_VALUE"""),"Colombo, LK")</f>
        <v/>
      </c>
      <c r="Q982" s="45">
        <f>IFERROR(__xludf.DUMMYFUNCTION("""COMPUTED_VALUE"""),"Felixstowe, GB")</f>
        <v/>
      </c>
      <c r="R982" s="44">
        <f>IFERROR(__xludf.DUMMYFUNCTION("""COMPUTED_VALUE"""),45831)</f>
        <v/>
      </c>
      <c r="S982" s="44">
        <f>IFERROR(__xludf.DUMMYFUNCTION("""COMPUTED_VALUE"""),45890)</f>
        <v/>
      </c>
      <c r="T982" s="45">
        <f>IFERROR(__xludf.DUMMYFUNCTION("""COMPUTED_VALUE"""),"Birmingham, GB")</f>
        <v/>
      </c>
      <c r="U982" s="45" t="n"/>
      <c r="V982" s="45" t="n"/>
      <c r="W982" s="45" t="n"/>
      <c r="X982" s="45" t="n"/>
      <c r="Y982" s="46">
        <f>IFERROR(__xludf.DUMMYFUNCTION("""COMPUTED_VALUE"""),45838)</f>
        <v/>
      </c>
      <c r="Z982" s="46">
        <f>IFERROR(__xludf.DUMMYFUNCTION("""COMPUTED_VALUE"""),45859)</f>
        <v/>
      </c>
      <c r="AA982" s="46">
        <f>IFERROR(__xludf.DUMMYFUNCTION("""COMPUTED_VALUE"""),45859)</f>
        <v/>
      </c>
      <c r="AB982" s="45">
        <f>IFERROR(__xludf.DUMMYFUNCTION("""COMPUTED_VALUE"""),"10A Faraday Ave")</f>
        <v/>
      </c>
      <c r="AC982" s="45" t="n"/>
      <c r="AD982" s="45">
        <f>IFERROR(__xludf.DUMMYFUNCTION("""COMPUTED_VALUE"""),"OCEAN")</f>
        <v/>
      </c>
      <c r="AE982" s="45">
        <f>IFERROR(__xludf.DUMMYFUNCTION("""COMPUTED_VALUE"""),"N")</f>
        <v/>
      </c>
      <c r="AF982" s="45" t="n"/>
      <c r="AG982" s="49">
        <f>IFERROR(__xludf.DUMMYFUNCTION("IFNA(vlookup(H982,IMPORTRANGE(""1vUGwO1n0QQGx9kKbO0_M5gmuhXZ6-LaxQxgrmJnzgP0"",""'TP# look up'!A:C""),3,0),"""")"),"")</f>
        <v/>
      </c>
      <c r="AH982" s="49">
        <f>LEFT(J982,2)</f>
        <v/>
      </c>
    </row>
    <row r="983" ht="12.75" customHeight="1">
      <c r="A983" s="45">
        <f>IFERROR(__xludf.DUMMYFUNCTION("""COMPUTED_VALUE"""),"Colombo")</f>
        <v/>
      </c>
      <c r="B983" s="45" t="n"/>
      <c r="C983" s="45">
        <f>IFERROR(__xludf.DUMMYFUNCTION("""COMPUTED_VALUE"""),3259827)</f>
        <v/>
      </c>
      <c r="D983" s="45" t="n"/>
      <c r="E983" s="45">
        <f>IFERROR(__xludf.DUMMYFUNCTION("""COMPUTED_VALUE"""),"CFS")</f>
        <v/>
      </c>
      <c r="F983" s="45">
        <f>IFERROR(__xludf.DUMMYFUNCTION("""COMPUTED_VALUE"""),"MAS AMITY PTE LTD")</f>
        <v/>
      </c>
      <c r="G983" s="45">
        <f>IFERROR(__xludf.DUMMYFUNCTION("""COMPUTED_VALUE"""),"MAS Active (Pvt) Ltd – Sleekline")</f>
        <v/>
      </c>
      <c r="H983" s="43">
        <f>IFERROR(__xludf.DUMMYFUNCTION("""COMPUTED_VALUE"""),457022287962)</f>
        <v/>
      </c>
      <c r="I983" s="45">
        <f>IFERROR(__xludf.DUMMYFUNCTION("""COMPUTED_VALUE"""),19810102)</f>
        <v/>
      </c>
      <c r="J983" s="45">
        <f>IFERROR(__xludf.DUMMYFUNCTION("""COMPUTED_VALUE"""),"LM9B19S")</f>
        <v/>
      </c>
      <c r="K983" s="45">
        <f>IFERROR(__xludf.DUMMYFUNCTION("""COMPUTED_VALUE"""),"LM9B19S-4310")</f>
        <v/>
      </c>
      <c r="L983" s="45">
        <f>IFERROR(__xludf.DUMMYFUNCTION("""COMPUTED_VALUE"""),4)</f>
        <v/>
      </c>
      <c r="M983" s="45">
        <f>IFERROR(__xludf.DUMMYFUNCTION("""COMPUTED_VALUE"""),178)</f>
        <v/>
      </c>
      <c r="N983" s="45">
        <f>IFERROR(__xludf.DUMMYFUNCTION("""COMPUTED_VALUE"""),50.08)</f>
        <v/>
      </c>
      <c r="O983" s="45">
        <f>IFERROR(__xludf.DUMMYFUNCTION("""COMPUTED_VALUE"""),0.317)</f>
        <v/>
      </c>
      <c r="P983" s="45">
        <f>IFERROR(__xludf.DUMMYFUNCTION("""COMPUTED_VALUE"""),"Colombo, LK")</f>
        <v/>
      </c>
      <c r="Q983" s="45">
        <f>IFERROR(__xludf.DUMMYFUNCTION("""COMPUTED_VALUE"""),"Felixstowe, GB")</f>
        <v/>
      </c>
      <c r="R983" s="44">
        <f>IFERROR(__xludf.DUMMYFUNCTION("""COMPUTED_VALUE"""),45831)</f>
        <v/>
      </c>
      <c r="S983" s="44">
        <f>IFERROR(__xludf.DUMMYFUNCTION("""COMPUTED_VALUE"""),45890)</f>
        <v/>
      </c>
      <c r="T983" s="45">
        <f>IFERROR(__xludf.DUMMYFUNCTION("""COMPUTED_VALUE"""),"Birmingham, GB")</f>
        <v/>
      </c>
      <c r="U983" s="45" t="n"/>
      <c r="V983" s="45" t="n"/>
      <c r="W983" s="45" t="n"/>
      <c r="X983" s="45" t="n"/>
      <c r="Y983" s="46">
        <f>IFERROR(__xludf.DUMMYFUNCTION("""COMPUTED_VALUE"""),45838)</f>
        <v/>
      </c>
      <c r="Z983" s="46">
        <f>IFERROR(__xludf.DUMMYFUNCTION("""COMPUTED_VALUE"""),45859)</f>
        <v/>
      </c>
      <c r="AA983" s="46">
        <f>IFERROR(__xludf.DUMMYFUNCTION("""COMPUTED_VALUE"""),45859)</f>
        <v/>
      </c>
      <c r="AB983" s="45">
        <f>IFERROR(__xludf.DUMMYFUNCTION("""COMPUTED_VALUE"""),"10A Faraday Ave")</f>
        <v/>
      </c>
      <c r="AC983" s="45" t="n"/>
      <c r="AD983" s="45">
        <f>IFERROR(__xludf.DUMMYFUNCTION("""COMPUTED_VALUE"""),"OCEAN")</f>
        <v/>
      </c>
      <c r="AE983" s="45">
        <f>IFERROR(__xludf.DUMMYFUNCTION("""COMPUTED_VALUE"""),"N")</f>
        <v/>
      </c>
      <c r="AF983" s="45" t="n"/>
      <c r="AG983" s="49">
        <f>IFERROR(__xludf.DUMMYFUNCTION("IFNA(vlookup(H983,IMPORTRANGE(""1vUGwO1n0QQGx9kKbO0_M5gmuhXZ6-LaxQxgrmJnzgP0"",""'TP# look up'!A:C""),3,0),"""")"),"")</f>
        <v/>
      </c>
      <c r="AH983" s="49">
        <f>LEFT(J983,2)</f>
        <v/>
      </c>
    </row>
    <row r="984" ht="12.75" customHeight="1">
      <c r="A984" s="45">
        <f>IFERROR(__xludf.DUMMYFUNCTION("""COMPUTED_VALUE"""),"Colombo")</f>
        <v/>
      </c>
      <c r="B984" s="45" t="n"/>
      <c r="C984" s="45">
        <f>IFERROR(__xludf.DUMMYFUNCTION("""COMPUTED_VALUE"""),3259827)</f>
        <v/>
      </c>
      <c r="D984" s="45" t="n"/>
      <c r="E984" s="45">
        <f>IFERROR(__xludf.DUMMYFUNCTION("""COMPUTED_VALUE"""),"CFS")</f>
        <v/>
      </c>
      <c r="F984" s="45">
        <f>IFERROR(__xludf.DUMMYFUNCTION("""COMPUTED_VALUE"""),"MAS AMITY PTE LTD")</f>
        <v/>
      </c>
      <c r="G984" s="45">
        <f>IFERROR(__xludf.DUMMYFUNCTION("""COMPUTED_VALUE"""),"MAS Active(Pvt) Ltd – CONTOURLINE")</f>
        <v/>
      </c>
      <c r="H984" s="43">
        <f>IFERROR(__xludf.DUMMYFUNCTION("""COMPUTED_VALUE"""),457019157990)</f>
        <v/>
      </c>
      <c r="I984" s="45">
        <f>IFERROR(__xludf.DUMMYFUNCTION("""COMPUTED_VALUE"""),19921014)</f>
        <v/>
      </c>
      <c r="J984" s="45">
        <f>IFERROR(__xludf.DUMMYFUNCTION("""COMPUTED_VALUE"""),"LW7DPES")</f>
        <v/>
      </c>
      <c r="K984" s="45">
        <f>IFERROR(__xludf.DUMMYFUNCTION("""COMPUTED_VALUE"""),"LW7DPES-031382")</f>
        <v/>
      </c>
      <c r="L984" s="45">
        <f>IFERROR(__xludf.DUMMYFUNCTION("""COMPUTED_VALUE"""),6)</f>
        <v/>
      </c>
      <c r="M984" s="45">
        <f>IFERROR(__xludf.DUMMYFUNCTION("""COMPUTED_VALUE"""),293)</f>
        <v/>
      </c>
      <c r="N984" s="45">
        <f>IFERROR(__xludf.DUMMYFUNCTION("""COMPUTED_VALUE"""),48.877)</f>
        <v/>
      </c>
      <c r="O984" s="45">
        <f>IFERROR(__xludf.DUMMYFUNCTION("""COMPUTED_VALUE"""),0.395)</f>
        <v/>
      </c>
      <c r="P984" s="45">
        <f>IFERROR(__xludf.DUMMYFUNCTION("""COMPUTED_VALUE"""),"Colombo, LK")</f>
        <v/>
      </c>
      <c r="Q984" s="45">
        <f>IFERROR(__xludf.DUMMYFUNCTION("""COMPUTED_VALUE"""),"Felixstowe, GB")</f>
        <v/>
      </c>
      <c r="R984" s="44">
        <f>IFERROR(__xludf.DUMMYFUNCTION("""COMPUTED_VALUE"""),45831)</f>
        <v/>
      </c>
      <c r="S984" s="44">
        <f>IFERROR(__xludf.DUMMYFUNCTION("""COMPUTED_VALUE"""),45890)</f>
        <v/>
      </c>
      <c r="T984" s="45">
        <f>IFERROR(__xludf.DUMMYFUNCTION("""COMPUTED_VALUE"""),"Birmingham, GB")</f>
        <v/>
      </c>
      <c r="U984" s="45" t="n"/>
      <c r="V984" s="45" t="n"/>
      <c r="W984" s="45" t="n"/>
      <c r="X984" s="45" t="n"/>
      <c r="Y984" s="46">
        <f>IFERROR(__xludf.DUMMYFUNCTION("""COMPUTED_VALUE"""),45838)</f>
        <v/>
      </c>
      <c r="Z984" s="46">
        <f>IFERROR(__xludf.DUMMYFUNCTION("""COMPUTED_VALUE"""),45859)</f>
        <v/>
      </c>
      <c r="AA984" s="46">
        <f>IFERROR(__xludf.DUMMYFUNCTION("""COMPUTED_VALUE"""),45859)</f>
        <v/>
      </c>
      <c r="AB984" s="45">
        <f>IFERROR(__xludf.DUMMYFUNCTION("""COMPUTED_VALUE"""),"10A Faraday Ave")</f>
        <v/>
      </c>
      <c r="AC984" s="45" t="n"/>
      <c r="AD984" s="45">
        <f>IFERROR(__xludf.DUMMYFUNCTION("""COMPUTED_VALUE"""),"OCEAN")</f>
        <v/>
      </c>
      <c r="AE984" s="45">
        <f>IFERROR(__xludf.DUMMYFUNCTION("""COMPUTED_VALUE"""),"N")</f>
        <v/>
      </c>
      <c r="AF984" s="45" t="n"/>
      <c r="AG984" s="49">
        <f>IFERROR(__xludf.DUMMYFUNCTION("IFNA(vlookup(H984,IMPORTRANGE(""1vUGwO1n0QQGx9kKbO0_M5gmuhXZ6-LaxQxgrmJnzgP0"",""'TP# look up'!A:C""),3,0),"""")"),"")</f>
        <v/>
      </c>
      <c r="AH984" s="49">
        <f>LEFT(J984,2)</f>
        <v/>
      </c>
    </row>
    <row r="985" ht="12.75" customHeight="1">
      <c r="A985" s="45">
        <f>IFERROR(__xludf.DUMMYFUNCTION("""COMPUTED_VALUE"""),"Colombo")</f>
        <v/>
      </c>
      <c r="B985" s="45" t="n"/>
      <c r="C985" s="45">
        <f>IFERROR(__xludf.DUMMYFUNCTION("""COMPUTED_VALUE"""),3259827)</f>
        <v/>
      </c>
      <c r="D985" s="45" t="n"/>
      <c r="E985" s="45">
        <f>IFERROR(__xludf.DUMMYFUNCTION("""COMPUTED_VALUE"""),"CFS")</f>
        <v/>
      </c>
      <c r="F985" s="45">
        <f>IFERROR(__xludf.DUMMYFUNCTION("""COMPUTED_VALUE"""),"MAS AMITY PTE LTD")</f>
        <v/>
      </c>
      <c r="G985" s="45">
        <f>IFERROR(__xludf.DUMMYFUNCTION("""COMPUTED_VALUE"""),"MAS Active(Pvt) Ltd – CONTOURLINE")</f>
        <v/>
      </c>
      <c r="H985" s="43">
        <f>IFERROR(__xludf.DUMMYFUNCTION("""COMPUTED_VALUE"""),457022289509)</f>
        <v/>
      </c>
      <c r="I985" s="45">
        <f>IFERROR(__xludf.DUMMYFUNCTION("""COMPUTED_VALUE"""),19921007)</f>
        <v/>
      </c>
      <c r="J985" s="45">
        <f>IFERROR(__xludf.DUMMYFUNCTION("""COMPUTED_VALUE"""),"LW7CPPS")</f>
        <v/>
      </c>
      <c r="K985" s="45">
        <f>IFERROR(__xludf.DUMMYFUNCTION("""COMPUTED_VALUE"""),"LW7CPPS-062214")</f>
        <v/>
      </c>
      <c r="L985" s="45">
        <f>IFERROR(__xludf.DUMMYFUNCTION("""COMPUTED_VALUE"""),4)</f>
        <v/>
      </c>
      <c r="M985" s="45">
        <f>IFERROR(__xludf.DUMMYFUNCTION("""COMPUTED_VALUE"""),250)</f>
        <v/>
      </c>
      <c r="N985" s="45">
        <f>IFERROR(__xludf.DUMMYFUNCTION("""COMPUTED_VALUE"""),38.451)</f>
        <v/>
      </c>
      <c r="O985" s="45">
        <f>IFERROR(__xludf.DUMMYFUNCTION("""COMPUTED_VALUE"""),0.276)</f>
        <v/>
      </c>
      <c r="P985" s="45">
        <f>IFERROR(__xludf.DUMMYFUNCTION("""COMPUTED_VALUE"""),"Colombo, LK")</f>
        <v/>
      </c>
      <c r="Q985" s="45">
        <f>IFERROR(__xludf.DUMMYFUNCTION("""COMPUTED_VALUE"""),"Felixstowe, GB")</f>
        <v/>
      </c>
      <c r="R985" s="44">
        <f>IFERROR(__xludf.DUMMYFUNCTION("""COMPUTED_VALUE"""),45831)</f>
        <v/>
      </c>
      <c r="S985" s="44">
        <f>IFERROR(__xludf.DUMMYFUNCTION("""COMPUTED_VALUE"""),45890)</f>
        <v/>
      </c>
      <c r="T985" s="45">
        <f>IFERROR(__xludf.DUMMYFUNCTION("""COMPUTED_VALUE"""),"Birmingham, GB")</f>
        <v/>
      </c>
      <c r="U985" s="45" t="n"/>
      <c r="V985" s="45" t="n"/>
      <c r="W985" s="45" t="n"/>
      <c r="X985" s="45" t="n"/>
      <c r="Y985" s="46">
        <f>IFERROR(__xludf.DUMMYFUNCTION("""COMPUTED_VALUE"""),45838)</f>
        <v/>
      </c>
      <c r="Z985" s="46">
        <f>IFERROR(__xludf.DUMMYFUNCTION("""COMPUTED_VALUE"""),45859)</f>
        <v/>
      </c>
      <c r="AA985" s="46">
        <f>IFERROR(__xludf.DUMMYFUNCTION("""COMPUTED_VALUE"""),45859)</f>
        <v/>
      </c>
      <c r="AB985" s="45">
        <f>IFERROR(__xludf.DUMMYFUNCTION("""COMPUTED_VALUE"""),"10A Faraday Ave")</f>
        <v/>
      </c>
      <c r="AC985" s="45" t="n"/>
      <c r="AD985" s="45">
        <f>IFERROR(__xludf.DUMMYFUNCTION("""COMPUTED_VALUE"""),"OCEAN")</f>
        <v/>
      </c>
      <c r="AE985" s="45">
        <f>IFERROR(__xludf.DUMMYFUNCTION("""COMPUTED_VALUE"""),"N")</f>
        <v/>
      </c>
      <c r="AF985" s="45" t="n"/>
      <c r="AG985" s="49">
        <f>IFERROR(__xludf.DUMMYFUNCTION("IFNA(vlookup(H985,IMPORTRANGE(""1vUGwO1n0QQGx9kKbO0_M5gmuhXZ6-LaxQxgrmJnzgP0"",""'TP# look up'!A:C""),3,0),"""")"),"")</f>
        <v/>
      </c>
      <c r="AH985" s="49">
        <f>LEFT(J985,2)</f>
        <v/>
      </c>
    </row>
    <row r="986" ht="12.75" customHeight="1">
      <c r="A986" s="45">
        <f>IFERROR(__xludf.DUMMYFUNCTION("""COMPUTED_VALUE"""),"Colombo")</f>
        <v/>
      </c>
      <c r="B986" s="45" t="n"/>
      <c r="C986" s="45">
        <f>IFERROR(__xludf.DUMMYFUNCTION("""COMPUTED_VALUE"""),3259827)</f>
        <v/>
      </c>
      <c r="D986" s="45" t="n"/>
      <c r="E986" s="45">
        <f>IFERROR(__xludf.DUMMYFUNCTION("""COMPUTED_VALUE"""),"CFS")</f>
        <v/>
      </c>
      <c r="F986" s="45">
        <f>IFERROR(__xludf.DUMMYFUNCTION("""COMPUTED_VALUE"""),"MAS AMITY PTE LTD")</f>
        <v/>
      </c>
      <c r="G986" s="45">
        <f>IFERROR(__xludf.DUMMYFUNCTION("""COMPUTED_VALUE"""),"MAS Active(Pvt) Ltd – CONTOURLINE")</f>
        <v/>
      </c>
      <c r="H986" s="43">
        <f>IFERROR(__xludf.DUMMYFUNCTION("""COMPUTED_VALUE"""),457024006287)</f>
        <v/>
      </c>
      <c r="I986" s="45">
        <f>IFERROR(__xludf.DUMMYFUNCTION("""COMPUTED_VALUE"""),19921012)</f>
        <v/>
      </c>
      <c r="J986" s="45">
        <f>IFERROR(__xludf.DUMMYFUNCTION("""COMPUTED_VALUE"""),"LW7DPES")</f>
        <v/>
      </c>
      <c r="K986" s="45">
        <f>IFERROR(__xludf.DUMMYFUNCTION("""COMPUTED_VALUE"""),"LW7DPES-071168")</f>
        <v/>
      </c>
      <c r="L986" s="45">
        <f>IFERROR(__xludf.DUMMYFUNCTION("""COMPUTED_VALUE"""),6)</f>
        <v/>
      </c>
      <c r="M986" s="45">
        <f>IFERROR(__xludf.DUMMYFUNCTION("""COMPUTED_VALUE"""),290)</f>
        <v/>
      </c>
      <c r="N986" s="45">
        <f>IFERROR(__xludf.DUMMYFUNCTION("""COMPUTED_VALUE"""),48.419)</f>
        <v/>
      </c>
      <c r="O986" s="45">
        <f>IFERROR(__xludf.DUMMYFUNCTION("""COMPUTED_VALUE"""),0.395)</f>
        <v/>
      </c>
      <c r="P986" s="45">
        <f>IFERROR(__xludf.DUMMYFUNCTION("""COMPUTED_VALUE"""),"Colombo, LK")</f>
        <v/>
      </c>
      <c r="Q986" s="45">
        <f>IFERROR(__xludf.DUMMYFUNCTION("""COMPUTED_VALUE"""),"Felixstowe, GB")</f>
        <v/>
      </c>
      <c r="R986" s="44">
        <f>IFERROR(__xludf.DUMMYFUNCTION("""COMPUTED_VALUE"""),45831)</f>
        <v/>
      </c>
      <c r="S986" s="44">
        <f>IFERROR(__xludf.DUMMYFUNCTION("""COMPUTED_VALUE"""),45890)</f>
        <v/>
      </c>
      <c r="T986" s="45">
        <f>IFERROR(__xludf.DUMMYFUNCTION("""COMPUTED_VALUE"""),"Birmingham, GB")</f>
        <v/>
      </c>
      <c r="U986" s="45" t="n"/>
      <c r="V986" s="45" t="n"/>
      <c r="W986" s="45" t="n"/>
      <c r="X986" s="45" t="n"/>
      <c r="Y986" s="46">
        <f>IFERROR(__xludf.DUMMYFUNCTION("""COMPUTED_VALUE"""),45838)</f>
        <v/>
      </c>
      <c r="Z986" s="46">
        <f>IFERROR(__xludf.DUMMYFUNCTION("""COMPUTED_VALUE"""),45859)</f>
        <v/>
      </c>
      <c r="AA986" s="46">
        <f>IFERROR(__xludf.DUMMYFUNCTION("""COMPUTED_VALUE"""),45859)</f>
        <v/>
      </c>
      <c r="AB986" s="45">
        <f>IFERROR(__xludf.DUMMYFUNCTION("""COMPUTED_VALUE"""),"10A Faraday Ave")</f>
        <v/>
      </c>
      <c r="AC986" s="45" t="n"/>
      <c r="AD986" s="45">
        <f>IFERROR(__xludf.DUMMYFUNCTION("""COMPUTED_VALUE"""),"OCEAN")</f>
        <v/>
      </c>
      <c r="AE986" s="45">
        <f>IFERROR(__xludf.DUMMYFUNCTION("""COMPUTED_VALUE"""),"N")</f>
        <v/>
      </c>
      <c r="AF986" s="45" t="n"/>
      <c r="AG986" s="49">
        <f>IFERROR(__xludf.DUMMYFUNCTION("IFNA(vlookup(H986,IMPORTRANGE(""1vUGwO1n0QQGx9kKbO0_M5gmuhXZ6-LaxQxgrmJnzgP0"",""'TP# look up'!A:C""),3,0),"""")"),"")</f>
        <v/>
      </c>
      <c r="AH986" s="49">
        <f>LEFT(J986,2)</f>
        <v/>
      </c>
    </row>
    <row r="987" ht="12.75" customHeight="1">
      <c r="A987" s="45">
        <f>IFERROR(__xludf.DUMMYFUNCTION("""COMPUTED_VALUE"""),"Colombo")</f>
        <v/>
      </c>
      <c r="B987" s="45" t="n"/>
      <c r="C987" s="45">
        <f>IFERROR(__xludf.DUMMYFUNCTION("""COMPUTED_VALUE"""),3259827)</f>
        <v/>
      </c>
      <c r="D987" s="45" t="n"/>
      <c r="E987" s="45">
        <f>IFERROR(__xludf.DUMMYFUNCTION("""COMPUTED_VALUE"""),"CFS")</f>
        <v/>
      </c>
      <c r="F987" s="45">
        <f>IFERROR(__xludf.DUMMYFUNCTION("""COMPUTED_VALUE"""),"MAS AMITY PTE LTD")</f>
        <v/>
      </c>
      <c r="G987" s="45">
        <f>IFERROR(__xludf.DUMMYFUNCTION("""COMPUTED_VALUE"""),"MAS Active(Pvt) Ltd – CONTOURLINE")</f>
        <v/>
      </c>
      <c r="H987" s="43">
        <f>IFERROR(__xludf.DUMMYFUNCTION("""COMPUTED_VALUE"""),457024006582)</f>
        <v/>
      </c>
      <c r="I987" s="45">
        <f>IFERROR(__xludf.DUMMYFUNCTION("""COMPUTED_VALUE"""),19926209)</f>
        <v/>
      </c>
      <c r="J987" s="45">
        <f>IFERROR(__xludf.DUMMYFUNCTION("""COMPUTED_VALUE"""),"LW7CPPS")</f>
        <v/>
      </c>
      <c r="K987" s="45">
        <f>IFERROR(__xludf.DUMMYFUNCTION("""COMPUTED_VALUE"""),"LW7CPPS-049106")</f>
        <v/>
      </c>
      <c r="L987" s="45">
        <f>IFERROR(__xludf.DUMMYFUNCTION("""COMPUTED_VALUE"""),4)</f>
        <v/>
      </c>
      <c r="M987" s="45">
        <f>IFERROR(__xludf.DUMMYFUNCTION("""COMPUTED_VALUE"""),194)</f>
        <v/>
      </c>
      <c r="N987" s="45">
        <f>IFERROR(__xludf.DUMMYFUNCTION("""COMPUTED_VALUE"""),31.343)</f>
        <v/>
      </c>
      <c r="O987" s="45">
        <f>IFERROR(__xludf.DUMMYFUNCTION("""COMPUTED_VALUE"""),0.237)</f>
        <v/>
      </c>
      <c r="P987" s="45">
        <f>IFERROR(__xludf.DUMMYFUNCTION("""COMPUTED_VALUE"""),"Colombo, LK")</f>
        <v/>
      </c>
      <c r="Q987" s="45">
        <f>IFERROR(__xludf.DUMMYFUNCTION("""COMPUTED_VALUE"""),"Felixstowe, GB")</f>
        <v/>
      </c>
      <c r="R987" s="44">
        <f>IFERROR(__xludf.DUMMYFUNCTION("""COMPUTED_VALUE"""),45831)</f>
        <v/>
      </c>
      <c r="S987" s="44">
        <f>IFERROR(__xludf.DUMMYFUNCTION("""COMPUTED_VALUE"""),45890)</f>
        <v/>
      </c>
      <c r="T987" s="45">
        <f>IFERROR(__xludf.DUMMYFUNCTION("""COMPUTED_VALUE"""),"Birmingham, GB")</f>
        <v/>
      </c>
      <c r="U987" s="45" t="n"/>
      <c r="V987" s="45" t="n"/>
      <c r="W987" s="45" t="n"/>
      <c r="X987" s="45" t="n"/>
      <c r="Y987" s="46">
        <f>IFERROR(__xludf.DUMMYFUNCTION("""COMPUTED_VALUE"""),45838)</f>
        <v/>
      </c>
      <c r="Z987" s="46">
        <f>IFERROR(__xludf.DUMMYFUNCTION("""COMPUTED_VALUE"""),45859)</f>
        <v/>
      </c>
      <c r="AA987" s="46">
        <f>IFERROR(__xludf.DUMMYFUNCTION("""COMPUTED_VALUE"""),45859)</f>
        <v/>
      </c>
      <c r="AB987" s="45">
        <f>IFERROR(__xludf.DUMMYFUNCTION("""COMPUTED_VALUE"""),"10A Faraday Ave")</f>
        <v/>
      </c>
      <c r="AC987" s="45" t="n"/>
      <c r="AD987" s="45">
        <f>IFERROR(__xludf.DUMMYFUNCTION("""COMPUTED_VALUE"""),"OCEAN")</f>
        <v/>
      </c>
      <c r="AE987" s="45">
        <f>IFERROR(__xludf.DUMMYFUNCTION("""COMPUTED_VALUE"""),"N")</f>
        <v/>
      </c>
      <c r="AF987" s="45" t="n"/>
      <c r="AG987" s="49">
        <f>IFERROR(__xludf.DUMMYFUNCTION("IFNA(vlookup(H987,IMPORTRANGE(""1vUGwO1n0QQGx9kKbO0_M5gmuhXZ6-LaxQxgrmJnzgP0"",""'TP# look up'!A:C""),3,0),"""")"),"")</f>
        <v/>
      </c>
      <c r="AH987" s="49">
        <f>LEFT(J987,2)</f>
        <v/>
      </c>
    </row>
    <row r="988" ht="12.75" customHeight="1">
      <c r="A988" s="45">
        <f>IFERROR(__xludf.DUMMYFUNCTION("""COMPUTED_VALUE"""),"Colombo")</f>
        <v/>
      </c>
      <c r="B988" s="45" t="n"/>
      <c r="C988" s="45">
        <f>IFERROR(__xludf.DUMMYFUNCTION("""COMPUTED_VALUE"""),3259827)</f>
        <v/>
      </c>
      <c r="D988" s="45" t="n"/>
      <c r="E988" s="45">
        <f>IFERROR(__xludf.DUMMYFUNCTION("""COMPUTED_VALUE"""),"CFS")</f>
        <v/>
      </c>
      <c r="F988" s="45">
        <f>IFERROR(__xludf.DUMMYFUNCTION("""COMPUTED_VALUE"""),"MAS AMITY PTE LTD")</f>
        <v/>
      </c>
      <c r="G988" s="45">
        <f>IFERROR(__xludf.DUMMYFUNCTION("""COMPUTED_VALUE"""),"MAS Active(Pvt) Ltd – CONTOURLINE")</f>
        <v/>
      </c>
      <c r="H988" s="43">
        <f>IFERROR(__xludf.DUMMYFUNCTION("""COMPUTED_VALUE"""),457030706858)</f>
        <v/>
      </c>
      <c r="I988" s="45">
        <f>IFERROR(__xludf.DUMMYFUNCTION("""COMPUTED_VALUE"""),19820906)</f>
        <v/>
      </c>
      <c r="J988" s="45">
        <f>IFERROR(__xludf.DUMMYFUNCTION("""COMPUTED_VALUE"""),"LW1DRKS")</f>
        <v/>
      </c>
      <c r="K988" s="45">
        <f>IFERROR(__xludf.DUMMYFUNCTION("""COMPUTED_VALUE"""),"LW1DRKS-070108")</f>
        <v/>
      </c>
      <c r="L988" s="45">
        <f>IFERROR(__xludf.DUMMYFUNCTION("""COMPUTED_VALUE"""),4)</f>
        <v/>
      </c>
      <c r="M988" s="45">
        <f>IFERROR(__xludf.DUMMYFUNCTION("""COMPUTED_VALUE"""),254)</f>
        <v/>
      </c>
      <c r="N988" s="45">
        <f>IFERROR(__xludf.DUMMYFUNCTION("""COMPUTED_VALUE"""),32.162)</f>
        <v/>
      </c>
      <c r="O988" s="45">
        <f>IFERROR(__xludf.DUMMYFUNCTION("""COMPUTED_VALUE"""),0.237)</f>
        <v/>
      </c>
      <c r="P988" s="45">
        <f>IFERROR(__xludf.DUMMYFUNCTION("""COMPUTED_VALUE"""),"Colombo, LK")</f>
        <v/>
      </c>
      <c r="Q988" s="45">
        <f>IFERROR(__xludf.DUMMYFUNCTION("""COMPUTED_VALUE"""),"Felixstowe, GB")</f>
        <v/>
      </c>
      <c r="R988" s="44">
        <f>IFERROR(__xludf.DUMMYFUNCTION("""COMPUTED_VALUE"""),45831)</f>
        <v/>
      </c>
      <c r="S988" s="44">
        <f>IFERROR(__xludf.DUMMYFUNCTION("""COMPUTED_VALUE"""),45890)</f>
        <v/>
      </c>
      <c r="T988" s="45">
        <f>IFERROR(__xludf.DUMMYFUNCTION("""COMPUTED_VALUE"""),"Birmingham, GB")</f>
        <v/>
      </c>
      <c r="U988" s="45" t="n"/>
      <c r="V988" s="45" t="n"/>
      <c r="W988" s="45" t="n"/>
      <c r="X988" s="45" t="n"/>
      <c r="Y988" s="46">
        <f>IFERROR(__xludf.DUMMYFUNCTION("""COMPUTED_VALUE"""),45838)</f>
        <v/>
      </c>
      <c r="Z988" s="46">
        <f>IFERROR(__xludf.DUMMYFUNCTION("""COMPUTED_VALUE"""),45859)</f>
        <v/>
      </c>
      <c r="AA988" s="46">
        <f>IFERROR(__xludf.DUMMYFUNCTION("""COMPUTED_VALUE"""),45859)</f>
        <v/>
      </c>
      <c r="AB988" s="45">
        <f>IFERROR(__xludf.DUMMYFUNCTION("""COMPUTED_VALUE"""),"10A Faraday Ave")</f>
        <v/>
      </c>
      <c r="AC988" s="45" t="n"/>
      <c r="AD988" s="45">
        <f>IFERROR(__xludf.DUMMYFUNCTION("""COMPUTED_VALUE"""),"OCEAN")</f>
        <v/>
      </c>
      <c r="AE988" s="45">
        <f>IFERROR(__xludf.DUMMYFUNCTION("""COMPUTED_VALUE"""),"N")</f>
        <v/>
      </c>
      <c r="AF988" s="45" t="n"/>
      <c r="AG988" s="49">
        <f>IFERROR(__xludf.DUMMYFUNCTION("IFNA(vlookup(H988,IMPORTRANGE(""1vUGwO1n0QQGx9kKbO0_M5gmuhXZ6-LaxQxgrmJnzgP0"",""'TP# look up'!A:C""),3,0),"""")"),"")</f>
        <v/>
      </c>
      <c r="AH988" s="49">
        <f>LEFT(J988,2)</f>
        <v/>
      </c>
    </row>
    <row r="989" ht="12.75" customHeight="1">
      <c r="A989" s="45">
        <f>IFERROR(__xludf.DUMMYFUNCTION("""COMPUTED_VALUE"""),"Colombo")</f>
        <v/>
      </c>
      <c r="B989" s="45" t="n"/>
      <c r="C989" s="45">
        <f>IFERROR(__xludf.DUMMYFUNCTION("""COMPUTED_VALUE"""),3259827)</f>
        <v/>
      </c>
      <c r="D989" s="45" t="n"/>
      <c r="E989" s="45">
        <f>IFERROR(__xludf.DUMMYFUNCTION("""COMPUTED_VALUE"""),"CFS")</f>
        <v/>
      </c>
      <c r="F989" s="45">
        <f>IFERROR(__xludf.DUMMYFUNCTION("""COMPUTED_VALUE"""),"MAS AMITY PTE LTD")</f>
        <v/>
      </c>
      <c r="G989" s="45">
        <f>IFERROR(__xludf.DUMMYFUNCTION("""COMPUTED_VALUE"""),"MAS Active(Pvt) Ltd – CONTOURLINE")</f>
        <v/>
      </c>
      <c r="H989" s="43">
        <f>IFERROR(__xludf.DUMMYFUNCTION("""COMPUTED_VALUE"""),457031518838)</f>
        <v/>
      </c>
      <c r="I989" s="45">
        <f>IFERROR(__xludf.DUMMYFUNCTION("""COMPUTED_VALUE"""),19820910)</f>
        <v/>
      </c>
      <c r="J989" s="45">
        <f>IFERROR(__xludf.DUMMYFUNCTION("""COMPUTED_VALUE"""),"LW1DRKS")</f>
        <v/>
      </c>
      <c r="K989" s="45">
        <f>IFERROR(__xludf.DUMMYFUNCTION("""COMPUTED_VALUE"""),"LW1DRKS-070108")</f>
        <v/>
      </c>
      <c r="L989" s="45">
        <f>IFERROR(__xludf.DUMMYFUNCTION("""COMPUTED_VALUE"""),1)</f>
        <v/>
      </c>
      <c r="M989" s="45">
        <f>IFERROR(__xludf.DUMMYFUNCTION("""COMPUTED_VALUE"""),89)</f>
        <v/>
      </c>
      <c r="N989" s="45">
        <f>IFERROR(__xludf.DUMMYFUNCTION("""COMPUTED_VALUE"""),10.944)</f>
        <v/>
      </c>
      <c r="O989" s="45">
        <f>IFERROR(__xludf.DUMMYFUNCTION("""COMPUTED_VALUE"""),0.079)</f>
        <v/>
      </c>
      <c r="P989" s="45">
        <f>IFERROR(__xludf.DUMMYFUNCTION("""COMPUTED_VALUE"""),"Colombo, LK")</f>
        <v/>
      </c>
      <c r="Q989" s="45">
        <f>IFERROR(__xludf.DUMMYFUNCTION("""COMPUTED_VALUE"""),"Felixstowe, GB")</f>
        <v/>
      </c>
      <c r="R989" s="44">
        <f>IFERROR(__xludf.DUMMYFUNCTION("""COMPUTED_VALUE"""),45831)</f>
        <v/>
      </c>
      <c r="S989" s="44">
        <f>IFERROR(__xludf.DUMMYFUNCTION("""COMPUTED_VALUE"""),45890)</f>
        <v/>
      </c>
      <c r="T989" s="45">
        <f>IFERROR(__xludf.DUMMYFUNCTION("""COMPUTED_VALUE"""),"Birmingham, GB")</f>
        <v/>
      </c>
      <c r="U989" s="45" t="n"/>
      <c r="V989" s="45" t="n"/>
      <c r="W989" s="45" t="n"/>
      <c r="X989" s="45" t="n"/>
      <c r="Y989" s="46">
        <f>IFERROR(__xludf.DUMMYFUNCTION("""COMPUTED_VALUE"""),45838)</f>
        <v/>
      </c>
      <c r="Z989" s="46">
        <f>IFERROR(__xludf.DUMMYFUNCTION("""COMPUTED_VALUE"""),45859)</f>
        <v/>
      </c>
      <c r="AA989" s="46">
        <f>IFERROR(__xludf.DUMMYFUNCTION("""COMPUTED_VALUE"""),45859)</f>
        <v/>
      </c>
      <c r="AB989" s="45">
        <f>IFERROR(__xludf.DUMMYFUNCTION("""COMPUTED_VALUE"""),"10A Faraday Ave")</f>
        <v/>
      </c>
      <c r="AC989" s="45" t="n"/>
      <c r="AD989" s="45">
        <f>IFERROR(__xludf.DUMMYFUNCTION("""COMPUTED_VALUE"""),"OCEAN")</f>
        <v/>
      </c>
      <c r="AE989" s="45">
        <f>IFERROR(__xludf.DUMMYFUNCTION("""COMPUTED_VALUE"""),"N")</f>
        <v/>
      </c>
      <c r="AF989" s="45" t="n"/>
      <c r="AG989" s="49">
        <f>IFERROR(__xludf.DUMMYFUNCTION("IFNA(vlookup(H989,IMPORTRANGE(""1vUGwO1n0QQGx9kKbO0_M5gmuhXZ6-LaxQxgrmJnzgP0"",""'TP# look up'!A:C""),3,0),"""")"),"")</f>
        <v/>
      </c>
      <c r="AH989" s="49">
        <f>LEFT(J989,2)</f>
        <v/>
      </c>
    </row>
    <row r="990" ht="12.75" customHeight="1">
      <c r="A990" s="45">
        <f>IFERROR(__xludf.DUMMYFUNCTION("""COMPUTED_VALUE"""),"Colombo")</f>
        <v/>
      </c>
      <c r="B990" s="45" t="n"/>
      <c r="C990" s="45">
        <f>IFERROR(__xludf.DUMMYFUNCTION("""COMPUTED_VALUE"""),3259827)</f>
        <v/>
      </c>
      <c r="D990" s="45" t="n"/>
      <c r="E990" s="45">
        <f>IFERROR(__xludf.DUMMYFUNCTION("""COMPUTED_VALUE"""),"CFS")</f>
        <v/>
      </c>
      <c r="F990" s="45">
        <f>IFERROR(__xludf.DUMMYFUNCTION("""COMPUTED_VALUE"""),"MAS AMITY PTE LTD")</f>
        <v/>
      </c>
      <c r="G990" s="45">
        <f>IFERROR(__xludf.DUMMYFUNCTION("""COMPUTED_VALUE"""),"MAS Active(Pvt) Ltd – CONTOURLINE")</f>
        <v/>
      </c>
      <c r="H990" s="43">
        <f>IFERROR(__xludf.DUMMYFUNCTION("""COMPUTED_VALUE"""),457032092081)</f>
        <v/>
      </c>
      <c r="I990" s="45">
        <f>IFERROR(__xludf.DUMMYFUNCTION("""COMPUTED_VALUE"""),19926223)</f>
        <v/>
      </c>
      <c r="J990" s="45">
        <f>IFERROR(__xludf.DUMMYFUNCTION("""COMPUTED_VALUE"""),"LW7DPES")</f>
        <v/>
      </c>
      <c r="K990" s="45">
        <f>IFERROR(__xludf.DUMMYFUNCTION("""COMPUTED_VALUE"""),"LW7DPES-049106")</f>
        <v/>
      </c>
      <c r="L990" s="45">
        <f>IFERROR(__xludf.DUMMYFUNCTION("""COMPUTED_VALUE"""),6)</f>
        <v/>
      </c>
      <c r="M990" s="45">
        <f>IFERROR(__xludf.DUMMYFUNCTION("""COMPUTED_VALUE"""),320)</f>
        <v/>
      </c>
      <c r="N990" s="45">
        <f>IFERROR(__xludf.DUMMYFUNCTION("""COMPUTED_VALUE"""),52.835)</f>
        <v/>
      </c>
      <c r="O990" s="45">
        <f>IFERROR(__xludf.DUMMYFUNCTION("""COMPUTED_VALUE"""),0.395)</f>
        <v/>
      </c>
      <c r="P990" s="45">
        <f>IFERROR(__xludf.DUMMYFUNCTION("""COMPUTED_VALUE"""),"Colombo, LK")</f>
        <v/>
      </c>
      <c r="Q990" s="45">
        <f>IFERROR(__xludf.DUMMYFUNCTION("""COMPUTED_VALUE"""),"Felixstowe, GB")</f>
        <v/>
      </c>
      <c r="R990" s="44">
        <f>IFERROR(__xludf.DUMMYFUNCTION("""COMPUTED_VALUE"""),45831)</f>
        <v/>
      </c>
      <c r="S990" s="44">
        <f>IFERROR(__xludf.DUMMYFUNCTION("""COMPUTED_VALUE"""),45890)</f>
        <v/>
      </c>
      <c r="T990" s="45">
        <f>IFERROR(__xludf.DUMMYFUNCTION("""COMPUTED_VALUE"""),"Birmingham, GB")</f>
        <v/>
      </c>
      <c r="U990" s="45" t="n"/>
      <c r="V990" s="45" t="n"/>
      <c r="W990" s="45" t="n"/>
      <c r="X990" s="45" t="n"/>
      <c r="Y990" s="46">
        <f>IFERROR(__xludf.DUMMYFUNCTION("""COMPUTED_VALUE"""),45838)</f>
        <v/>
      </c>
      <c r="Z990" s="46">
        <f>IFERROR(__xludf.DUMMYFUNCTION("""COMPUTED_VALUE"""),45859)</f>
        <v/>
      </c>
      <c r="AA990" s="46">
        <f>IFERROR(__xludf.DUMMYFUNCTION("""COMPUTED_VALUE"""),45859)</f>
        <v/>
      </c>
      <c r="AB990" s="45">
        <f>IFERROR(__xludf.DUMMYFUNCTION("""COMPUTED_VALUE"""),"10A Faraday Ave")</f>
        <v/>
      </c>
      <c r="AC990" s="45" t="n"/>
      <c r="AD990" s="45">
        <f>IFERROR(__xludf.DUMMYFUNCTION("""COMPUTED_VALUE"""),"OCEAN")</f>
        <v/>
      </c>
      <c r="AE990" s="45">
        <f>IFERROR(__xludf.DUMMYFUNCTION("""COMPUTED_VALUE"""),"N")</f>
        <v/>
      </c>
      <c r="AF990" s="45" t="n"/>
      <c r="AG990" s="49">
        <f>IFERROR(__xludf.DUMMYFUNCTION("IFNA(vlookup(H990,IMPORTRANGE(""1vUGwO1n0QQGx9kKbO0_M5gmuhXZ6-LaxQxgrmJnzgP0"",""'TP# look up'!A:C""),3,0),"""")"),"")</f>
        <v/>
      </c>
      <c r="AH990" s="49">
        <f>LEFT(J990,2)</f>
        <v/>
      </c>
    </row>
    <row r="991" ht="12.75" customHeight="1">
      <c r="H991" s="43" t="n"/>
      <c r="AG991" s="49">
        <f>IFERROR(__xludf.DUMMYFUNCTION("IFNA(vlookup(H991,IMPORTRANGE(""1vUGwO1n0QQGx9kKbO0_M5gmuhXZ6-LaxQxgrmJnzgP0"",""'TP# look up'!A:C""),3,0),"""")"),"")</f>
        <v/>
      </c>
      <c r="AH991" s="49">
        <f>LEFT(J991,2)</f>
        <v/>
      </c>
    </row>
    <row r="992" ht="12.75" customHeight="1">
      <c r="H992" s="43" t="n"/>
      <c r="AG992" s="49">
        <f>IFERROR(__xludf.DUMMYFUNCTION("IFNA(vlookup(H992,IMPORTRANGE(""1vUGwO1n0QQGx9kKbO0_M5gmuhXZ6-LaxQxgrmJnzgP0"",""'TP# look up'!A:C""),3,0),"""")"),"")</f>
        <v/>
      </c>
      <c r="AH992" s="49">
        <f>LEFT(J992,2)</f>
        <v/>
      </c>
    </row>
    <row r="993" ht="12.75" customHeight="1">
      <c r="H993" s="43" t="n"/>
      <c r="AG993" s="49">
        <f>IFERROR(__xludf.DUMMYFUNCTION("IFNA(vlookup(H993,IMPORTRANGE(""1vUGwO1n0QQGx9kKbO0_M5gmuhXZ6-LaxQxgrmJnzgP0"",""'TP# look up'!A:C""),3,0),"""")"),"")</f>
        <v/>
      </c>
      <c r="AH993" s="49">
        <f>LEFT(J993,2)</f>
        <v/>
      </c>
    </row>
    <row r="994" ht="12.75" customHeight="1">
      <c r="H994" s="43" t="n"/>
      <c r="AG994" s="49">
        <f>IFERROR(__xludf.DUMMYFUNCTION("IFNA(vlookup(H994,IMPORTRANGE(""1vUGwO1n0QQGx9kKbO0_M5gmuhXZ6-LaxQxgrmJnzgP0"",""'TP# look up'!A:C""),3,0),"""")"),"")</f>
        <v/>
      </c>
      <c r="AH994" s="49">
        <f>LEFT(J994,2)</f>
        <v/>
      </c>
    </row>
    <row r="995" ht="12.75" customHeight="1">
      <c r="H995" s="43" t="n"/>
      <c r="AG995" s="49">
        <f>IFERROR(__xludf.DUMMYFUNCTION("IFNA(vlookup(H995,IMPORTRANGE(""1vUGwO1n0QQGx9kKbO0_M5gmuhXZ6-LaxQxgrmJnzgP0"",""'TP# look up'!A:C""),3,0),"""")"),"")</f>
        <v/>
      </c>
      <c r="AH995" s="49">
        <f>LEFT(J995,2)</f>
        <v/>
      </c>
    </row>
    <row r="996" ht="12.75" customHeight="1">
      <c r="H996" s="43" t="n"/>
      <c r="AG996" s="49">
        <f>IFERROR(__xludf.DUMMYFUNCTION("IFNA(vlookup(H996,IMPORTRANGE(""1vUGwO1n0QQGx9kKbO0_M5gmuhXZ6-LaxQxgrmJnzgP0"",""'TP# look up'!A:C""),3,0),"""")"),"")</f>
        <v/>
      </c>
      <c r="AH996" s="49">
        <f>LEFT(J996,2)</f>
        <v/>
      </c>
    </row>
    <row r="997" ht="12.75" customHeight="1">
      <c r="H997" s="43" t="n"/>
      <c r="AG997" s="49">
        <f>IFERROR(__xludf.DUMMYFUNCTION("IFNA(vlookup(H997,IMPORTRANGE(""1vUGwO1n0QQGx9kKbO0_M5gmuhXZ6-LaxQxgrmJnzgP0"",""'TP# look up'!A:C""),3,0),"""")"),"")</f>
        <v/>
      </c>
      <c r="AH997" s="49">
        <f>LEFT(J997,2)</f>
        <v/>
      </c>
    </row>
    <row r="998" ht="12.75" customHeight="1">
      <c r="H998" s="43" t="n"/>
      <c r="AG998" s="49">
        <f>IFERROR(__xludf.DUMMYFUNCTION("IFNA(vlookup(H998,IMPORTRANGE(""1vUGwO1n0QQGx9kKbO0_M5gmuhXZ6-LaxQxgrmJnzgP0"",""'TP# look up'!A:C""),3,0),"""")"),"")</f>
        <v/>
      </c>
      <c r="AH998" s="49">
        <f>LEFT(J998,2)</f>
        <v/>
      </c>
    </row>
    <row r="999" ht="12.75" customHeight="1">
      <c r="H999" s="43" t="n"/>
      <c r="AG999" s="49">
        <f>IFERROR(__xludf.DUMMYFUNCTION("IFNA(vlookup(H999,IMPORTRANGE(""1vUGwO1n0QQGx9kKbO0_M5gmuhXZ6-LaxQxgrmJnzgP0"",""'TP# look up'!A:C""),3,0),"""")"),"")</f>
        <v/>
      </c>
      <c r="AH999" s="49">
        <f>LEFT(J999,2)</f>
        <v/>
      </c>
    </row>
    <row r="1000" ht="12.75" customHeight="1">
      <c r="H1000" s="43" t="n"/>
      <c r="AG1000" s="49">
        <f>IFERROR(__xludf.DUMMYFUNCTION("IFNA(vlookup(H1000,IMPORTRANGE(""1vUGwO1n0QQGx9kKbO0_M5gmuhXZ6-LaxQxgrmJnzgP0"",""'TP# look up'!A:C""),3,0),"""")"),"")</f>
        <v/>
      </c>
      <c r="AH1000" s="49">
        <f>LEFT(J1000,2)</f>
        <v/>
      </c>
    </row>
    <row r="1001" ht="12.75" customHeight="1">
      <c r="H1001" s="43" t="n"/>
      <c r="AG1001" s="49">
        <f>IFERROR(__xludf.DUMMYFUNCTION("IFNA(vlookup(H1001,IMPORTRANGE(""1vUGwO1n0QQGx9kKbO0_M5gmuhXZ6-LaxQxgrmJnzgP0"",""'TP# look up'!A:C""),3,0),"""")"),"")</f>
        <v/>
      </c>
      <c r="AH1001" s="49">
        <f>LEFT(J1001,2)</f>
        <v/>
      </c>
    </row>
    <row r="1002" ht="12.75" customHeight="1">
      <c r="H1002" s="43" t="n"/>
      <c r="AG1002" s="49">
        <f>IFERROR(__xludf.DUMMYFUNCTION("IFNA(vlookup(H1002,IMPORTRANGE(""1vUGwO1n0QQGx9kKbO0_M5gmuhXZ6-LaxQxgrmJnzgP0"",""'TP# look up'!A:C""),3,0),"""")"),"")</f>
        <v/>
      </c>
      <c r="AH1002" s="49">
        <f>LEFT(J1002,2)</f>
        <v/>
      </c>
    </row>
    <row r="1003" ht="12.75" customHeight="1">
      <c r="H1003" s="43" t="n"/>
      <c r="AG1003" s="49">
        <f>IFERROR(__xludf.DUMMYFUNCTION("IFNA(vlookup(H1003,IMPORTRANGE(""1vUGwO1n0QQGx9kKbO0_M5gmuhXZ6-LaxQxgrmJnzgP0"",""'TP# look up'!A:C""),3,0),"""")"),"")</f>
        <v/>
      </c>
      <c r="AH1003" s="49">
        <f>LEFT(J1003,2)</f>
        <v/>
      </c>
    </row>
    <row r="1004" ht="12.75" customHeight="1">
      <c r="H1004" s="43" t="n"/>
      <c r="AG1004" s="49">
        <f>IFERROR(__xludf.DUMMYFUNCTION("IFNA(vlookup(H1004,IMPORTRANGE(""1vUGwO1n0QQGx9kKbO0_M5gmuhXZ6-LaxQxgrmJnzgP0"",""'TP# look up'!A:C""),3,0),"""")"),"")</f>
        <v/>
      </c>
      <c r="AH1004" s="49">
        <f>LEFT(J1004,2)</f>
        <v/>
      </c>
    </row>
    <row r="1005" ht="12.75" customHeight="1">
      <c r="H1005" s="43" t="n"/>
      <c r="AG1005" s="49">
        <f>IFERROR(__xludf.DUMMYFUNCTION("IFNA(vlookup(H1005,IMPORTRANGE(""1vUGwO1n0QQGx9kKbO0_M5gmuhXZ6-LaxQxgrmJnzgP0"",""'TP# look up'!A:C""),3,0),"""")"),"")</f>
        <v/>
      </c>
      <c r="AH1005" s="49">
        <f>LEFT(J1005,2)</f>
        <v/>
      </c>
    </row>
    <row r="1006" ht="12.75" customHeight="1">
      <c r="H1006" s="43" t="n"/>
      <c r="AG1006" s="49">
        <f>IFERROR(__xludf.DUMMYFUNCTION("IFNA(vlookup(H1006,IMPORTRANGE(""1vUGwO1n0QQGx9kKbO0_M5gmuhXZ6-LaxQxgrmJnzgP0"",""'TP# look up'!A:C""),3,0),"""")"),"")</f>
        <v/>
      </c>
      <c r="AH1006" s="49">
        <f>LEFT(J1006,2)</f>
        <v/>
      </c>
    </row>
    <row r="1007" ht="12.75" customHeight="1">
      <c r="H1007" s="43" t="n"/>
      <c r="AG1007" s="49">
        <f>IFERROR(__xludf.DUMMYFUNCTION("IFNA(vlookup(H1007,IMPORTRANGE(""1vUGwO1n0QQGx9kKbO0_M5gmuhXZ6-LaxQxgrmJnzgP0"",""'TP# look up'!A:C""),3,0),"""")"),"")</f>
        <v/>
      </c>
      <c r="AH1007" s="49">
        <f>LEFT(J1007,2)</f>
        <v/>
      </c>
    </row>
    <row r="1008" ht="12.75" customHeight="1">
      <c r="H1008" s="43" t="n"/>
      <c r="AG1008" s="49">
        <f>IFERROR(__xludf.DUMMYFUNCTION("IFNA(vlookup(H1008,IMPORTRANGE(""1vUGwO1n0QQGx9kKbO0_M5gmuhXZ6-LaxQxgrmJnzgP0"",""'TP# look up'!A:C""),3,0),"""")"),"")</f>
        <v/>
      </c>
      <c r="AH1008" s="49">
        <f>LEFT(J1008,2)</f>
        <v/>
      </c>
    </row>
    <row r="1009" ht="12.75" customHeight="1">
      <c r="H1009" s="43" t="n"/>
      <c r="AG1009" s="49">
        <f>IFERROR(__xludf.DUMMYFUNCTION("IFNA(vlookup(H1009,IMPORTRANGE(""1vUGwO1n0QQGx9kKbO0_M5gmuhXZ6-LaxQxgrmJnzgP0"",""'TP# look up'!A:C""),3,0),"""")"),"")</f>
        <v/>
      </c>
      <c r="AH1009" s="49">
        <f>LEFT(J1009,2)</f>
        <v/>
      </c>
    </row>
    <row r="1010" ht="12.75" customHeight="1">
      <c r="H1010" s="43" t="n"/>
      <c r="AG1010" s="49">
        <f>IFERROR(__xludf.DUMMYFUNCTION("IFNA(vlookup(H1010,IMPORTRANGE(""1vUGwO1n0QQGx9kKbO0_M5gmuhXZ6-LaxQxgrmJnzgP0"",""'TP# look up'!A:C""),3,0),"""")"),"")</f>
        <v/>
      </c>
      <c r="AH1010" s="49">
        <f>LEFT(J1010,2)</f>
        <v/>
      </c>
    </row>
    <row r="1011" ht="12.75" customHeight="1">
      <c r="H1011" s="43" t="n"/>
      <c r="AG1011" s="49">
        <f>IFERROR(__xludf.DUMMYFUNCTION("IFNA(vlookup(H1011,IMPORTRANGE(""1vUGwO1n0QQGx9kKbO0_M5gmuhXZ6-LaxQxgrmJnzgP0"",""'TP# look up'!A:C""),3,0),"""")"),"")</f>
        <v/>
      </c>
      <c r="AH1011" s="49">
        <f>LEFT(J1011,2)</f>
        <v/>
      </c>
    </row>
    <row r="1012" ht="12.75" customHeight="1">
      <c r="H1012" s="43" t="n"/>
      <c r="AG1012" s="49">
        <f>IFERROR(__xludf.DUMMYFUNCTION("IFNA(vlookup(H1012,IMPORTRANGE(""1vUGwO1n0QQGx9kKbO0_M5gmuhXZ6-LaxQxgrmJnzgP0"",""'TP# look up'!A:C""),3,0),"""")"),"")</f>
        <v/>
      </c>
      <c r="AH1012" s="49">
        <f>LEFT(J1012,2)</f>
        <v/>
      </c>
    </row>
    <row r="1013" ht="12.75" customHeight="1">
      <c r="H1013" s="43" t="n"/>
      <c r="AG1013" s="49">
        <f>IFERROR(__xludf.DUMMYFUNCTION("IFNA(vlookup(H1013,IMPORTRANGE(""1vUGwO1n0QQGx9kKbO0_M5gmuhXZ6-LaxQxgrmJnzgP0"",""'TP# look up'!A:C""),3,0),"""")"),"")</f>
        <v/>
      </c>
      <c r="AH1013" s="49">
        <f>LEFT(J1013,2)</f>
        <v/>
      </c>
    </row>
    <row r="1014" ht="12.75" customHeight="1">
      <c r="H1014" s="43" t="n"/>
      <c r="AG1014" s="49">
        <f>IFERROR(__xludf.DUMMYFUNCTION("IFNA(vlookup(H1014,IMPORTRANGE(""1vUGwO1n0QQGx9kKbO0_M5gmuhXZ6-LaxQxgrmJnzgP0"",""'TP# look up'!A:C""),3,0),"""")"),"")</f>
        <v/>
      </c>
      <c r="AH1014" s="49">
        <f>LEFT(J1014,2)</f>
        <v/>
      </c>
    </row>
    <row r="1015" ht="12.75" customHeight="1">
      <c r="H1015" s="43" t="n"/>
      <c r="AG1015" s="49">
        <f>IFERROR(__xludf.DUMMYFUNCTION("IFNA(vlookup(H1015,IMPORTRANGE(""1vUGwO1n0QQGx9kKbO0_M5gmuhXZ6-LaxQxgrmJnzgP0"",""'TP# look up'!A:C""),3,0),"""")"),"")</f>
        <v/>
      </c>
      <c r="AH1015" s="49">
        <f>LEFT(J1015,2)</f>
        <v/>
      </c>
    </row>
    <row r="1016" ht="12.75" customHeight="1">
      <c r="H1016" s="43" t="n"/>
      <c r="AG1016" s="49">
        <f>IFERROR(__xludf.DUMMYFUNCTION("IFNA(vlookup(H1016,IMPORTRANGE(""1vUGwO1n0QQGx9kKbO0_M5gmuhXZ6-LaxQxgrmJnzgP0"",""'TP# look up'!A:C""),3,0),"""")"),"")</f>
        <v/>
      </c>
      <c r="AH1016" s="49">
        <f>LEFT(J1016,2)</f>
        <v/>
      </c>
    </row>
    <row r="1017" ht="12.75" customHeight="1">
      <c r="H1017" s="43" t="n"/>
      <c r="AG1017" s="49">
        <f>IFERROR(__xludf.DUMMYFUNCTION("IFNA(vlookup(H1017,IMPORTRANGE(""1vUGwO1n0QQGx9kKbO0_M5gmuhXZ6-LaxQxgrmJnzgP0"",""'TP# look up'!A:C""),3,0),"""")"),"")</f>
        <v/>
      </c>
      <c r="AH1017" s="49">
        <f>LEFT(J1017,2)</f>
        <v/>
      </c>
    </row>
    <row r="1018" ht="12.75" customHeight="1">
      <c r="H1018" s="43" t="n"/>
      <c r="AG1018" s="49">
        <f>IFERROR(__xludf.DUMMYFUNCTION("IFNA(vlookup(H1018,IMPORTRANGE(""1vUGwO1n0QQGx9kKbO0_M5gmuhXZ6-LaxQxgrmJnzgP0"",""'TP# look up'!A:C""),3,0),"""")"),"")</f>
        <v/>
      </c>
      <c r="AH1018" s="49">
        <f>LEFT(J1018,2)</f>
        <v/>
      </c>
    </row>
    <row r="1019" ht="12.75" customHeight="1">
      <c r="H1019" s="43" t="n"/>
      <c r="AG1019" s="49">
        <f>IFERROR(__xludf.DUMMYFUNCTION("IFNA(vlookup(H1019,IMPORTRANGE(""1vUGwO1n0QQGx9kKbO0_M5gmuhXZ6-LaxQxgrmJnzgP0"",""'TP# look up'!A:C""),3,0),"""")"),"")</f>
        <v/>
      </c>
      <c r="AH1019" s="49">
        <f>LEFT(J1019,2)</f>
        <v/>
      </c>
    </row>
    <row r="1020" ht="12.75" customHeight="1">
      <c r="H1020" s="43" t="n"/>
      <c r="AG1020" s="49">
        <f>IFERROR(__xludf.DUMMYFUNCTION("IFNA(vlookup(H1020,IMPORTRANGE(""1vUGwO1n0QQGx9kKbO0_M5gmuhXZ6-LaxQxgrmJnzgP0"",""'TP# look up'!A:C""),3,0),"""")"),"")</f>
        <v/>
      </c>
      <c r="AH1020" s="49">
        <f>LEFT(J1020,2)</f>
        <v/>
      </c>
    </row>
    <row r="1021" ht="12.75" customHeight="1">
      <c r="H1021" s="43" t="n"/>
      <c r="AG1021" s="49">
        <f>IFERROR(__xludf.DUMMYFUNCTION("IFNA(vlookup(H1021,IMPORTRANGE(""1vUGwO1n0QQGx9kKbO0_M5gmuhXZ6-LaxQxgrmJnzgP0"",""'TP# look up'!A:C""),3,0),"""")"),"")</f>
        <v/>
      </c>
      <c r="AH1021" s="49">
        <f>LEFT(J1021,2)</f>
        <v/>
      </c>
    </row>
    <row r="1022" ht="12.75" customHeight="1">
      <c r="H1022" s="43" t="n"/>
      <c r="AG1022" s="49">
        <f>IFERROR(__xludf.DUMMYFUNCTION("IFNA(vlookup(H1022,IMPORTRANGE(""1vUGwO1n0QQGx9kKbO0_M5gmuhXZ6-LaxQxgrmJnzgP0"",""'TP# look up'!A:C""),3,0),"""")"),"")</f>
        <v/>
      </c>
      <c r="AH1022" s="49">
        <f>LEFT(J1022,2)</f>
        <v/>
      </c>
    </row>
    <row r="1023" ht="12.75" customHeight="1">
      <c r="H1023" s="43" t="n"/>
      <c r="AG1023" s="49">
        <f>IFERROR(__xludf.DUMMYFUNCTION("IFNA(vlookup(H1023,IMPORTRANGE(""1vUGwO1n0QQGx9kKbO0_M5gmuhXZ6-LaxQxgrmJnzgP0"",""'TP# look up'!A:C""),3,0),"""")"),"")</f>
        <v/>
      </c>
      <c r="AH1023" s="49">
        <f>LEFT(J1023,2)</f>
        <v/>
      </c>
    </row>
    <row r="1024" ht="12.75" customHeight="1">
      <c r="H1024" s="43" t="n"/>
      <c r="AG1024" s="49">
        <f>IFERROR(__xludf.DUMMYFUNCTION("IFNA(vlookup(H1024,IMPORTRANGE(""1vUGwO1n0QQGx9kKbO0_M5gmuhXZ6-LaxQxgrmJnzgP0"",""'TP# look up'!A:C""),3,0),"""")"),"")</f>
        <v/>
      </c>
      <c r="AH1024" s="49">
        <f>LEFT(J1024,2)</f>
        <v/>
      </c>
    </row>
    <row r="1025" ht="12.75" customHeight="1">
      <c r="H1025" s="43" t="n"/>
      <c r="AG1025" s="49">
        <f>IFERROR(__xludf.DUMMYFUNCTION("IFNA(vlookup(H1025,IMPORTRANGE(""1vUGwO1n0QQGx9kKbO0_M5gmuhXZ6-LaxQxgrmJnzgP0"",""'TP# look up'!A:C""),3,0),"""")"),"")</f>
        <v/>
      </c>
      <c r="AH1025" s="49">
        <f>LEFT(J1025,2)</f>
        <v/>
      </c>
    </row>
    <row r="1026" ht="12.75" customHeight="1">
      <c r="H1026" s="43" t="n"/>
      <c r="AG1026" s="49">
        <f>IFERROR(__xludf.DUMMYFUNCTION("IFNA(vlookup(H1026,IMPORTRANGE(""1vUGwO1n0QQGx9kKbO0_M5gmuhXZ6-LaxQxgrmJnzgP0"",""'TP# look up'!A:C""),3,0),"""")"),"")</f>
        <v/>
      </c>
      <c r="AH1026" s="49">
        <f>LEFT(J1026,2)</f>
        <v/>
      </c>
    </row>
    <row r="1027" ht="12.75" customHeight="1">
      <c r="H1027" s="43" t="n"/>
      <c r="AG1027" s="49">
        <f>IFERROR(__xludf.DUMMYFUNCTION("IFNA(vlookup(H1027,IMPORTRANGE(""1vUGwO1n0QQGx9kKbO0_M5gmuhXZ6-LaxQxgrmJnzgP0"",""'TP# look up'!A:C""),3,0),"""")"),"")</f>
        <v/>
      </c>
      <c r="AH1027" s="49">
        <f>LEFT(J1027,2)</f>
        <v/>
      </c>
    </row>
    <row r="1028" ht="12.75" customHeight="1">
      <c r="H1028" s="43" t="n"/>
      <c r="AG1028" s="49">
        <f>IFERROR(__xludf.DUMMYFUNCTION("IFNA(vlookup(H1028,IMPORTRANGE(""1vUGwO1n0QQGx9kKbO0_M5gmuhXZ6-LaxQxgrmJnzgP0"",""'TP# look up'!A:C""),3,0),"""")"),"")</f>
        <v/>
      </c>
      <c r="AH1028" s="49">
        <f>LEFT(J1028,2)</f>
        <v/>
      </c>
    </row>
    <row r="1029" ht="12.75" customHeight="1">
      <c r="H1029" s="43" t="n"/>
      <c r="AG1029" s="49">
        <f>IFERROR(__xludf.DUMMYFUNCTION("IFNA(vlookup(H1029,IMPORTRANGE(""1vUGwO1n0QQGx9kKbO0_M5gmuhXZ6-LaxQxgrmJnzgP0"",""'TP# look up'!A:C""),3,0),"""")"),"")</f>
        <v/>
      </c>
      <c r="AH1029" s="49">
        <f>LEFT(J1029,2)</f>
        <v/>
      </c>
    </row>
    <row r="1030" ht="12.75" customHeight="1">
      <c r="H1030" s="43" t="n"/>
      <c r="AG1030" s="49">
        <f>IFERROR(__xludf.DUMMYFUNCTION("IFNA(vlookup(H1030,IMPORTRANGE(""1vUGwO1n0QQGx9kKbO0_M5gmuhXZ6-LaxQxgrmJnzgP0"",""'TP# look up'!A:C""),3,0),"""")"),"")</f>
        <v/>
      </c>
      <c r="AH1030" s="49">
        <f>LEFT(J1030,2)</f>
        <v/>
      </c>
    </row>
    <row r="1031" ht="12.75" customHeight="1">
      <c r="H1031" s="43" t="n"/>
      <c r="AG1031" s="49">
        <f>IFERROR(__xludf.DUMMYFUNCTION("IFNA(vlookup(H1031,IMPORTRANGE(""1vUGwO1n0QQGx9kKbO0_M5gmuhXZ6-LaxQxgrmJnzgP0"",""'TP# look up'!A:C""),3,0),"""")"),"")</f>
        <v/>
      </c>
      <c r="AH1031" s="49">
        <f>LEFT(J1031,2)</f>
        <v/>
      </c>
    </row>
    <row r="1032" ht="12.75" customHeight="1">
      <c r="H1032" s="43" t="n"/>
      <c r="AG1032" s="49">
        <f>IFERROR(__xludf.DUMMYFUNCTION("IFNA(vlookup(H1032,IMPORTRANGE(""1vUGwO1n0QQGx9kKbO0_M5gmuhXZ6-LaxQxgrmJnzgP0"",""'TP# look up'!A:C""),3,0),"""")"),"")</f>
        <v/>
      </c>
      <c r="AH1032" s="49">
        <f>LEFT(J1032,2)</f>
        <v/>
      </c>
    </row>
    <row r="1033" ht="12.75" customHeight="1">
      <c r="H1033" s="43" t="n"/>
      <c r="AG1033" s="49">
        <f>IFERROR(__xludf.DUMMYFUNCTION("IFNA(vlookup(H1033,IMPORTRANGE(""1vUGwO1n0QQGx9kKbO0_M5gmuhXZ6-LaxQxgrmJnzgP0"",""'TP# look up'!A:C""),3,0),"""")"),"")</f>
        <v/>
      </c>
      <c r="AH1033" s="49">
        <f>LEFT(J1033,2)</f>
        <v/>
      </c>
    </row>
    <row r="1034" ht="12.75" customHeight="1">
      <c r="H1034" s="43" t="n"/>
      <c r="AG1034" s="49">
        <f>IFERROR(__xludf.DUMMYFUNCTION("IFNA(vlookup(H1034,IMPORTRANGE(""1vUGwO1n0QQGx9kKbO0_M5gmuhXZ6-LaxQxgrmJnzgP0"",""'TP# look up'!A:C""),3,0),"""")"),"")</f>
        <v/>
      </c>
      <c r="AH1034" s="49">
        <f>LEFT(J1034,2)</f>
        <v/>
      </c>
    </row>
    <row r="1035" ht="12.75" customHeight="1">
      <c r="H1035" s="43" t="n"/>
      <c r="AG1035" s="49">
        <f>IFERROR(__xludf.DUMMYFUNCTION("IFNA(vlookup(H1035,IMPORTRANGE(""1vUGwO1n0QQGx9kKbO0_M5gmuhXZ6-LaxQxgrmJnzgP0"",""'TP# look up'!A:C""),3,0),"""")"),"")</f>
        <v/>
      </c>
      <c r="AH1035" s="49">
        <f>LEFT(J1035,2)</f>
        <v/>
      </c>
    </row>
    <row r="1036" ht="12.75" customHeight="1">
      <c r="H1036" s="43" t="n"/>
      <c r="AG1036" s="49">
        <f>IFERROR(__xludf.DUMMYFUNCTION("IFNA(vlookup(H1036,IMPORTRANGE(""1vUGwO1n0QQGx9kKbO0_M5gmuhXZ6-LaxQxgrmJnzgP0"",""'TP# look up'!A:C""),3,0),"""")"),"")</f>
        <v/>
      </c>
      <c r="AH1036" s="49">
        <f>LEFT(J1036,2)</f>
        <v/>
      </c>
    </row>
    <row r="1037" ht="12.75" customHeight="1">
      <c r="H1037" s="43" t="n"/>
      <c r="AG1037" s="49">
        <f>IFERROR(__xludf.DUMMYFUNCTION("IFNA(vlookup(H1037,IMPORTRANGE(""1vUGwO1n0QQGx9kKbO0_M5gmuhXZ6-LaxQxgrmJnzgP0"",""'TP# look up'!A:C""),3,0),"""")"),"")</f>
        <v/>
      </c>
      <c r="AH1037" s="49">
        <f>LEFT(J1037,2)</f>
        <v/>
      </c>
    </row>
    <row r="1038" ht="12.75" customHeight="1">
      <c r="H1038" s="43" t="n"/>
      <c r="AG1038" s="49">
        <f>IFERROR(__xludf.DUMMYFUNCTION("IFNA(vlookup(H1038,IMPORTRANGE(""1vUGwO1n0QQGx9kKbO0_M5gmuhXZ6-LaxQxgrmJnzgP0"",""'TP# look up'!A:C""),3,0),"""")"),"")</f>
        <v/>
      </c>
      <c r="AH1038" s="49">
        <f>LEFT(J1038,2)</f>
        <v/>
      </c>
    </row>
    <row r="1039" ht="12.75" customHeight="1">
      <c r="H1039" s="43" t="n"/>
      <c r="AG1039" s="49">
        <f>IFERROR(__xludf.DUMMYFUNCTION("IFNA(vlookup(H1039,IMPORTRANGE(""1vUGwO1n0QQGx9kKbO0_M5gmuhXZ6-LaxQxgrmJnzgP0"",""'TP# look up'!A:C""),3,0),"""")"),"")</f>
        <v/>
      </c>
      <c r="AH1039" s="49">
        <f>LEFT(J1039,2)</f>
        <v/>
      </c>
    </row>
    <row r="1040" ht="12.75" customHeight="1">
      <c r="H1040" s="43" t="n"/>
      <c r="AG1040" s="49">
        <f>IFERROR(__xludf.DUMMYFUNCTION("IFNA(vlookup(H1040,IMPORTRANGE(""1vUGwO1n0QQGx9kKbO0_M5gmuhXZ6-LaxQxgrmJnzgP0"",""'TP# look up'!A:C""),3,0),"""")"),"")</f>
        <v/>
      </c>
      <c r="AH1040" s="49">
        <f>LEFT(J1040,2)</f>
        <v/>
      </c>
    </row>
    <row r="1041" ht="12.75" customHeight="1">
      <c r="H1041" s="43" t="n"/>
      <c r="AG1041" s="49">
        <f>IFERROR(__xludf.DUMMYFUNCTION("IFNA(vlookup(H1041,IMPORTRANGE(""1vUGwO1n0QQGx9kKbO0_M5gmuhXZ6-LaxQxgrmJnzgP0"",""'TP# look up'!A:C""),3,0),"""")"),"")</f>
        <v/>
      </c>
      <c r="AH1041" s="49">
        <f>LEFT(J1041,2)</f>
        <v/>
      </c>
    </row>
    <row r="1042" ht="12.75" customHeight="1">
      <c r="H1042" s="43" t="n"/>
      <c r="AG1042" s="49">
        <f>IFERROR(__xludf.DUMMYFUNCTION("IFNA(vlookup(H1042,IMPORTRANGE(""1vUGwO1n0QQGx9kKbO0_M5gmuhXZ6-LaxQxgrmJnzgP0"",""'TP# look up'!A:C""),3,0),"""")"),"")</f>
        <v/>
      </c>
      <c r="AH1042" s="49">
        <f>LEFT(J1042,2)</f>
        <v/>
      </c>
    </row>
    <row r="1043" ht="12.75" customHeight="1">
      <c r="H1043" s="43" t="n"/>
      <c r="AG1043" s="49">
        <f>IFERROR(__xludf.DUMMYFUNCTION("IFNA(vlookup(H1043,IMPORTRANGE(""1vUGwO1n0QQGx9kKbO0_M5gmuhXZ6-LaxQxgrmJnzgP0"",""'TP# look up'!A:C""),3,0),"""")"),"")</f>
        <v/>
      </c>
      <c r="AH1043" s="49">
        <f>LEFT(J1043,2)</f>
        <v/>
      </c>
    </row>
    <row r="1044" ht="12.75" customHeight="1">
      <c r="H1044" s="43" t="n"/>
      <c r="AG1044" s="49">
        <f>IFERROR(__xludf.DUMMYFUNCTION("IFNA(vlookup(H1044,IMPORTRANGE(""1vUGwO1n0QQGx9kKbO0_M5gmuhXZ6-LaxQxgrmJnzgP0"",""'TP# look up'!A:C""),3,0),"""")"),"")</f>
        <v/>
      </c>
      <c r="AH1044" s="49">
        <f>LEFT(J1044,2)</f>
        <v/>
      </c>
    </row>
    <row r="1045" ht="12.75" customHeight="1">
      <c r="H1045" s="43" t="n"/>
      <c r="AG1045" s="49">
        <f>IFERROR(__xludf.DUMMYFUNCTION("IFNA(vlookup(H1045,IMPORTRANGE(""1vUGwO1n0QQGx9kKbO0_M5gmuhXZ6-LaxQxgrmJnzgP0"",""'TP# look up'!A:C""),3,0),"""")"),"")</f>
        <v/>
      </c>
      <c r="AH1045" s="49">
        <f>LEFT(J1045,2)</f>
        <v/>
      </c>
    </row>
    <row r="1046" ht="12.75" customHeight="1">
      <c r="H1046" s="43" t="n"/>
      <c r="AG1046" s="49">
        <f>IFERROR(__xludf.DUMMYFUNCTION("IFNA(vlookup(H1046,IMPORTRANGE(""1vUGwO1n0QQGx9kKbO0_M5gmuhXZ6-LaxQxgrmJnzgP0"",""'TP# look up'!A:C""),3,0),"""")"),"")</f>
        <v/>
      </c>
      <c r="AH1046" s="49">
        <f>LEFT(J1046,2)</f>
        <v/>
      </c>
    </row>
    <row r="1047" ht="12.75" customHeight="1">
      <c r="H1047" s="43" t="n"/>
      <c r="AG1047" s="49">
        <f>IFERROR(__xludf.DUMMYFUNCTION("IFNA(vlookup(H1047,IMPORTRANGE(""1vUGwO1n0QQGx9kKbO0_M5gmuhXZ6-LaxQxgrmJnzgP0"",""'TP# look up'!A:C""),3,0),"""")"),"")</f>
        <v/>
      </c>
      <c r="AH1047" s="49">
        <f>LEFT(J1047,2)</f>
        <v/>
      </c>
    </row>
    <row r="1048" ht="12.75" customHeight="1">
      <c r="H1048" s="43" t="n"/>
      <c r="AG1048" s="49">
        <f>IFERROR(__xludf.DUMMYFUNCTION("IFNA(vlookup(H1048,IMPORTRANGE(""1vUGwO1n0QQGx9kKbO0_M5gmuhXZ6-LaxQxgrmJnzgP0"",""'TP# look up'!A:C""),3,0),"""")"),"")</f>
        <v/>
      </c>
      <c r="AH1048" s="49">
        <f>LEFT(J1048,2)</f>
        <v/>
      </c>
    </row>
    <row r="1049" ht="12.75" customHeight="1">
      <c r="H1049" s="43" t="n"/>
      <c r="AG1049" s="49">
        <f>IFERROR(__xludf.DUMMYFUNCTION("IFNA(vlookup(H1049,IMPORTRANGE(""1vUGwO1n0QQGx9kKbO0_M5gmuhXZ6-LaxQxgrmJnzgP0"",""'TP# look up'!A:C""),3,0),"""")"),"")</f>
        <v/>
      </c>
      <c r="AH1049" s="49">
        <f>LEFT(J1049,2)</f>
        <v/>
      </c>
    </row>
    <row r="1050" ht="12.75" customHeight="1">
      <c r="H1050" s="43" t="n"/>
      <c r="AG1050" s="49">
        <f>IFERROR(__xludf.DUMMYFUNCTION("IFNA(vlookup(H1050,IMPORTRANGE(""1vUGwO1n0QQGx9kKbO0_M5gmuhXZ6-LaxQxgrmJnzgP0"",""'TP# look up'!A:C""),3,0),"""")"),"")</f>
        <v/>
      </c>
      <c r="AH1050" s="49">
        <f>LEFT(J1050,2)</f>
        <v/>
      </c>
    </row>
    <row r="1051" ht="12.75" customHeight="1">
      <c r="H1051" s="43" t="n"/>
      <c r="AG1051" s="49">
        <f>IFERROR(__xludf.DUMMYFUNCTION("IFNA(vlookup(H1051,IMPORTRANGE(""1vUGwO1n0QQGx9kKbO0_M5gmuhXZ6-LaxQxgrmJnzgP0"",""'TP# look up'!A:C""),3,0),"""")"),"")</f>
        <v/>
      </c>
      <c r="AH1051" s="49">
        <f>LEFT(J1051,2)</f>
        <v/>
      </c>
    </row>
    <row r="1052" ht="12.75" customHeight="1">
      <c r="H1052" s="43" t="n"/>
      <c r="AG1052" s="49">
        <f>IFERROR(__xludf.DUMMYFUNCTION("IFNA(vlookup(H1052,IMPORTRANGE(""1vUGwO1n0QQGx9kKbO0_M5gmuhXZ6-LaxQxgrmJnzgP0"",""'TP# look up'!A:C""),3,0),"""")"),"")</f>
        <v/>
      </c>
      <c r="AH1052" s="49">
        <f>LEFT(J1052,2)</f>
        <v/>
      </c>
    </row>
    <row r="1053" ht="12.75" customHeight="1">
      <c r="H1053" s="43" t="n"/>
      <c r="AG1053" s="49">
        <f>IFERROR(__xludf.DUMMYFUNCTION("IFNA(vlookup(H1053,IMPORTRANGE(""1vUGwO1n0QQGx9kKbO0_M5gmuhXZ6-LaxQxgrmJnzgP0"",""'TP# look up'!A:C""),3,0),"""")"),"")</f>
        <v/>
      </c>
      <c r="AH1053" s="49">
        <f>LEFT(J1053,2)</f>
        <v/>
      </c>
    </row>
    <row r="1054" ht="12.75" customHeight="1">
      <c r="H1054" s="43" t="n"/>
      <c r="AG1054" s="49">
        <f>IFERROR(__xludf.DUMMYFUNCTION("IFNA(vlookup(H1054,IMPORTRANGE(""1vUGwO1n0QQGx9kKbO0_M5gmuhXZ6-LaxQxgrmJnzgP0"",""'TP# look up'!A:C""),3,0),"""")"),"")</f>
        <v/>
      </c>
      <c r="AH1054" s="49">
        <f>LEFT(J1054,2)</f>
        <v/>
      </c>
    </row>
    <row r="1055" ht="12.75" customHeight="1">
      <c r="H1055" s="43" t="n"/>
      <c r="AG1055" s="49">
        <f>IFERROR(__xludf.DUMMYFUNCTION("IFNA(vlookup(H1055,IMPORTRANGE(""1vUGwO1n0QQGx9kKbO0_M5gmuhXZ6-LaxQxgrmJnzgP0"",""'TP# look up'!A:C""),3,0),"""")"),"")</f>
        <v/>
      </c>
      <c r="AH1055" s="49">
        <f>LEFT(J1055,2)</f>
        <v/>
      </c>
    </row>
    <row r="1056" ht="12.75" customHeight="1">
      <c r="H1056" s="43" t="n"/>
      <c r="AG1056" s="49">
        <f>IFERROR(__xludf.DUMMYFUNCTION("IFNA(vlookup(H1056,IMPORTRANGE(""1vUGwO1n0QQGx9kKbO0_M5gmuhXZ6-LaxQxgrmJnzgP0"",""'TP# look up'!A:C""),3,0),"""")"),"")</f>
        <v/>
      </c>
      <c r="AH1056" s="49">
        <f>LEFT(J1056,2)</f>
        <v/>
      </c>
    </row>
    <row r="1057" ht="12.75" customHeight="1">
      <c r="H1057" s="43" t="n"/>
      <c r="AG1057" s="49">
        <f>IFERROR(__xludf.DUMMYFUNCTION("IFNA(vlookup(H1057,IMPORTRANGE(""1vUGwO1n0QQGx9kKbO0_M5gmuhXZ6-LaxQxgrmJnzgP0"",""'TP# look up'!A:C""),3,0),"""")"),"")</f>
        <v/>
      </c>
      <c r="AH1057" s="49">
        <f>LEFT(J1057,2)</f>
        <v/>
      </c>
    </row>
    <row r="1058" ht="12.75" customHeight="1">
      <c r="H1058" s="43" t="n"/>
      <c r="AG1058" s="49">
        <f>IFERROR(__xludf.DUMMYFUNCTION("IFNA(vlookup(H1058,IMPORTRANGE(""1vUGwO1n0QQGx9kKbO0_M5gmuhXZ6-LaxQxgrmJnzgP0"",""'TP# look up'!A:C""),3,0),"""")"),"")</f>
        <v/>
      </c>
      <c r="AH1058" s="49">
        <f>LEFT(J1058,2)</f>
        <v/>
      </c>
    </row>
    <row r="1059" ht="12.75" customHeight="1">
      <c r="H1059" s="43" t="n"/>
      <c r="AG1059" s="49">
        <f>IFERROR(__xludf.DUMMYFUNCTION("IFNA(vlookup(H1059,IMPORTRANGE(""1vUGwO1n0QQGx9kKbO0_M5gmuhXZ6-LaxQxgrmJnzgP0"",""'TP# look up'!A:C""),3,0),"""")"),"")</f>
        <v/>
      </c>
      <c r="AH1059" s="49">
        <f>LEFT(J1059,2)</f>
        <v/>
      </c>
    </row>
    <row r="1060" ht="12.75" customHeight="1">
      <c r="H1060" s="43" t="n"/>
      <c r="AG1060" s="49">
        <f>IFERROR(__xludf.DUMMYFUNCTION("IFNA(vlookup(H1060,IMPORTRANGE(""1vUGwO1n0QQGx9kKbO0_M5gmuhXZ6-LaxQxgrmJnzgP0"",""'TP# look up'!A:C""),3,0),"""")"),"")</f>
        <v/>
      </c>
      <c r="AH1060" s="49">
        <f>LEFT(J1060,2)</f>
        <v/>
      </c>
    </row>
    <row r="1061" ht="12.75" customHeight="1">
      <c r="H1061" s="43" t="n"/>
      <c r="AG1061" s="49">
        <f>IFERROR(__xludf.DUMMYFUNCTION("IFNA(vlookup(H1061,IMPORTRANGE(""1vUGwO1n0QQGx9kKbO0_M5gmuhXZ6-LaxQxgrmJnzgP0"",""'TP# look up'!A:C""),3,0),"""")"),"")</f>
        <v/>
      </c>
      <c r="AH1061" s="49">
        <f>LEFT(J1061,2)</f>
        <v/>
      </c>
    </row>
    <row r="1062" ht="12.75" customHeight="1">
      <c r="H1062" s="43" t="n"/>
      <c r="AG1062" s="49">
        <f>IFERROR(__xludf.DUMMYFUNCTION("IFNA(vlookup(H1062,IMPORTRANGE(""1vUGwO1n0QQGx9kKbO0_M5gmuhXZ6-LaxQxgrmJnzgP0"",""'TP# look up'!A:C""),3,0),"""")"),"")</f>
        <v/>
      </c>
      <c r="AH1062" s="49">
        <f>LEFT(J1062,2)</f>
        <v/>
      </c>
    </row>
    <row r="1063" ht="12.75" customHeight="1">
      <c r="H1063" s="43" t="n"/>
      <c r="AG1063" s="49">
        <f>IFERROR(__xludf.DUMMYFUNCTION("IFNA(vlookup(H1063,IMPORTRANGE(""1vUGwO1n0QQGx9kKbO0_M5gmuhXZ6-LaxQxgrmJnzgP0"",""'TP# look up'!A:C""),3,0),"""")"),"")</f>
        <v/>
      </c>
      <c r="AH1063" s="49">
        <f>LEFT(J1063,2)</f>
        <v/>
      </c>
    </row>
    <row r="1064" ht="12.75" customHeight="1">
      <c r="H1064" s="43" t="n"/>
      <c r="AG1064" s="49">
        <f>IFERROR(__xludf.DUMMYFUNCTION("IFNA(vlookup(H1064,IMPORTRANGE(""1vUGwO1n0QQGx9kKbO0_M5gmuhXZ6-LaxQxgrmJnzgP0"",""'TP# look up'!A:C""),3,0),"""")"),"")</f>
        <v/>
      </c>
      <c r="AH1064" s="49">
        <f>LEFT(J1064,2)</f>
        <v/>
      </c>
    </row>
    <row r="1065" ht="12.75" customHeight="1">
      <c r="H1065" s="43" t="n"/>
      <c r="AG1065" s="49">
        <f>IFERROR(__xludf.DUMMYFUNCTION("IFNA(vlookup(H1065,IMPORTRANGE(""1vUGwO1n0QQGx9kKbO0_M5gmuhXZ6-LaxQxgrmJnzgP0"",""'TP# look up'!A:C""),3,0),"""")"),"")</f>
        <v/>
      </c>
      <c r="AH1065" s="49">
        <f>LEFT(J1065,2)</f>
        <v/>
      </c>
    </row>
    <row r="1066" ht="12.75" customHeight="1">
      <c r="H1066" s="43" t="n"/>
      <c r="AG1066" s="49">
        <f>IFERROR(__xludf.DUMMYFUNCTION("IFNA(vlookup(H1066,IMPORTRANGE(""1vUGwO1n0QQGx9kKbO0_M5gmuhXZ6-LaxQxgrmJnzgP0"",""'TP# look up'!A:C""),3,0),"""")"),"")</f>
        <v/>
      </c>
      <c r="AH1066" s="49">
        <f>LEFT(J1066,2)</f>
        <v/>
      </c>
    </row>
    <row r="1067" ht="12.75" customHeight="1">
      <c r="H1067" s="43" t="n"/>
      <c r="AG1067" s="49">
        <f>IFERROR(__xludf.DUMMYFUNCTION("IFNA(vlookup(H1067,IMPORTRANGE(""1vUGwO1n0QQGx9kKbO0_M5gmuhXZ6-LaxQxgrmJnzgP0"",""'TP# look up'!A:C""),3,0),"""")"),"")</f>
        <v/>
      </c>
      <c r="AH1067" s="49">
        <f>LEFT(J1067,2)</f>
        <v/>
      </c>
    </row>
    <row r="1068" ht="12.75" customHeight="1">
      <c r="H1068" s="43" t="n"/>
      <c r="AG1068" s="49">
        <f>IFERROR(__xludf.DUMMYFUNCTION("IFNA(vlookup(H1068,IMPORTRANGE(""1vUGwO1n0QQGx9kKbO0_M5gmuhXZ6-LaxQxgrmJnzgP0"",""'TP# look up'!A:C""),3,0),"""")"),"")</f>
        <v/>
      </c>
      <c r="AH1068" s="49">
        <f>LEFT(J1068,2)</f>
        <v/>
      </c>
    </row>
    <row r="1069" ht="12.75" customHeight="1">
      <c r="H1069" s="43" t="n"/>
      <c r="AG1069" s="49">
        <f>IFERROR(__xludf.DUMMYFUNCTION("IFNA(vlookup(H1069,IMPORTRANGE(""1vUGwO1n0QQGx9kKbO0_M5gmuhXZ6-LaxQxgrmJnzgP0"",""'TP# look up'!A:C""),3,0),"""")"),"")</f>
        <v/>
      </c>
      <c r="AH1069" s="49">
        <f>LEFT(J1069,2)</f>
        <v/>
      </c>
    </row>
    <row r="1070" ht="12.75" customHeight="1">
      <c r="H1070" s="43" t="n"/>
      <c r="AG1070" s="49">
        <f>IFERROR(__xludf.DUMMYFUNCTION("IFNA(vlookup(H1070,IMPORTRANGE(""1vUGwO1n0QQGx9kKbO0_M5gmuhXZ6-LaxQxgrmJnzgP0"",""'TP# look up'!A:C""),3,0),"""")"),"")</f>
        <v/>
      </c>
      <c r="AH1070" s="49">
        <f>LEFT(J1070,2)</f>
        <v/>
      </c>
    </row>
    <row r="1071" ht="12.75" customHeight="1">
      <c r="H1071" s="43" t="n"/>
      <c r="AG1071" s="49">
        <f>IFERROR(__xludf.DUMMYFUNCTION("IFNA(vlookup(H1071,IMPORTRANGE(""1vUGwO1n0QQGx9kKbO0_M5gmuhXZ6-LaxQxgrmJnzgP0"",""'TP# look up'!A:C""),3,0),"""")"),"")</f>
        <v/>
      </c>
      <c r="AH1071" s="49">
        <f>LEFT(J1071,2)</f>
        <v/>
      </c>
    </row>
    <row r="1072" ht="12.75" customHeight="1">
      <c r="H1072" s="43" t="n"/>
      <c r="AG1072" s="49">
        <f>IFERROR(__xludf.DUMMYFUNCTION("IFNA(vlookup(H1072,IMPORTRANGE(""1vUGwO1n0QQGx9kKbO0_M5gmuhXZ6-LaxQxgrmJnzgP0"",""'TP# look up'!A:C""),3,0),"""")"),"")</f>
        <v/>
      </c>
      <c r="AH1072" s="49">
        <f>LEFT(J1072,2)</f>
        <v/>
      </c>
    </row>
    <row r="1073" ht="12.75" customHeight="1">
      <c r="H1073" s="43" t="n"/>
      <c r="AG1073" s="49">
        <f>IFERROR(__xludf.DUMMYFUNCTION("IFNA(vlookup(H1073,IMPORTRANGE(""1vUGwO1n0QQGx9kKbO0_M5gmuhXZ6-LaxQxgrmJnzgP0"",""'TP# look up'!A:C""),3,0),"""")"),"")</f>
        <v/>
      </c>
      <c r="AH1073" s="49">
        <f>LEFT(J1073,2)</f>
        <v/>
      </c>
    </row>
    <row r="1074" ht="12.75" customHeight="1">
      <c r="H1074" s="43" t="n"/>
      <c r="AG1074" s="49">
        <f>IFERROR(__xludf.DUMMYFUNCTION("IFNA(vlookup(H1074,IMPORTRANGE(""1vUGwO1n0QQGx9kKbO0_M5gmuhXZ6-LaxQxgrmJnzgP0"",""'TP# look up'!A:C""),3,0),"""")"),"")</f>
        <v/>
      </c>
      <c r="AH1074" s="49">
        <f>LEFT(J1074,2)</f>
        <v/>
      </c>
    </row>
    <row r="1075" ht="12.75" customHeight="1">
      <c r="H1075" s="43" t="n"/>
      <c r="AG1075" s="49">
        <f>IFERROR(__xludf.DUMMYFUNCTION("IFNA(vlookup(H1075,IMPORTRANGE(""1vUGwO1n0QQGx9kKbO0_M5gmuhXZ6-LaxQxgrmJnzgP0"",""'TP# look up'!A:C""),3,0),"""")"),"")</f>
        <v/>
      </c>
      <c r="AH1075" s="49">
        <f>LEFT(J1075,2)</f>
        <v/>
      </c>
    </row>
    <row r="1076" ht="12.75" customHeight="1">
      <c r="H1076" s="43" t="n"/>
      <c r="AG1076" s="49">
        <f>IFERROR(__xludf.DUMMYFUNCTION("IFNA(vlookup(H1076,IMPORTRANGE(""1vUGwO1n0QQGx9kKbO0_M5gmuhXZ6-LaxQxgrmJnzgP0"",""'TP# look up'!A:C""),3,0),"""")"),"")</f>
        <v/>
      </c>
      <c r="AH1076" s="49">
        <f>LEFT(J1076,2)</f>
        <v/>
      </c>
    </row>
    <row r="1077" ht="12.75" customHeight="1">
      <c r="H1077" s="43" t="n"/>
      <c r="AG1077" s="49">
        <f>IFERROR(__xludf.DUMMYFUNCTION("IFNA(vlookup(H1077,IMPORTRANGE(""1vUGwO1n0QQGx9kKbO0_M5gmuhXZ6-LaxQxgrmJnzgP0"",""'TP# look up'!A:C""),3,0),"""")"),"")</f>
        <v/>
      </c>
      <c r="AH1077" s="49">
        <f>LEFT(J1077,2)</f>
        <v/>
      </c>
    </row>
    <row r="1078" ht="12.75" customHeight="1">
      <c r="H1078" s="43" t="n"/>
      <c r="AG1078" s="49">
        <f>IFERROR(__xludf.DUMMYFUNCTION("IFNA(vlookup(H1078,IMPORTRANGE(""1vUGwO1n0QQGx9kKbO0_M5gmuhXZ6-LaxQxgrmJnzgP0"",""'TP# look up'!A:C""),3,0),"""")"),"")</f>
        <v/>
      </c>
      <c r="AH1078" s="49">
        <f>LEFT(J1078,2)</f>
        <v/>
      </c>
    </row>
    <row r="1079" ht="12.75" customHeight="1">
      <c r="H1079" s="43" t="n"/>
      <c r="AG1079" s="49">
        <f>IFERROR(__xludf.DUMMYFUNCTION("IFNA(vlookup(H1079,IMPORTRANGE(""1vUGwO1n0QQGx9kKbO0_M5gmuhXZ6-LaxQxgrmJnzgP0"",""'TP# look up'!A:C""),3,0),"""")"),"")</f>
        <v/>
      </c>
      <c r="AH1079" s="49">
        <f>LEFT(J1079,2)</f>
        <v/>
      </c>
    </row>
    <row r="1080" ht="12.75" customHeight="1">
      <c r="H1080" s="43" t="n"/>
      <c r="AG1080" s="49">
        <f>IFERROR(__xludf.DUMMYFUNCTION("IFNA(vlookup(H1080,IMPORTRANGE(""1vUGwO1n0QQGx9kKbO0_M5gmuhXZ6-LaxQxgrmJnzgP0"",""'TP# look up'!A:C""),3,0),"""")"),"")</f>
        <v/>
      </c>
      <c r="AH1080" s="49">
        <f>LEFT(J1080,2)</f>
        <v/>
      </c>
    </row>
    <row r="1081" ht="12.75" customHeight="1">
      <c r="H1081" s="43" t="n"/>
      <c r="AG1081" s="49">
        <f>IFERROR(__xludf.DUMMYFUNCTION("IFNA(vlookup(H1081,IMPORTRANGE(""1vUGwO1n0QQGx9kKbO0_M5gmuhXZ6-LaxQxgrmJnzgP0"",""'TP# look up'!A:C""),3,0),"""")"),"")</f>
        <v/>
      </c>
      <c r="AH1081" s="49">
        <f>LEFT(J1081,2)</f>
        <v/>
      </c>
    </row>
    <row r="1082" ht="12.75" customHeight="1">
      <c r="H1082" s="43" t="n"/>
      <c r="AG1082" s="49">
        <f>IFERROR(__xludf.DUMMYFUNCTION("IFNA(vlookup(H1082,IMPORTRANGE(""1vUGwO1n0QQGx9kKbO0_M5gmuhXZ6-LaxQxgrmJnzgP0"",""'TP# look up'!A:C""),3,0),"""")"),"")</f>
        <v/>
      </c>
      <c r="AH1082" s="49">
        <f>LEFT(J1082,2)</f>
        <v/>
      </c>
    </row>
    <row r="1083" ht="12.75" customHeight="1">
      <c r="H1083" s="43" t="n"/>
      <c r="AG1083" s="49">
        <f>IFERROR(__xludf.DUMMYFUNCTION("IFNA(vlookup(H1083,IMPORTRANGE(""1vUGwO1n0QQGx9kKbO0_M5gmuhXZ6-LaxQxgrmJnzgP0"",""'TP# look up'!A:C""),3,0),"""")"),"")</f>
        <v/>
      </c>
      <c r="AH1083" s="49">
        <f>LEFT(J1083,2)</f>
        <v/>
      </c>
    </row>
    <row r="1084" ht="12.75" customHeight="1">
      <c r="H1084" s="43" t="n"/>
      <c r="AG1084" s="49">
        <f>IFERROR(__xludf.DUMMYFUNCTION("IFNA(vlookup(H1084,IMPORTRANGE(""1vUGwO1n0QQGx9kKbO0_M5gmuhXZ6-LaxQxgrmJnzgP0"",""'TP# look up'!A:C""),3,0),"""")"),"")</f>
        <v/>
      </c>
      <c r="AH1084" s="49">
        <f>LEFT(J1084,2)</f>
        <v/>
      </c>
    </row>
    <row r="1085" ht="12.75" customHeight="1">
      <c r="H1085" s="43" t="n"/>
      <c r="AG1085" s="49">
        <f>IFERROR(__xludf.DUMMYFUNCTION("IFNA(vlookup(H1085,IMPORTRANGE(""1vUGwO1n0QQGx9kKbO0_M5gmuhXZ6-LaxQxgrmJnzgP0"",""'TP# look up'!A:C""),3,0),"""")"),"")</f>
        <v/>
      </c>
      <c r="AH1085" s="49">
        <f>LEFT(J1085,2)</f>
        <v/>
      </c>
    </row>
    <row r="1086" ht="12.75" customHeight="1">
      <c r="H1086" s="43" t="n"/>
      <c r="AG1086" s="49">
        <f>IFERROR(__xludf.DUMMYFUNCTION("IFNA(vlookup(H1086,IMPORTRANGE(""1vUGwO1n0QQGx9kKbO0_M5gmuhXZ6-LaxQxgrmJnzgP0"",""'TP# look up'!A:C""),3,0),"""")"),"")</f>
        <v/>
      </c>
      <c r="AH1086" s="49">
        <f>LEFT(J1086,2)</f>
        <v/>
      </c>
    </row>
    <row r="1087" ht="12.75" customHeight="1">
      <c r="H1087" s="43" t="n"/>
      <c r="AG1087" s="49">
        <f>IFERROR(__xludf.DUMMYFUNCTION("IFNA(vlookup(H1087,IMPORTRANGE(""1vUGwO1n0QQGx9kKbO0_M5gmuhXZ6-LaxQxgrmJnzgP0"",""'TP# look up'!A:C""),3,0),"""")"),"")</f>
        <v/>
      </c>
      <c r="AH1087" s="49">
        <f>LEFT(J1087,2)</f>
        <v/>
      </c>
    </row>
    <row r="1088" ht="12.75" customHeight="1">
      <c r="H1088" s="43" t="n"/>
      <c r="AG1088" s="49">
        <f>IFERROR(__xludf.DUMMYFUNCTION("IFNA(vlookup(H1088,IMPORTRANGE(""1vUGwO1n0QQGx9kKbO0_M5gmuhXZ6-LaxQxgrmJnzgP0"",""'TP# look up'!A:C""),3,0),"""")"),"")</f>
        <v/>
      </c>
      <c r="AH1088" s="49">
        <f>LEFT(J1088,2)</f>
        <v/>
      </c>
    </row>
    <row r="1089" ht="12.75" customHeight="1">
      <c r="H1089" s="43" t="n"/>
      <c r="AG1089" s="49">
        <f>IFERROR(__xludf.DUMMYFUNCTION("IFNA(vlookup(H1089,IMPORTRANGE(""1vUGwO1n0QQGx9kKbO0_M5gmuhXZ6-LaxQxgrmJnzgP0"",""'TP# look up'!A:C""),3,0),"""")"),"")</f>
        <v/>
      </c>
      <c r="AH1089" s="49">
        <f>LEFT(J1089,2)</f>
        <v/>
      </c>
    </row>
    <row r="1090" ht="12.75" customHeight="1">
      <c r="H1090" s="43" t="n"/>
      <c r="AG1090" s="49">
        <f>IFERROR(__xludf.DUMMYFUNCTION("IFNA(vlookup(H1090,IMPORTRANGE(""1vUGwO1n0QQGx9kKbO0_M5gmuhXZ6-LaxQxgrmJnzgP0"",""'TP# look up'!A:C""),3,0),"""")"),"")</f>
        <v/>
      </c>
      <c r="AH1090" s="49">
        <f>LEFT(J1090,2)</f>
        <v/>
      </c>
    </row>
    <row r="1091" ht="12.75" customHeight="1">
      <c r="H1091" s="43" t="n"/>
      <c r="AG1091" s="49">
        <f>IFERROR(__xludf.DUMMYFUNCTION("IFNA(vlookup(H1091,IMPORTRANGE(""1vUGwO1n0QQGx9kKbO0_M5gmuhXZ6-LaxQxgrmJnzgP0"",""'TP# look up'!A:C""),3,0),"""")"),"")</f>
        <v/>
      </c>
      <c r="AH1091" s="49">
        <f>LEFT(J1091,2)</f>
        <v/>
      </c>
    </row>
    <row r="1092" ht="12.75" customHeight="1">
      <c r="H1092" s="43" t="n"/>
      <c r="AG1092" s="49">
        <f>IFERROR(__xludf.DUMMYFUNCTION("IFNA(vlookup(H1092,IMPORTRANGE(""1vUGwO1n0QQGx9kKbO0_M5gmuhXZ6-LaxQxgrmJnzgP0"",""'TP# look up'!A:C""),3,0),"""")"),"")</f>
        <v/>
      </c>
      <c r="AH1092" s="49">
        <f>LEFT(J1092,2)</f>
        <v/>
      </c>
    </row>
    <row r="1093" ht="12.75" customHeight="1">
      <c r="H1093" s="43" t="n"/>
      <c r="AG1093" s="49">
        <f>IFERROR(__xludf.DUMMYFUNCTION("IFNA(vlookup(H1093,IMPORTRANGE(""1vUGwO1n0QQGx9kKbO0_M5gmuhXZ6-LaxQxgrmJnzgP0"",""'TP# look up'!A:C""),3,0),"""")"),"")</f>
        <v/>
      </c>
      <c r="AH1093" s="49">
        <f>LEFT(J1093,2)</f>
        <v/>
      </c>
    </row>
    <row r="1094" ht="12.75" customHeight="1">
      <c r="H1094" s="43" t="n"/>
      <c r="AG1094" s="49">
        <f>IFERROR(__xludf.DUMMYFUNCTION("IFNA(vlookup(H1094,IMPORTRANGE(""1vUGwO1n0QQGx9kKbO0_M5gmuhXZ6-LaxQxgrmJnzgP0"",""'TP# look up'!A:C""),3,0),"""")"),"")</f>
        <v/>
      </c>
      <c r="AH1094" s="49">
        <f>LEFT(J1094,2)</f>
        <v/>
      </c>
    </row>
    <row r="1095" ht="12.75" customHeight="1">
      <c r="H1095" s="43" t="n"/>
      <c r="AG1095" s="49">
        <f>IFERROR(__xludf.DUMMYFUNCTION("IFNA(vlookup(H1095,IMPORTRANGE(""1vUGwO1n0QQGx9kKbO0_M5gmuhXZ6-LaxQxgrmJnzgP0"",""'TP# look up'!A:C""),3,0),"""")"),"")</f>
        <v/>
      </c>
      <c r="AH1095" s="49">
        <f>LEFT(J1095,2)</f>
        <v/>
      </c>
    </row>
    <row r="1096" ht="12.75" customHeight="1">
      <c r="H1096" s="43" t="n"/>
      <c r="AG1096" s="49">
        <f>IFERROR(__xludf.DUMMYFUNCTION("IFNA(vlookup(H1096,IMPORTRANGE(""1vUGwO1n0QQGx9kKbO0_M5gmuhXZ6-LaxQxgrmJnzgP0"",""'TP# look up'!A:C""),3,0),"""")"),"")</f>
        <v/>
      </c>
      <c r="AH1096" s="49">
        <f>LEFT(J1096,2)</f>
        <v/>
      </c>
    </row>
    <row r="1097" ht="12.75" customHeight="1">
      <c r="H1097" s="43" t="n"/>
      <c r="AG1097" s="49">
        <f>IFERROR(__xludf.DUMMYFUNCTION("IFNA(vlookup(H1097,IMPORTRANGE(""1vUGwO1n0QQGx9kKbO0_M5gmuhXZ6-LaxQxgrmJnzgP0"",""'TP# look up'!A:C""),3,0),"""")"),"")</f>
        <v/>
      </c>
      <c r="AH1097" s="49">
        <f>LEFT(J1097,2)</f>
        <v/>
      </c>
    </row>
    <row r="1098" ht="12.75" customHeight="1">
      <c r="H1098" s="43" t="n"/>
      <c r="AG1098" s="49">
        <f>IFERROR(__xludf.DUMMYFUNCTION("IFNA(vlookup(H1098,IMPORTRANGE(""1vUGwO1n0QQGx9kKbO0_M5gmuhXZ6-LaxQxgrmJnzgP0"",""'TP# look up'!A:C""),3,0),"""")"),"")</f>
        <v/>
      </c>
      <c r="AH1098" s="49">
        <f>LEFT(J1098,2)</f>
        <v/>
      </c>
    </row>
    <row r="1099" ht="12.75" customHeight="1">
      <c r="H1099" s="43" t="n"/>
      <c r="AG1099" s="49">
        <f>IFERROR(__xludf.DUMMYFUNCTION("IFNA(vlookup(H1099,IMPORTRANGE(""1vUGwO1n0QQGx9kKbO0_M5gmuhXZ6-LaxQxgrmJnzgP0"",""'TP# look up'!A:C""),3,0),"""")"),"")</f>
        <v/>
      </c>
      <c r="AH1099" s="49">
        <f>LEFT(J1099,2)</f>
        <v/>
      </c>
    </row>
    <row r="1100" ht="12.75" customHeight="1">
      <c r="H1100" s="43" t="n"/>
      <c r="AG1100" s="49">
        <f>IFERROR(__xludf.DUMMYFUNCTION("IFNA(vlookup(H1100,IMPORTRANGE(""1vUGwO1n0QQGx9kKbO0_M5gmuhXZ6-LaxQxgrmJnzgP0"",""'TP# look up'!A:C""),3,0),"""")"),"")</f>
        <v/>
      </c>
      <c r="AH1100" s="49">
        <f>LEFT(J1100,2)</f>
        <v/>
      </c>
    </row>
    <row r="1101" ht="12.75" customHeight="1">
      <c r="H1101" s="43" t="n"/>
      <c r="AG1101" s="49">
        <f>IFERROR(__xludf.DUMMYFUNCTION("IFNA(vlookup(H1101,IMPORTRANGE(""1vUGwO1n0QQGx9kKbO0_M5gmuhXZ6-LaxQxgrmJnzgP0"",""'TP# look up'!A:C""),3,0),"""")"),"")</f>
        <v/>
      </c>
      <c r="AH1101" s="49">
        <f>LEFT(J1101,2)</f>
        <v/>
      </c>
    </row>
    <row r="1102" ht="12.75" customHeight="1">
      <c r="H1102" s="43" t="n"/>
      <c r="AG1102" s="49">
        <f>IFERROR(__xludf.DUMMYFUNCTION("IFNA(vlookup(H1102,IMPORTRANGE(""1vUGwO1n0QQGx9kKbO0_M5gmuhXZ6-LaxQxgrmJnzgP0"",""'TP# look up'!A:C""),3,0),"""")"),"")</f>
        <v/>
      </c>
      <c r="AH1102" s="49">
        <f>LEFT(J1102,2)</f>
        <v/>
      </c>
    </row>
    <row r="1103" ht="12.75" customHeight="1">
      <c r="H1103" s="43" t="n"/>
      <c r="AG1103" s="49">
        <f>IFERROR(__xludf.DUMMYFUNCTION("IFNA(vlookup(H1103,IMPORTRANGE(""1vUGwO1n0QQGx9kKbO0_M5gmuhXZ6-LaxQxgrmJnzgP0"",""'TP# look up'!A:C""),3,0),"""")"),"")</f>
        <v/>
      </c>
      <c r="AH1103" s="49">
        <f>LEFT(J1103,2)</f>
        <v/>
      </c>
    </row>
    <row r="1104" ht="12.75" customHeight="1">
      <c r="H1104" s="43" t="n"/>
      <c r="AG1104" s="49">
        <f>IFERROR(__xludf.DUMMYFUNCTION("IFNA(vlookup(H1104,IMPORTRANGE(""1vUGwO1n0QQGx9kKbO0_M5gmuhXZ6-LaxQxgrmJnzgP0"",""'TP# look up'!A:C""),3,0),"""")"),"")</f>
        <v/>
      </c>
      <c r="AH1104" s="49">
        <f>LEFT(J1104,2)</f>
        <v/>
      </c>
    </row>
    <row r="1105" ht="12.75" customHeight="1">
      <c r="H1105" s="43" t="n"/>
      <c r="AG1105" s="49">
        <f>IFERROR(__xludf.DUMMYFUNCTION("IFNA(vlookup(H1105,IMPORTRANGE(""1vUGwO1n0QQGx9kKbO0_M5gmuhXZ6-LaxQxgrmJnzgP0"",""'TP# look up'!A:C""),3,0),"""")"),"")</f>
        <v/>
      </c>
      <c r="AH1105" s="49">
        <f>LEFT(J1105,2)</f>
        <v/>
      </c>
    </row>
    <row r="1106" ht="12.75" customHeight="1">
      <c r="H1106" s="43" t="n"/>
      <c r="AG1106" s="49">
        <f>IFERROR(__xludf.DUMMYFUNCTION("IFNA(vlookup(H1106,IMPORTRANGE(""1vUGwO1n0QQGx9kKbO0_M5gmuhXZ6-LaxQxgrmJnzgP0"",""'TP# look up'!A:C""),3,0),"""")"),"")</f>
        <v/>
      </c>
      <c r="AH1106" s="49">
        <f>LEFT(J1106,2)</f>
        <v/>
      </c>
    </row>
    <row r="1107" ht="12.75" customHeight="1">
      <c r="H1107" s="43" t="n"/>
      <c r="AG1107" s="49">
        <f>IFERROR(__xludf.DUMMYFUNCTION("IFNA(vlookup(H1107,IMPORTRANGE(""1vUGwO1n0QQGx9kKbO0_M5gmuhXZ6-LaxQxgrmJnzgP0"",""'TP# look up'!A:C""),3,0),"""")"),"")</f>
        <v/>
      </c>
      <c r="AH1107" s="49">
        <f>LEFT(J1107,2)</f>
        <v/>
      </c>
    </row>
    <row r="1108" ht="12.75" customHeight="1">
      <c r="H1108" s="43" t="n"/>
      <c r="AG1108" s="49">
        <f>IFERROR(__xludf.DUMMYFUNCTION("IFNA(vlookup(H1108,IMPORTRANGE(""1vUGwO1n0QQGx9kKbO0_M5gmuhXZ6-LaxQxgrmJnzgP0"",""'TP# look up'!A:C""),3,0),"""")"),"")</f>
        <v/>
      </c>
      <c r="AH1108" s="49">
        <f>LEFT(J1108,2)</f>
        <v/>
      </c>
    </row>
    <row r="1109" ht="12.75" customHeight="1">
      <c r="H1109" s="43" t="n"/>
      <c r="AG1109" s="49">
        <f>IFERROR(__xludf.DUMMYFUNCTION("IFNA(vlookup(H1109,IMPORTRANGE(""1vUGwO1n0QQGx9kKbO0_M5gmuhXZ6-LaxQxgrmJnzgP0"",""'TP# look up'!A:C""),3,0),"""")"),"")</f>
        <v/>
      </c>
      <c r="AH1109" s="49">
        <f>LEFT(J1109,2)</f>
        <v/>
      </c>
    </row>
    <row r="1110" ht="12.75" customHeight="1">
      <c r="H1110" s="43" t="n"/>
      <c r="AG1110" s="49">
        <f>IFERROR(__xludf.DUMMYFUNCTION("IFNA(vlookup(H1110,IMPORTRANGE(""1vUGwO1n0QQGx9kKbO0_M5gmuhXZ6-LaxQxgrmJnzgP0"",""'TP# look up'!A:C""),3,0),"""")"),"")</f>
        <v/>
      </c>
      <c r="AH1110" s="49">
        <f>LEFT(J1110,2)</f>
        <v/>
      </c>
    </row>
    <row r="1111" ht="12.75" customHeight="1">
      <c r="H1111" s="43" t="n"/>
      <c r="AG1111" s="49">
        <f>IFERROR(__xludf.DUMMYFUNCTION("IFNA(vlookup(H1111,IMPORTRANGE(""1vUGwO1n0QQGx9kKbO0_M5gmuhXZ6-LaxQxgrmJnzgP0"",""'TP# look up'!A:C""),3,0),"""")"),"")</f>
        <v/>
      </c>
      <c r="AH1111" s="49">
        <f>LEFT(J1111,2)</f>
        <v/>
      </c>
    </row>
    <row r="1112" ht="12.75" customHeight="1">
      <c r="H1112" s="43" t="n"/>
      <c r="AG1112" s="49">
        <f>IFERROR(__xludf.DUMMYFUNCTION("IFNA(vlookup(H1112,IMPORTRANGE(""1vUGwO1n0QQGx9kKbO0_M5gmuhXZ6-LaxQxgrmJnzgP0"",""'TP# look up'!A:C""),3,0),"""")"),"")</f>
        <v/>
      </c>
      <c r="AH1112" s="49">
        <f>LEFT(J1112,2)</f>
        <v/>
      </c>
    </row>
    <row r="1113" ht="12.75" customHeight="1">
      <c r="H1113" s="43" t="n"/>
      <c r="AG1113" s="49">
        <f>IFERROR(__xludf.DUMMYFUNCTION("IFNA(vlookup(H1113,IMPORTRANGE(""1vUGwO1n0QQGx9kKbO0_M5gmuhXZ6-LaxQxgrmJnzgP0"",""'TP# look up'!A:C""),3,0),"""")"),"")</f>
        <v/>
      </c>
      <c r="AH1113" s="49">
        <f>LEFT(J1113,2)</f>
        <v/>
      </c>
    </row>
    <row r="1114" ht="12.75" customHeight="1">
      <c r="H1114" s="43" t="n"/>
      <c r="AG1114" s="49">
        <f>IFERROR(__xludf.DUMMYFUNCTION("IFNA(vlookup(H1114,IMPORTRANGE(""1vUGwO1n0QQGx9kKbO0_M5gmuhXZ6-LaxQxgrmJnzgP0"",""'TP# look up'!A:C""),3,0),"""")"),"")</f>
        <v/>
      </c>
      <c r="AH1114" s="49">
        <f>LEFT(J1114,2)</f>
        <v/>
      </c>
    </row>
    <row r="1115" ht="12.75" customHeight="1">
      <c r="H1115" s="43" t="n"/>
      <c r="AG1115" s="49">
        <f>IFERROR(__xludf.DUMMYFUNCTION("IFNA(vlookup(H1115,IMPORTRANGE(""1vUGwO1n0QQGx9kKbO0_M5gmuhXZ6-LaxQxgrmJnzgP0"",""'TP# look up'!A:C""),3,0),"""")"),"")</f>
        <v/>
      </c>
      <c r="AH1115" s="49">
        <f>LEFT(J1115,2)</f>
        <v/>
      </c>
    </row>
    <row r="1116" ht="12.75" customHeight="1">
      <c r="H1116" s="43" t="n"/>
      <c r="AG1116" s="49">
        <f>IFERROR(__xludf.DUMMYFUNCTION("IFNA(vlookup(H1116,IMPORTRANGE(""1vUGwO1n0QQGx9kKbO0_M5gmuhXZ6-LaxQxgrmJnzgP0"",""'TP# look up'!A:C""),3,0),"""")"),"")</f>
        <v/>
      </c>
      <c r="AH1116" s="49">
        <f>LEFT(J1116,2)</f>
        <v/>
      </c>
    </row>
    <row r="1117" ht="12.75" customHeight="1">
      <c r="H1117" s="43" t="n"/>
      <c r="AG1117" s="49">
        <f>IFERROR(__xludf.DUMMYFUNCTION("IFNA(vlookup(H1117,IMPORTRANGE(""1vUGwO1n0QQGx9kKbO0_M5gmuhXZ6-LaxQxgrmJnzgP0"",""'TP# look up'!A:C""),3,0),"""")"),"")</f>
        <v/>
      </c>
      <c r="AH1117" s="49">
        <f>LEFT(J1117,2)</f>
        <v/>
      </c>
    </row>
    <row r="1118" ht="12.75" customHeight="1">
      <c r="H1118" s="43" t="n"/>
      <c r="AG1118" s="49">
        <f>IFERROR(__xludf.DUMMYFUNCTION("IFNA(vlookup(H1118,IMPORTRANGE(""1vUGwO1n0QQGx9kKbO0_M5gmuhXZ6-LaxQxgrmJnzgP0"",""'TP# look up'!A:C""),3,0),"""")"),"")</f>
        <v/>
      </c>
      <c r="AH1118" s="49">
        <f>LEFT(J1118,2)</f>
        <v/>
      </c>
    </row>
    <row r="1119" ht="12.75" customHeight="1">
      <c r="H1119" s="43" t="n"/>
      <c r="AG1119" s="49">
        <f>IFERROR(__xludf.DUMMYFUNCTION("IFNA(vlookup(H1119,IMPORTRANGE(""1vUGwO1n0QQGx9kKbO0_M5gmuhXZ6-LaxQxgrmJnzgP0"",""'TP# look up'!A:C""),3,0),"""")"),"")</f>
        <v/>
      </c>
      <c r="AH1119" s="49">
        <f>LEFT(J1119,2)</f>
        <v/>
      </c>
    </row>
    <row r="1120" ht="12.75" customHeight="1">
      <c r="H1120" s="43" t="n"/>
      <c r="AG1120" s="49">
        <f>IFERROR(__xludf.DUMMYFUNCTION("IFNA(vlookup(H1120,IMPORTRANGE(""1vUGwO1n0QQGx9kKbO0_M5gmuhXZ6-LaxQxgrmJnzgP0"",""'TP# look up'!A:C""),3,0),"""")"),"")</f>
        <v/>
      </c>
      <c r="AH1120" s="49">
        <f>LEFT(J1120,2)</f>
        <v/>
      </c>
    </row>
    <row r="1121" ht="12.75" customHeight="1">
      <c r="H1121" s="43" t="n"/>
      <c r="AG1121" s="49">
        <f>IFERROR(__xludf.DUMMYFUNCTION("IFNA(vlookup(H1121,IMPORTRANGE(""1vUGwO1n0QQGx9kKbO0_M5gmuhXZ6-LaxQxgrmJnzgP0"",""'TP# look up'!A:C""),3,0),"""")"),"")</f>
        <v/>
      </c>
      <c r="AH1121" s="49">
        <f>LEFT(J1121,2)</f>
        <v/>
      </c>
    </row>
    <row r="1122" ht="12.75" customHeight="1">
      <c r="H1122" s="43" t="n"/>
      <c r="AG1122" s="49">
        <f>IFERROR(__xludf.DUMMYFUNCTION("IFNA(vlookup(H1122,IMPORTRANGE(""1vUGwO1n0QQGx9kKbO0_M5gmuhXZ6-LaxQxgrmJnzgP0"",""'TP# look up'!A:C""),3,0),"""")"),"")</f>
        <v/>
      </c>
      <c r="AH1122" s="49">
        <f>LEFT(J1122,2)</f>
        <v/>
      </c>
    </row>
    <row r="1123" ht="12.75" customHeight="1">
      <c r="H1123" s="43" t="n"/>
      <c r="AG1123" s="49">
        <f>IFERROR(__xludf.DUMMYFUNCTION("IFNA(vlookup(H1123,IMPORTRANGE(""1vUGwO1n0QQGx9kKbO0_M5gmuhXZ6-LaxQxgrmJnzgP0"",""'TP# look up'!A:C""),3,0),"""")"),"")</f>
        <v/>
      </c>
      <c r="AH1123" s="49">
        <f>LEFT(J1123,2)</f>
        <v/>
      </c>
    </row>
    <row r="1124" ht="12.75" customHeight="1">
      <c r="H1124" s="43" t="n"/>
      <c r="AG1124" s="49">
        <f>IFERROR(__xludf.DUMMYFUNCTION("IFNA(vlookup(H1124,IMPORTRANGE(""1vUGwO1n0QQGx9kKbO0_M5gmuhXZ6-LaxQxgrmJnzgP0"",""'TP# look up'!A:C""),3,0),"""")"),"")</f>
        <v/>
      </c>
      <c r="AH1124" s="49">
        <f>LEFT(J1124,2)</f>
        <v/>
      </c>
    </row>
    <row r="1125" ht="12.75" customHeight="1">
      <c r="H1125" s="43" t="n"/>
      <c r="AG1125" s="49">
        <f>IFERROR(__xludf.DUMMYFUNCTION("IFNA(vlookup(H1125,IMPORTRANGE(""1vUGwO1n0QQGx9kKbO0_M5gmuhXZ6-LaxQxgrmJnzgP0"",""'TP# look up'!A:C""),3,0),"""")"),"")</f>
        <v/>
      </c>
      <c r="AH1125" s="49">
        <f>LEFT(J1125,2)</f>
        <v/>
      </c>
    </row>
    <row r="1126" ht="12.75" customHeight="1">
      <c r="H1126" s="43" t="n"/>
      <c r="AG1126" s="49">
        <f>IFERROR(__xludf.DUMMYFUNCTION("IFNA(vlookup(H1126,IMPORTRANGE(""1vUGwO1n0QQGx9kKbO0_M5gmuhXZ6-LaxQxgrmJnzgP0"",""'TP# look up'!A:C""),3,0),"""")"),"")</f>
        <v/>
      </c>
      <c r="AH1126" s="49">
        <f>LEFT(J1126,2)</f>
        <v/>
      </c>
    </row>
    <row r="1127" ht="12.75" customHeight="1">
      <c r="H1127" s="43" t="n"/>
      <c r="AG1127" s="49">
        <f>IFERROR(__xludf.DUMMYFUNCTION("IFNA(vlookup(H1127,IMPORTRANGE(""1vUGwO1n0QQGx9kKbO0_M5gmuhXZ6-LaxQxgrmJnzgP0"",""'TP# look up'!A:C""),3,0),"""")"),"")</f>
        <v/>
      </c>
      <c r="AH1127" s="49">
        <f>LEFT(J1127,2)</f>
        <v/>
      </c>
    </row>
    <row r="1128" ht="12.75" customHeight="1">
      <c r="H1128" s="43" t="n"/>
      <c r="AG1128" s="49">
        <f>IFERROR(__xludf.DUMMYFUNCTION("IFNA(vlookup(H1128,IMPORTRANGE(""1vUGwO1n0QQGx9kKbO0_M5gmuhXZ6-LaxQxgrmJnzgP0"",""'TP# look up'!A:C""),3,0),"""")"),"")</f>
        <v/>
      </c>
      <c r="AH1128" s="49">
        <f>LEFT(J1128,2)</f>
        <v/>
      </c>
    </row>
    <row r="1129" ht="12.75" customHeight="1">
      <c r="H1129" s="43" t="n"/>
      <c r="AG1129" s="49">
        <f>IFERROR(__xludf.DUMMYFUNCTION("IFNA(vlookup(H1129,IMPORTRANGE(""1vUGwO1n0QQGx9kKbO0_M5gmuhXZ6-LaxQxgrmJnzgP0"",""'TP# look up'!A:C""),3,0),"""")"),"")</f>
        <v/>
      </c>
      <c r="AH1129" s="49">
        <f>LEFT(J1129,2)</f>
        <v/>
      </c>
    </row>
    <row r="1130" ht="12.75" customHeight="1">
      <c r="H1130" s="43" t="n"/>
      <c r="AG1130" s="49">
        <f>IFERROR(__xludf.DUMMYFUNCTION("IFNA(vlookup(H1130,IMPORTRANGE(""1vUGwO1n0QQGx9kKbO0_M5gmuhXZ6-LaxQxgrmJnzgP0"",""'TP# look up'!A:C""),3,0),"""")"),"")</f>
        <v/>
      </c>
      <c r="AH1130" s="49">
        <f>LEFT(J1130,2)</f>
        <v/>
      </c>
    </row>
    <row r="1131" ht="12.75" customHeight="1">
      <c r="H1131" s="43" t="n"/>
      <c r="AG1131" s="49">
        <f>IFERROR(__xludf.DUMMYFUNCTION("IFNA(vlookup(H1131,IMPORTRANGE(""1vUGwO1n0QQGx9kKbO0_M5gmuhXZ6-LaxQxgrmJnzgP0"",""'TP# look up'!A:C""),3,0),"""")"),"")</f>
        <v/>
      </c>
      <c r="AH1131" s="49">
        <f>LEFT(J1131,2)</f>
        <v/>
      </c>
    </row>
    <row r="1132" ht="12.75" customHeight="1">
      <c r="H1132" s="43" t="n"/>
      <c r="AG1132" s="49">
        <f>IFERROR(__xludf.DUMMYFUNCTION("IFNA(vlookup(H1132,IMPORTRANGE(""1vUGwO1n0QQGx9kKbO0_M5gmuhXZ6-LaxQxgrmJnzgP0"",""'TP# look up'!A:C""),3,0),"""")"),"")</f>
        <v/>
      </c>
      <c r="AH1132" s="49">
        <f>LEFT(J1132,2)</f>
        <v/>
      </c>
    </row>
    <row r="1133" ht="12.75" customHeight="1">
      <c r="H1133" s="43" t="n"/>
      <c r="AG1133" s="49">
        <f>IFERROR(__xludf.DUMMYFUNCTION("IFNA(vlookup(H1133,IMPORTRANGE(""1vUGwO1n0QQGx9kKbO0_M5gmuhXZ6-LaxQxgrmJnzgP0"",""'TP# look up'!A:C""),3,0),"""")"),"")</f>
        <v/>
      </c>
      <c r="AH1133" s="49">
        <f>LEFT(J1133,2)</f>
        <v/>
      </c>
    </row>
    <row r="1134" ht="12.75" customHeight="1">
      <c r="H1134" s="43" t="n"/>
      <c r="AG1134" s="49">
        <f>IFERROR(__xludf.DUMMYFUNCTION("IFNA(vlookup(H1134,IMPORTRANGE(""1vUGwO1n0QQGx9kKbO0_M5gmuhXZ6-LaxQxgrmJnzgP0"",""'TP# look up'!A:C""),3,0),"""")"),"")</f>
        <v/>
      </c>
      <c r="AH1134" s="49">
        <f>LEFT(J1134,2)</f>
        <v/>
      </c>
    </row>
    <row r="1135" ht="12.75" customHeight="1">
      <c r="H1135" s="43" t="n"/>
      <c r="AG1135" s="49">
        <f>IFERROR(__xludf.DUMMYFUNCTION("IFNA(vlookup(H1135,IMPORTRANGE(""1vUGwO1n0QQGx9kKbO0_M5gmuhXZ6-LaxQxgrmJnzgP0"",""'TP# look up'!A:C""),3,0),"""")"),"")</f>
        <v/>
      </c>
      <c r="AH1135" s="49">
        <f>LEFT(J1135,2)</f>
        <v/>
      </c>
    </row>
    <row r="1136" ht="12.75" customHeight="1">
      <c r="H1136" s="43" t="n"/>
      <c r="AG1136" s="49">
        <f>IFERROR(__xludf.DUMMYFUNCTION("IFNA(vlookup(H1136,IMPORTRANGE(""1vUGwO1n0QQGx9kKbO0_M5gmuhXZ6-LaxQxgrmJnzgP0"",""'TP# look up'!A:C""),3,0),"""")"),"")</f>
        <v/>
      </c>
      <c r="AH1136" s="49">
        <f>LEFT(J1136,2)</f>
        <v/>
      </c>
    </row>
    <row r="1137" ht="12.75" customHeight="1">
      <c r="H1137" s="43" t="n"/>
      <c r="AG1137" s="49">
        <f>IFERROR(__xludf.DUMMYFUNCTION("IFNA(vlookup(H1137,IMPORTRANGE(""1vUGwO1n0QQGx9kKbO0_M5gmuhXZ6-LaxQxgrmJnzgP0"",""'TP# look up'!A:C""),3,0),"""")"),"")</f>
        <v/>
      </c>
      <c r="AH1137" s="49">
        <f>LEFT(J1137,2)</f>
        <v/>
      </c>
    </row>
    <row r="1138" ht="12.75" customHeight="1">
      <c r="H1138" s="43" t="n"/>
      <c r="AG1138" s="49">
        <f>IFERROR(__xludf.DUMMYFUNCTION("IFNA(vlookup(H1138,IMPORTRANGE(""1vUGwO1n0QQGx9kKbO0_M5gmuhXZ6-LaxQxgrmJnzgP0"",""'TP# look up'!A:C""),3,0),"""")"),"")</f>
        <v/>
      </c>
      <c r="AH1138" s="49">
        <f>LEFT(J1138,2)</f>
        <v/>
      </c>
    </row>
    <row r="1139" ht="12.75" customHeight="1">
      <c r="H1139" s="43" t="n"/>
      <c r="AG1139" s="49">
        <f>IFERROR(__xludf.DUMMYFUNCTION("IFNA(vlookup(H1139,IMPORTRANGE(""1vUGwO1n0QQGx9kKbO0_M5gmuhXZ6-LaxQxgrmJnzgP0"",""'TP# look up'!A:C""),3,0),"""")"),"")</f>
        <v/>
      </c>
      <c r="AH1139" s="49">
        <f>LEFT(J1139,2)</f>
        <v/>
      </c>
    </row>
    <row r="1140" ht="12.75" customHeight="1">
      <c r="H1140" s="43" t="n"/>
      <c r="AG1140" s="49">
        <f>IFERROR(__xludf.DUMMYFUNCTION("IFNA(vlookup(H1140,IMPORTRANGE(""1vUGwO1n0QQGx9kKbO0_M5gmuhXZ6-LaxQxgrmJnzgP0"",""'TP# look up'!A:C""),3,0),"""")"),"")</f>
        <v/>
      </c>
      <c r="AH1140" s="49">
        <f>LEFT(J1140,2)</f>
        <v/>
      </c>
    </row>
    <row r="1141" ht="12.75" customHeight="1">
      <c r="H1141" s="43" t="n"/>
      <c r="AG1141" s="49">
        <f>IFERROR(__xludf.DUMMYFUNCTION("IFNA(vlookup(H1141,IMPORTRANGE(""1vUGwO1n0QQGx9kKbO0_M5gmuhXZ6-LaxQxgrmJnzgP0"",""'TP# look up'!A:C""),3,0),"""")"),"")</f>
        <v/>
      </c>
      <c r="AH1141" s="49">
        <f>LEFT(J1141,2)</f>
        <v/>
      </c>
    </row>
    <row r="1142" ht="12.75" customHeight="1">
      <c r="H1142" s="43" t="n"/>
      <c r="AG1142" s="49">
        <f>IFERROR(__xludf.DUMMYFUNCTION("IFNA(vlookup(H1142,IMPORTRANGE(""1vUGwO1n0QQGx9kKbO0_M5gmuhXZ6-LaxQxgrmJnzgP0"",""'TP# look up'!A:C""),3,0),"""")"),"")</f>
        <v/>
      </c>
      <c r="AH1142" s="49">
        <f>LEFT(J1142,2)</f>
        <v/>
      </c>
    </row>
    <row r="1143" ht="12.75" customHeight="1">
      <c r="H1143" s="43" t="n"/>
      <c r="AG1143" s="49">
        <f>IFERROR(__xludf.DUMMYFUNCTION("IFNA(vlookup(H1143,IMPORTRANGE(""1vUGwO1n0QQGx9kKbO0_M5gmuhXZ6-LaxQxgrmJnzgP0"",""'TP# look up'!A:C""),3,0),"""")"),"")</f>
        <v/>
      </c>
      <c r="AH1143" s="49">
        <f>LEFT(J1143,2)</f>
        <v/>
      </c>
    </row>
    <row r="1144" ht="12.75" customHeight="1">
      <c r="H1144" s="43" t="n"/>
      <c r="AG1144" s="49">
        <f>IFERROR(__xludf.DUMMYFUNCTION("IFNA(vlookup(H1144,IMPORTRANGE(""1vUGwO1n0QQGx9kKbO0_M5gmuhXZ6-LaxQxgrmJnzgP0"",""'TP# look up'!A:C""),3,0),"""")"),"")</f>
        <v/>
      </c>
      <c r="AH1144" s="49">
        <f>LEFT(J1144,2)</f>
        <v/>
      </c>
    </row>
    <row r="1145" ht="12.75" customHeight="1">
      <c r="H1145" s="43" t="n"/>
      <c r="AG1145" s="49">
        <f>IFERROR(__xludf.DUMMYFUNCTION("IFNA(vlookup(H1145,IMPORTRANGE(""1vUGwO1n0QQGx9kKbO0_M5gmuhXZ6-LaxQxgrmJnzgP0"",""'TP# look up'!A:C""),3,0),"""")"),"")</f>
        <v/>
      </c>
      <c r="AH1145" s="49">
        <f>LEFT(J1145,2)</f>
        <v/>
      </c>
    </row>
    <row r="1146" ht="12.75" customHeight="1">
      <c r="H1146" s="43" t="n"/>
      <c r="AG1146" s="49">
        <f>IFERROR(__xludf.DUMMYFUNCTION("IFNA(vlookup(H1146,IMPORTRANGE(""1vUGwO1n0QQGx9kKbO0_M5gmuhXZ6-LaxQxgrmJnzgP0"",""'TP# look up'!A:C""),3,0),"""")"),"")</f>
        <v/>
      </c>
      <c r="AH1146" s="49">
        <f>LEFT(J1146,2)</f>
        <v/>
      </c>
    </row>
    <row r="1147" ht="12.75" customHeight="1">
      <c r="H1147" s="43" t="n"/>
      <c r="AG1147" s="49">
        <f>IFERROR(__xludf.DUMMYFUNCTION("IFNA(vlookup(H1147,IMPORTRANGE(""1vUGwO1n0QQGx9kKbO0_M5gmuhXZ6-LaxQxgrmJnzgP0"",""'TP# look up'!A:C""),3,0),"""")"),"")</f>
        <v/>
      </c>
      <c r="AH1147" s="49">
        <f>LEFT(J1147,2)</f>
        <v/>
      </c>
    </row>
    <row r="1148" ht="12.75" customHeight="1">
      <c r="H1148" s="43" t="n"/>
      <c r="AG1148" s="49">
        <f>IFERROR(__xludf.DUMMYFUNCTION("IFNA(vlookup(H1148,IMPORTRANGE(""1vUGwO1n0QQGx9kKbO0_M5gmuhXZ6-LaxQxgrmJnzgP0"",""'TP# look up'!A:C""),3,0),"""")"),"")</f>
        <v/>
      </c>
      <c r="AH1148" s="49">
        <f>LEFT(J1148,2)</f>
        <v/>
      </c>
    </row>
    <row r="1149" ht="12.75" customHeight="1">
      <c r="H1149" s="43" t="n"/>
      <c r="AG1149" s="49">
        <f>IFERROR(__xludf.DUMMYFUNCTION("IFNA(vlookup(H1149,IMPORTRANGE(""1vUGwO1n0QQGx9kKbO0_M5gmuhXZ6-LaxQxgrmJnzgP0"",""'TP# look up'!A:C""),3,0),"""")"),"")</f>
        <v/>
      </c>
      <c r="AH1149" s="49">
        <f>LEFT(J1149,2)</f>
        <v/>
      </c>
    </row>
    <row r="1150" ht="12.75" customHeight="1">
      <c r="H1150" s="43" t="n"/>
      <c r="AG1150" s="49">
        <f>IFERROR(__xludf.DUMMYFUNCTION("IFNA(vlookup(H1150,IMPORTRANGE(""1vUGwO1n0QQGx9kKbO0_M5gmuhXZ6-LaxQxgrmJnzgP0"",""'TP# look up'!A:C""),3,0),"""")"),"")</f>
        <v/>
      </c>
      <c r="AH1150" s="49">
        <f>LEFT(J1150,2)</f>
        <v/>
      </c>
    </row>
    <row r="1151" ht="12.75" customHeight="1">
      <c r="H1151" s="43" t="n"/>
      <c r="AG1151" s="49">
        <f>IFERROR(__xludf.DUMMYFUNCTION("IFNA(vlookup(H1151,IMPORTRANGE(""1vUGwO1n0QQGx9kKbO0_M5gmuhXZ6-LaxQxgrmJnzgP0"",""'TP# look up'!A:C""),3,0),"""")"),"")</f>
        <v/>
      </c>
      <c r="AH1151" s="49">
        <f>LEFT(J1151,2)</f>
        <v/>
      </c>
    </row>
    <row r="1152" ht="12.75" customHeight="1">
      <c r="H1152" s="43" t="n"/>
      <c r="AG1152" s="49">
        <f>IFERROR(__xludf.DUMMYFUNCTION("IFNA(vlookup(H1152,IMPORTRANGE(""1vUGwO1n0QQGx9kKbO0_M5gmuhXZ6-LaxQxgrmJnzgP0"",""'TP# look up'!A:C""),3,0),"""")"),"")</f>
        <v/>
      </c>
      <c r="AH1152" s="49">
        <f>LEFT(J1152,2)</f>
        <v/>
      </c>
    </row>
    <row r="1153" ht="12.75" customHeight="1">
      <c r="H1153" s="43" t="n"/>
      <c r="AG1153" s="49">
        <f>IFERROR(__xludf.DUMMYFUNCTION("IFNA(vlookup(H1153,IMPORTRANGE(""1vUGwO1n0QQGx9kKbO0_M5gmuhXZ6-LaxQxgrmJnzgP0"",""'TP# look up'!A:C""),3,0),"""")"),"")</f>
        <v/>
      </c>
      <c r="AH1153" s="49">
        <f>LEFT(J1153,2)</f>
        <v/>
      </c>
    </row>
    <row r="1154" ht="12.75" customHeight="1">
      <c r="H1154" s="43" t="n"/>
      <c r="AG1154" s="49">
        <f>IFERROR(__xludf.DUMMYFUNCTION("IFNA(vlookup(H1154,IMPORTRANGE(""1vUGwO1n0QQGx9kKbO0_M5gmuhXZ6-LaxQxgrmJnzgP0"",""'TP# look up'!A:C""),3,0),"""")"),"")</f>
        <v/>
      </c>
      <c r="AH1154" s="49">
        <f>LEFT(J1154,2)</f>
        <v/>
      </c>
    </row>
    <row r="1155" ht="12.75" customHeight="1">
      <c r="H1155" s="43" t="n"/>
      <c r="AG1155" s="49">
        <f>IFERROR(__xludf.DUMMYFUNCTION("IFNA(vlookup(H1155,IMPORTRANGE(""1vUGwO1n0QQGx9kKbO0_M5gmuhXZ6-LaxQxgrmJnzgP0"",""'TP# look up'!A:C""),3,0),"""")"),"")</f>
        <v/>
      </c>
      <c r="AH1155" s="49">
        <f>LEFT(J1155,2)</f>
        <v/>
      </c>
    </row>
    <row r="1156" ht="12.75" customHeight="1">
      <c r="H1156" s="43" t="n"/>
      <c r="AG1156" s="49">
        <f>IFERROR(__xludf.DUMMYFUNCTION("IFNA(vlookup(H1156,IMPORTRANGE(""1vUGwO1n0QQGx9kKbO0_M5gmuhXZ6-LaxQxgrmJnzgP0"",""'TP# look up'!A:C""),3,0),"""")"),"")</f>
        <v/>
      </c>
      <c r="AH1156" s="49">
        <f>LEFT(J1156,2)</f>
        <v/>
      </c>
    </row>
    <row r="1157" ht="12.75" customHeight="1">
      <c r="H1157" s="43" t="n"/>
      <c r="AG1157" s="49">
        <f>IFERROR(__xludf.DUMMYFUNCTION("IFNA(vlookup(H1157,IMPORTRANGE(""1vUGwO1n0QQGx9kKbO0_M5gmuhXZ6-LaxQxgrmJnzgP0"",""'TP# look up'!A:C""),3,0),"""")"),"")</f>
        <v/>
      </c>
      <c r="AH1157" s="49">
        <f>LEFT(J1157,2)</f>
        <v/>
      </c>
    </row>
    <row r="1158" ht="12.75" customHeight="1">
      <c r="H1158" s="43" t="n"/>
      <c r="AG1158" s="49">
        <f>IFERROR(__xludf.DUMMYFUNCTION("IFNA(vlookup(H1158,IMPORTRANGE(""1vUGwO1n0QQGx9kKbO0_M5gmuhXZ6-LaxQxgrmJnzgP0"",""'TP# look up'!A:C""),3,0),"""")"),"")</f>
        <v/>
      </c>
      <c r="AH1158" s="49">
        <f>LEFT(J1158,2)</f>
        <v/>
      </c>
    </row>
    <row r="1159" ht="12.75" customHeight="1">
      <c r="H1159" s="43" t="n"/>
      <c r="AG1159" s="49">
        <f>IFERROR(__xludf.DUMMYFUNCTION("IFNA(vlookup(H1159,IMPORTRANGE(""1vUGwO1n0QQGx9kKbO0_M5gmuhXZ6-LaxQxgrmJnzgP0"",""'TP# look up'!A:C""),3,0),"""")"),"")</f>
        <v/>
      </c>
      <c r="AH1159" s="49">
        <f>LEFT(J1159,2)</f>
        <v/>
      </c>
    </row>
    <row r="1160" ht="12.75" customHeight="1">
      <c r="H1160" s="43" t="n"/>
      <c r="AG1160" s="49">
        <f>IFERROR(__xludf.DUMMYFUNCTION("IFNA(vlookup(H1160,IMPORTRANGE(""1vUGwO1n0QQGx9kKbO0_M5gmuhXZ6-LaxQxgrmJnzgP0"",""'TP# look up'!A:C""),3,0),"""")"),"")</f>
        <v/>
      </c>
      <c r="AH1160" s="49">
        <f>LEFT(J1160,2)</f>
        <v/>
      </c>
    </row>
    <row r="1161" ht="12.75" customHeight="1">
      <c r="H1161" s="43" t="n"/>
      <c r="AG1161" s="49">
        <f>IFERROR(__xludf.DUMMYFUNCTION("IFNA(vlookup(H1161,IMPORTRANGE(""1vUGwO1n0QQGx9kKbO0_M5gmuhXZ6-LaxQxgrmJnzgP0"",""'TP# look up'!A:C""),3,0),"""")"),"")</f>
        <v/>
      </c>
      <c r="AH1161" s="49">
        <f>LEFT(J1161,2)</f>
        <v/>
      </c>
    </row>
    <row r="1162" ht="12.75" customHeight="1">
      <c r="H1162" s="43" t="n"/>
      <c r="AG1162" s="49">
        <f>IFERROR(__xludf.DUMMYFUNCTION("IFNA(vlookup(H1162,IMPORTRANGE(""1vUGwO1n0QQGx9kKbO0_M5gmuhXZ6-LaxQxgrmJnzgP0"",""'TP# look up'!A:C""),3,0),"""")"),"")</f>
        <v/>
      </c>
      <c r="AH1162" s="49">
        <f>LEFT(J1162,2)</f>
        <v/>
      </c>
    </row>
    <row r="1163" ht="12.75" customHeight="1">
      <c r="H1163" s="43" t="n"/>
      <c r="AG1163" s="49">
        <f>IFERROR(__xludf.DUMMYFUNCTION("IFNA(vlookup(H1163,IMPORTRANGE(""1vUGwO1n0QQGx9kKbO0_M5gmuhXZ6-LaxQxgrmJnzgP0"",""'TP# look up'!A:C""),3,0),"""")"),"")</f>
        <v/>
      </c>
      <c r="AH1163" s="49">
        <f>LEFT(J1163,2)</f>
        <v/>
      </c>
    </row>
    <row r="1164" ht="12.75" customHeight="1">
      <c r="H1164" s="43" t="n"/>
      <c r="AG1164" s="49">
        <f>IFERROR(__xludf.DUMMYFUNCTION("IFNA(vlookup(H1164,IMPORTRANGE(""1vUGwO1n0QQGx9kKbO0_M5gmuhXZ6-LaxQxgrmJnzgP0"",""'TP# look up'!A:C""),3,0),"""")"),"")</f>
        <v/>
      </c>
      <c r="AH1164" s="49">
        <f>LEFT(J1164,2)</f>
        <v/>
      </c>
    </row>
    <row r="1165" ht="12.75" customHeight="1">
      <c r="H1165" s="43" t="n"/>
      <c r="AG1165" s="49">
        <f>IFERROR(__xludf.DUMMYFUNCTION("IFNA(vlookup(H1165,IMPORTRANGE(""1vUGwO1n0QQGx9kKbO0_M5gmuhXZ6-LaxQxgrmJnzgP0"",""'TP# look up'!A:C""),3,0),"""")"),"")</f>
        <v/>
      </c>
      <c r="AH1165" s="49">
        <f>LEFT(J1165,2)</f>
        <v/>
      </c>
    </row>
    <row r="1166" ht="12.75" customHeight="1">
      <c r="H1166" s="43" t="n"/>
      <c r="AG1166" s="49">
        <f>IFERROR(__xludf.DUMMYFUNCTION("IFNA(vlookup(H1166,IMPORTRANGE(""1vUGwO1n0QQGx9kKbO0_M5gmuhXZ6-LaxQxgrmJnzgP0"",""'TP# look up'!A:C""),3,0),"""")"),"")</f>
        <v/>
      </c>
      <c r="AH1166" s="49">
        <f>LEFT(J1166,2)</f>
        <v/>
      </c>
    </row>
    <row r="1167" ht="12.75" customHeight="1">
      <c r="H1167" s="43" t="n"/>
      <c r="AG1167" s="49">
        <f>IFERROR(__xludf.DUMMYFUNCTION("IFNA(vlookup(H1167,IMPORTRANGE(""1vUGwO1n0QQGx9kKbO0_M5gmuhXZ6-LaxQxgrmJnzgP0"",""'TP# look up'!A:C""),3,0),"""")"),"")</f>
        <v/>
      </c>
      <c r="AH1167" s="49">
        <f>LEFT(J1167,2)</f>
        <v/>
      </c>
    </row>
    <row r="1168" ht="12.75" customHeight="1">
      <c r="H1168" s="43" t="n"/>
      <c r="AG1168" s="49">
        <f>IFERROR(__xludf.DUMMYFUNCTION("IFNA(vlookup(H1168,IMPORTRANGE(""1vUGwO1n0QQGx9kKbO0_M5gmuhXZ6-LaxQxgrmJnzgP0"",""'TP# look up'!A:C""),3,0),"""")"),"")</f>
        <v/>
      </c>
      <c r="AH1168" s="49">
        <f>LEFT(J1168,2)</f>
        <v/>
      </c>
    </row>
    <row r="1169" ht="12.75" customHeight="1">
      <c r="H1169" s="43" t="n"/>
      <c r="AG1169" s="49">
        <f>IFERROR(__xludf.DUMMYFUNCTION("IFNA(vlookup(H1169,IMPORTRANGE(""1vUGwO1n0QQGx9kKbO0_M5gmuhXZ6-LaxQxgrmJnzgP0"",""'TP# look up'!A:C""),3,0),"""")"),"")</f>
        <v/>
      </c>
      <c r="AH1169" s="49">
        <f>LEFT(J1169,2)</f>
        <v/>
      </c>
    </row>
    <row r="1170" ht="12.75" customHeight="1">
      <c r="H1170" s="43" t="n"/>
      <c r="AG1170" s="49">
        <f>IFERROR(__xludf.DUMMYFUNCTION("IFNA(vlookup(H1170,IMPORTRANGE(""1vUGwO1n0QQGx9kKbO0_M5gmuhXZ6-LaxQxgrmJnzgP0"",""'TP# look up'!A:C""),3,0),"""")"),"")</f>
        <v/>
      </c>
      <c r="AH1170" s="49">
        <f>LEFT(J1170,2)</f>
        <v/>
      </c>
    </row>
    <row r="1171" ht="12.75" customHeight="1">
      <c r="H1171" s="43" t="n"/>
      <c r="AG1171" s="49">
        <f>IFERROR(__xludf.DUMMYFUNCTION("IFNA(vlookup(H1171,IMPORTRANGE(""1vUGwO1n0QQGx9kKbO0_M5gmuhXZ6-LaxQxgrmJnzgP0"",""'TP# look up'!A:C""),3,0),"""")"),"")</f>
        <v/>
      </c>
      <c r="AH1171" s="49">
        <f>LEFT(J1171,2)</f>
        <v/>
      </c>
    </row>
    <row r="1172" ht="12.75" customHeight="1">
      <c r="H1172" s="43" t="n"/>
      <c r="AG1172" s="49">
        <f>IFERROR(__xludf.DUMMYFUNCTION("IFNA(vlookup(H1172,IMPORTRANGE(""1vUGwO1n0QQGx9kKbO0_M5gmuhXZ6-LaxQxgrmJnzgP0"",""'TP# look up'!A:C""),3,0),"""")"),"")</f>
        <v/>
      </c>
      <c r="AH1172" s="49">
        <f>LEFT(J1172,2)</f>
        <v/>
      </c>
    </row>
    <row r="1173" ht="12.75" customHeight="1">
      <c r="H1173" s="43" t="n"/>
      <c r="AG1173" s="49">
        <f>IFERROR(__xludf.DUMMYFUNCTION("IFNA(vlookup(H1173,IMPORTRANGE(""1vUGwO1n0QQGx9kKbO0_M5gmuhXZ6-LaxQxgrmJnzgP0"",""'TP# look up'!A:C""),3,0),"""")"),"")</f>
        <v/>
      </c>
      <c r="AH1173" s="49">
        <f>LEFT(J1173,2)</f>
        <v/>
      </c>
    </row>
    <row r="1174" ht="12.75" customHeight="1">
      <c r="H1174" s="43" t="n"/>
      <c r="AG1174" s="49">
        <f>IFERROR(__xludf.DUMMYFUNCTION("IFNA(vlookup(H1174,IMPORTRANGE(""1vUGwO1n0QQGx9kKbO0_M5gmuhXZ6-LaxQxgrmJnzgP0"",""'TP# look up'!A:C""),3,0),"""")"),"")</f>
        <v/>
      </c>
      <c r="AH1174" s="49">
        <f>LEFT(J1174,2)</f>
        <v/>
      </c>
    </row>
    <row r="1175" ht="12.75" customHeight="1">
      <c r="H1175" s="43" t="n"/>
      <c r="AG1175" s="49">
        <f>IFERROR(__xludf.DUMMYFUNCTION("IFNA(vlookup(H1175,IMPORTRANGE(""1vUGwO1n0QQGx9kKbO0_M5gmuhXZ6-LaxQxgrmJnzgP0"",""'TP# look up'!A:C""),3,0),"""")"),"")</f>
        <v/>
      </c>
      <c r="AH1175" s="49">
        <f>LEFT(J1175,2)</f>
        <v/>
      </c>
    </row>
    <row r="1176" ht="12.75" customHeight="1">
      <c r="H1176" s="43" t="n"/>
      <c r="AG1176" s="49">
        <f>IFERROR(__xludf.DUMMYFUNCTION("IFNA(vlookup(H1176,IMPORTRANGE(""1vUGwO1n0QQGx9kKbO0_M5gmuhXZ6-LaxQxgrmJnzgP0"",""'TP# look up'!A:C""),3,0),"""")"),"")</f>
        <v/>
      </c>
      <c r="AH1176" s="49">
        <f>LEFT(J1176,2)</f>
        <v/>
      </c>
    </row>
    <row r="1177" ht="12.75" customHeight="1">
      <c r="H1177" s="43" t="n"/>
      <c r="AG1177" s="49">
        <f>IFERROR(__xludf.DUMMYFUNCTION("IFNA(vlookup(H1177,IMPORTRANGE(""1vUGwO1n0QQGx9kKbO0_M5gmuhXZ6-LaxQxgrmJnzgP0"",""'TP# look up'!A:C""),3,0),"""")"),"")</f>
        <v/>
      </c>
      <c r="AH1177" s="49">
        <f>LEFT(J1177,2)</f>
        <v/>
      </c>
    </row>
    <row r="1178" ht="12.75" customHeight="1">
      <c r="H1178" s="43" t="n"/>
      <c r="AG1178" s="49">
        <f>IFERROR(__xludf.DUMMYFUNCTION("IFNA(vlookup(H1178,IMPORTRANGE(""1vUGwO1n0QQGx9kKbO0_M5gmuhXZ6-LaxQxgrmJnzgP0"",""'TP# look up'!A:C""),3,0),"""")"),"")</f>
        <v/>
      </c>
      <c r="AH1178" s="49">
        <f>LEFT(J1178,2)</f>
        <v/>
      </c>
    </row>
    <row r="1179" ht="12.75" customHeight="1">
      <c r="H1179" s="43" t="n"/>
      <c r="AG1179" s="49">
        <f>IFERROR(__xludf.DUMMYFUNCTION("IFNA(vlookup(H1179,IMPORTRANGE(""1vUGwO1n0QQGx9kKbO0_M5gmuhXZ6-LaxQxgrmJnzgP0"",""'TP# look up'!A:C""),3,0),"""")"),"")</f>
        <v/>
      </c>
      <c r="AH1179" s="49">
        <f>LEFT(J1179,2)</f>
        <v/>
      </c>
    </row>
    <row r="1180" ht="12.75" customHeight="1">
      <c r="H1180" s="43" t="n"/>
      <c r="AG1180" s="49">
        <f>IFERROR(__xludf.DUMMYFUNCTION("IFNA(vlookup(H1180,IMPORTRANGE(""1vUGwO1n0QQGx9kKbO0_M5gmuhXZ6-LaxQxgrmJnzgP0"",""'TP# look up'!A:C""),3,0),"""")"),"")</f>
        <v/>
      </c>
      <c r="AH1180" s="49">
        <f>LEFT(J1180,2)</f>
        <v/>
      </c>
    </row>
    <row r="1181" ht="12.75" customHeight="1">
      <c r="H1181" s="43" t="n"/>
      <c r="AG1181" s="49">
        <f>IFERROR(__xludf.DUMMYFUNCTION("IFNA(vlookup(H1181,IMPORTRANGE(""1vUGwO1n0QQGx9kKbO0_M5gmuhXZ6-LaxQxgrmJnzgP0"",""'TP# look up'!A:C""),3,0),"""")"),"")</f>
        <v/>
      </c>
      <c r="AH1181" s="49">
        <f>LEFT(J1181,2)</f>
        <v/>
      </c>
    </row>
    <row r="1182" ht="12.75" customHeight="1">
      <c r="H1182" s="43" t="n"/>
      <c r="AG1182" s="49">
        <f>IFERROR(__xludf.DUMMYFUNCTION("IFNA(vlookup(H1182,IMPORTRANGE(""1vUGwO1n0QQGx9kKbO0_M5gmuhXZ6-LaxQxgrmJnzgP0"",""'TP# look up'!A:C""),3,0),"""")"),"")</f>
        <v/>
      </c>
      <c r="AH1182" s="49">
        <f>LEFT(J1182,2)</f>
        <v/>
      </c>
    </row>
    <row r="1183" ht="12.75" customHeight="1">
      <c r="H1183" s="43" t="n"/>
      <c r="AG1183" s="49">
        <f>IFERROR(__xludf.DUMMYFUNCTION("IFNA(vlookup(H1183,IMPORTRANGE(""1vUGwO1n0QQGx9kKbO0_M5gmuhXZ6-LaxQxgrmJnzgP0"",""'TP# look up'!A:C""),3,0),"""")"),"")</f>
        <v/>
      </c>
      <c r="AH1183" s="49">
        <f>LEFT(J1183,2)</f>
        <v/>
      </c>
    </row>
    <row r="1184" ht="12.75" customHeight="1">
      <c r="H1184" s="43" t="n"/>
      <c r="AG1184" s="49">
        <f>IFERROR(__xludf.DUMMYFUNCTION("IFNA(vlookup(H1184,IMPORTRANGE(""1vUGwO1n0QQGx9kKbO0_M5gmuhXZ6-LaxQxgrmJnzgP0"",""'TP# look up'!A:C""),3,0),"""")"),"")</f>
        <v/>
      </c>
      <c r="AH1184" s="49">
        <f>LEFT(J1184,2)</f>
        <v/>
      </c>
    </row>
    <row r="1185" ht="12.75" customHeight="1">
      <c r="H1185" s="43" t="n"/>
      <c r="AG1185" s="49">
        <f>IFERROR(__xludf.DUMMYFUNCTION("IFNA(vlookup(H1185,IMPORTRANGE(""1vUGwO1n0QQGx9kKbO0_M5gmuhXZ6-LaxQxgrmJnzgP0"",""'TP# look up'!A:C""),3,0),"""")"),"")</f>
        <v/>
      </c>
      <c r="AH1185" s="49">
        <f>LEFT(J1185,2)</f>
        <v/>
      </c>
    </row>
    <row r="1186" ht="12.75" customHeight="1">
      <c r="H1186" s="43" t="n"/>
      <c r="AG1186" s="49">
        <f>IFERROR(__xludf.DUMMYFUNCTION("IFNA(vlookup(H1186,IMPORTRANGE(""1vUGwO1n0QQGx9kKbO0_M5gmuhXZ6-LaxQxgrmJnzgP0"",""'TP# look up'!A:C""),3,0),"""")"),"")</f>
        <v/>
      </c>
      <c r="AH1186" s="49">
        <f>LEFT(J1186,2)</f>
        <v/>
      </c>
    </row>
    <row r="1187" ht="12.75" customHeight="1">
      <c r="H1187" s="43" t="n"/>
      <c r="AG1187" s="49">
        <f>IFERROR(__xludf.DUMMYFUNCTION("IFNA(vlookup(H1187,IMPORTRANGE(""1vUGwO1n0QQGx9kKbO0_M5gmuhXZ6-LaxQxgrmJnzgP0"",""'TP# look up'!A:C""),3,0),"""")"),"")</f>
        <v/>
      </c>
      <c r="AH1187" s="49">
        <f>LEFT(J1187,2)</f>
        <v/>
      </c>
    </row>
    <row r="1188" ht="12.75" customHeight="1">
      <c r="H1188" s="43" t="n"/>
      <c r="AG1188" s="49">
        <f>IFERROR(__xludf.DUMMYFUNCTION("IFNA(vlookup(H1188,IMPORTRANGE(""1vUGwO1n0QQGx9kKbO0_M5gmuhXZ6-LaxQxgrmJnzgP0"",""'TP# look up'!A:C""),3,0),"""")"),"")</f>
        <v/>
      </c>
      <c r="AH1188" s="49">
        <f>LEFT(J1188,2)</f>
        <v/>
      </c>
    </row>
    <row r="1189" ht="12.75" customHeight="1">
      <c r="H1189" s="43" t="n"/>
      <c r="AG1189" s="49">
        <f>IFERROR(__xludf.DUMMYFUNCTION("IFNA(vlookup(H1189,IMPORTRANGE(""1vUGwO1n0QQGx9kKbO0_M5gmuhXZ6-LaxQxgrmJnzgP0"",""'TP# look up'!A:C""),3,0),"""")"),"")</f>
        <v/>
      </c>
      <c r="AH1189" s="49">
        <f>LEFT(J1189,2)</f>
        <v/>
      </c>
    </row>
    <row r="1190" ht="12.75" customHeight="1">
      <c r="H1190" s="43" t="n"/>
      <c r="AG1190" s="49">
        <f>IFERROR(__xludf.DUMMYFUNCTION("IFNA(vlookup(H1190,IMPORTRANGE(""1vUGwO1n0QQGx9kKbO0_M5gmuhXZ6-LaxQxgrmJnzgP0"",""'TP# look up'!A:C""),3,0),"""")"),"")</f>
        <v/>
      </c>
      <c r="AH1190" s="49">
        <f>LEFT(J1190,2)</f>
        <v/>
      </c>
    </row>
    <row r="1191" ht="12.75" customHeight="1">
      <c r="H1191" s="43" t="n"/>
      <c r="AG1191" s="49">
        <f>IFERROR(__xludf.DUMMYFUNCTION("IFNA(vlookup(H1191,IMPORTRANGE(""1vUGwO1n0QQGx9kKbO0_M5gmuhXZ6-LaxQxgrmJnzgP0"",""'TP# look up'!A:C""),3,0),"""")"),"")</f>
        <v/>
      </c>
      <c r="AH1191" s="49">
        <f>LEFT(J1191,2)</f>
        <v/>
      </c>
    </row>
    <row r="1192" ht="12.75" customHeight="1">
      <c r="H1192" s="43" t="n"/>
      <c r="AG1192" s="49">
        <f>IFERROR(__xludf.DUMMYFUNCTION("IFNA(vlookup(H1192,IMPORTRANGE(""1vUGwO1n0QQGx9kKbO0_M5gmuhXZ6-LaxQxgrmJnzgP0"",""'TP# look up'!A:C""),3,0),"""")"),"")</f>
        <v/>
      </c>
      <c r="AH1192" s="49">
        <f>LEFT(J1192,2)</f>
        <v/>
      </c>
    </row>
    <row r="1193" ht="12.75" customHeight="1">
      <c r="H1193" s="43" t="n"/>
      <c r="AG1193" s="49">
        <f>IFERROR(__xludf.DUMMYFUNCTION("IFNA(vlookup(H1193,IMPORTRANGE(""1vUGwO1n0QQGx9kKbO0_M5gmuhXZ6-LaxQxgrmJnzgP0"",""'TP# look up'!A:C""),3,0),"""")"),"")</f>
        <v/>
      </c>
      <c r="AH1193" s="49">
        <f>LEFT(J1193,2)</f>
        <v/>
      </c>
    </row>
    <row r="1194" ht="12.75" customHeight="1">
      <c r="H1194" s="43" t="n"/>
      <c r="AG1194" s="49">
        <f>IFERROR(__xludf.DUMMYFUNCTION("IFNA(vlookup(H1194,IMPORTRANGE(""1vUGwO1n0QQGx9kKbO0_M5gmuhXZ6-LaxQxgrmJnzgP0"",""'TP# look up'!A:C""),3,0),"""")"),"")</f>
        <v/>
      </c>
      <c r="AH1194" s="49">
        <f>LEFT(J1194,2)</f>
        <v/>
      </c>
    </row>
    <row r="1195" ht="12.75" customHeight="1">
      <c r="H1195" s="43" t="n"/>
      <c r="AG1195" s="49">
        <f>IFERROR(__xludf.DUMMYFUNCTION("IFNA(vlookup(H1195,IMPORTRANGE(""1vUGwO1n0QQGx9kKbO0_M5gmuhXZ6-LaxQxgrmJnzgP0"",""'TP# look up'!A:C""),3,0),"""")"),"")</f>
        <v/>
      </c>
      <c r="AH1195" s="49">
        <f>LEFT(J1195,2)</f>
        <v/>
      </c>
    </row>
    <row r="1196" ht="12.75" customHeight="1">
      <c r="H1196" s="43" t="n"/>
      <c r="AG1196" s="49">
        <f>IFERROR(__xludf.DUMMYFUNCTION("IFNA(vlookup(H1196,IMPORTRANGE(""1vUGwO1n0QQGx9kKbO0_M5gmuhXZ6-LaxQxgrmJnzgP0"",""'TP# look up'!A:C""),3,0),"""")"),"")</f>
        <v/>
      </c>
      <c r="AH1196" s="49">
        <f>LEFT(J1196,2)</f>
        <v/>
      </c>
    </row>
    <row r="1197" ht="12.75" customHeight="1">
      <c r="H1197" s="43" t="n"/>
      <c r="AG1197" s="49">
        <f>IFERROR(__xludf.DUMMYFUNCTION("IFNA(vlookup(H1197,IMPORTRANGE(""1vUGwO1n0QQGx9kKbO0_M5gmuhXZ6-LaxQxgrmJnzgP0"",""'TP# look up'!A:C""),3,0),"""")"),"")</f>
        <v/>
      </c>
      <c r="AH1197" s="49">
        <f>LEFT(J1197,2)</f>
        <v/>
      </c>
    </row>
    <row r="1198" ht="12.75" customHeight="1">
      <c r="H1198" s="43" t="n"/>
      <c r="AG1198" s="49">
        <f>IFERROR(__xludf.DUMMYFUNCTION("IFNA(vlookup(H1198,IMPORTRANGE(""1vUGwO1n0QQGx9kKbO0_M5gmuhXZ6-LaxQxgrmJnzgP0"",""'TP# look up'!A:C""),3,0),"""")"),"")</f>
        <v/>
      </c>
      <c r="AH1198" s="49">
        <f>LEFT(J1198,2)</f>
        <v/>
      </c>
    </row>
    <row r="1199" ht="12.75" customHeight="1">
      <c r="H1199" s="43" t="n"/>
      <c r="AG1199" s="49">
        <f>IFERROR(__xludf.DUMMYFUNCTION("IFNA(vlookup(H1199,IMPORTRANGE(""1vUGwO1n0QQGx9kKbO0_M5gmuhXZ6-LaxQxgrmJnzgP0"",""'TP# look up'!A:C""),3,0),"""")"),"")</f>
        <v/>
      </c>
      <c r="AH1199" s="49">
        <f>LEFT(J1199,2)</f>
        <v/>
      </c>
    </row>
    <row r="1200" ht="12.75" customHeight="1">
      <c r="H1200" s="43" t="n"/>
      <c r="AG1200" s="49">
        <f>IFERROR(__xludf.DUMMYFUNCTION("IFNA(vlookup(H1200,IMPORTRANGE(""1vUGwO1n0QQGx9kKbO0_M5gmuhXZ6-LaxQxgrmJnzgP0"",""'TP# look up'!A:C""),3,0),"""")"),"")</f>
        <v/>
      </c>
      <c r="AH1200" s="49">
        <f>LEFT(J1200,2)</f>
        <v/>
      </c>
    </row>
    <row r="1201" ht="12.75" customHeight="1">
      <c r="H1201" s="43" t="n"/>
      <c r="AG1201" s="49">
        <f>IFERROR(__xludf.DUMMYFUNCTION("IFNA(vlookup(H1201,IMPORTRANGE(""1vUGwO1n0QQGx9kKbO0_M5gmuhXZ6-LaxQxgrmJnzgP0"",""'TP# look up'!A:C""),3,0),"""")"),"")</f>
        <v/>
      </c>
      <c r="AH1201" s="49">
        <f>LEFT(J1201,2)</f>
        <v/>
      </c>
    </row>
    <row r="1202" ht="12.75" customHeight="1">
      <c r="H1202" s="43" t="n"/>
      <c r="AG1202" s="49">
        <f>IFERROR(__xludf.DUMMYFUNCTION("IFNA(vlookup(H1202,IMPORTRANGE(""1vUGwO1n0QQGx9kKbO0_M5gmuhXZ6-LaxQxgrmJnzgP0"",""'TP# look up'!A:C""),3,0),"""")"),"")</f>
        <v/>
      </c>
      <c r="AH1202" s="49">
        <f>LEFT(J1202,2)</f>
        <v/>
      </c>
    </row>
    <row r="1203" ht="12.75" customHeight="1">
      <c r="H1203" s="43" t="n"/>
      <c r="AG1203" s="49">
        <f>IFERROR(__xludf.DUMMYFUNCTION("IFNA(vlookup(H1203,IMPORTRANGE(""1vUGwO1n0QQGx9kKbO0_M5gmuhXZ6-LaxQxgrmJnzgP0"",""'TP# look up'!A:C""),3,0),"""")"),"")</f>
        <v/>
      </c>
      <c r="AH1203" s="49">
        <f>LEFT(J1203,2)</f>
        <v/>
      </c>
    </row>
    <row r="1204" ht="12.75" customHeight="1">
      <c r="H1204" s="43" t="n"/>
      <c r="AG1204" s="49">
        <f>IFERROR(__xludf.DUMMYFUNCTION("IFNA(vlookup(H1204,IMPORTRANGE(""1vUGwO1n0QQGx9kKbO0_M5gmuhXZ6-LaxQxgrmJnzgP0"",""'TP# look up'!A:C""),3,0),"""")"),"")</f>
        <v/>
      </c>
      <c r="AH1204" s="49">
        <f>LEFT(J1204,2)</f>
        <v/>
      </c>
    </row>
    <row r="1205" ht="12.75" customHeight="1">
      <c r="H1205" s="43" t="n"/>
      <c r="AG1205" s="49">
        <f>IFERROR(__xludf.DUMMYFUNCTION("IFNA(vlookup(H1205,IMPORTRANGE(""1vUGwO1n0QQGx9kKbO0_M5gmuhXZ6-LaxQxgrmJnzgP0"",""'TP# look up'!A:C""),3,0),"""")"),"")</f>
        <v/>
      </c>
      <c r="AH1205" s="49">
        <f>LEFT(J1205,2)</f>
        <v/>
      </c>
    </row>
    <row r="1206" ht="12.75" customHeight="1">
      <c r="H1206" s="43" t="n"/>
      <c r="AG1206" s="49">
        <f>IFERROR(__xludf.DUMMYFUNCTION("IFNA(vlookup(H1206,IMPORTRANGE(""1vUGwO1n0QQGx9kKbO0_M5gmuhXZ6-LaxQxgrmJnzgP0"",""'TP# look up'!A:C""),3,0),"""")"),"")</f>
        <v/>
      </c>
      <c r="AH1206" s="49">
        <f>LEFT(J1206,2)</f>
        <v/>
      </c>
    </row>
    <row r="1207" ht="12.75" customHeight="1">
      <c r="H1207" s="43" t="n"/>
      <c r="AG1207" s="49">
        <f>IFERROR(__xludf.DUMMYFUNCTION("IFNA(vlookup(H1207,IMPORTRANGE(""1vUGwO1n0QQGx9kKbO0_M5gmuhXZ6-LaxQxgrmJnzgP0"",""'TP# look up'!A:C""),3,0),"""")"),"")</f>
        <v/>
      </c>
      <c r="AH1207" s="49">
        <f>LEFT(J1207,2)</f>
        <v/>
      </c>
    </row>
    <row r="1208" ht="12.75" customHeight="1">
      <c r="H1208" s="43" t="n"/>
      <c r="AG1208" s="49">
        <f>IFERROR(__xludf.DUMMYFUNCTION("IFNA(vlookup(H1208,IMPORTRANGE(""1vUGwO1n0QQGx9kKbO0_M5gmuhXZ6-LaxQxgrmJnzgP0"",""'TP# look up'!A:C""),3,0),"""")"),"")</f>
        <v/>
      </c>
      <c r="AH1208" s="49">
        <f>LEFT(J1208,2)</f>
        <v/>
      </c>
    </row>
    <row r="1209" ht="12.75" customHeight="1">
      <c r="H1209" s="43" t="n"/>
      <c r="AG1209" s="49">
        <f>IFERROR(__xludf.DUMMYFUNCTION("IFNA(vlookup(H1209,IMPORTRANGE(""1vUGwO1n0QQGx9kKbO0_M5gmuhXZ6-LaxQxgrmJnzgP0"",""'TP# look up'!A:C""),3,0),"""")"),"")</f>
        <v/>
      </c>
      <c r="AH1209" s="49">
        <f>LEFT(J1209,2)</f>
        <v/>
      </c>
    </row>
    <row r="1210" ht="12.75" customHeight="1">
      <c r="H1210" s="43" t="n"/>
      <c r="AG1210" s="49">
        <f>IFERROR(__xludf.DUMMYFUNCTION("IFNA(vlookup(H1210,IMPORTRANGE(""1vUGwO1n0QQGx9kKbO0_M5gmuhXZ6-LaxQxgrmJnzgP0"",""'TP# look up'!A:C""),3,0),"""")"),"")</f>
        <v/>
      </c>
      <c r="AH1210" s="49">
        <f>LEFT(J1210,2)</f>
        <v/>
      </c>
    </row>
    <row r="1211" ht="12.75" customHeight="1">
      <c r="H1211" s="43" t="n"/>
      <c r="AG1211" s="49">
        <f>IFERROR(__xludf.DUMMYFUNCTION("IFNA(vlookup(H1211,IMPORTRANGE(""1vUGwO1n0QQGx9kKbO0_M5gmuhXZ6-LaxQxgrmJnzgP0"",""'TP# look up'!A:C""),3,0),"""")"),"")</f>
        <v/>
      </c>
      <c r="AH1211" s="49">
        <f>LEFT(J1211,2)</f>
        <v/>
      </c>
    </row>
    <row r="1212" ht="12.75" customHeight="1">
      <c r="H1212" s="43" t="n"/>
      <c r="AG1212" s="49">
        <f>IFERROR(__xludf.DUMMYFUNCTION("IFNA(vlookup(H1212,IMPORTRANGE(""1vUGwO1n0QQGx9kKbO0_M5gmuhXZ6-LaxQxgrmJnzgP0"",""'TP# look up'!A:C""),3,0),"""")"),"")</f>
        <v/>
      </c>
      <c r="AH1212" s="49">
        <f>LEFT(J1212,2)</f>
        <v/>
      </c>
    </row>
    <row r="1213" ht="12.75" customHeight="1">
      <c r="H1213" s="43" t="n"/>
      <c r="AG1213" s="49">
        <f>IFERROR(__xludf.DUMMYFUNCTION("IFNA(vlookup(H1213,IMPORTRANGE(""1vUGwO1n0QQGx9kKbO0_M5gmuhXZ6-LaxQxgrmJnzgP0"",""'TP# look up'!A:C""),3,0),"""")"),"")</f>
        <v/>
      </c>
      <c r="AH1213" s="49">
        <f>LEFT(J1213,2)</f>
        <v/>
      </c>
    </row>
    <row r="1214" ht="12.75" customHeight="1">
      <c r="H1214" s="43" t="n"/>
      <c r="AG1214" s="49">
        <f>IFERROR(__xludf.DUMMYFUNCTION("IFNA(vlookup(H1214,IMPORTRANGE(""1vUGwO1n0QQGx9kKbO0_M5gmuhXZ6-LaxQxgrmJnzgP0"",""'TP# look up'!A:C""),3,0),"""")"),"")</f>
        <v/>
      </c>
      <c r="AH1214" s="49">
        <f>LEFT(J1214,2)</f>
        <v/>
      </c>
    </row>
    <row r="1215" ht="12.75" customHeight="1">
      <c r="H1215" s="43" t="n"/>
      <c r="AG1215" s="49">
        <f>IFERROR(__xludf.DUMMYFUNCTION("IFNA(vlookup(H1215,IMPORTRANGE(""1vUGwO1n0QQGx9kKbO0_M5gmuhXZ6-LaxQxgrmJnzgP0"",""'TP# look up'!A:C""),3,0),"""")"),"")</f>
        <v/>
      </c>
      <c r="AH1215" s="49">
        <f>LEFT(J1215,2)</f>
        <v/>
      </c>
    </row>
    <row r="1216" ht="12.75" customHeight="1">
      <c r="H1216" s="43" t="n"/>
      <c r="AG1216" s="49">
        <f>IFERROR(__xludf.DUMMYFUNCTION("IFNA(vlookup(H1216,IMPORTRANGE(""1vUGwO1n0QQGx9kKbO0_M5gmuhXZ6-LaxQxgrmJnzgP0"",""'TP# look up'!A:C""),3,0),"""")"),"")</f>
        <v/>
      </c>
      <c r="AH1216" s="49">
        <f>LEFT(J1216,2)</f>
        <v/>
      </c>
    </row>
    <row r="1217" ht="12.75" customHeight="1">
      <c r="H1217" s="43" t="n"/>
      <c r="AG1217" s="49">
        <f>IFERROR(__xludf.DUMMYFUNCTION("IFNA(vlookup(H1217,IMPORTRANGE(""1vUGwO1n0QQGx9kKbO0_M5gmuhXZ6-LaxQxgrmJnzgP0"",""'TP# look up'!A:C""),3,0),"""")"),"")</f>
        <v/>
      </c>
      <c r="AH1217" s="49">
        <f>LEFT(J1217,2)</f>
        <v/>
      </c>
    </row>
    <row r="1218" ht="12.75" customHeight="1">
      <c r="H1218" s="43" t="n"/>
      <c r="AG1218" s="49">
        <f>IFERROR(__xludf.DUMMYFUNCTION("IFNA(vlookup(H1218,IMPORTRANGE(""1vUGwO1n0QQGx9kKbO0_M5gmuhXZ6-LaxQxgrmJnzgP0"",""'TP# look up'!A:C""),3,0),"""")"),"")</f>
        <v/>
      </c>
      <c r="AH1218" s="49">
        <f>LEFT(J1218,2)</f>
        <v/>
      </c>
    </row>
    <row r="1219" ht="12.75" customHeight="1">
      <c r="H1219" s="43" t="n"/>
      <c r="AG1219" s="49">
        <f>IFERROR(__xludf.DUMMYFUNCTION("IFNA(vlookup(H1219,IMPORTRANGE(""1vUGwO1n0QQGx9kKbO0_M5gmuhXZ6-LaxQxgrmJnzgP0"",""'TP# look up'!A:C""),3,0),"""")"),"")</f>
        <v/>
      </c>
      <c r="AH1219" s="49">
        <f>LEFT(J1219,2)</f>
        <v/>
      </c>
    </row>
    <row r="1220" ht="12.75" customHeight="1">
      <c r="H1220" s="43" t="n"/>
      <c r="AG1220" s="49">
        <f>IFERROR(__xludf.DUMMYFUNCTION("IFNA(vlookup(H1220,IMPORTRANGE(""1vUGwO1n0QQGx9kKbO0_M5gmuhXZ6-LaxQxgrmJnzgP0"",""'TP# look up'!A:C""),3,0),"""")"),"")</f>
        <v/>
      </c>
      <c r="AH1220" s="49">
        <f>LEFT(J1220,2)</f>
        <v/>
      </c>
    </row>
    <row r="1221" ht="12.75" customHeight="1">
      <c r="H1221" s="43" t="n"/>
      <c r="AG1221" s="49">
        <f>IFERROR(__xludf.DUMMYFUNCTION("IFNA(vlookup(H1221,IMPORTRANGE(""1vUGwO1n0QQGx9kKbO0_M5gmuhXZ6-LaxQxgrmJnzgP0"",""'TP# look up'!A:C""),3,0),"""")"),"")</f>
        <v/>
      </c>
      <c r="AH1221" s="49">
        <f>LEFT(J1221,2)</f>
        <v/>
      </c>
    </row>
    <row r="1222" ht="12.75" customHeight="1">
      <c r="H1222" s="43" t="n"/>
      <c r="AG1222" s="49">
        <f>IFERROR(__xludf.DUMMYFUNCTION("IFNA(vlookup(H1222,IMPORTRANGE(""1vUGwO1n0QQGx9kKbO0_M5gmuhXZ6-LaxQxgrmJnzgP0"",""'TP# look up'!A:C""),3,0),"""")"),"")</f>
        <v/>
      </c>
      <c r="AH1222" s="49">
        <f>LEFT(J1222,2)</f>
        <v/>
      </c>
    </row>
    <row r="1223" ht="12.75" customHeight="1">
      <c r="H1223" s="43" t="n"/>
      <c r="AG1223" s="49">
        <f>IFERROR(__xludf.DUMMYFUNCTION("IFNA(vlookup(H1223,IMPORTRANGE(""1vUGwO1n0QQGx9kKbO0_M5gmuhXZ6-LaxQxgrmJnzgP0"",""'TP# look up'!A:C""),3,0),"""")"),"")</f>
        <v/>
      </c>
      <c r="AH1223" s="49">
        <f>LEFT(J1223,2)</f>
        <v/>
      </c>
    </row>
    <row r="1224" ht="12.75" customHeight="1">
      <c r="H1224" s="43" t="n"/>
      <c r="AG1224" s="49">
        <f>IFERROR(__xludf.DUMMYFUNCTION("IFNA(vlookup(H1224,IMPORTRANGE(""1vUGwO1n0QQGx9kKbO0_M5gmuhXZ6-LaxQxgrmJnzgP0"",""'TP# look up'!A:C""),3,0),"""")"),"")</f>
        <v/>
      </c>
      <c r="AH1224" s="49">
        <f>LEFT(J1224,2)</f>
        <v/>
      </c>
    </row>
    <row r="1225" ht="12.75" customHeight="1">
      <c r="H1225" s="43" t="n"/>
      <c r="AG1225" s="49">
        <f>IFERROR(__xludf.DUMMYFUNCTION("IFNA(vlookup(H1225,IMPORTRANGE(""1vUGwO1n0QQGx9kKbO0_M5gmuhXZ6-LaxQxgrmJnzgP0"",""'TP# look up'!A:C""),3,0),"""")"),"")</f>
        <v/>
      </c>
      <c r="AH1225" s="49">
        <f>LEFT(J1225,2)</f>
        <v/>
      </c>
    </row>
    <row r="1226" ht="12.75" customHeight="1">
      <c r="H1226" s="43" t="n"/>
      <c r="AG1226" s="49">
        <f>IFERROR(__xludf.DUMMYFUNCTION("IFNA(vlookup(H1226,IMPORTRANGE(""1vUGwO1n0QQGx9kKbO0_M5gmuhXZ6-LaxQxgrmJnzgP0"",""'TP# look up'!A:C""),3,0),"""")"),"")</f>
        <v/>
      </c>
      <c r="AH1226" s="49">
        <f>LEFT(J1226,2)</f>
        <v/>
      </c>
    </row>
    <row r="1227" ht="12.75" customHeight="1">
      <c r="H1227" s="43" t="n"/>
      <c r="AG1227" s="49">
        <f>IFERROR(__xludf.DUMMYFUNCTION("IFNA(vlookup(H1227,IMPORTRANGE(""1vUGwO1n0QQGx9kKbO0_M5gmuhXZ6-LaxQxgrmJnzgP0"",""'TP# look up'!A:C""),3,0),"""")"),"")</f>
        <v/>
      </c>
      <c r="AH1227" s="49">
        <f>LEFT(J1227,2)</f>
        <v/>
      </c>
    </row>
    <row r="1228" ht="12.75" customHeight="1">
      <c r="H1228" s="43" t="n"/>
      <c r="AG1228" s="49">
        <f>IFERROR(__xludf.DUMMYFUNCTION("IFNA(vlookup(H1228,IMPORTRANGE(""1vUGwO1n0QQGx9kKbO0_M5gmuhXZ6-LaxQxgrmJnzgP0"",""'TP# look up'!A:C""),3,0),"""")"),"")</f>
        <v/>
      </c>
      <c r="AH1228" s="49">
        <f>LEFT(J1228,2)</f>
        <v/>
      </c>
    </row>
    <row r="1229" ht="12.75" customHeight="1">
      <c r="H1229" s="43" t="n"/>
      <c r="AG1229" s="49">
        <f>IFERROR(__xludf.DUMMYFUNCTION("IFNA(vlookup(H1229,IMPORTRANGE(""1vUGwO1n0QQGx9kKbO0_M5gmuhXZ6-LaxQxgrmJnzgP0"",""'TP# look up'!A:C""),3,0),"""")"),"")</f>
        <v/>
      </c>
      <c r="AH1229" s="49">
        <f>LEFT(J1229,2)</f>
        <v/>
      </c>
    </row>
    <row r="1230" ht="12.75" customHeight="1">
      <c r="H1230" s="43" t="n"/>
      <c r="AG1230" s="49">
        <f>IFERROR(__xludf.DUMMYFUNCTION("IFNA(vlookup(H1230,IMPORTRANGE(""1vUGwO1n0QQGx9kKbO0_M5gmuhXZ6-LaxQxgrmJnzgP0"",""'TP# look up'!A:C""),3,0),"""")"),"")</f>
        <v/>
      </c>
      <c r="AH1230" s="49">
        <f>LEFT(J1230,2)</f>
        <v/>
      </c>
    </row>
    <row r="1231" ht="12.75" customHeight="1">
      <c r="H1231" s="43" t="n"/>
      <c r="AG1231" s="49">
        <f>IFERROR(__xludf.DUMMYFUNCTION("IFNA(vlookup(H1231,IMPORTRANGE(""1vUGwO1n0QQGx9kKbO0_M5gmuhXZ6-LaxQxgrmJnzgP0"",""'TP# look up'!A:C""),3,0),"""")"),"")</f>
        <v/>
      </c>
      <c r="AH1231" s="49">
        <f>LEFT(J1231,2)</f>
        <v/>
      </c>
    </row>
    <row r="1232" ht="12.75" customHeight="1">
      <c r="H1232" s="43" t="n"/>
      <c r="AG1232" s="49">
        <f>IFERROR(__xludf.DUMMYFUNCTION("IFNA(vlookup(H1232,IMPORTRANGE(""1vUGwO1n0QQGx9kKbO0_M5gmuhXZ6-LaxQxgrmJnzgP0"",""'TP# look up'!A:C""),3,0),"""")"),"")</f>
        <v/>
      </c>
      <c r="AH1232" s="49">
        <f>LEFT(J1232,2)</f>
        <v/>
      </c>
    </row>
    <row r="1233" ht="12.75" customHeight="1">
      <c r="H1233" s="43" t="n"/>
      <c r="AG1233" s="49">
        <f>IFERROR(__xludf.DUMMYFUNCTION("IFNA(vlookup(H1233,IMPORTRANGE(""1vUGwO1n0QQGx9kKbO0_M5gmuhXZ6-LaxQxgrmJnzgP0"",""'TP# look up'!A:C""),3,0),"""")"),"")</f>
        <v/>
      </c>
      <c r="AH1233" s="49">
        <f>LEFT(J1233,2)</f>
        <v/>
      </c>
    </row>
    <row r="1234" ht="12.75" customHeight="1">
      <c r="H1234" s="43" t="n"/>
      <c r="AG1234" s="49">
        <f>IFERROR(__xludf.DUMMYFUNCTION("IFNA(vlookup(H1234,IMPORTRANGE(""1vUGwO1n0QQGx9kKbO0_M5gmuhXZ6-LaxQxgrmJnzgP0"",""'TP# look up'!A:C""),3,0),"""")"),"")</f>
        <v/>
      </c>
      <c r="AH1234" s="49">
        <f>LEFT(J1234,2)</f>
        <v/>
      </c>
    </row>
    <row r="1235" ht="12.75" customHeight="1">
      <c r="H1235" s="43" t="n"/>
      <c r="AG1235" s="49">
        <f>IFERROR(__xludf.DUMMYFUNCTION("IFNA(vlookup(H1235,IMPORTRANGE(""1vUGwO1n0QQGx9kKbO0_M5gmuhXZ6-LaxQxgrmJnzgP0"",""'TP# look up'!A:C""),3,0),"""")"),"")</f>
        <v/>
      </c>
      <c r="AH1235" s="49">
        <f>LEFT(J1235,2)</f>
        <v/>
      </c>
    </row>
    <row r="1236" ht="12.75" customHeight="1">
      <c r="H1236" s="43" t="n"/>
      <c r="AG1236" s="49">
        <f>IFERROR(__xludf.DUMMYFUNCTION("IFNA(vlookup(H1236,IMPORTRANGE(""1vUGwO1n0QQGx9kKbO0_M5gmuhXZ6-LaxQxgrmJnzgP0"",""'TP# look up'!A:C""),3,0),"""")"),"")</f>
        <v/>
      </c>
      <c r="AH1236" s="49">
        <f>LEFT(J1236,2)</f>
        <v/>
      </c>
    </row>
    <row r="1237" ht="12.75" customHeight="1">
      <c r="H1237" s="43" t="n"/>
      <c r="AG1237" s="49">
        <f>IFERROR(__xludf.DUMMYFUNCTION("IFNA(vlookup(H1237,IMPORTRANGE(""1vUGwO1n0QQGx9kKbO0_M5gmuhXZ6-LaxQxgrmJnzgP0"",""'TP# look up'!A:C""),3,0),"""")"),"")</f>
        <v/>
      </c>
      <c r="AH1237" s="49">
        <f>LEFT(J1237,2)</f>
        <v/>
      </c>
    </row>
    <row r="1238" ht="12.75" customHeight="1">
      <c r="H1238" s="43" t="n"/>
      <c r="AG1238" s="49">
        <f>IFERROR(__xludf.DUMMYFUNCTION("IFNA(vlookup(H1238,IMPORTRANGE(""1vUGwO1n0QQGx9kKbO0_M5gmuhXZ6-LaxQxgrmJnzgP0"",""'TP# look up'!A:C""),3,0),"""")"),"")</f>
        <v/>
      </c>
      <c r="AH1238" s="49">
        <f>LEFT(J1238,2)</f>
        <v/>
      </c>
    </row>
    <row r="1239" ht="12.75" customHeight="1">
      <c r="H1239" s="43" t="n"/>
      <c r="AG1239" s="49">
        <f>IFERROR(__xludf.DUMMYFUNCTION("IFNA(vlookup(H1239,IMPORTRANGE(""1vUGwO1n0QQGx9kKbO0_M5gmuhXZ6-LaxQxgrmJnzgP0"",""'TP# look up'!A:C""),3,0),"""")"),"")</f>
        <v/>
      </c>
      <c r="AH1239" s="49">
        <f>LEFT(J1239,2)</f>
        <v/>
      </c>
    </row>
    <row r="1240" ht="12.75" customHeight="1">
      <c r="H1240" s="43" t="n"/>
      <c r="AG1240" s="49">
        <f>IFERROR(__xludf.DUMMYFUNCTION("IFNA(vlookup(H1240,IMPORTRANGE(""1vUGwO1n0QQGx9kKbO0_M5gmuhXZ6-LaxQxgrmJnzgP0"",""'TP# look up'!A:C""),3,0),"""")"),"")</f>
        <v/>
      </c>
      <c r="AH1240" s="49">
        <f>LEFT(J1240,2)</f>
        <v/>
      </c>
    </row>
    <row r="1241" ht="12.75" customHeight="1">
      <c r="H1241" s="43" t="n"/>
      <c r="AG1241" s="49">
        <f>IFERROR(__xludf.DUMMYFUNCTION("IFNA(vlookup(H1241,IMPORTRANGE(""1vUGwO1n0QQGx9kKbO0_M5gmuhXZ6-LaxQxgrmJnzgP0"",""'TP# look up'!A:C""),3,0),"""")"),"")</f>
        <v/>
      </c>
      <c r="AH1241" s="49">
        <f>LEFT(J1241,2)</f>
        <v/>
      </c>
    </row>
    <row r="1242" ht="12.75" customHeight="1">
      <c r="H1242" s="43" t="n"/>
      <c r="AG1242" s="49">
        <f>IFERROR(__xludf.DUMMYFUNCTION("IFNA(vlookup(H1242,IMPORTRANGE(""1vUGwO1n0QQGx9kKbO0_M5gmuhXZ6-LaxQxgrmJnzgP0"",""'TP# look up'!A:C""),3,0),"""")"),"")</f>
        <v/>
      </c>
      <c r="AH1242" s="49">
        <f>LEFT(J1242,2)</f>
        <v/>
      </c>
    </row>
    <row r="1243" ht="12.75" customHeight="1">
      <c r="H1243" s="43" t="n"/>
      <c r="AG1243" s="49">
        <f>IFERROR(__xludf.DUMMYFUNCTION("IFNA(vlookup(H1243,IMPORTRANGE(""1vUGwO1n0QQGx9kKbO0_M5gmuhXZ6-LaxQxgrmJnzgP0"",""'TP# look up'!A:C""),3,0),"""")"),"")</f>
        <v/>
      </c>
      <c r="AH1243" s="49">
        <f>LEFT(J1243,2)</f>
        <v/>
      </c>
    </row>
    <row r="1244" ht="12.75" customHeight="1">
      <c r="H1244" s="43" t="n"/>
      <c r="AG1244" s="49">
        <f>IFERROR(__xludf.DUMMYFUNCTION("IFNA(vlookup(H1244,IMPORTRANGE(""1vUGwO1n0QQGx9kKbO0_M5gmuhXZ6-LaxQxgrmJnzgP0"",""'TP# look up'!A:C""),3,0),"""")"),"")</f>
        <v/>
      </c>
      <c r="AH1244" s="49">
        <f>LEFT(J1244,2)</f>
        <v/>
      </c>
    </row>
    <row r="1245" ht="12.75" customHeight="1">
      <c r="H1245" s="43" t="n"/>
      <c r="AG1245" s="49">
        <f>IFERROR(__xludf.DUMMYFUNCTION("IFNA(vlookup(H1245,IMPORTRANGE(""1vUGwO1n0QQGx9kKbO0_M5gmuhXZ6-LaxQxgrmJnzgP0"",""'TP# look up'!A:C""),3,0),"""")"),"")</f>
        <v/>
      </c>
      <c r="AH1245" s="49">
        <f>LEFT(J1245,2)</f>
        <v/>
      </c>
    </row>
    <row r="1246" ht="12.75" customHeight="1">
      <c r="H1246" s="43" t="n"/>
      <c r="AG1246" s="49">
        <f>IFERROR(__xludf.DUMMYFUNCTION("IFNA(vlookup(H1246,IMPORTRANGE(""1vUGwO1n0QQGx9kKbO0_M5gmuhXZ6-LaxQxgrmJnzgP0"",""'TP# look up'!A:C""),3,0),"""")"),"")</f>
        <v/>
      </c>
      <c r="AH1246" s="49">
        <f>LEFT(J1246,2)</f>
        <v/>
      </c>
    </row>
    <row r="1247" ht="12.75" customHeight="1">
      <c r="H1247" s="43" t="n"/>
      <c r="AG1247" s="49">
        <f>IFERROR(__xludf.DUMMYFUNCTION("IFNA(vlookup(H1247,IMPORTRANGE(""1vUGwO1n0QQGx9kKbO0_M5gmuhXZ6-LaxQxgrmJnzgP0"",""'TP# look up'!A:C""),3,0),"""")"),"")</f>
        <v/>
      </c>
      <c r="AH1247" s="49">
        <f>LEFT(J1247,2)</f>
        <v/>
      </c>
    </row>
    <row r="1248" ht="12.75" customHeight="1">
      <c r="H1248" s="43" t="n"/>
      <c r="AG1248" s="49">
        <f>IFERROR(__xludf.DUMMYFUNCTION("IFNA(vlookup(H1248,IMPORTRANGE(""1vUGwO1n0QQGx9kKbO0_M5gmuhXZ6-LaxQxgrmJnzgP0"",""'TP# look up'!A:C""),3,0),"""")"),"")</f>
        <v/>
      </c>
      <c r="AH1248" s="49">
        <f>LEFT(J1248,2)</f>
        <v/>
      </c>
    </row>
    <row r="1249" ht="12.75" customHeight="1">
      <c r="H1249" s="43" t="n"/>
      <c r="AG1249" s="49">
        <f>IFERROR(__xludf.DUMMYFUNCTION("IFNA(vlookup(H1249,IMPORTRANGE(""1vUGwO1n0QQGx9kKbO0_M5gmuhXZ6-LaxQxgrmJnzgP0"",""'TP# look up'!A:C""),3,0),"""")"),"")</f>
        <v/>
      </c>
      <c r="AH1249" s="49">
        <f>LEFT(J1249,2)</f>
        <v/>
      </c>
    </row>
    <row r="1250" ht="12.75" customHeight="1">
      <c r="H1250" s="43" t="n"/>
      <c r="AG1250" s="49">
        <f>IFERROR(__xludf.DUMMYFUNCTION("IFNA(vlookup(H1250,IMPORTRANGE(""1vUGwO1n0QQGx9kKbO0_M5gmuhXZ6-LaxQxgrmJnzgP0"",""'TP# look up'!A:C""),3,0),"""")"),"")</f>
        <v/>
      </c>
      <c r="AH1250" s="49">
        <f>LEFT(J1250,2)</f>
        <v/>
      </c>
    </row>
    <row r="1251" ht="12.75" customHeight="1">
      <c r="H1251" s="43" t="n"/>
      <c r="AG1251" s="49">
        <f>IFERROR(__xludf.DUMMYFUNCTION("IFNA(vlookup(H1251,IMPORTRANGE(""1vUGwO1n0QQGx9kKbO0_M5gmuhXZ6-LaxQxgrmJnzgP0"",""'TP# look up'!A:C""),3,0),"""")"),"")</f>
        <v/>
      </c>
      <c r="AH1251" s="49">
        <f>LEFT(J1251,2)</f>
        <v/>
      </c>
    </row>
    <row r="1252" ht="12.75" customHeight="1">
      <c r="H1252" s="43" t="n"/>
      <c r="AG1252" s="49">
        <f>IFERROR(__xludf.DUMMYFUNCTION("IFNA(vlookup(H1252,IMPORTRANGE(""1vUGwO1n0QQGx9kKbO0_M5gmuhXZ6-LaxQxgrmJnzgP0"",""'TP# look up'!A:C""),3,0),"""")"),"")</f>
        <v/>
      </c>
      <c r="AH1252" s="49">
        <f>LEFT(J1252,2)</f>
        <v/>
      </c>
    </row>
    <row r="1253" ht="12.75" customHeight="1">
      <c r="H1253" s="43" t="n"/>
      <c r="AG1253" s="49">
        <f>IFERROR(__xludf.DUMMYFUNCTION("IFNA(vlookup(H1253,IMPORTRANGE(""1vUGwO1n0QQGx9kKbO0_M5gmuhXZ6-LaxQxgrmJnzgP0"",""'TP# look up'!A:C""),3,0),"""")"),"")</f>
        <v/>
      </c>
      <c r="AH1253" s="49">
        <f>LEFT(J1253,2)</f>
        <v/>
      </c>
    </row>
    <row r="1254" ht="12.75" customHeight="1">
      <c r="H1254" s="43" t="n"/>
      <c r="AG1254" s="49">
        <f>IFERROR(__xludf.DUMMYFUNCTION("IFNA(vlookup(H1254,IMPORTRANGE(""1vUGwO1n0QQGx9kKbO0_M5gmuhXZ6-LaxQxgrmJnzgP0"",""'TP# look up'!A:C""),3,0),"""")"),"")</f>
        <v/>
      </c>
      <c r="AH1254" s="49">
        <f>LEFT(J1254,2)</f>
        <v/>
      </c>
    </row>
    <row r="1255" ht="12.75" customHeight="1">
      <c r="H1255" s="43" t="n"/>
      <c r="AG1255" s="49">
        <f>IFERROR(__xludf.DUMMYFUNCTION("IFNA(vlookup(H1255,IMPORTRANGE(""1vUGwO1n0QQGx9kKbO0_M5gmuhXZ6-LaxQxgrmJnzgP0"",""'TP# look up'!A:C""),3,0),"""")"),"")</f>
        <v/>
      </c>
      <c r="AH1255" s="49">
        <f>LEFT(J1255,2)</f>
        <v/>
      </c>
    </row>
    <row r="1256" ht="12.75" customHeight="1">
      <c r="H1256" s="43" t="n"/>
      <c r="AG1256" s="49">
        <f>IFERROR(__xludf.DUMMYFUNCTION("IFNA(vlookup(H1256,IMPORTRANGE(""1vUGwO1n0QQGx9kKbO0_M5gmuhXZ6-LaxQxgrmJnzgP0"",""'TP# look up'!A:C""),3,0),"""")"),"")</f>
        <v/>
      </c>
      <c r="AH1256" s="49">
        <f>LEFT(J1256,2)</f>
        <v/>
      </c>
    </row>
    <row r="1257" ht="12.75" customHeight="1">
      <c r="H1257" s="43" t="n"/>
      <c r="AG1257" s="49">
        <f>IFERROR(__xludf.DUMMYFUNCTION("IFNA(vlookup(H1257,IMPORTRANGE(""1vUGwO1n0QQGx9kKbO0_M5gmuhXZ6-LaxQxgrmJnzgP0"",""'TP# look up'!A:C""),3,0),"""")"),"")</f>
        <v/>
      </c>
      <c r="AH1257" s="49">
        <f>LEFT(J1257,2)</f>
        <v/>
      </c>
    </row>
    <row r="1258" ht="12.75" customHeight="1">
      <c r="H1258" s="43" t="n"/>
      <c r="AG1258" s="49">
        <f>IFERROR(__xludf.DUMMYFUNCTION("IFNA(vlookup(H1258,IMPORTRANGE(""1vUGwO1n0QQGx9kKbO0_M5gmuhXZ6-LaxQxgrmJnzgP0"",""'TP# look up'!A:C""),3,0),"""")"),"")</f>
        <v/>
      </c>
      <c r="AH1258" s="49">
        <f>LEFT(J1258,2)</f>
        <v/>
      </c>
    </row>
    <row r="1259" ht="12.75" customHeight="1">
      <c r="H1259" s="43" t="n"/>
      <c r="AG1259" s="49">
        <f>IFERROR(__xludf.DUMMYFUNCTION("IFNA(vlookup(H1259,IMPORTRANGE(""1vUGwO1n0QQGx9kKbO0_M5gmuhXZ6-LaxQxgrmJnzgP0"",""'TP# look up'!A:C""),3,0),"""")"),"")</f>
        <v/>
      </c>
      <c r="AH1259" s="49">
        <f>LEFT(J1259,2)</f>
        <v/>
      </c>
    </row>
    <row r="1260" ht="12.75" customHeight="1">
      <c r="H1260" s="43" t="n"/>
      <c r="AG1260" s="49">
        <f>IFERROR(__xludf.DUMMYFUNCTION("IFNA(vlookup(H1260,IMPORTRANGE(""1vUGwO1n0QQGx9kKbO0_M5gmuhXZ6-LaxQxgrmJnzgP0"",""'TP# look up'!A:C""),3,0),"""")"),"")</f>
        <v/>
      </c>
      <c r="AH1260" s="49">
        <f>LEFT(J1260,2)</f>
        <v/>
      </c>
    </row>
    <row r="1261" ht="12.75" customHeight="1">
      <c r="H1261" s="43" t="n"/>
      <c r="AG1261" s="49">
        <f>IFERROR(__xludf.DUMMYFUNCTION("IFNA(vlookup(H1261,IMPORTRANGE(""1vUGwO1n0QQGx9kKbO0_M5gmuhXZ6-LaxQxgrmJnzgP0"",""'TP# look up'!A:C""),3,0),"""")"),"")</f>
        <v/>
      </c>
      <c r="AH1261" s="49">
        <f>LEFT(J1261,2)</f>
        <v/>
      </c>
    </row>
    <row r="1262" ht="12.75" customHeight="1">
      <c r="H1262" s="43" t="n"/>
      <c r="AG1262" s="49">
        <f>IFERROR(__xludf.DUMMYFUNCTION("IFNA(vlookup(H1262,IMPORTRANGE(""1vUGwO1n0QQGx9kKbO0_M5gmuhXZ6-LaxQxgrmJnzgP0"",""'TP# look up'!A:C""),3,0),"""")"),"")</f>
        <v/>
      </c>
      <c r="AH1262" s="49">
        <f>LEFT(J1262,2)</f>
        <v/>
      </c>
    </row>
    <row r="1263" ht="12.75" customHeight="1">
      <c r="H1263" s="43" t="n"/>
      <c r="AG1263" s="49">
        <f>IFERROR(__xludf.DUMMYFUNCTION("IFNA(vlookup(H1263,IMPORTRANGE(""1vUGwO1n0QQGx9kKbO0_M5gmuhXZ6-LaxQxgrmJnzgP0"",""'TP# look up'!A:C""),3,0),"""")"),"")</f>
        <v/>
      </c>
      <c r="AH1263" s="49">
        <f>LEFT(J1263,2)</f>
        <v/>
      </c>
    </row>
    <row r="1264" ht="12.75" customHeight="1">
      <c r="H1264" s="43" t="n"/>
      <c r="AG1264" s="49">
        <f>IFERROR(__xludf.DUMMYFUNCTION("IFNA(vlookup(H1264,IMPORTRANGE(""1vUGwO1n0QQGx9kKbO0_M5gmuhXZ6-LaxQxgrmJnzgP0"",""'TP# look up'!A:C""),3,0),"""")"),"")</f>
        <v/>
      </c>
      <c r="AH1264" s="49">
        <f>LEFT(J1264,2)</f>
        <v/>
      </c>
    </row>
    <row r="1265" ht="12.75" customHeight="1">
      <c r="H1265" s="43" t="n"/>
      <c r="AG1265" s="49">
        <f>IFERROR(__xludf.DUMMYFUNCTION("IFNA(vlookup(H1265,IMPORTRANGE(""1vUGwO1n0QQGx9kKbO0_M5gmuhXZ6-LaxQxgrmJnzgP0"",""'TP# look up'!A:C""),3,0),"""")"),"")</f>
        <v/>
      </c>
      <c r="AH1265" s="49">
        <f>LEFT(J1265,2)</f>
        <v/>
      </c>
    </row>
    <row r="1266" ht="12.75" customHeight="1">
      <c r="H1266" s="43" t="n"/>
      <c r="AG1266" s="49">
        <f>IFERROR(__xludf.DUMMYFUNCTION("IFNA(vlookup(H1266,IMPORTRANGE(""1vUGwO1n0QQGx9kKbO0_M5gmuhXZ6-LaxQxgrmJnzgP0"",""'TP# look up'!A:C""),3,0),"""")"),"")</f>
        <v/>
      </c>
      <c r="AH1266" s="49">
        <f>LEFT(J1266,2)</f>
        <v/>
      </c>
    </row>
    <row r="1267" ht="12.75" customHeight="1">
      <c r="H1267" s="43" t="n"/>
      <c r="AG1267" s="49">
        <f>IFERROR(__xludf.DUMMYFUNCTION("IFNA(vlookup(H1267,IMPORTRANGE(""1vUGwO1n0QQGx9kKbO0_M5gmuhXZ6-LaxQxgrmJnzgP0"",""'TP# look up'!A:C""),3,0),"""")"),"")</f>
        <v/>
      </c>
      <c r="AH1267" s="49">
        <f>LEFT(J1267,2)</f>
        <v/>
      </c>
    </row>
    <row r="1268" ht="12.75" customHeight="1">
      <c r="H1268" s="43" t="n"/>
      <c r="AG1268" s="49">
        <f>IFERROR(__xludf.DUMMYFUNCTION("IFNA(vlookup(H1268,IMPORTRANGE(""1vUGwO1n0QQGx9kKbO0_M5gmuhXZ6-LaxQxgrmJnzgP0"",""'TP# look up'!A:C""),3,0),"""")"),"")</f>
        <v/>
      </c>
      <c r="AH1268" s="49">
        <f>LEFT(J1268,2)</f>
        <v/>
      </c>
    </row>
    <row r="1269" ht="12.75" customHeight="1">
      <c r="H1269" s="43" t="n"/>
      <c r="AG1269" s="49">
        <f>IFERROR(__xludf.DUMMYFUNCTION("IFNA(vlookup(H1269,IMPORTRANGE(""1vUGwO1n0QQGx9kKbO0_M5gmuhXZ6-LaxQxgrmJnzgP0"",""'TP# look up'!A:C""),3,0),"""")"),"")</f>
        <v/>
      </c>
      <c r="AH1269" s="49">
        <f>LEFT(J1269,2)</f>
        <v/>
      </c>
    </row>
    <row r="1270" ht="12.75" customHeight="1">
      <c r="H1270" s="43" t="n"/>
      <c r="AG1270" s="49">
        <f>IFERROR(__xludf.DUMMYFUNCTION("IFNA(vlookup(H1270,IMPORTRANGE(""1vUGwO1n0QQGx9kKbO0_M5gmuhXZ6-LaxQxgrmJnzgP0"",""'TP# look up'!A:C""),3,0),"""")"),"")</f>
        <v/>
      </c>
      <c r="AH1270" s="49">
        <f>LEFT(J1270,2)</f>
        <v/>
      </c>
    </row>
    <row r="1271" ht="12.75" customHeight="1">
      <c r="H1271" s="43" t="n"/>
      <c r="AG1271" s="49">
        <f>IFERROR(__xludf.DUMMYFUNCTION("IFNA(vlookup(H1271,IMPORTRANGE(""1vUGwO1n0QQGx9kKbO0_M5gmuhXZ6-LaxQxgrmJnzgP0"",""'TP# look up'!A:C""),3,0),"""")"),"")</f>
        <v/>
      </c>
      <c r="AH1271" s="49">
        <f>LEFT(J1271,2)</f>
        <v/>
      </c>
    </row>
    <row r="1272" ht="12.75" customHeight="1">
      <c r="H1272" s="43" t="n"/>
      <c r="AG1272" s="49">
        <f>IFERROR(__xludf.DUMMYFUNCTION("IFNA(vlookup(H1272,IMPORTRANGE(""1vUGwO1n0QQGx9kKbO0_M5gmuhXZ6-LaxQxgrmJnzgP0"",""'TP# look up'!A:C""),3,0),"""")"),"")</f>
        <v/>
      </c>
      <c r="AH1272" s="49">
        <f>LEFT(J1272,2)</f>
        <v/>
      </c>
    </row>
    <row r="1273" ht="12.75" customHeight="1">
      <c r="H1273" s="43" t="n"/>
      <c r="AG1273" s="49">
        <f>IFERROR(__xludf.DUMMYFUNCTION("IFNA(vlookup(H1273,IMPORTRANGE(""1vUGwO1n0QQGx9kKbO0_M5gmuhXZ6-LaxQxgrmJnzgP0"",""'TP# look up'!A:C""),3,0),"""")"),"")</f>
        <v/>
      </c>
      <c r="AH1273" s="49">
        <f>LEFT(J1273,2)</f>
        <v/>
      </c>
    </row>
    <row r="1274" ht="12.75" customHeight="1">
      <c r="H1274" s="43" t="n"/>
      <c r="AG1274" s="49">
        <f>IFERROR(__xludf.DUMMYFUNCTION("IFNA(vlookup(H1274,IMPORTRANGE(""1vUGwO1n0QQGx9kKbO0_M5gmuhXZ6-LaxQxgrmJnzgP0"",""'TP# look up'!A:C""),3,0),"""")"),"")</f>
        <v/>
      </c>
      <c r="AH1274" s="49">
        <f>LEFT(J1274,2)</f>
        <v/>
      </c>
    </row>
    <row r="1275" ht="12.75" customHeight="1">
      <c r="H1275" s="43" t="n"/>
      <c r="AG1275" s="49">
        <f>IFERROR(__xludf.DUMMYFUNCTION("IFNA(vlookup(H1275,IMPORTRANGE(""1vUGwO1n0QQGx9kKbO0_M5gmuhXZ6-LaxQxgrmJnzgP0"",""'TP# look up'!A:C""),3,0),"""")"),"")</f>
        <v/>
      </c>
      <c r="AH1275" s="49">
        <f>LEFT(J1275,2)</f>
        <v/>
      </c>
    </row>
    <row r="1276" ht="12.75" customHeight="1">
      <c r="H1276" s="43" t="n"/>
      <c r="AG1276" s="49">
        <f>IFERROR(__xludf.DUMMYFUNCTION("IFNA(vlookup(H1276,IMPORTRANGE(""1vUGwO1n0QQGx9kKbO0_M5gmuhXZ6-LaxQxgrmJnzgP0"",""'TP# look up'!A:C""),3,0),"""")"),"")</f>
        <v/>
      </c>
      <c r="AH1276" s="49">
        <f>LEFT(J1276,2)</f>
        <v/>
      </c>
    </row>
    <row r="1277" ht="12.75" customHeight="1">
      <c r="H1277" s="43" t="n"/>
      <c r="AG1277" s="49">
        <f>IFERROR(__xludf.DUMMYFUNCTION("IFNA(vlookup(H1277,IMPORTRANGE(""1vUGwO1n0QQGx9kKbO0_M5gmuhXZ6-LaxQxgrmJnzgP0"",""'TP# look up'!A:C""),3,0),"""")"),"")</f>
        <v/>
      </c>
      <c r="AH1277" s="49">
        <f>LEFT(J1277,2)</f>
        <v/>
      </c>
    </row>
    <row r="1278" ht="12.75" customHeight="1">
      <c r="H1278" s="43" t="n"/>
      <c r="AG1278" s="49">
        <f>IFERROR(__xludf.DUMMYFUNCTION("IFNA(vlookup(H1278,IMPORTRANGE(""1vUGwO1n0QQGx9kKbO0_M5gmuhXZ6-LaxQxgrmJnzgP0"",""'TP# look up'!A:C""),3,0),"""")"),"")</f>
        <v/>
      </c>
      <c r="AH1278" s="49">
        <f>LEFT(J1278,2)</f>
        <v/>
      </c>
    </row>
    <row r="1279" ht="12.75" customHeight="1">
      <c r="H1279" s="43" t="n"/>
      <c r="AG1279" s="49">
        <f>IFERROR(__xludf.DUMMYFUNCTION("IFNA(vlookup(H1279,IMPORTRANGE(""1vUGwO1n0QQGx9kKbO0_M5gmuhXZ6-LaxQxgrmJnzgP0"",""'TP# look up'!A:C""),3,0),"""")"),"")</f>
        <v/>
      </c>
      <c r="AH1279" s="49">
        <f>LEFT(J1279,2)</f>
        <v/>
      </c>
    </row>
    <row r="1280" ht="12.75" customHeight="1">
      <c r="H1280" s="43" t="n"/>
      <c r="AG1280" s="49">
        <f>IFERROR(__xludf.DUMMYFUNCTION("IFNA(vlookup(H1280,IMPORTRANGE(""1vUGwO1n0QQGx9kKbO0_M5gmuhXZ6-LaxQxgrmJnzgP0"",""'TP# look up'!A:C""),3,0),"""")"),"")</f>
        <v/>
      </c>
      <c r="AH1280" s="49">
        <f>LEFT(J1280,2)</f>
        <v/>
      </c>
    </row>
    <row r="1281" ht="12.75" customHeight="1">
      <c r="H1281" s="43" t="n"/>
      <c r="AG1281" s="49">
        <f>IFERROR(__xludf.DUMMYFUNCTION("IFNA(vlookup(H1281,IMPORTRANGE(""1vUGwO1n0QQGx9kKbO0_M5gmuhXZ6-LaxQxgrmJnzgP0"",""'TP# look up'!A:C""),3,0),"""")"),"")</f>
        <v/>
      </c>
      <c r="AH1281" s="49">
        <f>LEFT(J1281,2)</f>
        <v/>
      </c>
    </row>
    <row r="1282" ht="12.75" customHeight="1">
      <c r="H1282" s="43" t="n"/>
      <c r="AG1282" s="49">
        <f>IFERROR(__xludf.DUMMYFUNCTION("IFNA(vlookup(H1282,IMPORTRANGE(""1vUGwO1n0QQGx9kKbO0_M5gmuhXZ6-LaxQxgrmJnzgP0"",""'TP# look up'!A:C""),3,0),"""")"),"")</f>
        <v/>
      </c>
      <c r="AH1282" s="49">
        <f>LEFT(J1282,2)</f>
        <v/>
      </c>
    </row>
    <row r="1283" ht="12.75" customHeight="1">
      <c r="H1283" s="43" t="n"/>
      <c r="AG1283" s="49">
        <f>IFERROR(__xludf.DUMMYFUNCTION("IFNA(vlookup(H1283,IMPORTRANGE(""1vUGwO1n0QQGx9kKbO0_M5gmuhXZ6-LaxQxgrmJnzgP0"",""'TP# look up'!A:C""),3,0),"""")"),"")</f>
        <v/>
      </c>
      <c r="AH1283" s="49">
        <f>LEFT(J1283,2)</f>
        <v/>
      </c>
    </row>
    <row r="1284" ht="12.75" customHeight="1">
      <c r="H1284" s="43" t="n"/>
      <c r="AG1284" s="49">
        <f>IFERROR(__xludf.DUMMYFUNCTION("IFNA(vlookup(H1284,IMPORTRANGE(""1vUGwO1n0QQGx9kKbO0_M5gmuhXZ6-LaxQxgrmJnzgP0"",""'TP# look up'!A:C""),3,0),"""")"),"")</f>
        <v/>
      </c>
      <c r="AH1284" s="49">
        <f>LEFT(J1284,2)</f>
        <v/>
      </c>
    </row>
    <row r="1285" ht="12.75" customHeight="1">
      <c r="H1285" s="43" t="n"/>
      <c r="AG1285" s="49">
        <f>IFERROR(__xludf.DUMMYFUNCTION("IFNA(vlookup(H1285,IMPORTRANGE(""1vUGwO1n0QQGx9kKbO0_M5gmuhXZ6-LaxQxgrmJnzgP0"",""'TP# look up'!A:C""),3,0),"""")"),"")</f>
        <v/>
      </c>
      <c r="AH1285" s="49">
        <f>LEFT(J1285,2)</f>
        <v/>
      </c>
    </row>
    <row r="1286" ht="12.75" customHeight="1">
      <c r="H1286" s="43" t="n"/>
      <c r="AG1286" s="49">
        <f>IFERROR(__xludf.DUMMYFUNCTION("IFNA(vlookup(H1286,IMPORTRANGE(""1vUGwO1n0QQGx9kKbO0_M5gmuhXZ6-LaxQxgrmJnzgP0"",""'TP# look up'!A:C""),3,0),"""")"),"")</f>
        <v/>
      </c>
      <c r="AH1286" s="49">
        <f>LEFT(J1286,2)</f>
        <v/>
      </c>
    </row>
    <row r="1287" ht="12.75" customHeight="1">
      <c r="H1287" s="43" t="n"/>
      <c r="AG1287" s="49">
        <f>IFERROR(__xludf.DUMMYFUNCTION("IFNA(vlookup(H1287,IMPORTRANGE(""1vUGwO1n0QQGx9kKbO0_M5gmuhXZ6-LaxQxgrmJnzgP0"",""'TP# look up'!A:C""),3,0),"""")"),"")</f>
        <v/>
      </c>
      <c r="AH1287" s="49">
        <f>LEFT(J1287,2)</f>
        <v/>
      </c>
    </row>
    <row r="1288" ht="12.75" customHeight="1">
      <c r="H1288" s="43" t="n"/>
      <c r="AG1288" s="49">
        <f>IFERROR(__xludf.DUMMYFUNCTION("IFNA(vlookup(H1288,IMPORTRANGE(""1vUGwO1n0QQGx9kKbO0_M5gmuhXZ6-LaxQxgrmJnzgP0"",""'TP# look up'!A:C""),3,0),"""")"),"")</f>
        <v/>
      </c>
      <c r="AH1288" s="49">
        <f>LEFT(J1288,2)</f>
        <v/>
      </c>
    </row>
    <row r="1289" ht="12.75" customHeight="1">
      <c r="H1289" s="43" t="n"/>
      <c r="AG1289" s="49">
        <f>IFERROR(__xludf.DUMMYFUNCTION("IFNA(vlookup(H1289,IMPORTRANGE(""1vUGwO1n0QQGx9kKbO0_M5gmuhXZ6-LaxQxgrmJnzgP0"",""'TP# look up'!A:C""),3,0),"""")"),"")</f>
        <v/>
      </c>
      <c r="AH1289" s="49">
        <f>LEFT(J1289,2)</f>
        <v/>
      </c>
    </row>
    <row r="1290" ht="12.75" customHeight="1">
      <c r="H1290" s="43" t="n"/>
      <c r="AG1290" s="49">
        <f>IFERROR(__xludf.DUMMYFUNCTION("IFNA(vlookup(H1290,IMPORTRANGE(""1vUGwO1n0QQGx9kKbO0_M5gmuhXZ6-LaxQxgrmJnzgP0"",""'TP# look up'!A:C""),3,0),"""")"),"")</f>
        <v/>
      </c>
      <c r="AH1290" s="49">
        <f>LEFT(J1290,2)</f>
        <v/>
      </c>
    </row>
    <row r="1291" ht="12.75" customHeight="1">
      <c r="H1291" s="43" t="n"/>
      <c r="AG1291" s="49">
        <f>IFERROR(__xludf.DUMMYFUNCTION("IFNA(vlookup(H1291,IMPORTRANGE(""1vUGwO1n0QQGx9kKbO0_M5gmuhXZ6-LaxQxgrmJnzgP0"",""'TP# look up'!A:C""),3,0),"""")"),"")</f>
        <v/>
      </c>
      <c r="AH1291" s="49">
        <f>LEFT(J1291,2)</f>
        <v/>
      </c>
    </row>
    <row r="1292" ht="12.75" customHeight="1">
      <c r="H1292" s="43" t="n"/>
      <c r="AG1292" s="49">
        <f>IFERROR(__xludf.DUMMYFUNCTION("IFNA(vlookup(H1292,IMPORTRANGE(""1vUGwO1n0QQGx9kKbO0_M5gmuhXZ6-LaxQxgrmJnzgP0"",""'TP# look up'!A:C""),3,0),"""")"),"")</f>
        <v/>
      </c>
      <c r="AH1292" s="49">
        <f>LEFT(J1292,2)</f>
        <v/>
      </c>
    </row>
    <row r="1293" ht="12.75" customHeight="1">
      <c r="H1293" s="43" t="n"/>
      <c r="AG1293" s="49">
        <f>IFERROR(__xludf.DUMMYFUNCTION("IFNA(vlookup(H1293,IMPORTRANGE(""1vUGwO1n0QQGx9kKbO0_M5gmuhXZ6-LaxQxgrmJnzgP0"",""'TP# look up'!A:C""),3,0),"""")"),"")</f>
        <v/>
      </c>
      <c r="AH1293" s="49">
        <f>LEFT(J1293,2)</f>
        <v/>
      </c>
    </row>
    <row r="1294" ht="12.75" customHeight="1">
      <c r="H1294" s="43" t="n"/>
      <c r="AG1294" s="49">
        <f>IFERROR(__xludf.DUMMYFUNCTION("IFNA(vlookup(H1294,IMPORTRANGE(""1vUGwO1n0QQGx9kKbO0_M5gmuhXZ6-LaxQxgrmJnzgP0"",""'TP# look up'!A:C""),3,0),"""")"),"")</f>
        <v/>
      </c>
      <c r="AH1294" s="49">
        <f>LEFT(J1294,2)</f>
        <v/>
      </c>
    </row>
    <row r="1295" ht="12.75" customHeight="1">
      <c r="H1295" s="43" t="n"/>
      <c r="AG1295" s="49">
        <f>IFERROR(__xludf.DUMMYFUNCTION("IFNA(vlookup(H1295,IMPORTRANGE(""1vUGwO1n0QQGx9kKbO0_M5gmuhXZ6-LaxQxgrmJnzgP0"",""'TP# look up'!A:C""),3,0),"""")"),"")</f>
        <v/>
      </c>
      <c r="AH1295" s="49">
        <f>LEFT(J1295,2)</f>
        <v/>
      </c>
    </row>
    <row r="1296" ht="12.75" customHeight="1">
      <c r="H1296" s="43" t="n"/>
      <c r="AG1296" s="49">
        <f>IFERROR(__xludf.DUMMYFUNCTION("IFNA(vlookup(H1296,IMPORTRANGE(""1vUGwO1n0QQGx9kKbO0_M5gmuhXZ6-LaxQxgrmJnzgP0"",""'TP# look up'!A:C""),3,0),"""")"),"")</f>
        <v/>
      </c>
      <c r="AH1296" s="49">
        <f>LEFT(J1296,2)</f>
        <v/>
      </c>
    </row>
    <row r="1297" ht="12.75" customHeight="1">
      <c r="H1297" s="43" t="n"/>
      <c r="AG1297" s="49">
        <f>IFERROR(__xludf.DUMMYFUNCTION("IFNA(vlookup(H1297,IMPORTRANGE(""1vUGwO1n0QQGx9kKbO0_M5gmuhXZ6-LaxQxgrmJnzgP0"",""'TP# look up'!A:C""),3,0),"""")"),"")</f>
        <v/>
      </c>
      <c r="AH1297" s="49">
        <f>LEFT(J1297,2)</f>
        <v/>
      </c>
    </row>
    <row r="1298" ht="12.75" customHeight="1">
      <c r="H1298" s="43" t="n"/>
      <c r="AG1298" s="49">
        <f>IFERROR(__xludf.DUMMYFUNCTION("IFNA(vlookup(H1298,IMPORTRANGE(""1vUGwO1n0QQGx9kKbO0_M5gmuhXZ6-LaxQxgrmJnzgP0"",""'TP# look up'!A:C""),3,0),"""")"),"")</f>
        <v/>
      </c>
      <c r="AH1298" s="49">
        <f>LEFT(J1298,2)</f>
        <v/>
      </c>
    </row>
    <row r="1299" ht="12.75" customHeight="1">
      <c r="H1299" s="43" t="n"/>
      <c r="AG1299" s="49">
        <f>IFERROR(__xludf.DUMMYFUNCTION("IFNA(vlookup(H1299,IMPORTRANGE(""1vUGwO1n0QQGx9kKbO0_M5gmuhXZ6-LaxQxgrmJnzgP0"",""'TP# look up'!A:C""),3,0),"""")"),"")</f>
        <v/>
      </c>
      <c r="AH1299" s="49">
        <f>LEFT(J1299,2)</f>
        <v/>
      </c>
    </row>
    <row r="1300" ht="12.75" customHeight="1">
      <c r="H1300" s="43" t="n"/>
      <c r="AG1300" s="49">
        <f>IFERROR(__xludf.DUMMYFUNCTION("IFNA(vlookup(H1300,IMPORTRANGE(""1vUGwO1n0QQGx9kKbO0_M5gmuhXZ6-LaxQxgrmJnzgP0"",""'TP# look up'!A:C""),3,0),"""")"),"")</f>
        <v/>
      </c>
      <c r="AH1300" s="49">
        <f>LEFT(J1300,2)</f>
        <v/>
      </c>
    </row>
    <row r="1301" ht="12.75" customHeight="1">
      <c r="H1301" s="43" t="n"/>
      <c r="AG1301" s="49">
        <f>IFERROR(__xludf.DUMMYFUNCTION("IFNA(vlookup(H1301,IMPORTRANGE(""1vUGwO1n0QQGx9kKbO0_M5gmuhXZ6-LaxQxgrmJnzgP0"",""'TP# look up'!A:C""),3,0),"""")"),"")</f>
        <v/>
      </c>
      <c r="AH1301" s="49">
        <f>LEFT(J1301,2)</f>
        <v/>
      </c>
    </row>
    <row r="1302" ht="12.75" customHeight="1">
      <c r="H1302" s="43" t="n"/>
      <c r="AG1302" s="49">
        <f>IFERROR(__xludf.DUMMYFUNCTION("IFNA(vlookup(H1302,IMPORTRANGE(""1vUGwO1n0QQGx9kKbO0_M5gmuhXZ6-LaxQxgrmJnzgP0"",""'TP# look up'!A:C""),3,0),"""")"),"")</f>
        <v/>
      </c>
      <c r="AH1302" s="49">
        <f>LEFT(J1302,2)</f>
        <v/>
      </c>
    </row>
    <row r="1303" ht="12.75" customHeight="1">
      <c r="H1303" s="43" t="n"/>
      <c r="AG1303" s="49">
        <f>IFERROR(__xludf.DUMMYFUNCTION("IFNA(vlookup(H1303,IMPORTRANGE(""1vUGwO1n0QQGx9kKbO0_M5gmuhXZ6-LaxQxgrmJnzgP0"",""'TP# look up'!A:C""),3,0),"""")"),"")</f>
        <v/>
      </c>
      <c r="AH1303" s="49">
        <f>LEFT(J1303,2)</f>
        <v/>
      </c>
    </row>
    <row r="1304" ht="12.75" customHeight="1">
      <c r="H1304" s="43" t="n"/>
      <c r="AG1304" s="49">
        <f>IFERROR(__xludf.DUMMYFUNCTION("IFNA(vlookup(H1304,IMPORTRANGE(""1vUGwO1n0QQGx9kKbO0_M5gmuhXZ6-LaxQxgrmJnzgP0"",""'TP# look up'!A:C""),3,0),"""")"),"")</f>
        <v/>
      </c>
      <c r="AH1304" s="49">
        <f>LEFT(J1304,2)</f>
        <v/>
      </c>
    </row>
    <row r="1305" ht="12.75" customHeight="1">
      <c r="H1305" s="43" t="n"/>
      <c r="AG1305" s="49">
        <f>IFERROR(__xludf.DUMMYFUNCTION("IFNA(vlookup(H1305,IMPORTRANGE(""1vUGwO1n0QQGx9kKbO0_M5gmuhXZ6-LaxQxgrmJnzgP0"",""'TP# look up'!A:C""),3,0),"""")"),"")</f>
        <v/>
      </c>
      <c r="AH1305" s="49">
        <f>LEFT(J1305,2)</f>
        <v/>
      </c>
    </row>
    <row r="1306" ht="12.75" customHeight="1">
      <c r="H1306" s="43" t="n"/>
      <c r="AG1306" s="49">
        <f>IFERROR(__xludf.DUMMYFUNCTION("IFNA(vlookup(H1306,IMPORTRANGE(""1vUGwO1n0QQGx9kKbO0_M5gmuhXZ6-LaxQxgrmJnzgP0"",""'TP# look up'!A:C""),3,0),"""")"),"")</f>
        <v/>
      </c>
      <c r="AH1306" s="49">
        <f>LEFT(J1306,2)</f>
        <v/>
      </c>
    </row>
    <row r="1307" ht="12.75" customHeight="1">
      <c r="H1307" s="43" t="n"/>
      <c r="AG1307" s="49">
        <f>IFERROR(__xludf.DUMMYFUNCTION("IFNA(vlookup(H1307,IMPORTRANGE(""1vUGwO1n0QQGx9kKbO0_M5gmuhXZ6-LaxQxgrmJnzgP0"",""'TP# look up'!A:C""),3,0),"""")"),"")</f>
        <v/>
      </c>
      <c r="AH1307" s="49">
        <f>LEFT(J1307,2)</f>
        <v/>
      </c>
    </row>
    <row r="1308" ht="12.75" customHeight="1">
      <c r="H1308" s="43" t="n"/>
      <c r="AG1308" s="49">
        <f>IFERROR(__xludf.DUMMYFUNCTION("IFNA(vlookup(H1308,IMPORTRANGE(""1vUGwO1n0QQGx9kKbO0_M5gmuhXZ6-LaxQxgrmJnzgP0"",""'TP# look up'!A:C""),3,0),"""")"),"")</f>
        <v/>
      </c>
      <c r="AH1308" s="49">
        <f>LEFT(J1308,2)</f>
        <v/>
      </c>
    </row>
    <row r="1309" ht="12.75" customHeight="1">
      <c r="H1309" s="43" t="n"/>
      <c r="AG1309" s="49">
        <f>IFERROR(__xludf.DUMMYFUNCTION("IFNA(vlookup(H1309,IMPORTRANGE(""1vUGwO1n0QQGx9kKbO0_M5gmuhXZ6-LaxQxgrmJnzgP0"",""'TP# look up'!A:C""),3,0),"""")"),"")</f>
        <v/>
      </c>
      <c r="AH1309" s="49">
        <f>LEFT(J1309,2)</f>
        <v/>
      </c>
    </row>
    <row r="1310" ht="12.75" customHeight="1">
      <c r="H1310" s="43" t="n"/>
      <c r="AG1310" s="49">
        <f>IFERROR(__xludf.DUMMYFUNCTION("IFNA(vlookup(H1310,IMPORTRANGE(""1vUGwO1n0QQGx9kKbO0_M5gmuhXZ6-LaxQxgrmJnzgP0"",""'TP# look up'!A:C""),3,0),"""")"),"")</f>
        <v/>
      </c>
      <c r="AH1310" s="49">
        <f>LEFT(J1310,2)</f>
        <v/>
      </c>
    </row>
    <row r="1311" ht="12.75" customHeight="1">
      <c r="H1311" s="43" t="n"/>
      <c r="AG1311" s="49">
        <f>IFERROR(__xludf.DUMMYFUNCTION("IFNA(vlookup(H1311,IMPORTRANGE(""1vUGwO1n0QQGx9kKbO0_M5gmuhXZ6-LaxQxgrmJnzgP0"",""'TP# look up'!A:C""),3,0),"""")"),"")</f>
        <v/>
      </c>
      <c r="AH1311" s="49">
        <f>LEFT(J1311,2)</f>
        <v/>
      </c>
    </row>
    <row r="1312" ht="12.75" customHeight="1">
      <c r="H1312" s="43" t="n"/>
      <c r="AG1312" s="49">
        <f>IFERROR(__xludf.DUMMYFUNCTION("IFNA(vlookup(H1312,IMPORTRANGE(""1vUGwO1n0QQGx9kKbO0_M5gmuhXZ6-LaxQxgrmJnzgP0"",""'TP# look up'!A:C""),3,0),"""")"),"")</f>
        <v/>
      </c>
      <c r="AH1312" s="49">
        <f>LEFT(J1312,2)</f>
        <v/>
      </c>
    </row>
    <row r="1313" ht="12.75" customHeight="1">
      <c r="H1313" s="43" t="n"/>
      <c r="AG1313" s="49">
        <f>IFERROR(__xludf.DUMMYFUNCTION("IFNA(vlookup(H1313,IMPORTRANGE(""1vUGwO1n0QQGx9kKbO0_M5gmuhXZ6-LaxQxgrmJnzgP0"",""'TP# look up'!A:C""),3,0),"""")"),"")</f>
        <v/>
      </c>
      <c r="AH1313" s="49">
        <f>LEFT(J1313,2)</f>
        <v/>
      </c>
    </row>
    <row r="1314" ht="12.75" customHeight="1">
      <c r="H1314" s="43" t="n"/>
      <c r="AG1314" s="49">
        <f>IFERROR(__xludf.DUMMYFUNCTION("IFNA(vlookup(H1314,IMPORTRANGE(""1vUGwO1n0QQGx9kKbO0_M5gmuhXZ6-LaxQxgrmJnzgP0"",""'TP# look up'!A:C""),3,0),"""")"),"")</f>
        <v/>
      </c>
      <c r="AH1314" s="49">
        <f>LEFT(J1314,2)</f>
        <v/>
      </c>
    </row>
    <row r="1315" ht="12.75" customHeight="1">
      <c r="H1315" s="43" t="n"/>
      <c r="AG1315" s="49">
        <f>IFERROR(__xludf.DUMMYFUNCTION("IFNA(vlookup(H1315,IMPORTRANGE(""1vUGwO1n0QQGx9kKbO0_M5gmuhXZ6-LaxQxgrmJnzgP0"",""'TP# look up'!A:C""),3,0),"""")"),"")</f>
        <v/>
      </c>
      <c r="AH1315" s="49">
        <f>LEFT(J1315,2)</f>
        <v/>
      </c>
    </row>
    <row r="1316" ht="12.75" customHeight="1">
      <c r="H1316" s="43" t="n"/>
      <c r="AG1316" s="49">
        <f>IFERROR(__xludf.DUMMYFUNCTION("IFNA(vlookup(H1316,IMPORTRANGE(""1vUGwO1n0QQGx9kKbO0_M5gmuhXZ6-LaxQxgrmJnzgP0"",""'TP# look up'!A:C""),3,0),"""")"),"")</f>
        <v/>
      </c>
      <c r="AH1316" s="49">
        <f>LEFT(J1316,2)</f>
        <v/>
      </c>
    </row>
    <row r="1317" ht="12.75" customHeight="1">
      <c r="H1317" s="43" t="n"/>
      <c r="AG1317" s="49">
        <f>IFERROR(__xludf.DUMMYFUNCTION("IFNA(vlookup(H1317,IMPORTRANGE(""1vUGwO1n0QQGx9kKbO0_M5gmuhXZ6-LaxQxgrmJnzgP0"",""'TP# look up'!A:C""),3,0),"""")"),"")</f>
        <v/>
      </c>
      <c r="AH1317" s="49">
        <f>LEFT(J1317,2)</f>
        <v/>
      </c>
    </row>
    <row r="1318" ht="12.75" customHeight="1">
      <c r="H1318" s="43" t="n"/>
      <c r="AG1318" s="49">
        <f>IFERROR(__xludf.DUMMYFUNCTION("IFNA(vlookup(H1318,IMPORTRANGE(""1vUGwO1n0QQGx9kKbO0_M5gmuhXZ6-LaxQxgrmJnzgP0"",""'TP# look up'!A:C""),3,0),"""")"),"")</f>
        <v/>
      </c>
      <c r="AH1318" s="49">
        <f>LEFT(J1318,2)</f>
        <v/>
      </c>
    </row>
    <row r="1319" ht="12.75" customHeight="1">
      <c r="H1319" s="43" t="n"/>
      <c r="AG1319" s="49">
        <f>IFERROR(__xludf.DUMMYFUNCTION("IFNA(vlookup(H1319,IMPORTRANGE(""1vUGwO1n0QQGx9kKbO0_M5gmuhXZ6-LaxQxgrmJnzgP0"",""'TP# look up'!A:C""),3,0),"""")"),"")</f>
        <v/>
      </c>
      <c r="AH1319" s="49">
        <f>LEFT(J1319,2)</f>
        <v/>
      </c>
    </row>
    <row r="1320" ht="12.75" customHeight="1">
      <c r="H1320" s="43" t="n"/>
      <c r="AG1320" s="49">
        <f>IFERROR(__xludf.DUMMYFUNCTION("IFNA(vlookup(H1320,IMPORTRANGE(""1vUGwO1n0QQGx9kKbO0_M5gmuhXZ6-LaxQxgrmJnzgP0"",""'TP# look up'!A:C""),3,0),"""")"),"")</f>
        <v/>
      </c>
      <c r="AH1320" s="49">
        <f>LEFT(J1320,2)</f>
        <v/>
      </c>
    </row>
    <row r="1321" ht="12.75" customHeight="1">
      <c r="H1321" s="43" t="n"/>
      <c r="AG1321" s="49">
        <f>IFERROR(__xludf.DUMMYFUNCTION("IFNA(vlookup(H1321,IMPORTRANGE(""1vUGwO1n0QQGx9kKbO0_M5gmuhXZ6-LaxQxgrmJnzgP0"",""'TP# look up'!A:C""),3,0),"""")"),"")</f>
        <v/>
      </c>
      <c r="AH1321" s="49">
        <f>LEFT(J1321,2)</f>
        <v/>
      </c>
    </row>
    <row r="1322" ht="12.75" customHeight="1">
      <c r="H1322" s="43" t="n"/>
      <c r="AG1322" s="49">
        <f>IFERROR(__xludf.DUMMYFUNCTION("IFNA(vlookup(H1322,IMPORTRANGE(""1vUGwO1n0QQGx9kKbO0_M5gmuhXZ6-LaxQxgrmJnzgP0"",""'TP# look up'!A:C""),3,0),"""")"),"")</f>
        <v/>
      </c>
      <c r="AH1322" s="49">
        <f>LEFT(J1322,2)</f>
        <v/>
      </c>
    </row>
    <row r="1323" ht="12.75" customHeight="1">
      <c r="H1323" s="43" t="n"/>
      <c r="AG1323" s="49">
        <f>IFERROR(__xludf.DUMMYFUNCTION("IFNA(vlookup(H1323,IMPORTRANGE(""1vUGwO1n0QQGx9kKbO0_M5gmuhXZ6-LaxQxgrmJnzgP0"",""'TP# look up'!A:C""),3,0),"""")"),"")</f>
        <v/>
      </c>
      <c r="AH1323" s="49">
        <f>LEFT(J1323,2)</f>
        <v/>
      </c>
    </row>
    <row r="1324" ht="12.75" customHeight="1">
      <c r="H1324" s="43" t="n"/>
      <c r="AG1324" s="49">
        <f>IFERROR(__xludf.DUMMYFUNCTION("IFNA(vlookup(H1324,IMPORTRANGE(""1vUGwO1n0QQGx9kKbO0_M5gmuhXZ6-LaxQxgrmJnzgP0"",""'TP# look up'!A:C""),3,0),"""")"),"")</f>
        <v/>
      </c>
      <c r="AH1324" s="49">
        <f>LEFT(J1324,2)</f>
        <v/>
      </c>
    </row>
    <row r="1325" ht="12.75" customHeight="1">
      <c r="H1325" s="43" t="n"/>
      <c r="AG1325" s="49">
        <f>IFERROR(__xludf.DUMMYFUNCTION("IFNA(vlookup(H1325,IMPORTRANGE(""1vUGwO1n0QQGx9kKbO0_M5gmuhXZ6-LaxQxgrmJnzgP0"",""'TP# look up'!A:C""),3,0),"""")"),"")</f>
        <v/>
      </c>
      <c r="AH1325" s="49">
        <f>LEFT(J1325,2)</f>
        <v/>
      </c>
    </row>
    <row r="1326" ht="12.75" customHeight="1">
      <c r="H1326" s="43" t="n"/>
      <c r="AG1326" s="49">
        <f>IFERROR(__xludf.DUMMYFUNCTION("IFNA(vlookup(H1326,IMPORTRANGE(""1vUGwO1n0QQGx9kKbO0_M5gmuhXZ6-LaxQxgrmJnzgP0"",""'TP# look up'!A:C""),3,0),"""")"),"")</f>
        <v/>
      </c>
      <c r="AH1326" s="49">
        <f>LEFT(J1326,2)</f>
        <v/>
      </c>
    </row>
    <row r="1327" ht="12.75" customHeight="1">
      <c r="H1327" s="43" t="n"/>
      <c r="AG1327" s="49">
        <f>IFERROR(__xludf.DUMMYFUNCTION("IFNA(vlookup(H1327,IMPORTRANGE(""1vUGwO1n0QQGx9kKbO0_M5gmuhXZ6-LaxQxgrmJnzgP0"",""'TP# look up'!A:C""),3,0),"""")"),"")</f>
        <v/>
      </c>
      <c r="AH1327" s="49">
        <f>LEFT(J1327,2)</f>
        <v/>
      </c>
    </row>
    <row r="1328" ht="12.75" customHeight="1">
      <c r="H1328" s="43" t="n"/>
      <c r="AG1328" s="49">
        <f>IFERROR(__xludf.DUMMYFUNCTION("IFNA(vlookup(H1328,IMPORTRANGE(""1vUGwO1n0QQGx9kKbO0_M5gmuhXZ6-LaxQxgrmJnzgP0"",""'TP# look up'!A:C""),3,0),"""")"),"")</f>
        <v/>
      </c>
      <c r="AH1328" s="49">
        <f>LEFT(J1328,2)</f>
        <v/>
      </c>
    </row>
    <row r="1329" ht="12.75" customHeight="1">
      <c r="H1329" s="43" t="n"/>
      <c r="AG1329" s="49">
        <f>IFERROR(__xludf.DUMMYFUNCTION("IFNA(vlookup(H1329,IMPORTRANGE(""1vUGwO1n0QQGx9kKbO0_M5gmuhXZ6-LaxQxgrmJnzgP0"",""'TP# look up'!A:C""),3,0),"""")"),"")</f>
        <v/>
      </c>
      <c r="AH1329" s="49">
        <f>LEFT(J1329,2)</f>
        <v/>
      </c>
    </row>
    <row r="1330" ht="12.75" customHeight="1">
      <c r="H1330" s="43" t="n"/>
      <c r="AG1330" s="49">
        <f>IFERROR(__xludf.DUMMYFUNCTION("IFNA(vlookup(H1330,IMPORTRANGE(""1vUGwO1n0QQGx9kKbO0_M5gmuhXZ6-LaxQxgrmJnzgP0"",""'TP# look up'!A:C""),3,0),"""")"),"")</f>
        <v/>
      </c>
      <c r="AH1330" s="49">
        <f>LEFT(J1330,2)</f>
        <v/>
      </c>
    </row>
    <row r="1331" ht="12.75" customHeight="1">
      <c r="H1331" s="43" t="n"/>
      <c r="AG1331" s="49">
        <f>IFERROR(__xludf.DUMMYFUNCTION("IFNA(vlookup(H1331,IMPORTRANGE(""1vUGwO1n0QQGx9kKbO0_M5gmuhXZ6-LaxQxgrmJnzgP0"",""'TP# look up'!A:C""),3,0),"""")"),"")</f>
        <v/>
      </c>
      <c r="AH1331" s="49">
        <f>LEFT(J1331,2)</f>
        <v/>
      </c>
    </row>
    <row r="1332" ht="12.75" customHeight="1">
      <c r="H1332" s="43" t="n"/>
      <c r="AG1332" s="49">
        <f>IFERROR(__xludf.DUMMYFUNCTION("IFNA(vlookup(H1332,IMPORTRANGE(""1vUGwO1n0QQGx9kKbO0_M5gmuhXZ6-LaxQxgrmJnzgP0"",""'TP# look up'!A:C""),3,0),"""")"),"")</f>
        <v/>
      </c>
      <c r="AH1332" s="49">
        <f>LEFT(J1332,2)</f>
        <v/>
      </c>
    </row>
    <row r="1333" ht="12.75" customHeight="1">
      <c r="H1333" s="43" t="n"/>
      <c r="AG1333" s="49">
        <f>IFERROR(__xludf.DUMMYFUNCTION("IFNA(vlookup(H1333,IMPORTRANGE(""1vUGwO1n0QQGx9kKbO0_M5gmuhXZ6-LaxQxgrmJnzgP0"",""'TP# look up'!A:C""),3,0),"""")"),"")</f>
        <v/>
      </c>
      <c r="AH1333" s="49">
        <f>LEFT(J1333,2)</f>
        <v/>
      </c>
    </row>
    <row r="1334" ht="12.75" customHeight="1">
      <c r="H1334" s="43" t="n"/>
      <c r="AG1334" s="49">
        <f>IFERROR(__xludf.DUMMYFUNCTION("IFNA(vlookup(H1334,IMPORTRANGE(""1vUGwO1n0QQGx9kKbO0_M5gmuhXZ6-LaxQxgrmJnzgP0"",""'TP# look up'!A:C""),3,0),"""")"),"")</f>
        <v/>
      </c>
      <c r="AH1334" s="49">
        <f>LEFT(J1334,2)</f>
        <v/>
      </c>
    </row>
    <row r="1335" ht="12.75" customHeight="1">
      <c r="H1335" s="43" t="n"/>
      <c r="AG1335" s="49">
        <f>IFERROR(__xludf.DUMMYFUNCTION("IFNA(vlookup(H1335,IMPORTRANGE(""1vUGwO1n0QQGx9kKbO0_M5gmuhXZ6-LaxQxgrmJnzgP0"",""'TP# look up'!A:C""),3,0),"""")"),"")</f>
        <v/>
      </c>
      <c r="AH1335" s="49">
        <f>LEFT(J1335,2)</f>
        <v/>
      </c>
    </row>
    <row r="1336" ht="12.75" customHeight="1">
      <c r="H1336" s="43" t="n"/>
      <c r="AG1336" s="49">
        <f>IFERROR(__xludf.DUMMYFUNCTION("IFNA(vlookup(H1336,IMPORTRANGE(""1vUGwO1n0QQGx9kKbO0_M5gmuhXZ6-LaxQxgrmJnzgP0"",""'TP# look up'!A:C""),3,0),"""")"),"")</f>
        <v/>
      </c>
      <c r="AH1336" s="49">
        <f>LEFT(J1336,2)</f>
        <v/>
      </c>
    </row>
    <row r="1337" ht="12.75" customHeight="1">
      <c r="H1337" s="43" t="n"/>
      <c r="AG1337" s="49">
        <f>IFERROR(__xludf.DUMMYFUNCTION("IFNA(vlookup(H1337,IMPORTRANGE(""1vUGwO1n0QQGx9kKbO0_M5gmuhXZ6-LaxQxgrmJnzgP0"",""'TP# look up'!A:C""),3,0),"""")"),"")</f>
        <v/>
      </c>
      <c r="AH1337" s="49">
        <f>LEFT(J1337,2)</f>
        <v/>
      </c>
    </row>
    <row r="1338" ht="12.75" customHeight="1">
      <c r="H1338" s="43" t="n"/>
      <c r="AG1338" s="49">
        <f>IFERROR(__xludf.DUMMYFUNCTION("IFNA(vlookup(H1338,IMPORTRANGE(""1vUGwO1n0QQGx9kKbO0_M5gmuhXZ6-LaxQxgrmJnzgP0"",""'TP# look up'!A:C""),3,0),"""")"),"")</f>
        <v/>
      </c>
      <c r="AH1338" s="49">
        <f>LEFT(J1338,2)</f>
        <v/>
      </c>
    </row>
    <row r="1339" ht="12.75" customHeight="1">
      <c r="H1339" s="43" t="n"/>
      <c r="AG1339" s="49">
        <f>IFERROR(__xludf.DUMMYFUNCTION("IFNA(vlookup(H1339,IMPORTRANGE(""1vUGwO1n0QQGx9kKbO0_M5gmuhXZ6-LaxQxgrmJnzgP0"",""'TP# look up'!A:C""),3,0),"""")"),"")</f>
        <v/>
      </c>
      <c r="AH1339" s="49">
        <f>LEFT(J1339,2)</f>
        <v/>
      </c>
    </row>
    <row r="1340" ht="12.75" customHeight="1">
      <c r="H1340" s="43" t="n"/>
      <c r="AG1340" s="49">
        <f>IFERROR(__xludf.DUMMYFUNCTION("IFNA(vlookup(H1340,IMPORTRANGE(""1vUGwO1n0QQGx9kKbO0_M5gmuhXZ6-LaxQxgrmJnzgP0"",""'TP# look up'!A:C""),3,0),"""")"),"")</f>
        <v/>
      </c>
      <c r="AH1340" s="49">
        <f>LEFT(J1340,2)</f>
        <v/>
      </c>
    </row>
    <row r="1341" ht="12.75" customHeight="1">
      <c r="H1341" s="43" t="n"/>
      <c r="AG1341" s="49">
        <f>IFERROR(__xludf.DUMMYFUNCTION("IFNA(vlookup(H1341,IMPORTRANGE(""1vUGwO1n0QQGx9kKbO0_M5gmuhXZ6-LaxQxgrmJnzgP0"",""'TP# look up'!A:C""),3,0),"""")"),"")</f>
        <v/>
      </c>
      <c r="AH1341" s="49">
        <f>LEFT(J1341,2)</f>
        <v/>
      </c>
    </row>
    <row r="1342" ht="12.75" customHeight="1">
      <c r="H1342" s="43" t="n"/>
      <c r="AG1342" s="49">
        <f>IFERROR(__xludf.DUMMYFUNCTION("IFNA(vlookup(H1342,IMPORTRANGE(""1vUGwO1n0QQGx9kKbO0_M5gmuhXZ6-LaxQxgrmJnzgP0"",""'TP# look up'!A:C""),3,0),"""")"),"")</f>
        <v/>
      </c>
      <c r="AH1342" s="49">
        <f>LEFT(J1342,2)</f>
        <v/>
      </c>
    </row>
    <row r="1343" ht="12.75" customHeight="1">
      <c r="H1343" s="43" t="n"/>
      <c r="AG1343" s="49">
        <f>IFERROR(__xludf.DUMMYFUNCTION("IFNA(vlookup(H1343,IMPORTRANGE(""1vUGwO1n0QQGx9kKbO0_M5gmuhXZ6-LaxQxgrmJnzgP0"",""'TP# look up'!A:C""),3,0),"""")"),"")</f>
        <v/>
      </c>
      <c r="AH1343" s="49">
        <f>LEFT(J1343,2)</f>
        <v/>
      </c>
    </row>
    <row r="1344" ht="12.75" customHeight="1">
      <c r="H1344" s="43" t="n"/>
      <c r="AG1344" s="49">
        <f>IFERROR(__xludf.DUMMYFUNCTION("IFNA(vlookup(H1344,IMPORTRANGE(""1vUGwO1n0QQGx9kKbO0_M5gmuhXZ6-LaxQxgrmJnzgP0"",""'TP# look up'!A:C""),3,0),"""")"),"")</f>
        <v/>
      </c>
      <c r="AH1344" s="49">
        <f>LEFT(J1344,2)</f>
        <v/>
      </c>
    </row>
    <row r="1345" ht="12.75" customHeight="1">
      <c r="H1345" s="43" t="n"/>
      <c r="AG1345" s="49">
        <f>IFERROR(__xludf.DUMMYFUNCTION("IFNA(vlookup(H1345,IMPORTRANGE(""1vUGwO1n0QQGx9kKbO0_M5gmuhXZ6-LaxQxgrmJnzgP0"",""'TP# look up'!A:C""),3,0),"""")"),"")</f>
        <v/>
      </c>
      <c r="AH1345" s="49">
        <f>LEFT(J1345,2)</f>
        <v/>
      </c>
    </row>
    <row r="1346" ht="12.75" customHeight="1">
      <c r="H1346" s="43" t="n"/>
      <c r="AG1346" s="49">
        <f>IFERROR(__xludf.DUMMYFUNCTION("IFNA(vlookup(H1346,IMPORTRANGE(""1vUGwO1n0QQGx9kKbO0_M5gmuhXZ6-LaxQxgrmJnzgP0"",""'TP# look up'!A:C""),3,0),"""")"),"")</f>
        <v/>
      </c>
      <c r="AH1346" s="49">
        <f>LEFT(J1346,2)</f>
        <v/>
      </c>
    </row>
    <row r="1347" ht="12.75" customHeight="1">
      <c r="H1347" s="43" t="n"/>
      <c r="AG1347" s="49">
        <f>IFERROR(__xludf.DUMMYFUNCTION("IFNA(vlookup(H1347,IMPORTRANGE(""1vUGwO1n0QQGx9kKbO0_M5gmuhXZ6-LaxQxgrmJnzgP0"",""'TP# look up'!A:C""),3,0),"""")"),"")</f>
        <v/>
      </c>
      <c r="AH1347" s="49">
        <f>LEFT(J1347,2)</f>
        <v/>
      </c>
    </row>
    <row r="1348" ht="12.75" customHeight="1">
      <c r="H1348" s="43" t="n"/>
      <c r="AG1348" s="49">
        <f>IFERROR(__xludf.DUMMYFUNCTION("IFNA(vlookup(H1348,IMPORTRANGE(""1vUGwO1n0QQGx9kKbO0_M5gmuhXZ6-LaxQxgrmJnzgP0"",""'TP# look up'!A:C""),3,0),"""")"),"")</f>
        <v/>
      </c>
      <c r="AH1348" s="49">
        <f>LEFT(J1348,2)</f>
        <v/>
      </c>
    </row>
    <row r="1349" ht="12.75" customHeight="1">
      <c r="H1349" s="43" t="n"/>
      <c r="AG1349" s="49">
        <f>IFERROR(__xludf.DUMMYFUNCTION("IFNA(vlookup(H1349,IMPORTRANGE(""1vUGwO1n0QQGx9kKbO0_M5gmuhXZ6-LaxQxgrmJnzgP0"",""'TP# look up'!A:C""),3,0),"""")"),"")</f>
        <v/>
      </c>
      <c r="AH1349" s="49">
        <f>LEFT(J1349,2)</f>
        <v/>
      </c>
    </row>
    <row r="1350" ht="12.75" customHeight="1">
      <c r="H1350" s="43" t="n"/>
      <c r="AG1350" s="49">
        <f>IFERROR(__xludf.DUMMYFUNCTION("IFNA(vlookup(H1350,IMPORTRANGE(""1vUGwO1n0QQGx9kKbO0_M5gmuhXZ6-LaxQxgrmJnzgP0"",""'TP# look up'!A:C""),3,0),"""")"),"")</f>
        <v/>
      </c>
      <c r="AH1350" s="49">
        <f>LEFT(J1350,2)</f>
        <v/>
      </c>
    </row>
    <row r="1351" ht="12.75" customHeight="1">
      <c r="H1351" s="43" t="n"/>
      <c r="AG1351" s="49">
        <f>IFERROR(__xludf.DUMMYFUNCTION("IFNA(vlookup(H1351,IMPORTRANGE(""1vUGwO1n0QQGx9kKbO0_M5gmuhXZ6-LaxQxgrmJnzgP0"",""'TP# look up'!A:C""),3,0),"""")"),"")</f>
        <v/>
      </c>
      <c r="AH1351" s="49">
        <f>LEFT(J1351,2)</f>
        <v/>
      </c>
    </row>
    <row r="1352" ht="12.75" customHeight="1">
      <c r="H1352" s="43" t="n"/>
      <c r="AG1352" s="49">
        <f>IFERROR(__xludf.DUMMYFUNCTION("IFNA(vlookup(H1352,IMPORTRANGE(""1vUGwO1n0QQGx9kKbO0_M5gmuhXZ6-LaxQxgrmJnzgP0"",""'TP# look up'!A:C""),3,0),"""")"),"")</f>
        <v/>
      </c>
      <c r="AH1352" s="49">
        <f>LEFT(J1352,2)</f>
        <v/>
      </c>
    </row>
    <row r="1353" ht="12.75" customHeight="1">
      <c r="H1353" s="43" t="n"/>
      <c r="AG1353" s="49">
        <f>IFERROR(__xludf.DUMMYFUNCTION("IFNA(vlookup(H1353,IMPORTRANGE(""1vUGwO1n0QQGx9kKbO0_M5gmuhXZ6-LaxQxgrmJnzgP0"",""'TP# look up'!A:C""),3,0),"""")"),"")</f>
        <v/>
      </c>
      <c r="AH1353" s="49">
        <f>LEFT(J1353,2)</f>
        <v/>
      </c>
    </row>
    <row r="1354" ht="12.75" customHeight="1">
      <c r="H1354" s="43" t="n"/>
      <c r="AG1354" s="49">
        <f>IFERROR(__xludf.DUMMYFUNCTION("IFNA(vlookup(H1354,IMPORTRANGE(""1vUGwO1n0QQGx9kKbO0_M5gmuhXZ6-LaxQxgrmJnzgP0"",""'TP# look up'!A:C""),3,0),"""")"),"")</f>
        <v/>
      </c>
      <c r="AH1354" s="49">
        <f>LEFT(J1354,2)</f>
        <v/>
      </c>
    </row>
    <row r="1355" ht="12.75" customHeight="1">
      <c r="H1355" s="43" t="n"/>
      <c r="AG1355" s="49">
        <f>IFERROR(__xludf.DUMMYFUNCTION("IFNA(vlookup(H1355,IMPORTRANGE(""1vUGwO1n0QQGx9kKbO0_M5gmuhXZ6-LaxQxgrmJnzgP0"",""'TP# look up'!A:C""),3,0),"""")"),"")</f>
        <v/>
      </c>
      <c r="AH1355" s="49">
        <f>LEFT(J1355,2)</f>
        <v/>
      </c>
    </row>
    <row r="1356" ht="12.75" customHeight="1">
      <c r="H1356" s="43" t="n"/>
      <c r="AG1356" s="49">
        <f>IFERROR(__xludf.DUMMYFUNCTION("IFNA(vlookup(H1356,IMPORTRANGE(""1vUGwO1n0QQGx9kKbO0_M5gmuhXZ6-LaxQxgrmJnzgP0"",""'TP# look up'!A:C""),3,0),"""")"),"")</f>
        <v/>
      </c>
      <c r="AH1356" s="49">
        <f>LEFT(J1356,2)</f>
        <v/>
      </c>
    </row>
    <row r="1357" ht="12.75" customHeight="1">
      <c r="H1357" s="43" t="n"/>
      <c r="AG1357" s="49">
        <f>IFERROR(__xludf.DUMMYFUNCTION("IFNA(vlookup(H1357,IMPORTRANGE(""1vUGwO1n0QQGx9kKbO0_M5gmuhXZ6-LaxQxgrmJnzgP0"",""'TP# look up'!A:C""),3,0),"""")"),"")</f>
        <v/>
      </c>
      <c r="AH1357" s="49">
        <f>LEFT(J1357,2)</f>
        <v/>
      </c>
    </row>
    <row r="1358" ht="12.75" customHeight="1">
      <c r="H1358" s="43" t="n"/>
      <c r="AG1358" s="49">
        <f>IFERROR(__xludf.DUMMYFUNCTION("IFNA(vlookup(H1358,IMPORTRANGE(""1vUGwO1n0QQGx9kKbO0_M5gmuhXZ6-LaxQxgrmJnzgP0"",""'TP# look up'!A:C""),3,0),"""")"),"")</f>
        <v/>
      </c>
      <c r="AH1358" s="49">
        <f>LEFT(J1358,2)</f>
        <v/>
      </c>
    </row>
    <row r="1359" ht="12.75" customHeight="1">
      <c r="H1359" s="43" t="n"/>
      <c r="AG1359" s="49">
        <f>IFERROR(__xludf.DUMMYFUNCTION("IFNA(vlookup(H1359,IMPORTRANGE(""1vUGwO1n0QQGx9kKbO0_M5gmuhXZ6-LaxQxgrmJnzgP0"",""'TP# look up'!A:C""),3,0),"""")"),"")</f>
        <v/>
      </c>
      <c r="AH1359" s="49">
        <f>LEFT(J1359,2)</f>
        <v/>
      </c>
    </row>
    <row r="1360" ht="12.75" customHeight="1">
      <c r="H1360" s="43" t="n"/>
      <c r="AG1360" s="49">
        <f>IFERROR(__xludf.DUMMYFUNCTION("IFNA(vlookup(H1360,IMPORTRANGE(""1vUGwO1n0QQGx9kKbO0_M5gmuhXZ6-LaxQxgrmJnzgP0"",""'TP# look up'!A:C""),3,0),"""")"),"")</f>
        <v/>
      </c>
      <c r="AH1360" s="49">
        <f>LEFT(J1360,2)</f>
        <v/>
      </c>
    </row>
    <row r="1361" ht="12.75" customHeight="1">
      <c r="H1361" s="43" t="n"/>
      <c r="AG1361" s="49">
        <f>IFERROR(__xludf.DUMMYFUNCTION("IFNA(vlookup(H1361,IMPORTRANGE(""1vUGwO1n0QQGx9kKbO0_M5gmuhXZ6-LaxQxgrmJnzgP0"",""'TP# look up'!A:C""),3,0),"""")"),"")</f>
        <v/>
      </c>
      <c r="AH1361" s="49">
        <f>LEFT(J1361,2)</f>
        <v/>
      </c>
    </row>
    <row r="1362" ht="12.75" customHeight="1">
      <c r="H1362" s="43" t="n"/>
      <c r="AG1362" s="49">
        <f>IFERROR(__xludf.DUMMYFUNCTION("IFNA(vlookup(H1362,IMPORTRANGE(""1vUGwO1n0QQGx9kKbO0_M5gmuhXZ6-LaxQxgrmJnzgP0"",""'TP# look up'!A:C""),3,0),"""")"),"")</f>
        <v/>
      </c>
      <c r="AH1362" s="49">
        <f>LEFT(J1362,2)</f>
        <v/>
      </c>
    </row>
    <row r="1363" ht="12.75" customHeight="1">
      <c r="H1363" s="43" t="n"/>
      <c r="AG1363" s="49">
        <f>IFERROR(__xludf.DUMMYFUNCTION("IFNA(vlookup(H1363,IMPORTRANGE(""1vUGwO1n0QQGx9kKbO0_M5gmuhXZ6-LaxQxgrmJnzgP0"",""'TP# look up'!A:C""),3,0),"""")"),"")</f>
        <v/>
      </c>
      <c r="AH1363" s="49">
        <f>LEFT(J1363,2)</f>
        <v/>
      </c>
    </row>
    <row r="1364" ht="12.75" customHeight="1">
      <c r="H1364" s="43" t="n"/>
      <c r="AG1364" s="49">
        <f>IFERROR(__xludf.DUMMYFUNCTION("IFNA(vlookup(H1364,IMPORTRANGE(""1vUGwO1n0QQGx9kKbO0_M5gmuhXZ6-LaxQxgrmJnzgP0"",""'TP# look up'!A:C""),3,0),"""")"),"")</f>
        <v/>
      </c>
      <c r="AH1364" s="49">
        <f>LEFT(J1364,2)</f>
        <v/>
      </c>
    </row>
    <row r="1365" ht="12.75" customHeight="1">
      <c r="H1365" s="43" t="n"/>
      <c r="AG1365" s="49">
        <f>IFERROR(__xludf.DUMMYFUNCTION("IFNA(vlookup(H1365,IMPORTRANGE(""1vUGwO1n0QQGx9kKbO0_M5gmuhXZ6-LaxQxgrmJnzgP0"",""'TP# look up'!A:C""),3,0),"""")"),"")</f>
        <v/>
      </c>
      <c r="AH1365" s="49">
        <f>LEFT(J1365,2)</f>
        <v/>
      </c>
    </row>
    <row r="1366" ht="12.75" customHeight="1">
      <c r="H1366" s="43" t="n"/>
      <c r="AG1366" s="49">
        <f>IFERROR(__xludf.DUMMYFUNCTION("IFNA(vlookup(H1366,IMPORTRANGE(""1vUGwO1n0QQGx9kKbO0_M5gmuhXZ6-LaxQxgrmJnzgP0"",""'TP# look up'!A:C""),3,0),"""")"),"")</f>
        <v/>
      </c>
      <c r="AH1366" s="49">
        <f>LEFT(J1366,2)</f>
        <v/>
      </c>
    </row>
    <row r="1367" ht="12.75" customHeight="1">
      <c r="H1367" s="43" t="n"/>
      <c r="AG1367" s="49">
        <f>IFERROR(__xludf.DUMMYFUNCTION("IFNA(vlookup(H1367,IMPORTRANGE(""1vUGwO1n0QQGx9kKbO0_M5gmuhXZ6-LaxQxgrmJnzgP0"",""'TP# look up'!A:C""),3,0),"""")"),"")</f>
        <v/>
      </c>
      <c r="AH1367" s="49">
        <f>LEFT(J1367,2)</f>
        <v/>
      </c>
    </row>
    <row r="1368" ht="12.75" customHeight="1">
      <c r="H1368" s="43" t="n"/>
      <c r="AG1368" s="49">
        <f>IFERROR(__xludf.DUMMYFUNCTION("IFNA(vlookup(H1368,IMPORTRANGE(""1vUGwO1n0QQGx9kKbO0_M5gmuhXZ6-LaxQxgrmJnzgP0"",""'TP# look up'!A:C""),3,0),"""")"),"")</f>
        <v/>
      </c>
      <c r="AH1368" s="49">
        <f>LEFT(J1368,2)</f>
        <v/>
      </c>
    </row>
    <row r="1369" ht="12.75" customHeight="1">
      <c r="H1369" s="43" t="n"/>
      <c r="AG1369" s="49">
        <f>IFERROR(__xludf.DUMMYFUNCTION("IFNA(vlookup(H1369,IMPORTRANGE(""1vUGwO1n0QQGx9kKbO0_M5gmuhXZ6-LaxQxgrmJnzgP0"",""'TP# look up'!A:C""),3,0),"""")"),"")</f>
        <v/>
      </c>
      <c r="AH1369" s="49">
        <f>LEFT(J1369,2)</f>
        <v/>
      </c>
    </row>
    <row r="1370" ht="12.75" customHeight="1">
      <c r="H1370" s="43" t="n"/>
      <c r="AG1370" s="49">
        <f>IFERROR(__xludf.DUMMYFUNCTION("IFNA(vlookup(H1370,IMPORTRANGE(""1vUGwO1n0QQGx9kKbO0_M5gmuhXZ6-LaxQxgrmJnzgP0"",""'TP# look up'!A:C""),3,0),"""")"),"")</f>
        <v/>
      </c>
      <c r="AH1370" s="49">
        <f>LEFT(J1370,2)</f>
        <v/>
      </c>
    </row>
    <row r="1371" ht="12.75" customHeight="1">
      <c r="H1371" s="43" t="n"/>
      <c r="AG1371" s="49">
        <f>IFERROR(__xludf.DUMMYFUNCTION("IFNA(vlookup(H1371,IMPORTRANGE(""1vUGwO1n0QQGx9kKbO0_M5gmuhXZ6-LaxQxgrmJnzgP0"",""'TP# look up'!A:C""),3,0),"""")"),"")</f>
        <v/>
      </c>
      <c r="AH1371" s="49">
        <f>LEFT(J1371,2)</f>
        <v/>
      </c>
    </row>
    <row r="1372" ht="12.75" customHeight="1">
      <c r="H1372" s="43" t="n"/>
      <c r="AG1372" s="49">
        <f>IFERROR(__xludf.DUMMYFUNCTION("IFNA(vlookup(H1372,IMPORTRANGE(""1vUGwO1n0QQGx9kKbO0_M5gmuhXZ6-LaxQxgrmJnzgP0"",""'TP# look up'!A:C""),3,0),"""")"),"")</f>
        <v/>
      </c>
      <c r="AH1372" s="49">
        <f>LEFT(J1372,2)</f>
        <v/>
      </c>
    </row>
    <row r="1373" ht="12.75" customHeight="1">
      <c r="H1373" s="43" t="n"/>
      <c r="AG1373" s="49">
        <f>IFERROR(__xludf.DUMMYFUNCTION("IFNA(vlookup(H1373,IMPORTRANGE(""1vUGwO1n0QQGx9kKbO0_M5gmuhXZ6-LaxQxgrmJnzgP0"",""'TP# look up'!A:C""),3,0),"""")"),"")</f>
        <v/>
      </c>
      <c r="AH1373" s="49">
        <f>LEFT(J1373,2)</f>
        <v/>
      </c>
    </row>
    <row r="1374" ht="12.75" customHeight="1">
      <c r="H1374" s="43" t="n"/>
      <c r="AG1374" s="49">
        <f>IFERROR(__xludf.DUMMYFUNCTION("IFNA(vlookup(H1374,IMPORTRANGE(""1vUGwO1n0QQGx9kKbO0_M5gmuhXZ6-LaxQxgrmJnzgP0"",""'TP# look up'!A:C""),3,0),"""")"),"")</f>
        <v/>
      </c>
      <c r="AH1374" s="49">
        <f>LEFT(J1374,2)</f>
        <v/>
      </c>
    </row>
    <row r="1375" ht="12.75" customHeight="1">
      <c r="H1375" s="43" t="n"/>
      <c r="AG1375" s="49">
        <f>IFERROR(__xludf.DUMMYFUNCTION("IFNA(vlookup(H1375,IMPORTRANGE(""1vUGwO1n0QQGx9kKbO0_M5gmuhXZ6-LaxQxgrmJnzgP0"",""'TP# look up'!A:C""),3,0),"""")"),"")</f>
        <v/>
      </c>
      <c r="AH1375" s="49">
        <f>LEFT(J1375,2)</f>
        <v/>
      </c>
    </row>
    <row r="1376" ht="12.75" customHeight="1">
      <c r="H1376" s="43" t="n"/>
      <c r="AG1376" s="49">
        <f>IFERROR(__xludf.DUMMYFUNCTION("IFNA(vlookup(H1376,IMPORTRANGE(""1vUGwO1n0QQGx9kKbO0_M5gmuhXZ6-LaxQxgrmJnzgP0"",""'TP# look up'!A:C""),3,0),"""")"),"")</f>
        <v/>
      </c>
      <c r="AH1376" s="49">
        <f>LEFT(J1376,2)</f>
        <v/>
      </c>
    </row>
    <row r="1377" ht="12.75" customHeight="1">
      <c r="H1377" s="43" t="n"/>
      <c r="AG1377" s="49">
        <f>IFERROR(__xludf.DUMMYFUNCTION("IFNA(vlookup(H1377,IMPORTRANGE(""1vUGwO1n0QQGx9kKbO0_M5gmuhXZ6-LaxQxgrmJnzgP0"",""'TP# look up'!A:C""),3,0),"""")"),"")</f>
        <v/>
      </c>
      <c r="AH1377" s="49">
        <f>LEFT(J1377,2)</f>
        <v/>
      </c>
    </row>
    <row r="1378" ht="12.75" customHeight="1">
      <c r="H1378" s="43" t="n"/>
      <c r="AG1378" s="49">
        <f>IFERROR(__xludf.DUMMYFUNCTION("IFNA(vlookup(H1378,IMPORTRANGE(""1vUGwO1n0QQGx9kKbO0_M5gmuhXZ6-LaxQxgrmJnzgP0"",""'TP# look up'!A:C""),3,0),"""")"),"")</f>
        <v/>
      </c>
      <c r="AH1378" s="49">
        <f>LEFT(J1378,2)</f>
        <v/>
      </c>
    </row>
    <row r="1379" ht="12.75" customHeight="1">
      <c r="H1379" s="43" t="n"/>
      <c r="AG1379" s="49">
        <f>IFERROR(__xludf.DUMMYFUNCTION("IFNA(vlookup(H1379,IMPORTRANGE(""1vUGwO1n0QQGx9kKbO0_M5gmuhXZ6-LaxQxgrmJnzgP0"",""'TP# look up'!A:C""),3,0),"""")"),"")</f>
        <v/>
      </c>
      <c r="AH1379" s="49">
        <f>LEFT(J1379,2)</f>
        <v/>
      </c>
    </row>
    <row r="1380" ht="12.75" customHeight="1">
      <c r="H1380" s="43" t="n"/>
      <c r="AG1380" s="49">
        <f>IFERROR(__xludf.DUMMYFUNCTION("IFNA(vlookup(H1380,IMPORTRANGE(""1vUGwO1n0QQGx9kKbO0_M5gmuhXZ6-LaxQxgrmJnzgP0"",""'TP# look up'!A:C""),3,0),"""")"),"")</f>
        <v/>
      </c>
      <c r="AH1380" s="49">
        <f>LEFT(J1380,2)</f>
        <v/>
      </c>
    </row>
    <row r="1381" ht="12.75" customHeight="1">
      <c r="H1381" s="43" t="n"/>
      <c r="AG1381" s="49">
        <f>IFERROR(__xludf.DUMMYFUNCTION("IFNA(vlookup(H1381,IMPORTRANGE(""1vUGwO1n0QQGx9kKbO0_M5gmuhXZ6-LaxQxgrmJnzgP0"",""'TP# look up'!A:C""),3,0),"""")"),"")</f>
        <v/>
      </c>
      <c r="AH1381" s="49">
        <f>LEFT(J1381,2)</f>
        <v/>
      </c>
    </row>
    <row r="1382" ht="12.75" customHeight="1">
      <c r="H1382" s="43" t="n"/>
      <c r="AG1382" s="49">
        <f>IFERROR(__xludf.DUMMYFUNCTION("IFNA(vlookup(H1382,IMPORTRANGE(""1vUGwO1n0QQGx9kKbO0_M5gmuhXZ6-LaxQxgrmJnzgP0"",""'TP# look up'!A:C""),3,0),"""")"),"")</f>
        <v/>
      </c>
      <c r="AH1382" s="49">
        <f>LEFT(J1382,2)</f>
        <v/>
      </c>
    </row>
    <row r="1383" ht="12.75" customHeight="1">
      <c r="H1383" s="43" t="n"/>
      <c r="AG1383" s="49">
        <f>IFERROR(__xludf.DUMMYFUNCTION("IFNA(vlookup(H1383,IMPORTRANGE(""1vUGwO1n0QQGx9kKbO0_M5gmuhXZ6-LaxQxgrmJnzgP0"",""'TP# look up'!A:C""),3,0),"""")"),"")</f>
        <v/>
      </c>
      <c r="AH1383" s="49">
        <f>LEFT(J1383,2)</f>
        <v/>
      </c>
    </row>
    <row r="1384" ht="12.75" customHeight="1">
      <c r="H1384" s="43" t="n"/>
      <c r="AG1384" s="49">
        <f>IFERROR(__xludf.DUMMYFUNCTION("IFNA(vlookup(H1384,IMPORTRANGE(""1vUGwO1n0QQGx9kKbO0_M5gmuhXZ6-LaxQxgrmJnzgP0"",""'TP# look up'!A:C""),3,0),"""")"),"")</f>
        <v/>
      </c>
      <c r="AH1384" s="49">
        <f>LEFT(J1384,2)</f>
        <v/>
      </c>
    </row>
    <row r="1385" ht="12.75" customHeight="1">
      <c r="H1385" s="43" t="n"/>
      <c r="AG1385" s="49">
        <f>IFERROR(__xludf.DUMMYFUNCTION("IFNA(vlookup(H1385,IMPORTRANGE(""1vUGwO1n0QQGx9kKbO0_M5gmuhXZ6-LaxQxgrmJnzgP0"",""'TP# look up'!A:C""),3,0),"""")"),"")</f>
        <v/>
      </c>
      <c r="AH1385" s="49">
        <f>LEFT(J1385,2)</f>
        <v/>
      </c>
    </row>
    <row r="1386" ht="12.75" customHeight="1">
      <c r="H1386" s="43" t="n"/>
      <c r="AG1386" s="49">
        <f>IFERROR(__xludf.DUMMYFUNCTION("IFNA(vlookup(H1386,IMPORTRANGE(""1vUGwO1n0QQGx9kKbO0_M5gmuhXZ6-LaxQxgrmJnzgP0"",""'TP# look up'!A:C""),3,0),"""")"),"")</f>
        <v/>
      </c>
      <c r="AH1386" s="49">
        <f>LEFT(J1386,2)</f>
        <v/>
      </c>
    </row>
    <row r="1387" ht="12.75" customHeight="1">
      <c r="H1387" s="43" t="n"/>
      <c r="AG1387" s="49">
        <f>IFERROR(__xludf.DUMMYFUNCTION("IFNA(vlookup(H1387,IMPORTRANGE(""1vUGwO1n0QQGx9kKbO0_M5gmuhXZ6-LaxQxgrmJnzgP0"",""'TP# look up'!A:C""),3,0),"""")"),"")</f>
        <v/>
      </c>
      <c r="AH1387" s="49">
        <f>LEFT(J1387,2)</f>
        <v/>
      </c>
    </row>
    <row r="1388" ht="12.75" customHeight="1">
      <c r="H1388" s="43" t="n"/>
      <c r="AG1388" s="49">
        <f>IFERROR(__xludf.DUMMYFUNCTION("IFNA(vlookup(H1388,IMPORTRANGE(""1vUGwO1n0QQGx9kKbO0_M5gmuhXZ6-LaxQxgrmJnzgP0"",""'TP# look up'!A:C""),3,0),"""")"),"")</f>
        <v/>
      </c>
      <c r="AH1388" s="49">
        <f>LEFT(J1388,2)</f>
        <v/>
      </c>
    </row>
    <row r="1389" ht="12.75" customHeight="1">
      <c r="H1389" s="43" t="n"/>
      <c r="AG1389" s="49">
        <f>IFERROR(__xludf.DUMMYFUNCTION("IFNA(vlookup(H1389,IMPORTRANGE(""1vUGwO1n0QQGx9kKbO0_M5gmuhXZ6-LaxQxgrmJnzgP0"",""'TP# look up'!A:C""),3,0),"""")"),"")</f>
        <v/>
      </c>
      <c r="AH1389" s="49">
        <f>LEFT(J1389,2)</f>
        <v/>
      </c>
    </row>
    <row r="1390" ht="12.75" customHeight="1">
      <c r="H1390" s="43" t="n"/>
      <c r="AG1390" s="49">
        <f>IFERROR(__xludf.DUMMYFUNCTION("IFNA(vlookup(H1390,IMPORTRANGE(""1vUGwO1n0QQGx9kKbO0_M5gmuhXZ6-LaxQxgrmJnzgP0"",""'TP# look up'!A:C""),3,0),"""")"),"")</f>
        <v/>
      </c>
      <c r="AH1390" s="49">
        <f>LEFT(J1390,2)</f>
        <v/>
      </c>
    </row>
    <row r="1391" ht="12.75" customHeight="1">
      <c r="H1391" s="43" t="n"/>
      <c r="AG1391" s="49">
        <f>IFERROR(__xludf.DUMMYFUNCTION("IFNA(vlookup(H1391,IMPORTRANGE(""1vUGwO1n0QQGx9kKbO0_M5gmuhXZ6-LaxQxgrmJnzgP0"",""'TP# look up'!A:C""),3,0),"""")"),"")</f>
        <v/>
      </c>
      <c r="AH1391" s="49">
        <f>LEFT(J1391,2)</f>
        <v/>
      </c>
    </row>
    <row r="1392" ht="12.75" customHeight="1">
      <c r="H1392" s="43" t="n"/>
      <c r="AG1392" s="49">
        <f>IFERROR(__xludf.DUMMYFUNCTION("IFNA(vlookup(H1392,IMPORTRANGE(""1vUGwO1n0QQGx9kKbO0_M5gmuhXZ6-LaxQxgrmJnzgP0"",""'TP# look up'!A:C""),3,0),"""")"),"")</f>
        <v/>
      </c>
      <c r="AH1392" s="49">
        <f>LEFT(J1392,2)</f>
        <v/>
      </c>
    </row>
    <row r="1393" ht="12.75" customHeight="1">
      <c r="H1393" s="43" t="n"/>
      <c r="AG1393" s="49">
        <f>IFERROR(__xludf.DUMMYFUNCTION("IFNA(vlookup(H1393,IMPORTRANGE(""1vUGwO1n0QQGx9kKbO0_M5gmuhXZ6-LaxQxgrmJnzgP0"",""'TP# look up'!A:C""),3,0),"""")"),"")</f>
        <v/>
      </c>
      <c r="AH1393" s="49">
        <f>LEFT(J1393,2)</f>
        <v/>
      </c>
    </row>
    <row r="1394" ht="12.75" customHeight="1">
      <c r="H1394" s="43" t="n"/>
      <c r="AG1394" s="49">
        <f>IFERROR(__xludf.DUMMYFUNCTION("IFNA(vlookup(H1394,IMPORTRANGE(""1vUGwO1n0QQGx9kKbO0_M5gmuhXZ6-LaxQxgrmJnzgP0"",""'TP# look up'!A:C""),3,0),"""")"),"")</f>
        <v/>
      </c>
      <c r="AH1394" s="49">
        <f>LEFT(J1394,2)</f>
        <v/>
      </c>
    </row>
    <row r="1395" ht="12.75" customHeight="1">
      <c r="H1395" s="43" t="n"/>
      <c r="AG1395" s="49">
        <f>IFERROR(__xludf.DUMMYFUNCTION("IFNA(vlookup(H1395,IMPORTRANGE(""1vUGwO1n0QQGx9kKbO0_M5gmuhXZ6-LaxQxgrmJnzgP0"",""'TP# look up'!A:C""),3,0),"""")"),"")</f>
        <v/>
      </c>
      <c r="AH1395" s="49">
        <f>LEFT(J1395,2)</f>
        <v/>
      </c>
    </row>
    <row r="1396" ht="12.75" customHeight="1">
      <c r="H1396" s="43" t="n"/>
      <c r="AG1396" s="49">
        <f>IFERROR(__xludf.DUMMYFUNCTION("IFNA(vlookup(H1396,IMPORTRANGE(""1vUGwO1n0QQGx9kKbO0_M5gmuhXZ6-LaxQxgrmJnzgP0"",""'TP# look up'!A:C""),3,0),"""")"),"")</f>
        <v/>
      </c>
      <c r="AH1396" s="49">
        <f>LEFT(J1396,2)</f>
        <v/>
      </c>
    </row>
    <row r="1397" ht="12.75" customHeight="1">
      <c r="H1397" s="43" t="n"/>
      <c r="AG1397" s="49">
        <f>IFERROR(__xludf.DUMMYFUNCTION("IFNA(vlookup(H1397,IMPORTRANGE(""1vUGwO1n0QQGx9kKbO0_M5gmuhXZ6-LaxQxgrmJnzgP0"",""'TP# look up'!A:C""),3,0),"""")"),"")</f>
        <v/>
      </c>
      <c r="AH1397" s="49">
        <f>LEFT(J1397,2)</f>
        <v/>
      </c>
    </row>
    <row r="1398" ht="12.75" customHeight="1">
      <c r="H1398" s="43" t="n"/>
      <c r="AG1398" s="49">
        <f>IFERROR(__xludf.DUMMYFUNCTION("IFNA(vlookup(H1398,IMPORTRANGE(""1vUGwO1n0QQGx9kKbO0_M5gmuhXZ6-LaxQxgrmJnzgP0"",""'TP# look up'!A:C""),3,0),"""")"),"")</f>
        <v/>
      </c>
      <c r="AH1398" s="49">
        <f>LEFT(J1398,2)</f>
        <v/>
      </c>
    </row>
    <row r="1399" ht="12.75" customHeight="1">
      <c r="H1399" s="43" t="n"/>
      <c r="AG1399" s="49">
        <f>IFERROR(__xludf.DUMMYFUNCTION("IFNA(vlookup(H1399,IMPORTRANGE(""1vUGwO1n0QQGx9kKbO0_M5gmuhXZ6-LaxQxgrmJnzgP0"",""'TP# look up'!A:C""),3,0),"""")"),"")</f>
        <v/>
      </c>
      <c r="AH1399" s="49">
        <f>LEFT(J1399,2)</f>
        <v/>
      </c>
    </row>
    <row r="1400" ht="12.75" customHeight="1">
      <c r="H1400" s="43" t="n"/>
      <c r="AG1400" s="49">
        <f>IFERROR(__xludf.DUMMYFUNCTION("IFNA(vlookup(H1400,IMPORTRANGE(""1vUGwO1n0QQGx9kKbO0_M5gmuhXZ6-LaxQxgrmJnzgP0"",""'TP# look up'!A:C""),3,0),"""")"),"")</f>
        <v/>
      </c>
      <c r="AH1400" s="49">
        <f>LEFT(J1400,2)</f>
        <v/>
      </c>
    </row>
    <row r="1401" ht="12.75" customHeight="1">
      <c r="H1401" s="43" t="n"/>
      <c r="AG1401" s="49">
        <f>IFERROR(__xludf.DUMMYFUNCTION("IFNA(vlookup(H1401,IMPORTRANGE(""1vUGwO1n0QQGx9kKbO0_M5gmuhXZ6-LaxQxgrmJnzgP0"",""'TP# look up'!A:C""),3,0),"""")"),"")</f>
        <v/>
      </c>
      <c r="AH1401" s="49">
        <f>LEFT(J1401,2)</f>
        <v/>
      </c>
    </row>
    <row r="1402" ht="12.75" customHeight="1">
      <c r="H1402" s="43" t="n"/>
      <c r="AG1402" s="49">
        <f>IFERROR(__xludf.DUMMYFUNCTION("IFNA(vlookup(H1402,IMPORTRANGE(""1vUGwO1n0QQGx9kKbO0_M5gmuhXZ6-LaxQxgrmJnzgP0"",""'TP# look up'!A:C""),3,0),"""")"),"")</f>
        <v/>
      </c>
      <c r="AH1402" s="49">
        <f>LEFT(J1402,2)</f>
        <v/>
      </c>
    </row>
    <row r="1403" ht="12.75" customHeight="1">
      <c r="H1403" s="43" t="n"/>
      <c r="AG1403" s="49">
        <f>IFERROR(__xludf.DUMMYFUNCTION("IFNA(vlookup(H1403,IMPORTRANGE(""1vUGwO1n0QQGx9kKbO0_M5gmuhXZ6-LaxQxgrmJnzgP0"",""'TP# look up'!A:C""),3,0),"""")"),"")</f>
        <v/>
      </c>
      <c r="AH1403" s="49">
        <f>LEFT(J1403,2)</f>
        <v/>
      </c>
    </row>
    <row r="1404" ht="12.75" customHeight="1">
      <c r="H1404" s="43" t="n"/>
      <c r="AG1404" s="49">
        <f>IFERROR(__xludf.DUMMYFUNCTION("IFNA(vlookup(H1404,IMPORTRANGE(""1vUGwO1n0QQGx9kKbO0_M5gmuhXZ6-LaxQxgrmJnzgP0"",""'TP# look up'!A:C""),3,0),"""")"),"")</f>
        <v/>
      </c>
      <c r="AH1404" s="49">
        <f>LEFT(J1404,2)</f>
        <v/>
      </c>
    </row>
    <row r="1405" ht="12.75" customHeight="1">
      <c r="H1405" s="43" t="n"/>
      <c r="AG1405" s="49">
        <f>IFERROR(__xludf.DUMMYFUNCTION("IFNA(vlookup(H1405,IMPORTRANGE(""1vUGwO1n0QQGx9kKbO0_M5gmuhXZ6-LaxQxgrmJnzgP0"",""'TP# look up'!A:C""),3,0),"""")"),"")</f>
        <v/>
      </c>
      <c r="AH1405" s="49">
        <f>LEFT(J1405,2)</f>
        <v/>
      </c>
    </row>
    <row r="1406" ht="12.75" customHeight="1">
      <c r="H1406" s="43" t="n"/>
      <c r="AG1406" s="49">
        <f>IFERROR(__xludf.DUMMYFUNCTION("IFNA(vlookup(H1406,IMPORTRANGE(""1vUGwO1n0QQGx9kKbO0_M5gmuhXZ6-LaxQxgrmJnzgP0"",""'TP# look up'!A:C""),3,0),"""")"),"")</f>
        <v/>
      </c>
      <c r="AH1406" s="49">
        <f>LEFT(J1406,2)</f>
        <v/>
      </c>
    </row>
    <row r="1407" ht="12.75" customHeight="1">
      <c r="H1407" s="43" t="n"/>
      <c r="AG1407" s="49">
        <f>IFERROR(__xludf.DUMMYFUNCTION("IFNA(vlookup(H1407,IMPORTRANGE(""1vUGwO1n0QQGx9kKbO0_M5gmuhXZ6-LaxQxgrmJnzgP0"",""'TP# look up'!A:C""),3,0),"""")"),"")</f>
        <v/>
      </c>
      <c r="AH1407" s="49">
        <f>LEFT(J1407,2)</f>
        <v/>
      </c>
    </row>
    <row r="1408" ht="12.75" customHeight="1">
      <c r="H1408" s="43" t="n"/>
      <c r="AG1408" s="49">
        <f>IFERROR(__xludf.DUMMYFUNCTION("IFNA(vlookup(H1408,IMPORTRANGE(""1vUGwO1n0QQGx9kKbO0_M5gmuhXZ6-LaxQxgrmJnzgP0"",""'TP# look up'!A:C""),3,0),"""")"),"")</f>
        <v/>
      </c>
      <c r="AH1408" s="49">
        <f>LEFT(J1408,2)</f>
        <v/>
      </c>
    </row>
    <row r="1409" ht="12.75" customHeight="1">
      <c r="H1409" s="43" t="n"/>
      <c r="AG1409" s="49">
        <f>IFERROR(__xludf.DUMMYFUNCTION("IFNA(vlookup(H1409,IMPORTRANGE(""1vUGwO1n0QQGx9kKbO0_M5gmuhXZ6-LaxQxgrmJnzgP0"",""'TP# look up'!A:C""),3,0),"""")"),"")</f>
        <v/>
      </c>
      <c r="AH1409" s="49">
        <f>LEFT(J1409,2)</f>
        <v/>
      </c>
    </row>
    <row r="1410" ht="12.75" customHeight="1">
      <c r="H1410" s="43" t="n"/>
      <c r="AG1410" s="49">
        <f>IFERROR(__xludf.DUMMYFUNCTION("IFNA(vlookup(H1410,IMPORTRANGE(""1vUGwO1n0QQGx9kKbO0_M5gmuhXZ6-LaxQxgrmJnzgP0"",""'TP# look up'!A:C""),3,0),"""")"),"")</f>
        <v/>
      </c>
      <c r="AH1410" s="49">
        <f>LEFT(J1410,2)</f>
        <v/>
      </c>
    </row>
    <row r="1411" ht="12.75" customHeight="1">
      <c r="H1411" s="43" t="n"/>
      <c r="AG1411" s="49">
        <f>IFERROR(__xludf.DUMMYFUNCTION("IFNA(vlookup(H1411,IMPORTRANGE(""1vUGwO1n0QQGx9kKbO0_M5gmuhXZ6-LaxQxgrmJnzgP0"",""'TP# look up'!A:C""),3,0),"""")"),"")</f>
        <v/>
      </c>
      <c r="AH1411" s="49">
        <f>LEFT(J1411,2)</f>
        <v/>
      </c>
    </row>
    <row r="1412" ht="12.75" customHeight="1">
      <c r="H1412" s="43" t="n"/>
      <c r="AG1412" s="49">
        <f>IFERROR(__xludf.DUMMYFUNCTION("IFNA(vlookup(H1412,IMPORTRANGE(""1vUGwO1n0QQGx9kKbO0_M5gmuhXZ6-LaxQxgrmJnzgP0"",""'TP# look up'!A:C""),3,0),"""")"),"")</f>
        <v/>
      </c>
      <c r="AH1412" s="49">
        <f>LEFT(J1412,2)</f>
        <v/>
      </c>
    </row>
    <row r="1413" ht="12.75" customHeight="1">
      <c r="H1413" s="43" t="n"/>
      <c r="AG1413" s="49">
        <f>IFERROR(__xludf.DUMMYFUNCTION("IFNA(vlookup(H1413,IMPORTRANGE(""1vUGwO1n0QQGx9kKbO0_M5gmuhXZ6-LaxQxgrmJnzgP0"",""'TP# look up'!A:C""),3,0),"""")"),"")</f>
        <v/>
      </c>
      <c r="AH1413" s="49">
        <f>LEFT(J1413,2)</f>
        <v/>
      </c>
    </row>
    <row r="1414" ht="12.75" customHeight="1">
      <c r="H1414" s="43" t="n"/>
      <c r="AG1414" s="49">
        <f>IFERROR(__xludf.DUMMYFUNCTION("IFNA(vlookup(H1414,IMPORTRANGE(""1vUGwO1n0QQGx9kKbO0_M5gmuhXZ6-LaxQxgrmJnzgP0"",""'TP# look up'!A:C""),3,0),"""")"),"")</f>
        <v/>
      </c>
      <c r="AH1414" s="49">
        <f>LEFT(J1414,2)</f>
        <v/>
      </c>
    </row>
    <row r="1415" ht="12.75" customHeight="1">
      <c r="H1415" s="43" t="n"/>
      <c r="AG1415" s="49">
        <f>IFERROR(__xludf.DUMMYFUNCTION("IFNA(vlookup(H1415,IMPORTRANGE(""1vUGwO1n0QQGx9kKbO0_M5gmuhXZ6-LaxQxgrmJnzgP0"",""'TP# look up'!A:C""),3,0),"""")"),"")</f>
        <v/>
      </c>
      <c r="AH1415" s="49">
        <f>LEFT(J1415,2)</f>
        <v/>
      </c>
    </row>
    <row r="1416" ht="12.75" customHeight="1">
      <c r="H1416" s="43" t="n"/>
      <c r="AG1416" s="49">
        <f>IFERROR(__xludf.DUMMYFUNCTION("IFNA(vlookup(H1416,IMPORTRANGE(""1vUGwO1n0QQGx9kKbO0_M5gmuhXZ6-LaxQxgrmJnzgP0"",""'TP# look up'!A:C""),3,0),"""")"),"")</f>
        <v/>
      </c>
      <c r="AH1416" s="49">
        <f>LEFT(J1416,2)</f>
        <v/>
      </c>
    </row>
    <row r="1417" ht="12.75" customHeight="1">
      <c r="H1417" s="43" t="n"/>
      <c r="AG1417" s="49">
        <f>IFERROR(__xludf.DUMMYFUNCTION("IFNA(vlookup(H1417,IMPORTRANGE(""1vUGwO1n0QQGx9kKbO0_M5gmuhXZ6-LaxQxgrmJnzgP0"",""'TP# look up'!A:C""),3,0),"""")"),"")</f>
        <v/>
      </c>
      <c r="AH1417" s="49">
        <f>LEFT(J1417,2)</f>
        <v/>
      </c>
    </row>
    <row r="1418" ht="12.75" customHeight="1">
      <c r="H1418" s="43" t="n"/>
      <c r="AG1418" s="49">
        <f>IFERROR(__xludf.DUMMYFUNCTION("IFNA(vlookup(H1418,IMPORTRANGE(""1vUGwO1n0QQGx9kKbO0_M5gmuhXZ6-LaxQxgrmJnzgP0"",""'TP# look up'!A:C""),3,0),"""")"),"")</f>
        <v/>
      </c>
      <c r="AH1418" s="49">
        <f>LEFT(J1418,2)</f>
        <v/>
      </c>
    </row>
    <row r="1419" ht="12.75" customHeight="1">
      <c r="H1419" s="43" t="n"/>
      <c r="AG1419" s="49">
        <f>IFERROR(__xludf.DUMMYFUNCTION("IFNA(vlookup(H1419,IMPORTRANGE(""1vUGwO1n0QQGx9kKbO0_M5gmuhXZ6-LaxQxgrmJnzgP0"",""'TP# look up'!A:C""),3,0),"""")"),"")</f>
        <v/>
      </c>
      <c r="AH1419" s="49">
        <f>LEFT(J1419,2)</f>
        <v/>
      </c>
    </row>
    <row r="1420" ht="12.75" customHeight="1">
      <c r="H1420" s="43" t="n"/>
      <c r="AG1420" s="49">
        <f>IFERROR(__xludf.DUMMYFUNCTION("IFNA(vlookup(H1420,IMPORTRANGE(""1vUGwO1n0QQGx9kKbO0_M5gmuhXZ6-LaxQxgrmJnzgP0"",""'TP# look up'!A:C""),3,0),"""")"),"")</f>
        <v/>
      </c>
      <c r="AH1420" s="49">
        <f>LEFT(J1420,2)</f>
        <v/>
      </c>
    </row>
    <row r="1421" ht="12.75" customHeight="1">
      <c r="H1421" s="43" t="n"/>
      <c r="AG1421" s="49">
        <f>IFERROR(__xludf.DUMMYFUNCTION("IFNA(vlookup(H1421,IMPORTRANGE(""1vUGwO1n0QQGx9kKbO0_M5gmuhXZ6-LaxQxgrmJnzgP0"",""'TP# look up'!A:C""),3,0),"""")"),"")</f>
        <v/>
      </c>
      <c r="AH1421" s="49">
        <f>LEFT(J1421,2)</f>
        <v/>
      </c>
    </row>
    <row r="1422" ht="12.75" customHeight="1">
      <c r="H1422" s="43" t="n"/>
      <c r="AG1422" s="49">
        <f>IFERROR(__xludf.DUMMYFUNCTION("IFNA(vlookup(H1422,IMPORTRANGE(""1vUGwO1n0QQGx9kKbO0_M5gmuhXZ6-LaxQxgrmJnzgP0"",""'TP# look up'!A:C""),3,0),"""")"),"")</f>
        <v/>
      </c>
      <c r="AH1422" s="49">
        <f>LEFT(J1422,2)</f>
        <v/>
      </c>
    </row>
    <row r="1423" ht="12.75" customHeight="1">
      <c r="H1423" s="43" t="n"/>
      <c r="AG1423" s="49">
        <f>IFERROR(__xludf.DUMMYFUNCTION("IFNA(vlookup(H1423,IMPORTRANGE(""1vUGwO1n0QQGx9kKbO0_M5gmuhXZ6-LaxQxgrmJnzgP0"",""'TP# look up'!A:C""),3,0),"""")"),"")</f>
        <v/>
      </c>
      <c r="AH1423" s="49">
        <f>LEFT(J1423,2)</f>
        <v/>
      </c>
    </row>
    <row r="1424" ht="12.75" customHeight="1">
      <c r="H1424" s="43" t="n"/>
      <c r="AG1424" s="49">
        <f>IFERROR(__xludf.DUMMYFUNCTION("IFNA(vlookup(H1424,IMPORTRANGE(""1vUGwO1n0QQGx9kKbO0_M5gmuhXZ6-LaxQxgrmJnzgP0"",""'TP# look up'!A:C""),3,0),"""")"),"")</f>
        <v/>
      </c>
      <c r="AH1424" s="49">
        <f>LEFT(J1424,2)</f>
        <v/>
      </c>
    </row>
    <row r="1425" ht="12.75" customHeight="1">
      <c r="H1425" s="43" t="n"/>
      <c r="AG1425" s="49">
        <f>IFERROR(__xludf.DUMMYFUNCTION("IFNA(vlookup(H1425,IMPORTRANGE(""1vUGwO1n0QQGx9kKbO0_M5gmuhXZ6-LaxQxgrmJnzgP0"",""'TP# look up'!A:C""),3,0),"""")"),"")</f>
        <v/>
      </c>
      <c r="AH1425" s="49">
        <f>LEFT(J1425,2)</f>
        <v/>
      </c>
    </row>
    <row r="1426" ht="12.75" customHeight="1">
      <c r="H1426" s="43" t="n"/>
      <c r="AG1426" s="49">
        <f>IFERROR(__xludf.DUMMYFUNCTION("IFNA(vlookup(H1426,IMPORTRANGE(""1vUGwO1n0QQGx9kKbO0_M5gmuhXZ6-LaxQxgrmJnzgP0"",""'TP# look up'!A:C""),3,0),"""")"),"")</f>
        <v/>
      </c>
      <c r="AH1426" s="49">
        <f>LEFT(J1426,2)</f>
        <v/>
      </c>
    </row>
    <row r="1427" ht="12.75" customHeight="1">
      <c r="H1427" s="43" t="n"/>
      <c r="AG1427" s="49">
        <f>IFERROR(__xludf.DUMMYFUNCTION("IFNA(vlookup(H1427,IMPORTRANGE(""1vUGwO1n0QQGx9kKbO0_M5gmuhXZ6-LaxQxgrmJnzgP0"",""'TP# look up'!A:C""),3,0),"""")"),"")</f>
        <v/>
      </c>
      <c r="AH1427" s="49">
        <f>LEFT(J1427,2)</f>
        <v/>
      </c>
    </row>
    <row r="1428" ht="12.75" customHeight="1">
      <c r="H1428" s="43" t="n"/>
      <c r="AG1428" s="49">
        <f>IFERROR(__xludf.DUMMYFUNCTION("IFNA(vlookup(H1428,IMPORTRANGE(""1vUGwO1n0QQGx9kKbO0_M5gmuhXZ6-LaxQxgrmJnzgP0"",""'TP# look up'!A:C""),3,0),"""")"),"")</f>
        <v/>
      </c>
      <c r="AH1428" s="49">
        <f>LEFT(J1428,2)</f>
        <v/>
      </c>
    </row>
    <row r="1429" ht="12.75" customHeight="1">
      <c r="H1429" s="43" t="n"/>
      <c r="AG1429" s="49">
        <f>IFERROR(__xludf.DUMMYFUNCTION("IFNA(vlookup(H1429,IMPORTRANGE(""1vUGwO1n0QQGx9kKbO0_M5gmuhXZ6-LaxQxgrmJnzgP0"",""'TP# look up'!A:C""),3,0),"""")"),"")</f>
        <v/>
      </c>
      <c r="AH1429" s="49">
        <f>LEFT(J1429,2)</f>
        <v/>
      </c>
    </row>
    <row r="1430" ht="12.75" customHeight="1">
      <c r="H1430" s="43" t="n"/>
      <c r="AG1430" s="49">
        <f>IFERROR(__xludf.DUMMYFUNCTION("IFNA(vlookup(H1430,IMPORTRANGE(""1vUGwO1n0QQGx9kKbO0_M5gmuhXZ6-LaxQxgrmJnzgP0"",""'TP# look up'!A:C""),3,0),"""")"),"")</f>
        <v/>
      </c>
      <c r="AH1430" s="49">
        <f>LEFT(J1430,2)</f>
        <v/>
      </c>
    </row>
    <row r="1431" ht="12.75" customHeight="1">
      <c r="H1431" s="43" t="n"/>
      <c r="AG1431" s="49">
        <f>IFERROR(__xludf.DUMMYFUNCTION("IFNA(vlookup(H1431,IMPORTRANGE(""1vUGwO1n0QQGx9kKbO0_M5gmuhXZ6-LaxQxgrmJnzgP0"",""'TP# look up'!A:C""),3,0),"""")"),"")</f>
        <v/>
      </c>
      <c r="AH1431" s="49">
        <f>LEFT(J1431,2)</f>
        <v/>
      </c>
    </row>
    <row r="1432" ht="12.75" customHeight="1">
      <c r="H1432" s="43" t="n"/>
      <c r="AG1432" s="49">
        <f>IFERROR(__xludf.DUMMYFUNCTION("IFNA(vlookup(H1432,IMPORTRANGE(""1vUGwO1n0QQGx9kKbO0_M5gmuhXZ6-LaxQxgrmJnzgP0"",""'TP# look up'!A:C""),3,0),"""")"),"")</f>
        <v/>
      </c>
      <c r="AH1432" s="49">
        <f>LEFT(J1432,2)</f>
        <v/>
      </c>
    </row>
    <row r="1433" ht="12.75" customHeight="1">
      <c r="H1433" s="43" t="n"/>
      <c r="AG1433" s="49">
        <f>IFERROR(__xludf.DUMMYFUNCTION("IFNA(vlookup(H1433,IMPORTRANGE(""1vUGwO1n0QQGx9kKbO0_M5gmuhXZ6-LaxQxgrmJnzgP0"",""'TP# look up'!A:C""),3,0),"""")"),"")</f>
        <v/>
      </c>
      <c r="AH1433" s="49">
        <f>LEFT(J1433,2)</f>
        <v/>
      </c>
    </row>
    <row r="1434" ht="12.75" customHeight="1">
      <c r="H1434" s="43" t="n"/>
      <c r="AG1434" s="49">
        <f>IFERROR(__xludf.DUMMYFUNCTION("IFNA(vlookup(H1434,IMPORTRANGE(""1vUGwO1n0QQGx9kKbO0_M5gmuhXZ6-LaxQxgrmJnzgP0"",""'TP# look up'!A:C""),3,0),"""")"),"")</f>
        <v/>
      </c>
      <c r="AH1434" s="49">
        <f>LEFT(J1434,2)</f>
        <v/>
      </c>
    </row>
    <row r="1435" ht="12.75" customHeight="1">
      <c r="H1435" s="43" t="n"/>
      <c r="AG1435" s="49">
        <f>IFERROR(__xludf.DUMMYFUNCTION("IFNA(vlookup(H1435,IMPORTRANGE(""1vUGwO1n0QQGx9kKbO0_M5gmuhXZ6-LaxQxgrmJnzgP0"",""'TP# look up'!A:C""),3,0),"""")"),"")</f>
        <v/>
      </c>
      <c r="AH1435" s="49">
        <f>LEFT(J1435,2)</f>
        <v/>
      </c>
    </row>
    <row r="1436" ht="12.75" customHeight="1">
      <c r="H1436" s="43" t="n"/>
      <c r="AG1436" s="49">
        <f>IFERROR(__xludf.DUMMYFUNCTION("IFNA(vlookup(H1436,IMPORTRANGE(""1vUGwO1n0QQGx9kKbO0_M5gmuhXZ6-LaxQxgrmJnzgP0"",""'TP# look up'!A:C""),3,0),"""")"),"")</f>
        <v/>
      </c>
      <c r="AH1436" s="49">
        <f>LEFT(J1436,2)</f>
        <v/>
      </c>
    </row>
    <row r="1437" ht="12.75" customHeight="1">
      <c r="H1437" s="43" t="n"/>
      <c r="AG1437" s="49">
        <f>IFERROR(__xludf.DUMMYFUNCTION("IFNA(vlookup(H1437,IMPORTRANGE(""1vUGwO1n0QQGx9kKbO0_M5gmuhXZ6-LaxQxgrmJnzgP0"",""'TP# look up'!A:C""),3,0),"""")"),"")</f>
        <v/>
      </c>
      <c r="AH1437" s="49">
        <f>LEFT(J1437,2)</f>
        <v/>
      </c>
    </row>
    <row r="1438" ht="12.75" customHeight="1">
      <c r="H1438" s="43" t="n"/>
      <c r="AG1438" s="49">
        <f>IFERROR(__xludf.DUMMYFUNCTION("IFNA(vlookup(H1438,IMPORTRANGE(""1vUGwO1n0QQGx9kKbO0_M5gmuhXZ6-LaxQxgrmJnzgP0"",""'TP# look up'!A:C""),3,0),"""")"),"")</f>
        <v/>
      </c>
      <c r="AH1438" s="49">
        <f>LEFT(J1438,2)</f>
        <v/>
      </c>
    </row>
    <row r="1439" ht="12.75" customHeight="1">
      <c r="H1439" s="43" t="n"/>
      <c r="AG1439" s="49">
        <f>IFERROR(__xludf.DUMMYFUNCTION("IFNA(vlookup(H1439,IMPORTRANGE(""1vUGwO1n0QQGx9kKbO0_M5gmuhXZ6-LaxQxgrmJnzgP0"",""'TP# look up'!A:C""),3,0),"""")"),"")</f>
        <v/>
      </c>
      <c r="AH1439" s="49">
        <f>LEFT(J1439,2)</f>
        <v/>
      </c>
    </row>
    <row r="1440" ht="12.75" customHeight="1">
      <c r="H1440" s="43" t="n"/>
      <c r="AG1440" s="49">
        <f>IFERROR(__xludf.DUMMYFUNCTION("IFNA(vlookup(H1440,IMPORTRANGE(""1vUGwO1n0QQGx9kKbO0_M5gmuhXZ6-LaxQxgrmJnzgP0"",""'TP# look up'!A:C""),3,0),"""")"),"")</f>
        <v/>
      </c>
      <c r="AH1440" s="49">
        <f>LEFT(J1440,2)</f>
        <v/>
      </c>
    </row>
    <row r="1441" ht="12.75" customHeight="1">
      <c r="H1441" s="43" t="n"/>
      <c r="AG1441" s="49">
        <f>IFERROR(__xludf.DUMMYFUNCTION("IFNA(vlookup(H1441,IMPORTRANGE(""1vUGwO1n0QQGx9kKbO0_M5gmuhXZ6-LaxQxgrmJnzgP0"",""'TP# look up'!A:C""),3,0),"""")"),"")</f>
        <v/>
      </c>
      <c r="AH1441" s="49">
        <f>LEFT(J1441,2)</f>
        <v/>
      </c>
    </row>
    <row r="1442" ht="12.75" customHeight="1">
      <c r="H1442" s="43" t="n"/>
      <c r="AG1442" s="49">
        <f>IFERROR(__xludf.DUMMYFUNCTION("IFNA(vlookup(H1442,IMPORTRANGE(""1vUGwO1n0QQGx9kKbO0_M5gmuhXZ6-LaxQxgrmJnzgP0"",""'TP# look up'!A:C""),3,0),"""")"),"")</f>
        <v/>
      </c>
      <c r="AH1442" s="49">
        <f>LEFT(J1442,2)</f>
        <v/>
      </c>
    </row>
    <row r="1443" ht="12.75" customHeight="1">
      <c r="H1443" s="43" t="n"/>
      <c r="AG1443" s="49">
        <f>IFERROR(__xludf.DUMMYFUNCTION("IFNA(vlookup(H1443,IMPORTRANGE(""1vUGwO1n0QQGx9kKbO0_M5gmuhXZ6-LaxQxgrmJnzgP0"",""'TP# look up'!A:C""),3,0),"""")"),"")</f>
        <v/>
      </c>
      <c r="AH1443" s="49">
        <f>LEFT(J1443,2)</f>
        <v/>
      </c>
    </row>
    <row r="1444" ht="12.75" customHeight="1">
      <c r="H1444" s="43" t="n"/>
      <c r="AG1444" s="49">
        <f>IFERROR(__xludf.DUMMYFUNCTION("IFNA(vlookup(H1444,IMPORTRANGE(""1vUGwO1n0QQGx9kKbO0_M5gmuhXZ6-LaxQxgrmJnzgP0"",""'TP# look up'!A:C""),3,0),"""")"),"")</f>
        <v/>
      </c>
      <c r="AH1444" s="49">
        <f>LEFT(J1444,2)</f>
        <v/>
      </c>
    </row>
    <row r="1445" ht="12.75" customHeight="1">
      <c r="H1445" s="43" t="n"/>
      <c r="AG1445" s="49">
        <f>IFERROR(__xludf.DUMMYFUNCTION("IFNA(vlookup(H1445,IMPORTRANGE(""1vUGwO1n0QQGx9kKbO0_M5gmuhXZ6-LaxQxgrmJnzgP0"",""'TP# look up'!A:C""),3,0),"""")"),"")</f>
        <v/>
      </c>
      <c r="AH1445" s="49">
        <f>LEFT(J1445,2)</f>
        <v/>
      </c>
    </row>
    <row r="1446" ht="12.75" customHeight="1">
      <c r="H1446" s="43" t="n"/>
      <c r="AG1446" s="49">
        <f>IFERROR(__xludf.DUMMYFUNCTION("IFNA(vlookup(H1446,IMPORTRANGE(""1vUGwO1n0QQGx9kKbO0_M5gmuhXZ6-LaxQxgrmJnzgP0"",""'TP# look up'!A:C""),3,0),"""")"),"")</f>
        <v/>
      </c>
      <c r="AH1446" s="49">
        <f>LEFT(J1446,2)</f>
        <v/>
      </c>
    </row>
    <row r="1447" ht="12.75" customHeight="1">
      <c r="H1447" s="43" t="n"/>
      <c r="AG1447" s="49">
        <f>IFERROR(__xludf.DUMMYFUNCTION("IFNA(vlookup(H1447,IMPORTRANGE(""1vUGwO1n0QQGx9kKbO0_M5gmuhXZ6-LaxQxgrmJnzgP0"",""'TP# look up'!A:C""),3,0),"""")"),"")</f>
        <v/>
      </c>
      <c r="AH1447" s="49">
        <f>LEFT(J1447,2)</f>
        <v/>
      </c>
    </row>
    <row r="1448" ht="12.75" customHeight="1">
      <c r="H1448" s="43" t="n"/>
      <c r="AG1448" s="49">
        <f>IFERROR(__xludf.DUMMYFUNCTION("IFNA(vlookup(H1448,IMPORTRANGE(""1vUGwO1n0QQGx9kKbO0_M5gmuhXZ6-LaxQxgrmJnzgP0"",""'TP# look up'!A:C""),3,0),"""")"),"")</f>
        <v/>
      </c>
      <c r="AH1448" s="49">
        <f>LEFT(J1448,2)</f>
        <v/>
      </c>
    </row>
    <row r="1449" ht="12.75" customHeight="1">
      <c r="H1449" s="43" t="n"/>
      <c r="AG1449" s="49">
        <f>IFERROR(__xludf.DUMMYFUNCTION("IFNA(vlookup(H1449,IMPORTRANGE(""1vUGwO1n0QQGx9kKbO0_M5gmuhXZ6-LaxQxgrmJnzgP0"",""'TP# look up'!A:C""),3,0),"""")"),"")</f>
        <v/>
      </c>
      <c r="AH1449" s="49">
        <f>LEFT(J1449,2)</f>
        <v/>
      </c>
    </row>
    <row r="1450" ht="12.75" customHeight="1">
      <c r="H1450" s="43" t="n"/>
      <c r="AG1450" s="49">
        <f>IFERROR(__xludf.DUMMYFUNCTION("IFNA(vlookup(H1450,IMPORTRANGE(""1vUGwO1n0QQGx9kKbO0_M5gmuhXZ6-LaxQxgrmJnzgP0"",""'TP# look up'!A:C""),3,0),"""")"),"")</f>
        <v/>
      </c>
      <c r="AH1450" s="49">
        <f>LEFT(J1450,2)</f>
        <v/>
      </c>
    </row>
    <row r="1451" ht="12.75" customHeight="1">
      <c r="H1451" s="43" t="n"/>
      <c r="AG1451" s="49">
        <f>IFERROR(__xludf.DUMMYFUNCTION("IFNA(vlookup(H1451,IMPORTRANGE(""1vUGwO1n0QQGx9kKbO0_M5gmuhXZ6-LaxQxgrmJnzgP0"",""'TP# look up'!A:C""),3,0),"""")"),"")</f>
        <v/>
      </c>
      <c r="AH1451" s="49">
        <f>LEFT(J1451,2)</f>
        <v/>
      </c>
    </row>
    <row r="1452" ht="12.75" customHeight="1">
      <c r="H1452" s="43" t="n"/>
      <c r="AG1452" s="49">
        <f>IFERROR(__xludf.DUMMYFUNCTION("IFNA(vlookup(H1452,IMPORTRANGE(""1vUGwO1n0QQGx9kKbO0_M5gmuhXZ6-LaxQxgrmJnzgP0"",""'TP# look up'!A:C""),3,0),"""")"),"")</f>
        <v/>
      </c>
      <c r="AH1452" s="49">
        <f>LEFT(J1452,2)</f>
        <v/>
      </c>
    </row>
    <row r="1453" ht="12.75" customHeight="1">
      <c r="H1453" s="43" t="n"/>
      <c r="AG1453" s="49">
        <f>IFERROR(__xludf.DUMMYFUNCTION("IFNA(vlookup(H1453,IMPORTRANGE(""1vUGwO1n0QQGx9kKbO0_M5gmuhXZ6-LaxQxgrmJnzgP0"",""'TP# look up'!A:C""),3,0),"""")"),"")</f>
        <v/>
      </c>
      <c r="AH1453" s="49">
        <f>LEFT(J1453,2)</f>
        <v/>
      </c>
    </row>
    <row r="1454" ht="12.75" customHeight="1">
      <c r="H1454" s="43" t="n"/>
      <c r="AG1454" s="49">
        <f>IFERROR(__xludf.DUMMYFUNCTION("IFNA(vlookup(H1454,IMPORTRANGE(""1vUGwO1n0QQGx9kKbO0_M5gmuhXZ6-LaxQxgrmJnzgP0"",""'TP# look up'!A:C""),3,0),"""")"),"")</f>
        <v/>
      </c>
      <c r="AH1454" s="49">
        <f>LEFT(J1454,2)</f>
        <v/>
      </c>
    </row>
    <row r="1455" ht="12.75" customHeight="1">
      <c r="H1455" s="43" t="n"/>
      <c r="AG1455" s="49">
        <f>IFERROR(__xludf.DUMMYFUNCTION("IFNA(vlookup(H1455,IMPORTRANGE(""1vUGwO1n0QQGx9kKbO0_M5gmuhXZ6-LaxQxgrmJnzgP0"",""'TP# look up'!A:C""),3,0),"""")"),"")</f>
        <v/>
      </c>
      <c r="AH1455" s="49">
        <f>LEFT(J1455,2)</f>
        <v/>
      </c>
    </row>
    <row r="1456" ht="12.75" customHeight="1">
      <c r="H1456" s="43" t="n"/>
      <c r="AG1456" s="49">
        <f>IFERROR(__xludf.DUMMYFUNCTION("IFNA(vlookup(H1456,IMPORTRANGE(""1vUGwO1n0QQGx9kKbO0_M5gmuhXZ6-LaxQxgrmJnzgP0"",""'TP# look up'!A:C""),3,0),"""")"),"")</f>
        <v/>
      </c>
      <c r="AH1456" s="49">
        <f>LEFT(J1456,2)</f>
        <v/>
      </c>
    </row>
    <row r="1457" ht="12.75" customHeight="1">
      <c r="H1457" s="43" t="n"/>
      <c r="AG1457" s="49">
        <f>IFERROR(__xludf.DUMMYFUNCTION("IFNA(vlookup(H1457,IMPORTRANGE(""1vUGwO1n0QQGx9kKbO0_M5gmuhXZ6-LaxQxgrmJnzgP0"",""'TP# look up'!A:C""),3,0),"""")"),"")</f>
        <v/>
      </c>
      <c r="AH1457" s="49">
        <f>LEFT(J1457,2)</f>
        <v/>
      </c>
    </row>
    <row r="1458" ht="12.75" customHeight="1">
      <c r="H1458" s="43" t="n"/>
      <c r="AG1458" s="49">
        <f>IFERROR(__xludf.DUMMYFUNCTION("IFNA(vlookup(H1458,IMPORTRANGE(""1vUGwO1n0QQGx9kKbO0_M5gmuhXZ6-LaxQxgrmJnzgP0"",""'TP# look up'!A:C""),3,0),"""")"),"")</f>
        <v/>
      </c>
      <c r="AH1458" s="49">
        <f>LEFT(J1458,2)</f>
        <v/>
      </c>
    </row>
    <row r="1459" ht="12.75" customHeight="1">
      <c r="H1459" s="43" t="n"/>
      <c r="AG1459" s="49">
        <f>IFERROR(__xludf.DUMMYFUNCTION("IFNA(vlookup(H1459,IMPORTRANGE(""1vUGwO1n0QQGx9kKbO0_M5gmuhXZ6-LaxQxgrmJnzgP0"",""'TP# look up'!A:C""),3,0),"""")"),"")</f>
        <v/>
      </c>
      <c r="AH1459" s="49">
        <f>LEFT(J1459,2)</f>
        <v/>
      </c>
    </row>
    <row r="1460" ht="12.75" customHeight="1">
      <c r="H1460" s="43" t="n"/>
      <c r="AG1460" s="49">
        <f>IFERROR(__xludf.DUMMYFUNCTION("IFNA(vlookup(H1460,IMPORTRANGE(""1vUGwO1n0QQGx9kKbO0_M5gmuhXZ6-LaxQxgrmJnzgP0"",""'TP# look up'!A:C""),3,0),"""")"),"")</f>
        <v/>
      </c>
      <c r="AH1460" s="49">
        <f>LEFT(J1460,2)</f>
        <v/>
      </c>
    </row>
    <row r="1461" ht="12.75" customHeight="1">
      <c r="H1461" s="43" t="n"/>
      <c r="AG1461" s="49">
        <f>IFERROR(__xludf.DUMMYFUNCTION("IFNA(vlookup(H1461,IMPORTRANGE(""1vUGwO1n0QQGx9kKbO0_M5gmuhXZ6-LaxQxgrmJnzgP0"",""'TP# look up'!A:C""),3,0),"""")"),"")</f>
        <v/>
      </c>
      <c r="AH1461" s="49">
        <f>LEFT(J1461,2)</f>
        <v/>
      </c>
    </row>
    <row r="1462" ht="12.75" customHeight="1">
      <c r="H1462" s="43" t="n"/>
      <c r="AG1462" s="49">
        <f>IFERROR(__xludf.DUMMYFUNCTION("IFNA(vlookup(H1462,IMPORTRANGE(""1vUGwO1n0QQGx9kKbO0_M5gmuhXZ6-LaxQxgrmJnzgP0"",""'TP# look up'!A:C""),3,0),"""")"),"")</f>
        <v/>
      </c>
      <c r="AH1462" s="49">
        <f>LEFT(J1462,2)</f>
        <v/>
      </c>
    </row>
    <row r="1463" ht="12.75" customHeight="1">
      <c r="H1463" s="43" t="n"/>
      <c r="AG1463" s="49">
        <f>IFERROR(__xludf.DUMMYFUNCTION("IFNA(vlookup(H1463,IMPORTRANGE(""1vUGwO1n0QQGx9kKbO0_M5gmuhXZ6-LaxQxgrmJnzgP0"",""'TP# look up'!A:C""),3,0),"""")"),"")</f>
        <v/>
      </c>
      <c r="AH1463" s="49">
        <f>LEFT(J1463,2)</f>
        <v/>
      </c>
    </row>
    <row r="1464" ht="12.75" customHeight="1">
      <c r="H1464" s="43" t="n"/>
      <c r="AG1464" s="49">
        <f>IFERROR(__xludf.DUMMYFUNCTION("IFNA(vlookup(H1464,IMPORTRANGE(""1vUGwO1n0QQGx9kKbO0_M5gmuhXZ6-LaxQxgrmJnzgP0"",""'TP# look up'!A:C""),3,0),"""")"),"")</f>
        <v/>
      </c>
      <c r="AH1464" s="49">
        <f>LEFT(J1464,2)</f>
        <v/>
      </c>
    </row>
    <row r="1465" ht="12.75" customHeight="1">
      <c r="H1465" s="43" t="n"/>
      <c r="AG1465" s="49">
        <f>IFERROR(__xludf.DUMMYFUNCTION("IFNA(vlookup(H1465,IMPORTRANGE(""1vUGwO1n0QQGx9kKbO0_M5gmuhXZ6-LaxQxgrmJnzgP0"",""'TP# look up'!A:C""),3,0),"""")"),"")</f>
        <v/>
      </c>
      <c r="AH1465" s="49">
        <f>LEFT(J1465,2)</f>
        <v/>
      </c>
    </row>
    <row r="1466" ht="12.75" customHeight="1">
      <c r="H1466" s="43" t="n"/>
      <c r="AG1466" s="49">
        <f>IFERROR(__xludf.DUMMYFUNCTION("IFNA(vlookup(H1466,IMPORTRANGE(""1vUGwO1n0QQGx9kKbO0_M5gmuhXZ6-LaxQxgrmJnzgP0"",""'TP# look up'!A:C""),3,0),"""")"),"")</f>
        <v/>
      </c>
      <c r="AH1466" s="49">
        <f>LEFT(J1466,2)</f>
        <v/>
      </c>
    </row>
    <row r="1467" ht="12.75" customHeight="1">
      <c r="H1467" s="43" t="n"/>
      <c r="AG1467" s="49">
        <f>IFERROR(__xludf.DUMMYFUNCTION("IFNA(vlookup(H1467,IMPORTRANGE(""1vUGwO1n0QQGx9kKbO0_M5gmuhXZ6-LaxQxgrmJnzgP0"",""'TP# look up'!A:C""),3,0),"""")"),"")</f>
        <v/>
      </c>
      <c r="AH1467" s="49">
        <f>LEFT(J1467,2)</f>
        <v/>
      </c>
    </row>
    <row r="1468" ht="12.75" customHeight="1">
      <c r="H1468" s="43" t="n"/>
      <c r="AG1468" s="49">
        <f>IFERROR(__xludf.DUMMYFUNCTION("IFNA(vlookup(H1468,IMPORTRANGE(""1vUGwO1n0QQGx9kKbO0_M5gmuhXZ6-LaxQxgrmJnzgP0"",""'TP# look up'!A:C""),3,0),"""")"),"")</f>
        <v/>
      </c>
      <c r="AH1468" s="49">
        <f>LEFT(J1468,2)</f>
        <v/>
      </c>
    </row>
    <row r="1469" ht="12.75" customHeight="1">
      <c r="H1469" s="43" t="n"/>
      <c r="AG1469" s="49">
        <f>IFERROR(__xludf.DUMMYFUNCTION("IFNA(vlookup(H1469,IMPORTRANGE(""1vUGwO1n0QQGx9kKbO0_M5gmuhXZ6-LaxQxgrmJnzgP0"",""'TP# look up'!A:C""),3,0),"""")"),"")</f>
        <v/>
      </c>
      <c r="AH1469" s="49">
        <f>LEFT(J1469,2)</f>
        <v/>
      </c>
    </row>
    <row r="1470" ht="12.75" customHeight="1">
      <c r="H1470" s="43" t="n"/>
      <c r="AG1470" s="49">
        <f>IFERROR(__xludf.DUMMYFUNCTION("IFNA(vlookup(H1470,IMPORTRANGE(""1vUGwO1n0QQGx9kKbO0_M5gmuhXZ6-LaxQxgrmJnzgP0"",""'TP# look up'!A:C""),3,0),"""")"),"")</f>
        <v/>
      </c>
      <c r="AH1470" s="49">
        <f>LEFT(J1470,2)</f>
        <v/>
      </c>
    </row>
    <row r="1471" ht="12.75" customHeight="1">
      <c r="H1471" s="43" t="n"/>
      <c r="AG1471" s="49">
        <f>IFERROR(__xludf.DUMMYFUNCTION("IFNA(vlookup(H1471,IMPORTRANGE(""1vUGwO1n0QQGx9kKbO0_M5gmuhXZ6-LaxQxgrmJnzgP0"",""'TP# look up'!A:C""),3,0),"""")"),"")</f>
        <v/>
      </c>
      <c r="AH1471" s="49">
        <f>LEFT(J1471,2)</f>
        <v/>
      </c>
    </row>
    <row r="1472" ht="12.75" customHeight="1">
      <c r="H1472" s="43" t="n"/>
      <c r="AG1472" s="49">
        <f>IFERROR(__xludf.DUMMYFUNCTION("IFNA(vlookup(H1472,IMPORTRANGE(""1vUGwO1n0QQGx9kKbO0_M5gmuhXZ6-LaxQxgrmJnzgP0"",""'TP# look up'!A:C""),3,0),"""")"),"")</f>
        <v/>
      </c>
      <c r="AH1472" s="49">
        <f>LEFT(J1472,2)</f>
        <v/>
      </c>
    </row>
    <row r="1473" ht="12.75" customHeight="1">
      <c r="H1473" s="43" t="n"/>
      <c r="AG1473" s="49">
        <f>IFERROR(__xludf.DUMMYFUNCTION("IFNA(vlookup(H1473,IMPORTRANGE(""1vUGwO1n0QQGx9kKbO0_M5gmuhXZ6-LaxQxgrmJnzgP0"",""'TP# look up'!A:C""),3,0),"""")"),"")</f>
        <v/>
      </c>
      <c r="AH1473" s="49">
        <f>LEFT(J1473,2)</f>
        <v/>
      </c>
    </row>
    <row r="1474" ht="12.75" customHeight="1">
      <c r="H1474" s="43" t="n"/>
      <c r="AG1474" s="49">
        <f>IFERROR(__xludf.DUMMYFUNCTION("IFNA(vlookup(H1474,IMPORTRANGE(""1vUGwO1n0QQGx9kKbO0_M5gmuhXZ6-LaxQxgrmJnzgP0"",""'TP# look up'!A:C""),3,0),"""")"),"")</f>
        <v/>
      </c>
      <c r="AH1474" s="49">
        <f>LEFT(J1474,2)</f>
        <v/>
      </c>
    </row>
    <row r="1475" ht="12.75" customHeight="1">
      <c r="H1475" s="43" t="n"/>
      <c r="AG1475" s="49">
        <f>IFERROR(__xludf.DUMMYFUNCTION("IFNA(vlookup(H1475,IMPORTRANGE(""1vUGwO1n0QQGx9kKbO0_M5gmuhXZ6-LaxQxgrmJnzgP0"",""'TP# look up'!A:C""),3,0),"""")"),"")</f>
        <v/>
      </c>
      <c r="AH1475" s="49">
        <f>LEFT(J1475,2)</f>
        <v/>
      </c>
    </row>
    <row r="1476" ht="12.75" customHeight="1">
      <c r="H1476" s="43" t="n"/>
      <c r="AG1476" s="49">
        <f>IFERROR(__xludf.DUMMYFUNCTION("IFNA(vlookup(H1476,IMPORTRANGE(""1vUGwO1n0QQGx9kKbO0_M5gmuhXZ6-LaxQxgrmJnzgP0"",""'TP# look up'!A:C""),3,0),"""")"),"")</f>
        <v/>
      </c>
      <c r="AH1476" s="49">
        <f>LEFT(J1476,2)</f>
        <v/>
      </c>
    </row>
    <row r="1477" ht="12.75" customHeight="1">
      <c r="H1477" s="43" t="n"/>
      <c r="AG1477" s="49">
        <f>IFERROR(__xludf.DUMMYFUNCTION("IFNA(vlookup(H1477,IMPORTRANGE(""1vUGwO1n0QQGx9kKbO0_M5gmuhXZ6-LaxQxgrmJnzgP0"",""'TP# look up'!A:C""),3,0),"""")"),"")</f>
        <v/>
      </c>
      <c r="AH1477" s="49">
        <f>LEFT(J1477,2)</f>
        <v/>
      </c>
    </row>
    <row r="1478" ht="12.75" customHeight="1">
      <c r="H1478" s="43" t="n"/>
      <c r="AG1478" s="49">
        <f>IFERROR(__xludf.DUMMYFUNCTION("IFNA(vlookup(H1478,IMPORTRANGE(""1vUGwO1n0QQGx9kKbO0_M5gmuhXZ6-LaxQxgrmJnzgP0"",""'TP# look up'!A:C""),3,0),"""")"),"")</f>
        <v/>
      </c>
      <c r="AH1478" s="49">
        <f>LEFT(J1478,2)</f>
        <v/>
      </c>
    </row>
    <row r="1479" ht="12.75" customHeight="1">
      <c r="H1479" s="43" t="n"/>
      <c r="AG1479" s="49">
        <f>IFERROR(__xludf.DUMMYFUNCTION("IFNA(vlookup(H1479,IMPORTRANGE(""1vUGwO1n0QQGx9kKbO0_M5gmuhXZ6-LaxQxgrmJnzgP0"",""'TP# look up'!A:C""),3,0),"""")"),"")</f>
        <v/>
      </c>
      <c r="AH1479" s="49">
        <f>LEFT(J1479,2)</f>
        <v/>
      </c>
    </row>
    <row r="1480" ht="12.75" customHeight="1">
      <c r="H1480" s="43" t="n"/>
      <c r="AG1480" s="49">
        <f>IFERROR(__xludf.DUMMYFUNCTION("IFNA(vlookup(H1480,IMPORTRANGE(""1vUGwO1n0QQGx9kKbO0_M5gmuhXZ6-LaxQxgrmJnzgP0"",""'TP# look up'!A:C""),3,0),"""")"),"")</f>
        <v/>
      </c>
      <c r="AH1480" s="49">
        <f>LEFT(J1480,2)</f>
        <v/>
      </c>
    </row>
    <row r="1481" ht="12.75" customHeight="1">
      <c r="H1481" s="43" t="n"/>
      <c r="AG1481" s="49">
        <f>IFERROR(__xludf.DUMMYFUNCTION("IFNA(vlookup(H1481,IMPORTRANGE(""1vUGwO1n0QQGx9kKbO0_M5gmuhXZ6-LaxQxgrmJnzgP0"",""'TP# look up'!A:C""),3,0),"""")"),"")</f>
        <v/>
      </c>
      <c r="AH1481" s="49">
        <f>LEFT(J1481,2)</f>
        <v/>
      </c>
    </row>
    <row r="1482" ht="12.75" customHeight="1">
      <c r="H1482" s="43" t="n"/>
      <c r="AG1482" s="49">
        <f>IFERROR(__xludf.DUMMYFUNCTION("IFNA(vlookup(H1482,IMPORTRANGE(""1vUGwO1n0QQGx9kKbO0_M5gmuhXZ6-LaxQxgrmJnzgP0"",""'TP# look up'!A:C""),3,0),"""")"),"")</f>
        <v/>
      </c>
      <c r="AH1482" s="49">
        <f>LEFT(J1482,2)</f>
        <v/>
      </c>
    </row>
    <row r="1483" ht="12.75" customHeight="1">
      <c r="H1483" s="43" t="n"/>
      <c r="AG1483" s="49">
        <f>IFERROR(__xludf.DUMMYFUNCTION("IFNA(vlookup(H1483,IMPORTRANGE(""1vUGwO1n0QQGx9kKbO0_M5gmuhXZ6-LaxQxgrmJnzgP0"",""'TP# look up'!A:C""),3,0),"""")"),"")</f>
        <v/>
      </c>
      <c r="AH1483" s="49">
        <f>LEFT(J1483,2)</f>
        <v/>
      </c>
    </row>
    <row r="1484" ht="12.75" customHeight="1">
      <c r="H1484" s="43" t="n"/>
      <c r="AG1484" s="49">
        <f>IFERROR(__xludf.DUMMYFUNCTION("IFNA(vlookup(H1484,IMPORTRANGE(""1vUGwO1n0QQGx9kKbO0_M5gmuhXZ6-LaxQxgrmJnzgP0"",""'TP# look up'!A:C""),3,0),"""")"),"")</f>
        <v/>
      </c>
      <c r="AH1484" s="49">
        <f>LEFT(J1484,2)</f>
        <v/>
      </c>
    </row>
    <row r="1485" ht="12.75" customHeight="1">
      <c r="H1485" s="43" t="n"/>
      <c r="AG1485" s="49">
        <f>IFERROR(__xludf.DUMMYFUNCTION("IFNA(vlookup(H1485,IMPORTRANGE(""1vUGwO1n0QQGx9kKbO0_M5gmuhXZ6-LaxQxgrmJnzgP0"",""'TP# look up'!A:C""),3,0),"""")"),"")</f>
        <v/>
      </c>
      <c r="AH1485" s="49">
        <f>LEFT(J1485,2)</f>
        <v/>
      </c>
    </row>
    <row r="1486" ht="12.75" customHeight="1">
      <c r="H1486" s="43" t="n"/>
      <c r="AG1486" s="49">
        <f>IFERROR(__xludf.DUMMYFUNCTION("IFNA(vlookup(H1486,IMPORTRANGE(""1vUGwO1n0QQGx9kKbO0_M5gmuhXZ6-LaxQxgrmJnzgP0"",""'TP# look up'!A:C""),3,0),"""")"),"")</f>
        <v/>
      </c>
      <c r="AH1486" s="49">
        <f>LEFT(J1486,2)</f>
        <v/>
      </c>
    </row>
    <row r="1487" ht="12.75" customHeight="1">
      <c r="H1487" s="43" t="n"/>
      <c r="AG1487" s="49">
        <f>IFERROR(__xludf.DUMMYFUNCTION("IFNA(vlookup(H1487,IMPORTRANGE(""1vUGwO1n0QQGx9kKbO0_M5gmuhXZ6-LaxQxgrmJnzgP0"",""'TP# look up'!A:C""),3,0),"""")"),"")</f>
        <v/>
      </c>
      <c r="AH1487" s="49">
        <f>LEFT(J1487,2)</f>
        <v/>
      </c>
    </row>
    <row r="1488" ht="12.75" customHeight="1">
      <c r="H1488" s="43" t="n"/>
      <c r="AG1488" s="49">
        <f>IFERROR(__xludf.DUMMYFUNCTION("IFNA(vlookup(H1488,IMPORTRANGE(""1vUGwO1n0QQGx9kKbO0_M5gmuhXZ6-LaxQxgrmJnzgP0"",""'TP# look up'!A:C""),3,0),"""")"),"")</f>
        <v/>
      </c>
      <c r="AH1488" s="49">
        <f>LEFT(J1488,2)</f>
        <v/>
      </c>
    </row>
    <row r="1489" ht="12.75" customHeight="1">
      <c r="H1489" s="43" t="n"/>
      <c r="AG1489" s="49">
        <f>IFERROR(__xludf.DUMMYFUNCTION("IFNA(vlookup(H1489,IMPORTRANGE(""1vUGwO1n0QQGx9kKbO0_M5gmuhXZ6-LaxQxgrmJnzgP0"",""'TP# look up'!A:C""),3,0),"""")"),"")</f>
        <v/>
      </c>
      <c r="AH1489" s="49">
        <f>LEFT(J1489,2)</f>
        <v/>
      </c>
    </row>
    <row r="1490" ht="12.75" customHeight="1">
      <c r="H1490" s="43" t="n"/>
      <c r="AG1490" s="49">
        <f>IFERROR(__xludf.DUMMYFUNCTION("IFNA(vlookup(H1490,IMPORTRANGE(""1vUGwO1n0QQGx9kKbO0_M5gmuhXZ6-LaxQxgrmJnzgP0"",""'TP# look up'!A:C""),3,0),"""")"),"")</f>
        <v/>
      </c>
      <c r="AH1490" s="49">
        <f>LEFT(J1490,2)</f>
        <v/>
      </c>
    </row>
    <row r="1491" ht="12.75" customHeight="1">
      <c r="H1491" s="43" t="n"/>
      <c r="AG1491" s="49">
        <f>IFERROR(__xludf.DUMMYFUNCTION("IFNA(vlookup(H1491,IMPORTRANGE(""1vUGwO1n0QQGx9kKbO0_M5gmuhXZ6-LaxQxgrmJnzgP0"",""'TP# look up'!A:C""),3,0),"""")"),"")</f>
        <v/>
      </c>
      <c r="AH1491" s="49">
        <f>LEFT(J1491,2)</f>
        <v/>
      </c>
    </row>
    <row r="1492" ht="12.75" customHeight="1">
      <c r="H1492" s="43" t="n"/>
      <c r="AG1492" s="49">
        <f>IFERROR(__xludf.DUMMYFUNCTION("IFNA(vlookup(H1492,IMPORTRANGE(""1vUGwO1n0QQGx9kKbO0_M5gmuhXZ6-LaxQxgrmJnzgP0"",""'TP# look up'!A:C""),3,0),"""")"),"")</f>
        <v/>
      </c>
      <c r="AH1492" s="49">
        <f>LEFT(J1492,2)</f>
        <v/>
      </c>
    </row>
    <row r="1493" ht="12.75" customHeight="1">
      <c r="H1493" s="43" t="n"/>
      <c r="AG1493" s="49">
        <f>IFERROR(__xludf.DUMMYFUNCTION("IFNA(vlookup(H1493,IMPORTRANGE(""1vUGwO1n0QQGx9kKbO0_M5gmuhXZ6-LaxQxgrmJnzgP0"",""'TP# look up'!A:C""),3,0),"""")"),"")</f>
        <v/>
      </c>
      <c r="AH1493" s="49">
        <f>LEFT(J1493,2)</f>
        <v/>
      </c>
    </row>
    <row r="1494" ht="12.75" customHeight="1">
      <c r="H1494" s="43" t="n"/>
      <c r="AG1494" s="49">
        <f>IFERROR(__xludf.DUMMYFUNCTION("IFNA(vlookup(H1494,IMPORTRANGE(""1vUGwO1n0QQGx9kKbO0_M5gmuhXZ6-LaxQxgrmJnzgP0"",""'TP# look up'!A:C""),3,0),"""")"),"")</f>
        <v/>
      </c>
      <c r="AH1494" s="49">
        <f>LEFT(J1494,2)</f>
        <v/>
      </c>
    </row>
    <row r="1495" ht="12.75" customHeight="1">
      <c r="H1495" s="43" t="n"/>
      <c r="AG1495" s="49">
        <f>IFERROR(__xludf.DUMMYFUNCTION("IFNA(vlookup(H1495,IMPORTRANGE(""1vUGwO1n0QQGx9kKbO0_M5gmuhXZ6-LaxQxgrmJnzgP0"",""'TP# look up'!A:C""),3,0),"""")"),"")</f>
        <v/>
      </c>
      <c r="AH1495" s="49">
        <f>LEFT(J1495,2)</f>
        <v/>
      </c>
    </row>
    <row r="1496" ht="12.75" customHeight="1">
      <c r="H1496" s="43" t="n"/>
      <c r="AG1496" s="49">
        <f>IFERROR(__xludf.DUMMYFUNCTION("IFNA(vlookup(H1496,IMPORTRANGE(""1vUGwO1n0QQGx9kKbO0_M5gmuhXZ6-LaxQxgrmJnzgP0"",""'TP# look up'!A:C""),3,0),"""")"),"")</f>
        <v/>
      </c>
      <c r="AH1496" s="49">
        <f>LEFT(J1496,2)</f>
        <v/>
      </c>
    </row>
    <row r="1497" ht="12.75" customHeight="1">
      <c r="H1497" s="43" t="n"/>
      <c r="AG1497" s="49">
        <f>IFERROR(__xludf.DUMMYFUNCTION("IFNA(vlookup(H1497,IMPORTRANGE(""1vUGwO1n0QQGx9kKbO0_M5gmuhXZ6-LaxQxgrmJnzgP0"",""'TP# look up'!A:C""),3,0),"""")"),"")</f>
        <v/>
      </c>
      <c r="AH1497" s="49">
        <f>LEFT(J1497,2)</f>
        <v/>
      </c>
    </row>
    <row r="1498" ht="12.75" customHeight="1">
      <c r="H1498" s="43" t="n"/>
      <c r="AG1498" s="49">
        <f>IFERROR(__xludf.DUMMYFUNCTION("IFNA(vlookup(H1498,IMPORTRANGE(""1vUGwO1n0QQGx9kKbO0_M5gmuhXZ6-LaxQxgrmJnzgP0"",""'TP# look up'!A:C""),3,0),"""")"),"")</f>
        <v/>
      </c>
      <c r="AH1498" s="49">
        <f>LEFT(J1498,2)</f>
        <v/>
      </c>
    </row>
    <row r="1499" ht="12.75" customHeight="1">
      <c r="H1499" s="43" t="n"/>
      <c r="AG1499" s="49">
        <f>IFERROR(__xludf.DUMMYFUNCTION("IFNA(vlookup(H1499,IMPORTRANGE(""1vUGwO1n0QQGx9kKbO0_M5gmuhXZ6-LaxQxgrmJnzgP0"",""'TP# look up'!A:C""),3,0),"""")"),"")</f>
        <v/>
      </c>
      <c r="AH1499" s="49">
        <f>LEFT(J1499,2)</f>
        <v/>
      </c>
    </row>
    <row r="1500" ht="12.75" customHeight="1">
      <c r="H1500" s="43" t="n"/>
      <c r="AG1500" s="49">
        <f>IFERROR(__xludf.DUMMYFUNCTION("IFNA(vlookup(H1500,IMPORTRANGE(""1vUGwO1n0QQGx9kKbO0_M5gmuhXZ6-LaxQxgrmJnzgP0"",""'TP# look up'!A:C""),3,0),"""")"),"")</f>
        <v/>
      </c>
      <c r="AH1500" s="49">
        <f>LEFT(J1500,2)</f>
        <v/>
      </c>
    </row>
    <row r="1501" ht="12.75" customHeight="1">
      <c r="H1501" s="43" t="n"/>
      <c r="AG1501" s="49">
        <f>IFERROR(__xludf.DUMMYFUNCTION("IFNA(vlookup(H1501,IMPORTRANGE(""1vUGwO1n0QQGx9kKbO0_M5gmuhXZ6-LaxQxgrmJnzgP0"",""'TP# look up'!A:C""),3,0),"""")"),"")</f>
        <v/>
      </c>
      <c r="AH1501" s="49">
        <f>LEFT(J1501,2)</f>
        <v/>
      </c>
    </row>
    <row r="1502" ht="12.75" customHeight="1">
      <c r="H1502" s="43" t="n"/>
      <c r="AG1502" s="49">
        <f>IFERROR(__xludf.DUMMYFUNCTION("IFNA(vlookup(H1502,IMPORTRANGE(""1vUGwO1n0QQGx9kKbO0_M5gmuhXZ6-LaxQxgrmJnzgP0"",""'TP# look up'!A:C""),3,0),"""")"),"")</f>
        <v/>
      </c>
      <c r="AH1502" s="49">
        <f>LEFT(J1502,2)</f>
        <v/>
      </c>
    </row>
    <row r="1503" ht="12.75" customHeight="1">
      <c r="H1503" s="43" t="n"/>
      <c r="AG1503" s="49">
        <f>IFERROR(__xludf.DUMMYFUNCTION("IFNA(vlookup(H1503,IMPORTRANGE(""1vUGwO1n0QQGx9kKbO0_M5gmuhXZ6-LaxQxgrmJnzgP0"",""'TP# look up'!A:C""),3,0),"""")"),"")</f>
        <v/>
      </c>
      <c r="AH1503" s="49">
        <f>LEFT(J1503,2)</f>
        <v/>
      </c>
    </row>
    <row r="1504" ht="12.75" customHeight="1">
      <c r="H1504" s="43" t="n"/>
      <c r="AG1504" s="49">
        <f>IFERROR(__xludf.DUMMYFUNCTION("IFNA(vlookup(H1504,IMPORTRANGE(""1vUGwO1n0QQGx9kKbO0_M5gmuhXZ6-LaxQxgrmJnzgP0"",""'TP# look up'!A:C""),3,0),"""")"),"")</f>
        <v/>
      </c>
      <c r="AH1504" s="49">
        <f>LEFT(J1504,2)</f>
        <v/>
      </c>
    </row>
    <row r="1505" ht="12.75" customHeight="1">
      <c r="H1505" s="43" t="n"/>
      <c r="AG1505" s="49">
        <f>IFERROR(__xludf.DUMMYFUNCTION("IFNA(vlookup(H1505,IMPORTRANGE(""1vUGwO1n0QQGx9kKbO0_M5gmuhXZ6-LaxQxgrmJnzgP0"",""'TP# look up'!A:C""),3,0),"""")"),"")</f>
        <v/>
      </c>
      <c r="AH1505" s="49">
        <f>LEFT(J1505,2)</f>
        <v/>
      </c>
    </row>
    <row r="1506" ht="12.75" customHeight="1">
      <c r="H1506" s="43" t="n"/>
      <c r="AG1506" s="49">
        <f>IFERROR(__xludf.DUMMYFUNCTION("IFNA(vlookup(H1506,IMPORTRANGE(""1vUGwO1n0QQGx9kKbO0_M5gmuhXZ6-LaxQxgrmJnzgP0"",""'TP# look up'!A:C""),3,0),"""")"),"")</f>
        <v/>
      </c>
      <c r="AH1506" s="49">
        <f>LEFT(J1506,2)</f>
        <v/>
      </c>
    </row>
    <row r="1507" ht="12.75" customHeight="1">
      <c r="H1507" s="43" t="n"/>
      <c r="AG1507" s="49">
        <f>IFERROR(__xludf.DUMMYFUNCTION("IFNA(vlookup(H1507,IMPORTRANGE(""1vUGwO1n0QQGx9kKbO0_M5gmuhXZ6-LaxQxgrmJnzgP0"",""'TP# look up'!A:C""),3,0),"""")"),"")</f>
        <v/>
      </c>
      <c r="AH1507" s="49">
        <f>LEFT(J1507,2)</f>
        <v/>
      </c>
    </row>
    <row r="1508" ht="12.75" customHeight="1">
      <c r="H1508" s="43" t="n"/>
      <c r="AG1508" s="49">
        <f>IFERROR(__xludf.DUMMYFUNCTION("IFNA(vlookup(H1508,IMPORTRANGE(""1vUGwO1n0QQGx9kKbO0_M5gmuhXZ6-LaxQxgrmJnzgP0"",""'TP# look up'!A:C""),3,0),"""")"),"")</f>
        <v/>
      </c>
      <c r="AH1508" s="49">
        <f>LEFT(J1508,2)</f>
        <v/>
      </c>
    </row>
    <row r="1509" ht="12.75" customHeight="1">
      <c r="H1509" s="43" t="n"/>
      <c r="AG1509" s="49">
        <f>IFERROR(__xludf.DUMMYFUNCTION("IFNA(vlookup(H1509,IMPORTRANGE(""1vUGwO1n0QQGx9kKbO0_M5gmuhXZ6-LaxQxgrmJnzgP0"",""'TP# look up'!A:C""),3,0),"""")"),"")</f>
        <v/>
      </c>
      <c r="AH1509" s="49">
        <f>LEFT(J1509,2)</f>
        <v/>
      </c>
    </row>
    <row r="1510" ht="12.75" customHeight="1">
      <c r="H1510" s="43" t="n"/>
      <c r="AG1510" s="49">
        <f>IFERROR(__xludf.DUMMYFUNCTION("IFNA(vlookup(H1510,IMPORTRANGE(""1vUGwO1n0QQGx9kKbO0_M5gmuhXZ6-LaxQxgrmJnzgP0"",""'TP# look up'!A:C""),3,0),"""")"),"")</f>
        <v/>
      </c>
      <c r="AH1510" s="49">
        <f>LEFT(J1510,2)</f>
        <v/>
      </c>
    </row>
    <row r="1511" ht="12.75" customHeight="1">
      <c r="H1511" s="43" t="n"/>
      <c r="AG1511" s="49">
        <f>IFERROR(__xludf.DUMMYFUNCTION("IFNA(vlookup(H1511,IMPORTRANGE(""1vUGwO1n0QQGx9kKbO0_M5gmuhXZ6-LaxQxgrmJnzgP0"",""'TP# look up'!A:C""),3,0),"""")"),"")</f>
        <v/>
      </c>
      <c r="AH1511" s="49">
        <f>LEFT(J1511,2)</f>
        <v/>
      </c>
    </row>
    <row r="1512" ht="12.75" customHeight="1">
      <c r="H1512" s="43" t="n"/>
      <c r="AG1512" s="49">
        <f>IFERROR(__xludf.DUMMYFUNCTION("IFNA(vlookup(H1512,IMPORTRANGE(""1vUGwO1n0QQGx9kKbO0_M5gmuhXZ6-LaxQxgrmJnzgP0"",""'TP# look up'!A:C""),3,0),"""")"),"")</f>
        <v/>
      </c>
      <c r="AH1512" s="49">
        <f>LEFT(J1512,2)</f>
        <v/>
      </c>
    </row>
    <row r="1513" ht="12.75" customHeight="1">
      <c r="H1513" s="43" t="n"/>
      <c r="AG1513" s="49">
        <f>IFERROR(__xludf.DUMMYFUNCTION("IFNA(vlookup(H1513,IMPORTRANGE(""1vUGwO1n0QQGx9kKbO0_M5gmuhXZ6-LaxQxgrmJnzgP0"",""'TP# look up'!A:C""),3,0),"""")"),"")</f>
        <v/>
      </c>
      <c r="AH1513" s="49">
        <f>LEFT(J1513,2)</f>
        <v/>
      </c>
    </row>
    <row r="1514" ht="12.75" customHeight="1">
      <c r="H1514" s="43" t="n"/>
      <c r="AG1514" s="49">
        <f>IFERROR(__xludf.DUMMYFUNCTION("IFNA(vlookup(H1514,IMPORTRANGE(""1vUGwO1n0QQGx9kKbO0_M5gmuhXZ6-LaxQxgrmJnzgP0"",""'TP# look up'!A:C""),3,0),"""")"),"")</f>
        <v/>
      </c>
      <c r="AH1514" s="49">
        <f>LEFT(J1514,2)</f>
        <v/>
      </c>
    </row>
    <row r="1515" ht="12.75" customHeight="1">
      <c r="H1515" s="43" t="n"/>
      <c r="AG1515" s="49">
        <f>IFERROR(__xludf.DUMMYFUNCTION("IFNA(vlookup(H1515,IMPORTRANGE(""1vUGwO1n0QQGx9kKbO0_M5gmuhXZ6-LaxQxgrmJnzgP0"",""'TP# look up'!A:C""),3,0),"""")"),"")</f>
        <v/>
      </c>
      <c r="AH1515" s="49">
        <f>LEFT(J1515,2)</f>
        <v/>
      </c>
    </row>
    <row r="1516" ht="12.75" customHeight="1">
      <c r="H1516" s="43" t="n"/>
      <c r="AG1516" s="49">
        <f>IFERROR(__xludf.DUMMYFUNCTION("IFNA(vlookup(H1516,IMPORTRANGE(""1vUGwO1n0QQGx9kKbO0_M5gmuhXZ6-LaxQxgrmJnzgP0"",""'TP# look up'!A:C""),3,0),"""")"),"")</f>
        <v/>
      </c>
      <c r="AH1516" s="49">
        <f>LEFT(J1516,2)</f>
        <v/>
      </c>
    </row>
    <row r="1517" ht="12.75" customHeight="1">
      <c r="H1517" s="43" t="n"/>
      <c r="AG1517" s="49">
        <f>IFERROR(__xludf.DUMMYFUNCTION("IFNA(vlookup(H1517,IMPORTRANGE(""1vUGwO1n0QQGx9kKbO0_M5gmuhXZ6-LaxQxgrmJnzgP0"",""'TP# look up'!A:C""),3,0),"""")"),"")</f>
        <v/>
      </c>
      <c r="AH1517" s="49">
        <f>LEFT(J1517,2)</f>
        <v/>
      </c>
    </row>
    <row r="1518" ht="12.75" customHeight="1">
      <c r="H1518" s="43" t="n"/>
      <c r="AG1518" s="49">
        <f>IFERROR(__xludf.DUMMYFUNCTION("IFNA(vlookup(H1518,IMPORTRANGE(""1vUGwO1n0QQGx9kKbO0_M5gmuhXZ6-LaxQxgrmJnzgP0"",""'TP# look up'!A:C""),3,0),"""")"),"")</f>
        <v/>
      </c>
      <c r="AH1518" s="49">
        <f>LEFT(J1518,2)</f>
        <v/>
      </c>
    </row>
    <row r="1519" ht="12.75" customHeight="1">
      <c r="H1519" s="43" t="n"/>
      <c r="AG1519" s="49">
        <f>IFERROR(__xludf.DUMMYFUNCTION("IFNA(vlookup(H1519,IMPORTRANGE(""1vUGwO1n0QQGx9kKbO0_M5gmuhXZ6-LaxQxgrmJnzgP0"",""'TP# look up'!A:C""),3,0),"""")"),"")</f>
        <v/>
      </c>
      <c r="AH1519" s="49">
        <f>LEFT(J1519,2)</f>
        <v/>
      </c>
    </row>
    <row r="1520" ht="12.75" customHeight="1">
      <c r="H1520" s="43" t="n"/>
      <c r="AG1520" s="49">
        <f>IFERROR(__xludf.DUMMYFUNCTION("IFNA(vlookup(H1520,IMPORTRANGE(""1vUGwO1n0QQGx9kKbO0_M5gmuhXZ6-LaxQxgrmJnzgP0"",""'TP# look up'!A:C""),3,0),"""")"),"")</f>
        <v/>
      </c>
      <c r="AH1520" s="49">
        <f>LEFT(J1520,2)</f>
        <v/>
      </c>
    </row>
    <row r="1521" ht="12.75" customHeight="1">
      <c r="H1521" s="43" t="n"/>
      <c r="AG1521" s="49">
        <f>IFERROR(__xludf.DUMMYFUNCTION("IFNA(vlookup(H1521,IMPORTRANGE(""1vUGwO1n0QQGx9kKbO0_M5gmuhXZ6-LaxQxgrmJnzgP0"",""'TP# look up'!A:C""),3,0),"""")"),"")</f>
        <v/>
      </c>
      <c r="AH1521" s="49">
        <f>LEFT(J1521,2)</f>
        <v/>
      </c>
    </row>
    <row r="1522" ht="12.75" customHeight="1">
      <c r="H1522" s="43" t="n"/>
      <c r="AG1522" s="49">
        <f>IFERROR(__xludf.DUMMYFUNCTION("IFNA(vlookup(H1522,IMPORTRANGE(""1vUGwO1n0QQGx9kKbO0_M5gmuhXZ6-LaxQxgrmJnzgP0"",""'TP# look up'!A:C""),3,0),"""")"),"")</f>
        <v/>
      </c>
      <c r="AH1522" s="49">
        <f>LEFT(J1522,2)</f>
        <v/>
      </c>
    </row>
    <row r="1523" ht="12.75" customHeight="1">
      <c r="H1523" s="43" t="n"/>
      <c r="AG1523" s="49">
        <f>IFERROR(__xludf.DUMMYFUNCTION("IFNA(vlookup(H1523,IMPORTRANGE(""1vUGwO1n0QQGx9kKbO0_M5gmuhXZ6-LaxQxgrmJnzgP0"",""'TP# look up'!A:C""),3,0),"""")"),"")</f>
        <v/>
      </c>
      <c r="AH1523" s="49">
        <f>LEFT(J1523,2)</f>
        <v/>
      </c>
    </row>
    <row r="1524" ht="12.75" customHeight="1">
      <c r="H1524" s="43" t="n"/>
      <c r="AG1524" s="49">
        <f>IFERROR(__xludf.DUMMYFUNCTION("IFNA(vlookup(H1524,IMPORTRANGE(""1vUGwO1n0QQGx9kKbO0_M5gmuhXZ6-LaxQxgrmJnzgP0"",""'TP# look up'!A:C""),3,0),"""")"),"")</f>
        <v/>
      </c>
      <c r="AH1524" s="49">
        <f>LEFT(J1524,2)</f>
        <v/>
      </c>
    </row>
    <row r="1525" ht="12.75" customHeight="1">
      <c r="H1525" s="43" t="n"/>
      <c r="AG1525" s="49">
        <f>IFERROR(__xludf.DUMMYFUNCTION("IFNA(vlookup(H1525,IMPORTRANGE(""1vUGwO1n0QQGx9kKbO0_M5gmuhXZ6-LaxQxgrmJnzgP0"",""'TP# look up'!A:C""),3,0),"""")"),"")</f>
        <v/>
      </c>
      <c r="AH1525" s="49">
        <f>LEFT(J1525,2)</f>
        <v/>
      </c>
    </row>
    <row r="1526" ht="12.75" customHeight="1">
      <c r="H1526" s="43" t="n"/>
      <c r="AG1526" s="49">
        <f>IFERROR(__xludf.DUMMYFUNCTION("IFNA(vlookup(H1526,IMPORTRANGE(""1vUGwO1n0QQGx9kKbO0_M5gmuhXZ6-LaxQxgrmJnzgP0"",""'TP# look up'!A:C""),3,0),"""")"),"")</f>
        <v/>
      </c>
      <c r="AH1526" s="49">
        <f>LEFT(J1526,2)</f>
        <v/>
      </c>
    </row>
    <row r="1527" ht="12.75" customHeight="1">
      <c r="H1527" s="43" t="n"/>
      <c r="AG1527" s="49">
        <f>IFERROR(__xludf.DUMMYFUNCTION("IFNA(vlookup(H1527,IMPORTRANGE(""1vUGwO1n0QQGx9kKbO0_M5gmuhXZ6-LaxQxgrmJnzgP0"",""'TP# look up'!A:C""),3,0),"""")"),"")</f>
        <v/>
      </c>
      <c r="AH1527" s="49">
        <f>LEFT(J1527,2)</f>
        <v/>
      </c>
    </row>
    <row r="1528" ht="12.75" customHeight="1">
      <c r="H1528" s="43" t="n"/>
      <c r="AG1528" s="49">
        <f>IFERROR(__xludf.DUMMYFUNCTION("IFNA(vlookup(H1528,IMPORTRANGE(""1vUGwO1n0QQGx9kKbO0_M5gmuhXZ6-LaxQxgrmJnzgP0"",""'TP# look up'!A:C""),3,0),"""")"),"")</f>
        <v/>
      </c>
      <c r="AH1528" s="49">
        <f>LEFT(J1528,2)</f>
        <v/>
      </c>
    </row>
    <row r="1529" ht="12.75" customHeight="1">
      <c r="H1529" s="43" t="n"/>
      <c r="AG1529" s="49">
        <f>IFERROR(__xludf.DUMMYFUNCTION("IFNA(vlookup(H1529,IMPORTRANGE(""1vUGwO1n0QQGx9kKbO0_M5gmuhXZ6-LaxQxgrmJnzgP0"",""'TP# look up'!A:C""),3,0),"""")"),"")</f>
        <v/>
      </c>
      <c r="AH1529" s="49">
        <f>LEFT(J1529,2)</f>
        <v/>
      </c>
    </row>
    <row r="1530" ht="12.75" customHeight="1">
      <c r="H1530" s="43" t="n"/>
      <c r="AG1530" s="49">
        <f>IFERROR(__xludf.DUMMYFUNCTION("IFNA(vlookup(H1530,IMPORTRANGE(""1vUGwO1n0QQGx9kKbO0_M5gmuhXZ6-LaxQxgrmJnzgP0"",""'TP# look up'!A:C""),3,0),"""")"),"")</f>
        <v/>
      </c>
      <c r="AH1530" s="49">
        <f>LEFT(J1530,2)</f>
        <v/>
      </c>
    </row>
    <row r="1531" ht="12.75" customHeight="1">
      <c r="H1531" s="43" t="n"/>
      <c r="AG1531" s="49">
        <f>IFERROR(__xludf.DUMMYFUNCTION("IFNA(vlookup(H1531,IMPORTRANGE(""1vUGwO1n0QQGx9kKbO0_M5gmuhXZ6-LaxQxgrmJnzgP0"",""'TP# look up'!A:C""),3,0),"""")"),"")</f>
        <v/>
      </c>
      <c r="AH1531" s="49">
        <f>LEFT(J1531,2)</f>
        <v/>
      </c>
    </row>
    <row r="1532" ht="12.75" customHeight="1">
      <c r="H1532" s="43" t="n"/>
      <c r="AG1532" s="49">
        <f>IFERROR(__xludf.DUMMYFUNCTION("IFNA(vlookup(H1532,IMPORTRANGE(""1vUGwO1n0QQGx9kKbO0_M5gmuhXZ6-LaxQxgrmJnzgP0"",""'TP# look up'!A:C""),3,0),"""")"),"")</f>
        <v/>
      </c>
      <c r="AH1532" s="49">
        <f>LEFT(J1532,2)</f>
        <v/>
      </c>
    </row>
    <row r="1533" ht="12.75" customHeight="1">
      <c r="H1533" s="43" t="n"/>
      <c r="AG1533" s="49">
        <f>IFERROR(__xludf.DUMMYFUNCTION("IFNA(vlookup(H1533,IMPORTRANGE(""1vUGwO1n0QQGx9kKbO0_M5gmuhXZ6-LaxQxgrmJnzgP0"",""'TP# look up'!A:C""),3,0),"""")"),"")</f>
        <v/>
      </c>
      <c r="AH1533" s="49">
        <f>LEFT(J1533,2)</f>
        <v/>
      </c>
    </row>
    <row r="1534" ht="12.75" customHeight="1">
      <c r="H1534" s="43" t="n"/>
      <c r="AG1534" s="49">
        <f>IFERROR(__xludf.DUMMYFUNCTION("IFNA(vlookup(H1534,IMPORTRANGE(""1vUGwO1n0QQGx9kKbO0_M5gmuhXZ6-LaxQxgrmJnzgP0"",""'TP# look up'!A:C""),3,0),"""")"),"")</f>
        <v/>
      </c>
      <c r="AH1534" s="49">
        <f>LEFT(J1534,2)</f>
        <v/>
      </c>
    </row>
    <row r="1535" ht="12.75" customHeight="1">
      <c r="H1535" s="43" t="n"/>
      <c r="AG1535" s="49">
        <f>IFERROR(__xludf.DUMMYFUNCTION("IFNA(vlookup(H1535,IMPORTRANGE(""1vUGwO1n0QQGx9kKbO0_M5gmuhXZ6-LaxQxgrmJnzgP0"",""'TP# look up'!A:C""),3,0),"""")"),"")</f>
        <v/>
      </c>
      <c r="AH1535" s="49">
        <f>LEFT(J1535,2)</f>
        <v/>
      </c>
    </row>
    <row r="1536" ht="12.75" customHeight="1">
      <c r="H1536" s="43" t="n"/>
      <c r="AG1536" s="49">
        <f>IFERROR(__xludf.DUMMYFUNCTION("IFNA(vlookup(H1536,IMPORTRANGE(""1vUGwO1n0QQGx9kKbO0_M5gmuhXZ6-LaxQxgrmJnzgP0"",""'TP# look up'!A:C""),3,0),"""")"),"")</f>
        <v/>
      </c>
      <c r="AH1536" s="49">
        <f>LEFT(J1536,2)</f>
        <v/>
      </c>
    </row>
    <row r="1537" ht="12.75" customHeight="1">
      <c r="H1537" s="43" t="n"/>
      <c r="AG1537" s="49">
        <f>IFERROR(__xludf.DUMMYFUNCTION("IFNA(vlookup(H1537,IMPORTRANGE(""1vUGwO1n0QQGx9kKbO0_M5gmuhXZ6-LaxQxgrmJnzgP0"",""'TP# look up'!A:C""),3,0),"""")"),"")</f>
        <v/>
      </c>
      <c r="AH1537" s="49">
        <f>LEFT(J1537,2)</f>
        <v/>
      </c>
    </row>
    <row r="1538" ht="12.75" customHeight="1">
      <c r="H1538" s="43" t="n"/>
      <c r="AG1538" s="49">
        <f>IFERROR(__xludf.DUMMYFUNCTION("IFNA(vlookup(H1538,IMPORTRANGE(""1vUGwO1n0QQGx9kKbO0_M5gmuhXZ6-LaxQxgrmJnzgP0"",""'TP# look up'!A:C""),3,0),"""")"),"")</f>
        <v/>
      </c>
      <c r="AH1538" s="49">
        <f>LEFT(J1538,2)</f>
        <v/>
      </c>
    </row>
    <row r="1539" ht="12.75" customHeight="1">
      <c r="H1539" s="43" t="n"/>
      <c r="AG1539" s="49">
        <f>IFERROR(__xludf.DUMMYFUNCTION("IFNA(vlookup(H1539,IMPORTRANGE(""1vUGwO1n0QQGx9kKbO0_M5gmuhXZ6-LaxQxgrmJnzgP0"",""'TP# look up'!A:C""),3,0),"""")"),"")</f>
        <v/>
      </c>
      <c r="AH1539" s="49">
        <f>LEFT(J1539,2)</f>
        <v/>
      </c>
    </row>
    <row r="1540" ht="12.75" customHeight="1">
      <c r="H1540" s="43" t="n"/>
      <c r="AG1540" s="49">
        <f>IFERROR(__xludf.DUMMYFUNCTION("IFNA(vlookup(H1540,IMPORTRANGE(""1vUGwO1n0QQGx9kKbO0_M5gmuhXZ6-LaxQxgrmJnzgP0"",""'TP# look up'!A:C""),3,0),"""")"),"")</f>
        <v/>
      </c>
      <c r="AH1540" s="49">
        <f>LEFT(J1540,2)</f>
        <v/>
      </c>
    </row>
    <row r="1541" ht="12.75" customHeight="1">
      <c r="H1541" s="43" t="n"/>
      <c r="AG1541" s="49">
        <f>IFERROR(__xludf.DUMMYFUNCTION("IFNA(vlookup(H1541,IMPORTRANGE(""1vUGwO1n0QQGx9kKbO0_M5gmuhXZ6-LaxQxgrmJnzgP0"",""'TP# look up'!A:C""),3,0),"""")"),"")</f>
        <v/>
      </c>
      <c r="AH1541" s="49">
        <f>LEFT(J1541,2)</f>
        <v/>
      </c>
    </row>
    <row r="1542" ht="12.75" customHeight="1">
      <c r="H1542" s="43" t="n"/>
      <c r="AG1542" s="49">
        <f>IFERROR(__xludf.DUMMYFUNCTION("IFNA(vlookup(H1542,IMPORTRANGE(""1vUGwO1n0QQGx9kKbO0_M5gmuhXZ6-LaxQxgrmJnzgP0"",""'TP# look up'!A:C""),3,0),"""")"),"")</f>
        <v/>
      </c>
      <c r="AH1542" s="49">
        <f>LEFT(J1542,2)</f>
        <v/>
      </c>
    </row>
    <row r="1543" ht="12.75" customHeight="1">
      <c r="H1543" s="43" t="n"/>
      <c r="AG1543" s="49">
        <f>IFERROR(__xludf.DUMMYFUNCTION("IFNA(vlookup(H1543,IMPORTRANGE(""1vUGwO1n0QQGx9kKbO0_M5gmuhXZ6-LaxQxgrmJnzgP0"",""'TP# look up'!A:C""),3,0),"""")"),"")</f>
        <v/>
      </c>
      <c r="AH1543" s="49">
        <f>LEFT(J1543,2)</f>
        <v/>
      </c>
    </row>
    <row r="1544" ht="12.75" customHeight="1">
      <c r="H1544" s="43" t="n"/>
      <c r="AG1544" s="49">
        <f>IFERROR(__xludf.DUMMYFUNCTION("IFNA(vlookup(H1544,IMPORTRANGE(""1vUGwO1n0QQGx9kKbO0_M5gmuhXZ6-LaxQxgrmJnzgP0"",""'TP# look up'!A:C""),3,0),"""")"),"")</f>
        <v/>
      </c>
      <c r="AH1544" s="49">
        <f>LEFT(J1544,2)</f>
        <v/>
      </c>
    </row>
    <row r="1545" ht="12.75" customHeight="1">
      <c r="H1545" s="43" t="n"/>
      <c r="AG1545" s="49">
        <f>IFERROR(__xludf.DUMMYFUNCTION("IFNA(vlookup(H1545,IMPORTRANGE(""1vUGwO1n0QQGx9kKbO0_M5gmuhXZ6-LaxQxgrmJnzgP0"",""'TP# look up'!A:C""),3,0),"""")"),"")</f>
        <v/>
      </c>
      <c r="AH1545" s="49">
        <f>LEFT(J1545,2)</f>
        <v/>
      </c>
    </row>
    <row r="1546" ht="12.75" customHeight="1">
      <c r="H1546" s="43" t="n"/>
      <c r="AG1546" s="49">
        <f>IFERROR(__xludf.DUMMYFUNCTION("IFNA(vlookup(H1546,IMPORTRANGE(""1vUGwO1n0QQGx9kKbO0_M5gmuhXZ6-LaxQxgrmJnzgP0"",""'TP# look up'!A:C""),3,0),"""")"),"")</f>
        <v/>
      </c>
      <c r="AH1546" s="49">
        <f>LEFT(J1546,2)</f>
        <v/>
      </c>
    </row>
    <row r="1547" ht="12.75" customHeight="1">
      <c r="H1547" s="43" t="n"/>
      <c r="AG1547" s="49">
        <f>IFERROR(__xludf.DUMMYFUNCTION("IFNA(vlookup(H1547,IMPORTRANGE(""1vUGwO1n0QQGx9kKbO0_M5gmuhXZ6-LaxQxgrmJnzgP0"",""'TP# look up'!A:C""),3,0),"""")"),"")</f>
        <v/>
      </c>
      <c r="AH1547" s="49">
        <f>LEFT(J1547,2)</f>
        <v/>
      </c>
    </row>
    <row r="1548" ht="12.75" customHeight="1">
      <c r="H1548" s="43" t="n"/>
      <c r="AG1548" s="49">
        <f>IFERROR(__xludf.DUMMYFUNCTION("IFNA(vlookup(H1548,IMPORTRANGE(""1vUGwO1n0QQGx9kKbO0_M5gmuhXZ6-LaxQxgrmJnzgP0"",""'TP# look up'!A:C""),3,0),"""")"),"")</f>
        <v/>
      </c>
      <c r="AH1548" s="49">
        <f>LEFT(J1548,2)</f>
        <v/>
      </c>
    </row>
    <row r="1549" ht="12.75" customHeight="1">
      <c r="H1549" s="43" t="n"/>
      <c r="AG1549" s="49">
        <f>IFERROR(__xludf.DUMMYFUNCTION("IFNA(vlookup(H1549,IMPORTRANGE(""1vUGwO1n0QQGx9kKbO0_M5gmuhXZ6-LaxQxgrmJnzgP0"",""'TP# look up'!A:C""),3,0),"""")"),"")</f>
        <v/>
      </c>
      <c r="AH1549" s="49">
        <f>LEFT(J1549,2)</f>
        <v/>
      </c>
    </row>
    <row r="1550" ht="12.75" customHeight="1">
      <c r="H1550" s="43" t="n"/>
      <c r="AG1550" s="49">
        <f>IFERROR(__xludf.DUMMYFUNCTION("IFNA(vlookup(H1550,IMPORTRANGE(""1vUGwO1n0QQGx9kKbO0_M5gmuhXZ6-LaxQxgrmJnzgP0"",""'TP# look up'!A:C""),3,0),"""")"),"")</f>
        <v/>
      </c>
      <c r="AH1550" s="49">
        <f>LEFT(J1550,2)</f>
        <v/>
      </c>
    </row>
    <row r="1551" ht="12.75" customHeight="1">
      <c r="H1551" s="43" t="n"/>
      <c r="AG1551" s="49">
        <f>IFERROR(__xludf.DUMMYFUNCTION("IFNA(vlookup(H1551,IMPORTRANGE(""1vUGwO1n0QQGx9kKbO0_M5gmuhXZ6-LaxQxgrmJnzgP0"",""'TP# look up'!A:C""),3,0),"""")"),"")</f>
        <v/>
      </c>
      <c r="AH1551" s="49">
        <f>LEFT(J1551,2)</f>
        <v/>
      </c>
    </row>
    <row r="1552" ht="12.75" customHeight="1">
      <c r="H1552" s="43" t="n"/>
      <c r="AG1552" s="49">
        <f>IFERROR(__xludf.DUMMYFUNCTION("IFNA(vlookup(H1552,IMPORTRANGE(""1vUGwO1n0QQGx9kKbO0_M5gmuhXZ6-LaxQxgrmJnzgP0"",""'TP# look up'!A:C""),3,0),"""")"),"")</f>
        <v/>
      </c>
      <c r="AH1552" s="49">
        <f>LEFT(J1552,2)</f>
        <v/>
      </c>
    </row>
    <row r="1553" ht="12.75" customHeight="1">
      <c r="H1553" s="43" t="n"/>
      <c r="AG1553" s="49">
        <f>IFERROR(__xludf.DUMMYFUNCTION("IFNA(vlookup(H1553,IMPORTRANGE(""1vUGwO1n0QQGx9kKbO0_M5gmuhXZ6-LaxQxgrmJnzgP0"",""'TP# look up'!A:C""),3,0),"""")"),"")</f>
        <v/>
      </c>
      <c r="AH1553" s="49">
        <f>LEFT(J1553,2)</f>
        <v/>
      </c>
    </row>
    <row r="1554" ht="12.75" customHeight="1">
      <c r="H1554" s="43" t="n"/>
      <c r="AG1554" s="49">
        <f>IFERROR(__xludf.DUMMYFUNCTION("IFNA(vlookup(H1554,IMPORTRANGE(""1vUGwO1n0QQGx9kKbO0_M5gmuhXZ6-LaxQxgrmJnzgP0"",""'TP# look up'!A:C""),3,0),"""")"),"")</f>
        <v/>
      </c>
      <c r="AH1554" s="49">
        <f>LEFT(J1554,2)</f>
        <v/>
      </c>
    </row>
    <row r="1555" ht="12.75" customHeight="1">
      <c r="H1555" s="43" t="n"/>
      <c r="AG1555" s="49">
        <f>IFERROR(__xludf.DUMMYFUNCTION("IFNA(vlookup(H1555,IMPORTRANGE(""1vUGwO1n0QQGx9kKbO0_M5gmuhXZ6-LaxQxgrmJnzgP0"",""'TP# look up'!A:C""),3,0),"""")"),"")</f>
        <v/>
      </c>
      <c r="AH1555" s="49">
        <f>LEFT(J1555,2)</f>
        <v/>
      </c>
    </row>
    <row r="1556" ht="12.75" customHeight="1">
      <c r="H1556" s="43" t="n"/>
      <c r="AG1556" s="49">
        <f>IFERROR(__xludf.DUMMYFUNCTION("IFNA(vlookup(H1556,IMPORTRANGE(""1vUGwO1n0QQGx9kKbO0_M5gmuhXZ6-LaxQxgrmJnzgP0"",""'TP# look up'!A:C""),3,0),"""")"),"")</f>
        <v/>
      </c>
      <c r="AH1556" s="49">
        <f>LEFT(J1556,2)</f>
        <v/>
      </c>
    </row>
    <row r="1557" ht="12.75" customHeight="1">
      <c r="H1557" s="43" t="n"/>
      <c r="AG1557" s="49">
        <f>IFERROR(__xludf.DUMMYFUNCTION("IFNA(vlookup(H1557,IMPORTRANGE(""1vUGwO1n0QQGx9kKbO0_M5gmuhXZ6-LaxQxgrmJnzgP0"",""'TP# look up'!A:C""),3,0),"""")"),"")</f>
        <v/>
      </c>
      <c r="AH1557" s="49">
        <f>LEFT(J1557,2)</f>
        <v/>
      </c>
    </row>
    <row r="1558" ht="12.75" customHeight="1">
      <c r="H1558" s="43" t="n"/>
      <c r="AG1558" s="49">
        <f>IFERROR(__xludf.DUMMYFUNCTION("IFNA(vlookup(H1558,IMPORTRANGE(""1vUGwO1n0QQGx9kKbO0_M5gmuhXZ6-LaxQxgrmJnzgP0"",""'TP# look up'!A:C""),3,0),"""")"),"")</f>
        <v/>
      </c>
      <c r="AH1558" s="49">
        <f>LEFT(J1558,2)</f>
        <v/>
      </c>
    </row>
    <row r="1559" ht="12.75" customHeight="1">
      <c r="H1559" s="43" t="n"/>
      <c r="AG1559" s="49">
        <f>IFERROR(__xludf.DUMMYFUNCTION("IFNA(vlookup(H1559,IMPORTRANGE(""1vUGwO1n0QQGx9kKbO0_M5gmuhXZ6-LaxQxgrmJnzgP0"",""'TP# look up'!A:C""),3,0),"""")"),"")</f>
        <v/>
      </c>
      <c r="AH1559" s="49">
        <f>LEFT(J1559,2)</f>
        <v/>
      </c>
    </row>
    <row r="1560" ht="12.75" customHeight="1">
      <c r="H1560" s="43" t="n"/>
      <c r="AG1560" s="49">
        <f>IFERROR(__xludf.DUMMYFUNCTION("IFNA(vlookup(H1560,IMPORTRANGE(""1vUGwO1n0QQGx9kKbO0_M5gmuhXZ6-LaxQxgrmJnzgP0"",""'TP# look up'!A:C""),3,0),"""")"),"")</f>
        <v/>
      </c>
      <c r="AH1560" s="49">
        <f>LEFT(J1560,2)</f>
        <v/>
      </c>
    </row>
    <row r="1561" ht="12.75" customHeight="1">
      <c r="H1561" s="43" t="n"/>
      <c r="AG1561" s="49">
        <f>IFERROR(__xludf.DUMMYFUNCTION("IFNA(vlookup(H1561,IMPORTRANGE(""1vUGwO1n0QQGx9kKbO0_M5gmuhXZ6-LaxQxgrmJnzgP0"",""'TP# look up'!A:C""),3,0),"""")"),"")</f>
        <v/>
      </c>
      <c r="AH1561" s="49">
        <f>LEFT(J1561,2)</f>
        <v/>
      </c>
    </row>
    <row r="1562" ht="12.75" customHeight="1">
      <c r="H1562" s="43" t="n"/>
      <c r="AG1562" s="49">
        <f>IFERROR(__xludf.DUMMYFUNCTION("IFNA(vlookup(H1562,IMPORTRANGE(""1vUGwO1n0QQGx9kKbO0_M5gmuhXZ6-LaxQxgrmJnzgP0"",""'TP# look up'!A:C""),3,0),"""")"),"")</f>
        <v/>
      </c>
      <c r="AH1562" s="49">
        <f>LEFT(J1562,2)</f>
        <v/>
      </c>
    </row>
    <row r="1563" ht="12.75" customHeight="1">
      <c r="H1563" s="43" t="n"/>
      <c r="AG1563" s="49">
        <f>IFERROR(__xludf.DUMMYFUNCTION("IFNA(vlookup(H1563,IMPORTRANGE(""1vUGwO1n0QQGx9kKbO0_M5gmuhXZ6-LaxQxgrmJnzgP0"",""'TP# look up'!A:C""),3,0),"""")"),"")</f>
        <v/>
      </c>
      <c r="AH1563" s="49">
        <f>LEFT(J1563,2)</f>
        <v/>
      </c>
    </row>
    <row r="1564" ht="12.75" customHeight="1">
      <c r="H1564" s="43" t="n"/>
      <c r="AG1564" s="49">
        <f>IFERROR(__xludf.DUMMYFUNCTION("IFNA(vlookup(H1564,IMPORTRANGE(""1vUGwO1n0QQGx9kKbO0_M5gmuhXZ6-LaxQxgrmJnzgP0"",""'TP# look up'!A:C""),3,0),"""")"),"")</f>
        <v/>
      </c>
      <c r="AH1564" s="49">
        <f>LEFT(J1564,2)</f>
        <v/>
      </c>
    </row>
    <row r="1565" ht="12.75" customHeight="1">
      <c r="H1565" s="43" t="n"/>
      <c r="AG1565" s="49">
        <f>IFERROR(__xludf.DUMMYFUNCTION("IFNA(vlookup(H1565,IMPORTRANGE(""1vUGwO1n0QQGx9kKbO0_M5gmuhXZ6-LaxQxgrmJnzgP0"",""'TP# look up'!A:C""),3,0),"""")"),"")</f>
        <v/>
      </c>
      <c r="AH1565" s="49">
        <f>LEFT(J1565,2)</f>
        <v/>
      </c>
    </row>
    <row r="1566" ht="12.75" customHeight="1">
      <c r="H1566" s="43" t="n"/>
      <c r="AG1566" s="49">
        <f>IFERROR(__xludf.DUMMYFUNCTION("IFNA(vlookup(H1566,IMPORTRANGE(""1vUGwO1n0QQGx9kKbO0_M5gmuhXZ6-LaxQxgrmJnzgP0"",""'TP# look up'!A:C""),3,0),"""")"),"")</f>
        <v/>
      </c>
      <c r="AH1566" s="49">
        <f>LEFT(J1566,2)</f>
        <v/>
      </c>
    </row>
    <row r="1567" ht="12.75" customHeight="1">
      <c r="H1567" s="43" t="n"/>
      <c r="AG1567" s="49">
        <f>IFERROR(__xludf.DUMMYFUNCTION("IFNA(vlookup(H1567,IMPORTRANGE(""1vUGwO1n0QQGx9kKbO0_M5gmuhXZ6-LaxQxgrmJnzgP0"",""'TP# look up'!A:C""),3,0),"""")"),"")</f>
        <v/>
      </c>
      <c r="AH1567" s="49">
        <f>LEFT(J1567,2)</f>
        <v/>
      </c>
    </row>
    <row r="1568" ht="12.75" customHeight="1">
      <c r="H1568" s="43" t="n"/>
      <c r="AG1568" s="49">
        <f>IFERROR(__xludf.DUMMYFUNCTION("IFNA(vlookup(H1568,IMPORTRANGE(""1vUGwO1n0QQGx9kKbO0_M5gmuhXZ6-LaxQxgrmJnzgP0"",""'TP# look up'!A:C""),3,0),"""")"),"")</f>
        <v/>
      </c>
      <c r="AH1568" s="49">
        <f>LEFT(J1568,2)</f>
        <v/>
      </c>
    </row>
    <row r="1569" ht="12.75" customHeight="1">
      <c r="H1569" s="43" t="n"/>
      <c r="AG1569" s="49">
        <f>IFERROR(__xludf.DUMMYFUNCTION("IFNA(vlookup(H1569,IMPORTRANGE(""1vUGwO1n0QQGx9kKbO0_M5gmuhXZ6-LaxQxgrmJnzgP0"",""'TP# look up'!A:C""),3,0),"""")"),"")</f>
        <v/>
      </c>
      <c r="AH1569" s="49">
        <f>LEFT(J1569,2)</f>
        <v/>
      </c>
    </row>
    <row r="1570" ht="12.75" customHeight="1">
      <c r="H1570" s="43" t="n"/>
      <c r="AG1570" s="49">
        <f>IFERROR(__xludf.DUMMYFUNCTION("IFNA(vlookup(H1570,IMPORTRANGE(""1vUGwO1n0QQGx9kKbO0_M5gmuhXZ6-LaxQxgrmJnzgP0"",""'TP# look up'!A:C""),3,0),"""")"),"")</f>
        <v/>
      </c>
      <c r="AH1570" s="49">
        <f>LEFT(J1570,2)</f>
        <v/>
      </c>
    </row>
    <row r="1571" ht="12.75" customHeight="1">
      <c r="H1571" s="43" t="n"/>
      <c r="AG1571" s="49">
        <f>IFERROR(__xludf.DUMMYFUNCTION("IFNA(vlookup(H1571,IMPORTRANGE(""1vUGwO1n0QQGx9kKbO0_M5gmuhXZ6-LaxQxgrmJnzgP0"",""'TP# look up'!A:C""),3,0),"""")"),"")</f>
        <v/>
      </c>
      <c r="AH1571" s="49">
        <f>LEFT(J1571,2)</f>
        <v/>
      </c>
    </row>
    <row r="1572" ht="12.75" customHeight="1">
      <c r="H1572" s="43" t="n"/>
      <c r="AG1572" s="49">
        <f>IFERROR(__xludf.DUMMYFUNCTION("IFNA(vlookup(H1572,IMPORTRANGE(""1vUGwO1n0QQGx9kKbO0_M5gmuhXZ6-LaxQxgrmJnzgP0"",""'TP# look up'!A:C""),3,0),"""")"),"")</f>
        <v/>
      </c>
      <c r="AH1572" s="49">
        <f>LEFT(J1572,2)</f>
        <v/>
      </c>
    </row>
    <row r="1573" ht="12.75" customHeight="1">
      <c r="H1573" s="43" t="n"/>
      <c r="AG1573" s="49">
        <f>IFERROR(__xludf.DUMMYFUNCTION("IFNA(vlookup(H1573,IMPORTRANGE(""1vUGwO1n0QQGx9kKbO0_M5gmuhXZ6-LaxQxgrmJnzgP0"",""'TP# look up'!A:C""),3,0),"""")"),"")</f>
        <v/>
      </c>
      <c r="AH1573" s="49">
        <f>LEFT(J1573,2)</f>
        <v/>
      </c>
    </row>
    <row r="1574" ht="12.75" customHeight="1">
      <c r="H1574" s="43" t="n"/>
      <c r="AG1574" s="49">
        <f>IFERROR(__xludf.DUMMYFUNCTION("IFNA(vlookup(H1574,IMPORTRANGE(""1vUGwO1n0QQGx9kKbO0_M5gmuhXZ6-LaxQxgrmJnzgP0"",""'TP# look up'!A:C""),3,0),"""")"),"")</f>
        <v/>
      </c>
      <c r="AH1574" s="49">
        <f>LEFT(J1574,2)</f>
        <v/>
      </c>
    </row>
    <row r="1575" ht="12.75" customHeight="1">
      <c r="H1575" s="43" t="n"/>
      <c r="AG1575" s="49">
        <f>IFERROR(__xludf.DUMMYFUNCTION("IFNA(vlookup(H1575,IMPORTRANGE(""1vUGwO1n0QQGx9kKbO0_M5gmuhXZ6-LaxQxgrmJnzgP0"",""'TP# look up'!A:C""),3,0),"""")"),"")</f>
        <v/>
      </c>
      <c r="AH1575" s="49">
        <f>LEFT(J1575,2)</f>
        <v/>
      </c>
    </row>
    <row r="1576" ht="12.75" customHeight="1">
      <c r="H1576" s="43" t="n"/>
      <c r="AG1576" s="49">
        <f>IFERROR(__xludf.DUMMYFUNCTION("IFNA(vlookup(H1576,IMPORTRANGE(""1vUGwO1n0QQGx9kKbO0_M5gmuhXZ6-LaxQxgrmJnzgP0"",""'TP# look up'!A:C""),3,0),"""")"),"")</f>
        <v/>
      </c>
      <c r="AH1576" s="49">
        <f>LEFT(J1576,2)</f>
        <v/>
      </c>
    </row>
    <row r="1577" ht="12.75" customHeight="1">
      <c r="H1577" s="43" t="n"/>
      <c r="AG1577" s="49">
        <f>IFERROR(__xludf.DUMMYFUNCTION("IFNA(vlookup(H1577,IMPORTRANGE(""1vUGwO1n0QQGx9kKbO0_M5gmuhXZ6-LaxQxgrmJnzgP0"",""'TP# look up'!A:C""),3,0),"""")"),"")</f>
        <v/>
      </c>
      <c r="AH1577" s="49">
        <f>LEFT(J1577,2)</f>
        <v/>
      </c>
    </row>
    <row r="1578" ht="12.75" customHeight="1">
      <c r="H1578" s="43" t="n"/>
      <c r="AG1578" s="49">
        <f>IFERROR(__xludf.DUMMYFUNCTION("IFNA(vlookup(H1578,IMPORTRANGE(""1vUGwO1n0QQGx9kKbO0_M5gmuhXZ6-LaxQxgrmJnzgP0"",""'TP# look up'!A:C""),3,0),"""")"),"")</f>
        <v/>
      </c>
      <c r="AH1578" s="49">
        <f>LEFT(J1578,2)</f>
        <v/>
      </c>
    </row>
    <row r="1579" ht="12.75" customHeight="1">
      <c r="H1579" s="43" t="n"/>
      <c r="AG1579" s="49">
        <f>IFERROR(__xludf.DUMMYFUNCTION("IFNA(vlookup(H1579,IMPORTRANGE(""1vUGwO1n0QQGx9kKbO0_M5gmuhXZ6-LaxQxgrmJnzgP0"",""'TP# look up'!A:C""),3,0),"""")"),"")</f>
        <v/>
      </c>
      <c r="AH1579" s="49">
        <f>LEFT(J1579,2)</f>
        <v/>
      </c>
    </row>
    <row r="1580" ht="12.75" customHeight="1">
      <c r="H1580" s="43" t="n"/>
      <c r="AG1580" s="49">
        <f>IFERROR(__xludf.DUMMYFUNCTION("IFNA(vlookup(H1580,IMPORTRANGE(""1vUGwO1n0QQGx9kKbO0_M5gmuhXZ6-LaxQxgrmJnzgP0"",""'TP# look up'!A:C""),3,0),"""")"),"")</f>
        <v/>
      </c>
      <c r="AH1580" s="49">
        <f>LEFT(J1580,2)</f>
        <v/>
      </c>
    </row>
    <row r="1581" ht="12.75" customHeight="1">
      <c r="H1581" s="43" t="n"/>
      <c r="AG1581" s="49">
        <f>IFERROR(__xludf.DUMMYFUNCTION("IFNA(vlookup(H1581,IMPORTRANGE(""1vUGwO1n0QQGx9kKbO0_M5gmuhXZ6-LaxQxgrmJnzgP0"",""'TP# look up'!A:C""),3,0),"""")"),"")</f>
        <v/>
      </c>
      <c r="AH1581" s="49">
        <f>LEFT(J1581,2)</f>
        <v/>
      </c>
    </row>
    <row r="1582" ht="12.75" customHeight="1">
      <c r="H1582" s="43" t="n"/>
      <c r="AG1582" s="49">
        <f>IFERROR(__xludf.DUMMYFUNCTION("IFNA(vlookup(H1582,IMPORTRANGE(""1vUGwO1n0QQGx9kKbO0_M5gmuhXZ6-LaxQxgrmJnzgP0"",""'TP# look up'!A:C""),3,0),"""")"),"")</f>
        <v/>
      </c>
      <c r="AH1582" s="49">
        <f>LEFT(J1582,2)</f>
        <v/>
      </c>
    </row>
    <row r="1583" ht="12.75" customHeight="1">
      <c r="H1583" s="43" t="n"/>
      <c r="AG1583" s="49">
        <f>IFERROR(__xludf.DUMMYFUNCTION("IFNA(vlookup(H1583,IMPORTRANGE(""1vUGwO1n0QQGx9kKbO0_M5gmuhXZ6-LaxQxgrmJnzgP0"",""'TP# look up'!A:C""),3,0),"""")"),"")</f>
        <v/>
      </c>
      <c r="AH1583" s="49">
        <f>LEFT(J1583,2)</f>
        <v/>
      </c>
    </row>
    <row r="1584" ht="12.75" customHeight="1">
      <c r="H1584" s="43" t="n"/>
      <c r="AG1584" s="49">
        <f>IFERROR(__xludf.DUMMYFUNCTION("IFNA(vlookup(H1584,IMPORTRANGE(""1vUGwO1n0QQGx9kKbO0_M5gmuhXZ6-LaxQxgrmJnzgP0"",""'TP# look up'!A:C""),3,0),"""")"),"")</f>
        <v/>
      </c>
      <c r="AH1584" s="49">
        <f>LEFT(J1584,2)</f>
        <v/>
      </c>
    </row>
    <row r="1585" ht="12.75" customHeight="1">
      <c r="H1585" s="43" t="n"/>
      <c r="AG1585" s="49">
        <f>IFERROR(__xludf.DUMMYFUNCTION("IFNA(vlookup(H1585,IMPORTRANGE(""1vUGwO1n0QQGx9kKbO0_M5gmuhXZ6-LaxQxgrmJnzgP0"",""'TP# look up'!A:C""),3,0),"""")"),"")</f>
        <v/>
      </c>
      <c r="AH1585" s="49">
        <f>LEFT(J1585,2)</f>
        <v/>
      </c>
    </row>
    <row r="1586" ht="12.75" customHeight="1">
      <c r="H1586" s="43" t="n"/>
      <c r="AG1586" s="49">
        <f>IFERROR(__xludf.DUMMYFUNCTION("IFNA(vlookup(H1586,IMPORTRANGE(""1vUGwO1n0QQGx9kKbO0_M5gmuhXZ6-LaxQxgrmJnzgP0"",""'TP# look up'!A:C""),3,0),"""")"),"")</f>
        <v/>
      </c>
      <c r="AH1586" s="49">
        <f>LEFT(J1586,2)</f>
        <v/>
      </c>
    </row>
    <row r="1587" ht="12.75" customHeight="1">
      <c r="H1587" s="43" t="n"/>
      <c r="AG1587" s="49">
        <f>IFERROR(__xludf.DUMMYFUNCTION("IFNA(vlookup(H1587,IMPORTRANGE(""1vUGwO1n0QQGx9kKbO0_M5gmuhXZ6-LaxQxgrmJnzgP0"",""'TP# look up'!A:C""),3,0),"""")"),"")</f>
        <v/>
      </c>
      <c r="AH1587" s="49">
        <f>LEFT(J1587,2)</f>
        <v/>
      </c>
    </row>
    <row r="1588" ht="12.75" customHeight="1">
      <c r="H1588" s="43" t="n"/>
      <c r="AG1588" s="49">
        <f>IFERROR(__xludf.DUMMYFUNCTION("IFNA(vlookup(H1588,IMPORTRANGE(""1vUGwO1n0QQGx9kKbO0_M5gmuhXZ6-LaxQxgrmJnzgP0"",""'TP# look up'!A:C""),3,0),"""")"),"")</f>
        <v/>
      </c>
      <c r="AH1588" s="49">
        <f>LEFT(J1588,2)</f>
        <v/>
      </c>
    </row>
    <row r="1589" ht="12.75" customHeight="1">
      <c r="H1589" s="43" t="n"/>
      <c r="AG1589" s="49">
        <f>IFERROR(__xludf.DUMMYFUNCTION("IFNA(vlookup(H1589,IMPORTRANGE(""1vUGwO1n0QQGx9kKbO0_M5gmuhXZ6-LaxQxgrmJnzgP0"",""'TP# look up'!A:C""),3,0),"""")"),"")</f>
        <v/>
      </c>
      <c r="AH1589" s="49">
        <f>LEFT(J1589,2)</f>
        <v/>
      </c>
    </row>
    <row r="1590" ht="12.75" customHeight="1">
      <c r="H1590" s="43" t="n"/>
      <c r="AG1590" s="49">
        <f>IFERROR(__xludf.DUMMYFUNCTION("IFNA(vlookup(H1590,IMPORTRANGE(""1vUGwO1n0QQGx9kKbO0_M5gmuhXZ6-LaxQxgrmJnzgP0"",""'TP# look up'!A:C""),3,0),"""")"),"")</f>
        <v/>
      </c>
      <c r="AH1590" s="49">
        <f>LEFT(J1590,2)</f>
        <v/>
      </c>
    </row>
    <row r="1591" ht="12.75" customHeight="1">
      <c r="H1591" s="43" t="n"/>
      <c r="AG1591" s="49">
        <f>IFERROR(__xludf.DUMMYFUNCTION("IFNA(vlookup(H1591,IMPORTRANGE(""1vUGwO1n0QQGx9kKbO0_M5gmuhXZ6-LaxQxgrmJnzgP0"",""'TP# look up'!A:C""),3,0),"""")"),"")</f>
        <v/>
      </c>
      <c r="AH1591" s="49">
        <f>LEFT(J1591,2)</f>
        <v/>
      </c>
    </row>
    <row r="1592" ht="12.75" customHeight="1">
      <c r="H1592" s="43" t="n"/>
      <c r="AG1592" s="49">
        <f>IFERROR(__xludf.DUMMYFUNCTION("IFNA(vlookup(H1592,IMPORTRANGE(""1vUGwO1n0QQGx9kKbO0_M5gmuhXZ6-LaxQxgrmJnzgP0"",""'TP# look up'!A:C""),3,0),"""")"),"")</f>
        <v/>
      </c>
      <c r="AH1592" s="49">
        <f>LEFT(J1592,2)</f>
        <v/>
      </c>
    </row>
    <row r="1593" ht="12.75" customHeight="1">
      <c r="H1593" s="43" t="n"/>
      <c r="AG1593" s="49">
        <f>IFERROR(__xludf.DUMMYFUNCTION("IFNA(vlookup(H1593,IMPORTRANGE(""1vUGwO1n0QQGx9kKbO0_M5gmuhXZ6-LaxQxgrmJnzgP0"",""'TP# look up'!A:C""),3,0),"""")"),"")</f>
        <v/>
      </c>
      <c r="AH1593" s="49">
        <f>LEFT(J1593,2)</f>
        <v/>
      </c>
    </row>
    <row r="1594" ht="12.75" customHeight="1">
      <c r="H1594" s="43" t="n"/>
      <c r="AG1594" s="49">
        <f>IFERROR(__xludf.DUMMYFUNCTION("IFNA(vlookup(H1594,IMPORTRANGE(""1vUGwO1n0QQGx9kKbO0_M5gmuhXZ6-LaxQxgrmJnzgP0"",""'TP# look up'!A:C""),3,0),"""")"),"")</f>
        <v/>
      </c>
      <c r="AH1594" s="49">
        <f>LEFT(J1594,2)</f>
        <v/>
      </c>
    </row>
    <row r="1595" ht="12.75" customHeight="1">
      <c r="H1595" s="43" t="n"/>
      <c r="AG1595" s="49">
        <f>IFERROR(__xludf.DUMMYFUNCTION("IFNA(vlookup(H1595,IMPORTRANGE(""1vUGwO1n0QQGx9kKbO0_M5gmuhXZ6-LaxQxgrmJnzgP0"",""'TP# look up'!A:C""),3,0),"""")"),"")</f>
        <v/>
      </c>
      <c r="AH1595" s="49">
        <f>LEFT(J1595,2)</f>
        <v/>
      </c>
    </row>
    <row r="1596" ht="12.75" customHeight="1">
      <c r="H1596" s="43" t="n"/>
      <c r="AG1596" s="49">
        <f>IFERROR(__xludf.DUMMYFUNCTION("IFNA(vlookup(H1596,IMPORTRANGE(""1vUGwO1n0QQGx9kKbO0_M5gmuhXZ6-LaxQxgrmJnzgP0"",""'TP# look up'!A:C""),3,0),"""")"),"")</f>
        <v/>
      </c>
      <c r="AH1596" s="49">
        <f>LEFT(J1596,2)</f>
        <v/>
      </c>
    </row>
    <row r="1597" ht="12.75" customHeight="1">
      <c r="H1597" s="43" t="n"/>
      <c r="AG1597" s="49">
        <f>IFERROR(__xludf.DUMMYFUNCTION("IFNA(vlookup(H1597,IMPORTRANGE(""1vUGwO1n0QQGx9kKbO0_M5gmuhXZ6-LaxQxgrmJnzgP0"",""'TP# look up'!A:C""),3,0),"""")"),"")</f>
        <v/>
      </c>
      <c r="AH1597" s="49">
        <f>LEFT(J1597,2)</f>
        <v/>
      </c>
    </row>
    <row r="1598" ht="12.75" customHeight="1">
      <c r="H1598" s="43" t="n"/>
      <c r="AG1598" s="49">
        <f>IFERROR(__xludf.DUMMYFUNCTION("IFNA(vlookup(H1598,IMPORTRANGE(""1vUGwO1n0QQGx9kKbO0_M5gmuhXZ6-LaxQxgrmJnzgP0"",""'TP# look up'!A:C""),3,0),"""")"),"")</f>
        <v/>
      </c>
      <c r="AH1598" s="49">
        <f>LEFT(J1598,2)</f>
        <v/>
      </c>
    </row>
    <row r="1599" ht="12.75" customHeight="1">
      <c r="H1599" s="43" t="n"/>
      <c r="AG1599" s="49">
        <f>IFERROR(__xludf.DUMMYFUNCTION("IFNA(vlookup(H1599,IMPORTRANGE(""1vUGwO1n0QQGx9kKbO0_M5gmuhXZ6-LaxQxgrmJnzgP0"",""'TP# look up'!A:C""),3,0),"""")"),"")</f>
        <v/>
      </c>
      <c r="AH1599" s="49">
        <f>LEFT(J1599,2)</f>
        <v/>
      </c>
    </row>
    <row r="1600" ht="12.75" customHeight="1">
      <c r="H1600" s="43" t="n"/>
      <c r="AG1600" s="49">
        <f>IFERROR(__xludf.DUMMYFUNCTION("IFNA(vlookup(H1600,IMPORTRANGE(""1vUGwO1n0QQGx9kKbO0_M5gmuhXZ6-LaxQxgrmJnzgP0"",""'TP# look up'!A:C""),3,0),"""")"),"")</f>
        <v/>
      </c>
      <c r="AH1600" s="49">
        <f>LEFT(J1600,2)</f>
        <v/>
      </c>
    </row>
    <row r="1601" ht="12.75" customHeight="1">
      <c r="H1601" s="43" t="n"/>
      <c r="AG1601" s="49">
        <f>IFERROR(__xludf.DUMMYFUNCTION("IFNA(vlookup(H1601,IMPORTRANGE(""1vUGwO1n0QQGx9kKbO0_M5gmuhXZ6-LaxQxgrmJnzgP0"",""'TP# look up'!A:C""),3,0),"""")"),"")</f>
        <v/>
      </c>
      <c r="AH1601" s="49">
        <f>LEFT(J1601,2)</f>
        <v/>
      </c>
    </row>
    <row r="1602" ht="12.75" customHeight="1">
      <c r="H1602" s="43" t="n"/>
      <c r="AG1602" s="49">
        <f>IFERROR(__xludf.DUMMYFUNCTION("IFNA(vlookup(H1602,IMPORTRANGE(""1vUGwO1n0QQGx9kKbO0_M5gmuhXZ6-LaxQxgrmJnzgP0"",""'TP# look up'!A:C""),3,0),"""")"),"")</f>
        <v/>
      </c>
      <c r="AH1602" s="49">
        <f>LEFT(J1602,2)</f>
        <v/>
      </c>
    </row>
    <row r="1603" ht="12.75" customHeight="1">
      <c r="H1603" s="43" t="n"/>
      <c r="AG1603" s="49">
        <f>IFERROR(__xludf.DUMMYFUNCTION("IFNA(vlookup(H1603,IMPORTRANGE(""1vUGwO1n0QQGx9kKbO0_M5gmuhXZ6-LaxQxgrmJnzgP0"",""'TP# look up'!A:C""),3,0),"""")"),"")</f>
        <v/>
      </c>
      <c r="AH1603" s="49">
        <f>LEFT(J1603,2)</f>
        <v/>
      </c>
    </row>
    <row r="1604" ht="12.75" customHeight="1">
      <c r="H1604" s="43" t="n"/>
      <c r="AG1604" s="49">
        <f>IFERROR(__xludf.DUMMYFUNCTION("IFNA(vlookup(H1604,IMPORTRANGE(""1vUGwO1n0QQGx9kKbO0_M5gmuhXZ6-LaxQxgrmJnzgP0"",""'TP# look up'!A:C""),3,0),"""")"),"")</f>
        <v/>
      </c>
      <c r="AH1604" s="49">
        <f>LEFT(J1604,2)</f>
        <v/>
      </c>
    </row>
    <row r="1605" ht="12.75" customHeight="1">
      <c r="H1605" s="43" t="n"/>
      <c r="AG1605" s="49">
        <f>IFERROR(__xludf.DUMMYFUNCTION("IFNA(vlookup(H1605,IMPORTRANGE(""1vUGwO1n0QQGx9kKbO0_M5gmuhXZ6-LaxQxgrmJnzgP0"",""'TP# look up'!A:C""),3,0),"""")"),"")</f>
        <v/>
      </c>
      <c r="AH1605" s="49">
        <f>LEFT(J1605,2)</f>
        <v/>
      </c>
    </row>
    <row r="1606" ht="12.75" customHeight="1">
      <c r="H1606" s="43" t="n"/>
      <c r="AG1606" s="49">
        <f>IFERROR(__xludf.DUMMYFUNCTION("IFNA(vlookup(H1606,IMPORTRANGE(""1vUGwO1n0QQGx9kKbO0_M5gmuhXZ6-LaxQxgrmJnzgP0"",""'TP# look up'!A:C""),3,0),"""")"),"")</f>
        <v/>
      </c>
      <c r="AH1606" s="49">
        <f>LEFT(J1606,2)</f>
        <v/>
      </c>
    </row>
    <row r="1607" ht="12.75" customHeight="1">
      <c r="H1607" s="43" t="n"/>
      <c r="AG1607" s="49">
        <f>IFERROR(__xludf.DUMMYFUNCTION("IFNA(vlookup(H1607,IMPORTRANGE(""1vUGwO1n0QQGx9kKbO0_M5gmuhXZ6-LaxQxgrmJnzgP0"",""'TP# look up'!A:C""),3,0),"""")"),"")</f>
        <v/>
      </c>
      <c r="AH1607" s="49">
        <f>LEFT(J1607,2)</f>
        <v/>
      </c>
    </row>
    <row r="1608" ht="12.75" customHeight="1">
      <c r="H1608" s="43" t="n"/>
      <c r="AG1608" s="49">
        <f>IFERROR(__xludf.DUMMYFUNCTION("IFNA(vlookup(H1608,IMPORTRANGE(""1vUGwO1n0QQGx9kKbO0_M5gmuhXZ6-LaxQxgrmJnzgP0"",""'TP# look up'!A:C""),3,0),"""")"),"")</f>
        <v/>
      </c>
      <c r="AH1608" s="49">
        <f>LEFT(J1608,2)</f>
        <v/>
      </c>
    </row>
    <row r="1609" ht="12.75" customHeight="1">
      <c r="H1609" s="43" t="n"/>
      <c r="AG1609" s="49">
        <f>IFERROR(__xludf.DUMMYFUNCTION("IFNA(vlookup(H1609,IMPORTRANGE(""1vUGwO1n0QQGx9kKbO0_M5gmuhXZ6-LaxQxgrmJnzgP0"",""'TP# look up'!A:C""),3,0),"""")"),"")</f>
        <v/>
      </c>
      <c r="AH1609" s="49">
        <f>LEFT(J1609,2)</f>
        <v/>
      </c>
    </row>
    <row r="1610" ht="12.75" customHeight="1">
      <c r="H1610" s="43" t="n"/>
      <c r="AG1610" s="49">
        <f>IFERROR(__xludf.DUMMYFUNCTION("IFNA(vlookup(H1610,IMPORTRANGE(""1vUGwO1n0QQGx9kKbO0_M5gmuhXZ6-LaxQxgrmJnzgP0"",""'TP# look up'!A:C""),3,0),"""")"),"")</f>
        <v/>
      </c>
      <c r="AH1610" s="49">
        <f>LEFT(J1610,2)</f>
        <v/>
      </c>
    </row>
    <row r="1611" ht="12.75" customHeight="1">
      <c r="H1611" s="43" t="n"/>
      <c r="AG1611" s="49">
        <f>IFERROR(__xludf.DUMMYFUNCTION("IFNA(vlookup(H1611,IMPORTRANGE(""1vUGwO1n0QQGx9kKbO0_M5gmuhXZ6-LaxQxgrmJnzgP0"",""'TP# look up'!A:C""),3,0),"""")"),"")</f>
        <v/>
      </c>
      <c r="AH1611" s="49">
        <f>LEFT(J1611,2)</f>
        <v/>
      </c>
    </row>
    <row r="1612" ht="12.75" customHeight="1">
      <c r="H1612" s="43" t="n"/>
      <c r="AG1612" s="49">
        <f>IFERROR(__xludf.DUMMYFUNCTION("IFNA(vlookup(H1612,IMPORTRANGE(""1vUGwO1n0QQGx9kKbO0_M5gmuhXZ6-LaxQxgrmJnzgP0"",""'TP# look up'!A:C""),3,0),"""")"),"")</f>
        <v/>
      </c>
      <c r="AH1612" s="49">
        <f>LEFT(J1612,2)</f>
        <v/>
      </c>
    </row>
    <row r="1613" ht="12.75" customHeight="1">
      <c r="H1613" s="43" t="n"/>
      <c r="AG1613" s="49">
        <f>IFERROR(__xludf.DUMMYFUNCTION("IFNA(vlookup(H1613,IMPORTRANGE(""1vUGwO1n0QQGx9kKbO0_M5gmuhXZ6-LaxQxgrmJnzgP0"",""'TP# look up'!A:C""),3,0),"""")"),"")</f>
        <v/>
      </c>
      <c r="AH1613" s="49">
        <f>LEFT(J1613,2)</f>
        <v/>
      </c>
    </row>
    <row r="1614" ht="12.75" customHeight="1">
      <c r="H1614" s="43" t="n"/>
      <c r="AG1614" s="49">
        <f>IFERROR(__xludf.DUMMYFUNCTION("IFNA(vlookup(H1614,IMPORTRANGE(""1vUGwO1n0QQGx9kKbO0_M5gmuhXZ6-LaxQxgrmJnzgP0"",""'TP# look up'!A:C""),3,0),"""")"),"")</f>
        <v/>
      </c>
      <c r="AH1614" s="49">
        <f>LEFT(J1614,2)</f>
        <v/>
      </c>
    </row>
    <row r="1615" ht="12.75" customHeight="1">
      <c r="H1615" s="43" t="n"/>
      <c r="AG1615" s="49">
        <f>IFERROR(__xludf.DUMMYFUNCTION("IFNA(vlookup(H1615,IMPORTRANGE(""1vUGwO1n0QQGx9kKbO0_M5gmuhXZ6-LaxQxgrmJnzgP0"",""'TP# look up'!A:C""),3,0),"""")"),"")</f>
        <v/>
      </c>
      <c r="AH1615" s="49">
        <f>LEFT(J1615,2)</f>
        <v/>
      </c>
    </row>
    <row r="1616" ht="12.75" customHeight="1">
      <c r="H1616" s="43" t="n"/>
      <c r="AG1616" s="49">
        <f>IFERROR(__xludf.DUMMYFUNCTION("IFNA(vlookup(H1616,IMPORTRANGE(""1vUGwO1n0QQGx9kKbO0_M5gmuhXZ6-LaxQxgrmJnzgP0"",""'TP# look up'!A:C""),3,0),"""")"),"")</f>
        <v/>
      </c>
      <c r="AH1616" s="49">
        <f>LEFT(J1616,2)</f>
        <v/>
      </c>
    </row>
    <row r="1617" ht="12.75" customHeight="1">
      <c r="H1617" s="43" t="n"/>
      <c r="AG1617" s="49">
        <f>IFERROR(__xludf.DUMMYFUNCTION("IFNA(vlookup(H1617,IMPORTRANGE(""1vUGwO1n0QQGx9kKbO0_M5gmuhXZ6-LaxQxgrmJnzgP0"",""'TP# look up'!A:C""),3,0),"""")"),"")</f>
        <v/>
      </c>
      <c r="AH1617" s="49">
        <f>LEFT(J1617,2)</f>
        <v/>
      </c>
    </row>
    <row r="1618" ht="12.75" customHeight="1">
      <c r="H1618" s="43" t="n"/>
      <c r="AG1618" s="49">
        <f>IFERROR(__xludf.DUMMYFUNCTION("IFNA(vlookup(H1618,IMPORTRANGE(""1vUGwO1n0QQGx9kKbO0_M5gmuhXZ6-LaxQxgrmJnzgP0"",""'TP# look up'!A:C""),3,0),"""")"),"")</f>
        <v/>
      </c>
      <c r="AH1618" s="49">
        <f>LEFT(J1618,2)</f>
        <v/>
      </c>
    </row>
    <row r="1619" ht="12.75" customHeight="1">
      <c r="H1619" s="43" t="n"/>
      <c r="AG1619" s="49">
        <f>IFERROR(__xludf.DUMMYFUNCTION("IFNA(vlookup(H1619,IMPORTRANGE(""1vUGwO1n0QQGx9kKbO0_M5gmuhXZ6-LaxQxgrmJnzgP0"",""'TP# look up'!A:C""),3,0),"""")"),"")</f>
        <v/>
      </c>
      <c r="AH1619" s="49">
        <f>LEFT(J1619,2)</f>
        <v/>
      </c>
    </row>
    <row r="1620" ht="12.75" customHeight="1">
      <c r="H1620" s="43" t="n"/>
      <c r="AG1620" s="49">
        <f>IFERROR(__xludf.DUMMYFUNCTION("IFNA(vlookup(H1620,IMPORTRANGE(""1vUGwO1n0QQGx9kKbO0_M5gmuhXZ6-LaxQxgrmJnzgP0"",""'TP# look up'!A:C""),3,0),"""")"),"")</f>
        <v/>
      </c>
      <c r="AH1620" s="49">
        <f>LEFT(J1620,2)</f>
        <v/>
      </c>
    </row>
    <row r="1621" ht="12.75" customHeight="1">
      <c r="H1621" s="43" t="n"/>
      <c r="AG1621" s="49">
        <f>IFERROR(__xludf.DUMMYFUNCTION("IFNA(vlookup(H1621,IMPORTRANGE(""1vUGwO1n0QQGx9kKbO0_M5gmuhXZ6-LaxQxgrmJnzgP0"",""'TP# look up'!A:C""),3,0),"""")"),"")</f>
        <v/>
      </c>
      <c r="AH1621" s="49">
        <f>LEFT(J1621,2)</f>
        <v/>
      </c>
    </row>
    <row r="1622" ht="12.75" customHeight="1">
      <c r="H1622" s="43" t="n"/>
      <c r="AG1622" s="49">
        <f>IFERROR(__xludf.DUMMYFUNCTION("IFNA(vlookup(H1622,IMPORTRANGE(""1vUGwO1n0QQGx9kKbO0_M5gmuhXZ6-LaxQxgrmJnzgP0"",""'TP# look up'!A:C""),3,0),"""")"),"")</f>
        <v/>
      </c>
      <c r="AH1622" s="49">
        <f>LEFT(J1622,2)</f>
        <v/>
      </c>
    </row>
    <row r="1623" ht="12.75" customHeight="1">
      <c r="H1623" s="43" t="n"/>
      <c r="AG1623" s="49">
        <f>IFERROR(__xludf.DUMMYFUNCTION("IFNA(vlookup(H1623,IMPORTRANGE(""1vUGwO1n0QQGx9kKbO0_M5gmuhXZ6-LaxQxgrmJnzgP0"",""'TP# look up'!A:C""),3,0),"""")"),"")</f>
        <v/>
      </c>
      <c r="AH1623" s="49">
        <f>LEFT(J1623,2)</f>
        <v/>
      </c>
    </row>
    <row r="1624" ht="12.75" customHeight="1">
      <c r="H1624" s="43" t="n"/>
      <c r="AG1624" s="49">
        <f>IFERROR(__xludf.DUMMYFUNCTION("IFNA(vlookup(H1624,IMPORTRANGE(""1vUGwO1n0QQGx9kKbO0_M5gmuhXZ6-LaxQxgrmJnzgP0"",""'TP# look up'!A:C""),3,0),"""")"),"")</f>
        <v/>
      </c>
      <c r="AH1624" s="49">
        <f>LEFT(J1624,2)</f>
        <v/>
      </c>
    </row>
    <row r="1625" ht="12.75" customHeight="1">
      <c r="H1625" s="43" t="n"/>
      <c r="AG1625" s="49">
        <f>IFERROR(__xludf.DUMMYFUNCTION("IFNA(vlookup(H1625,IMPORTRANGE(""1vUGwO1n0QQGx9kKbO0_M5gmuhXZ6-LaxQxgrmJnzgP0"",""'TP# look up'!A:C""),3,0),"""")"),"")</f>
        <v/>
      </c>
      <c r="AH1625" s="49">
        <f>LEFT(J1625,2)</f>
        <v/>
      </c>
    </row>
    <row r="1626" ht="12.75" customHeight="1">
      <c r="H1626" s="43" t="n"/>
      <c r="AG1626" s="49">
        <f>IFERROR(__xludf.DUMMYFUNCTION("IFNA(vlookup(H1626,IMPORTRANGE(""1vUGwO1n0QQGx9kKbO0_M5gmuhXZ6-LaxQxgrmJnzgP0"",""'TP# look up'!A:C""),3,0),"""")"),"")</f>
        <v/>
      </c>
      <c r="AH1626" s="49">
        <f>LEFT(J1626,2)</f>
        <v/>
      </c>
    </row>
    <row r="1627" ht="12.75" customHeight="1">
      <c r="H1627" s="43" t="n"/>
      <c r="AG1627" s="49">
        <f>IFERROR(__xludf.DUMMYFUNCTION("IFNA(vlookup(H1627,IMPORTRANGE(""1vUGwO1n0QQGx9kKbO0_M5gmuhXZ6-LaxQxgrmJnzgP0"",""'TP# look up'!A:C""),3,0),"""")"),"")</f>
        <v/>
      </c>
      <c r="AH1627" s="49">
        <f>LEFT(J1627,2)</f>
        <v/>
      </c>
    </row>
    <row r="1628" ht="12.75" customHeight="1">
      <c r="H1628" s="43" t="n"/>
      <c r="AG1628" s="49">
        <f>IFERROR(__xludf.DUMMYFUNCTION("IFNA(vlookup(H1628,IMPORTRANGE(""1vUGwO1n0QQGx9kKbO0_M5gmuhXZ6-LaxQxgrmJnzgP0"",""'TP# look up'!A:C""),3,0),"""")"),"")</f>
        <v/>
      </c>
      <c r="AH1628" s="49">
        <f>LEFT(J1628,2)</f>
        <v/>
      </c>
    </row>
    <row r="1629" ht="12.75" customHeight="1">
      <c r="H1629" s="43" t="n"/>
      <c r="AG1629" s="49">
        <f>IFERROR(__xludf.DUMMYFUNCTION("IFNA(vlookup(H1629,IMPORTRANGE(""1vUGwO1n0QQGx9kKbO0_M5gmuhXZ6-LaxQxgrmJnzgP0"",""'TP# look up'!A:C""),3,0),"""")"),"")</f>
        <v/>
      </c>
      <c r="AH1629" s="49">
        <f>LEFT(J1629,2)</f>
        <v/>
      </c>
    </row>
    <row r="1630" ht="12.75" customHeight="1">
      <c r="H1630" s="43" t="n"/>
      <c r="AG1630" s="49">
        <f>IFERROR(__xludf.DUMMYFUNCTION("IFNA(vlookup(H1630,IMPORTRANGE(""1vUGwO1n0QQGx9kKbO0_M5gmuhXZ6-LaxQxgrmJnzgP0"",""'TP# look up'!A:C""),3,0),"""")"),"")</f>
        <v/>
      </c>
      <c r="AH1630" s="49">
        <f>LEFT(J1630,2)</f>
        <v/>
      </c>
    </row>
    <row r="1631" ht="12.75" customHeight="1">
      <c r="H1631" s="43" t="n"/>
      <c r="AG1631" s="49">
        <f>IFERROR(__xludf.DUMMYFUNCTION("IFNA(vlookup(H1631,IMPORTRANGE(""1vUGwO1n0QQGx9kKbO0_M5gmuhXZ6-LaxQxgrmJnzgP0"",""'TP# look up'!A:C""),3,0),"""")"),"")</f>
        <v/>
      </c>
      <c r="AH1631" s="49">
        <f>LEFT(J1631,2)</f>
        <v/>
      </c>
    </row>
    <row r="1632" ht="12.75" customHeight="1">
      <c r="H1632" s="43" t="n"/>
      <c r="AG1632" s="49">
        <f>IFERROR(__xludf.DUMMYFUNCTION("IFNA(vlookup(H1632,IMPORTRANGE(""1vUGwO1n0QQGx9kKbO0_M5gmuhXZ6-LaxQxgrmJnzgP0"",""'TP# look up'!A:C""),3,0),"""")"),"")</f>
        <v/>
      </c>
      <c r="AH1632" s="49">
        <f>LEFT(J1632,2)</f>
        <v/>
      </c>
    </row>
    <row r="1633" ht="12.75" customHeight="1">
      <c r="H1633" s="43" t="n"/>
      <c r="AG1633" s="49">
        <f>IFERROR(__xludf.DUMMYFUNCTION("IFNA(vlookup(H1633,IMPORTRANGE(""1vUGwO1n0QQGx9kKbO0_M5gmuhXZ6-LaxQxgrmJnzgP0"",""'TP# look up'!A:C""),3,0),"""")"),"")</f>
        <v/>
      </c>
      <c r="AH1633" s="49">
        <f>LEFT(J1633,2)</f>
        <v/>
      </c>
    </row>
    <row r="1634" ht="12.75" customHeight="1">
      <c r="H1634" s="43" t="n"/>
      <c r="AG1634" s="49">
        <f>IFERROR(__xludf.DUMMYFUNCTION("IFNA(vlookup(H1634,IMPORTRANGE(""1vUGwO1n0QQGx9kKbO0_M5gmuhXZ6-LaxQxgrmJnzgP0"",""'TP# look up'!A:C""),3,0),"""")"),"")</f>
        <v/>
      </c>
      <c r="AH1634" s="49">
        <f>LEFT(J1634,2)</f>
        <v/>
      </c>
    </row>
    <row r="1635" ht="12.75" customHeight="1">
      <c r="H1635" s="43" t="n"/>
      <c r="AG1635" s="49">
        <f>IFERROR(__xludf.DUMMYFUNCTION("IFNA(vlookup(H1635,IMPORTRANGE(""1vUGwO1n0QQGx9kKbO0_M5gmuhXZ6-LaxQxgrmJnzgP0"",""'TP# look up'!A:C""),3,0),"""")"),"")</f>
        <v/>
      </c>
      <c r="AH1635" s="49">
        <f>LEFT(J1635,2)</f>
        <v/>
      </c>
    </row>
    <row r="1636" ht="12.75" customHeight="1">
      <c r="H1636" s="43" t="n"/>
      <c r="AG1636" s="49">
        <f>IFERROR(__xludf.DUMMYFUNCTION("IFNA(vlookup(H1636,IMPORTRANGE(""1vUGwO1n0QQGx9kKbO0_M5gmuhXZ6-LaxQxgrmJnzgP0"",""'TP# look up'!A:C""),3,0),"""")"),"")</f>
        <v/>
      </c>
      <c r="AH1636" s="49">
        <f>LEFT(J1636,2)</f>
        <v/>
      </c>
    </row>
    <row r="1637" ht="12.75" customHeight="1">
      <c r="H1637" s="43" t="n"/>
      <c r="AG1637" s="49">
        <f>IFERROR(__xludf.DUMMYFUNCTION("IFNA(vlookup(H1637,IMPORTRANGE(""1vUGwO1n0QQGx9kKbO0_M5gmuhXZ6-LaxQxgrmJnzgP0"",""'TP# look up'!A:C""),3,0),"""")"),"")</f>
        <v/>
      </c>
      <c r="AH1637" s="49">
        <f>LEFT(J1637,2)</f>
        <v/>
      </c>
    </row>
    <row r="1638" ht="12.75" customHeight="1">
      <c r="H1638" s="43" t="n"/>
      <c r="AG1638" s="49">
        <f>IFERROR(__xludf.DUMMYFUNCTION("IFNA(vlookup(H1638,IMPORTRANGE(""1vUGwO1n0QQGx9kKbO0_M5gmuhXZ6-LaxQxgrmJnzgP0"",""'TP# look up'!A:C""),3,0),"""")"),"")</f>
        <v/>
      </c>
      <c r="AH1638" s="49">
        <f>LEFT(J1638,2)</f>
        <v/>
      </c>
    </row>
    <row r="1639" ht="12.75" customHeight="1">
      <c r="H1639" s="43" t="n"/>
      <c r="AG1639" s="49">
        <f>IFERROR(__xludf.DUMMYFUNCTION("IFNA(vlookup(H1639,IMPORTRANGE(""1vUGwO1n0QQGx9kKbO0_M5gmuhXZ6-LaxQxgrmJnzgP0"",""'TP# look up'!A:C""),3,0),"""")"),"")</f>
        <v/>
      </c>
      <c r="AH1639" s="49">
        <f>LEFT(J1639,2)</f>
        <v/>
      </c>
    </row>
    <row r="1640" ht="12.75" customHeight="1">
      <c r="H1640" s="43" t="n"/>
      <c r="AG1640" s="49">
        <f>IFERROR(__xludf.DUMMYFUNCTION("IFNA(vlookup(H1640,IMPORTRANGE(""1vUGwO1n0QQGx9kKbO0_M5gmuhXZ6-LaxQxgrmJnzgP0"",""'TP# look up'!A:C""),3,0),"""")"),"")</f>
        <v/>
      </c>
      <c r="AH1640" s="49">
        <f>LEFT(J1640,2)</f>
        <v/>
      </c>
    </row>
    <row r="1641" ht="12.75" customHeight="1">
      <c r="H1641" s="43" t="n"/>
      <c r="AG1641" s="49">
        <f>IFERROR(__xludf.DUMMYFUNCTION("IFNA(vlookup(H1641,IMPORTRANGE(""1vUGwO1n0QQGx9kKbO0_M5gmuhXZ6-LaxQxgrmJnzgP0"",""'TP# look up'!A:C""),3,0),"""")"),"")</f>
        <v/>
      </c>
      <c r="AH1641" s="49">
        <f>LEFT(J1641,2)</f>
        <v/>
      </c>
    </row>
    <row r="1642" ht="12.75" customHeight="1">
      <c r="H1642" s="43" t="n"/>
      <c r="AG1642" s="49">
        <f>IFERROR(__xludf.DUMMYFUNCTION("IFNA(vlookup(H1642,IMPORTRANGE(""1vUGwO1n0QQGx9kKbO0_M5gmuhXZ6-LaxQxgrmJnzgP0"",""'TP# look up'!A:C""),3,0),"""")"),"")</f>
        <v/>
      </c>
      <c r="AH1642" s="49">
        <f>LEFT(J1642,2)</f>
        <v/>
      </c>
    </row>
    <row r="1643" ht="12.75" customHeight="1">
      <c r="H1643" s="43" t="n"/>
      <c r="AG1643" s="49">
        <f>IFERROR(__xludf.DUMMYFUNCTION("IFNA(vlookup(H1643,IMPORTRANGE(""1vUGwO1n0QQGx9kKbO0_M5gmuhXZ6-LaxQxgrmJnzgP0"",""'TP# look up'!A:C""),3,0),"""")"),"")</f>
        <v/>
      </c>
      <c r="AH1643" s="49">
        <f>LEFT(J1643,2)</f>
        <v/>
      </c>
    </row>
    <row r="1644" ht="12.75" customHeight="1">
      <c r="H1644" s="43" t="n"/>
      <c r="AG1644" s="49">
        <f>IFERROR(__xludf.DUMMYFUNCTION("IFNA(vlookup(H1644,IMPORTRANGE(""1vUGwO1n0QQGx9kKbO0_M5gmuhXZ6-LaxQxgrmJnzgP0"",""'TP# look up'!A:C""),3,0),"""")"),"")</f>
        <v/>
      </c>
      <c r="AH1644" s="49">
        <f>LEFT(J1644,2)</f>
        <v/>
      </c>
    </row>
    <row r="1645" ht="12.75" customHeight="1">
      <c r="H1645" s="43" t="n"/>
      <c r="AG1645" s="49">
        <f>IFERROR(__xludf.DUMMYFUNCTION("IFNA(vlookup(H1645,IMPORTRANGE(""1vUGwO1n0QQGx9kKbO0_M5gmuhXZ6-LaxQxgrmJnzgP0"",""'TP# look up'!A:C""),3,0),"""")"),"")</f>
        <v/>
      </c>
      <c r="AH1645" s="49">
        <f>LEFT(J1645,2)</f>
        <v/>
      </c>
    </row>
    <row r="1646" ht="12.75" customHeight="1">
      <c r="H1646" s="43" t="n"/>
      <c r="AG1646" s="49">
        <f>IFERROR(__xludf.DUMMYFUNCTION("IFNA(vlookup(H1646,IMPORTRANGE(""1vUGwO1n0QQGx9kKbO0_M5gmuhXZ6-LaxQxgrmJnzgP0"",""'TP# look up'!A:C""),3,0),"""")"),"")</f>
        <v/>
      </c>
      <c r="AH1646" s="49">
        <f>LEFT(J1646,2)</f>
        <v/>
      </c>
    </row>
    <row r="1647" ht="12.75" customHeight="1">
      <c r="H1647" s="43" t="n"/>
      <c r="AG1647" s="49">
        <f>IFERROR(__xludf.DUMMYFUNCTION("IFNA(vlookup(H1647,IMPORTRANGE(""1vUGwO1n0QQGx9kKbO0_M5gmuhXZ6-LaxQxgrmJnzgP0"",""'TP# look up'!A:C""),3,0),"""")"),"")</f>
        <v/>
      </c>
      <c r="AH1647" s="49">
        <f>LEFT(J1647,2)</f>
        <v/>
      </c>
    </row>
    <row r="1648" ht="12.75" customHeight="1">
      <c r="H1648" s="43" t="n"/>
      <c r="AG1648" s="49">
        <f>IFERROR(__xludf.DUMMYFUNCTION("IFNA(vlookup(H1648,IMPORTRANGE(""1vUGwO1n0QQGx9kKbO0_M5gmuhXZ6-LaxQxgrmJnzgP0"",""'TP# look up'!A:C""),3,0),"""")"),"")</f>
        <v/>
      </c>
      <c r="AH1648" s="49">
        <f>LEFT(J1648,2)</f>
        <v/>
      </c>
    </row>
    <row r="1649" ht="12.75" customHeight="1">
      <c r="H1649" s="43" t="n"/>
      <c r="AG1649" s="49">
        <f>IFERROR(__xludf.DUMMYFUNCTION("IFNA(vlookup(H1649,IMPORTRANGE(""1vUGwO1n0QQGx9kKbO0_M5gmuhXZ6-LaxQxgrmJnzgP0"",""'TP# look up'!A:C""),3,0),"""")"),"")</f>
        <v/>
      </c>
      <c r="AH1649" s="49">
        <f>LEFT(J1649,2)</f>
        <v/>
      </c>
    </row>
    <row r="1650" ht="12.75" customHeight="1">
      <c r="H1650" s="43" t="n"/>
      <c r="AG1650" s="49">
        <f>IFERROR(__xludf.DUMMYFUNCTION("IFNA(vlookup(H1650,IMPORTRANGE(""1vUGwO1n0QQGx9kKbO0_M5gmuhXZ6-LaxQxgrmJnzgP0"",""'TP# look up'!A:C""),3,0),"""")"),"")</f>
        <v/>
      </c>
      <c r="AH1650" s="49">
        <f>LEFT(J1650,2)</f>
        <v/>
      </c>
    </row>
    <row r="1651" ht="12.75" customHeight="1">
      <c r="H1651" s="43" t="n"/>
      <c r="AG1651" s="49">
        <f>IFERROR(__xludf.DUMMYFUNCTION("IFNA(vlookup(H1651,IMPORTRANGE(""1vUGwO1n0QQGx9kKbO0_M5gmuhXZ6-LaxQxgrmJnzgP0"",""'TP# look up'!A:C""),3,0),"""")"),"")</f>
        <v/>
      </c>
      <c r="AH1651" s="49">
        <f>LEFT(J1651,2)</f>
        <v/>
      </c>
    </row>
    <row r="1652" ht="12.75" customHeight="1">
      <c r="H1652" s="43" t="n"/>
      <c r="AG1652" s="49">
        <f>IFERROR(__xludf.DUMMYFUNCTION("IFNA(vlookup(H1652,IMPORTRANGE(""1vUGwO1n0QQGx9kKbO0_M5gmuhXZ6-LaxQxgrmJnzgP0"",""'TP# look up'!A:C""),3,0),"""")"),"")</f>
        <v/>
      </c>
      <c r="AH1652" s="49">
        <f>LEFT(J1652,2)</f>
        <v/>
      </c>
    </row>
    <row r="1653" ht="12.75" customHeight="1">
      <c r="H1653" s="43" t="n"/>
      <c r="AG1653" s="49">
        <f>IFERROR(__xludf.DUMMYFUNCTION("IFNA(vlookup(H1653,IMPORTRANGE(""1vUGwO1n0QQGx9kKbO0_M5gmuhXZ6-LaxQxgrmJnzgP0"",""'TP# look up'!A:C""),3,0),"""")"),"")</f>
        <v/>
      </c>
      <c r="AH1653" s="49">
        <f>LEFT(J1653,2)</f>
        <v/>
      </c>
    </row>
    <row r="1654" ht="12.75" customHeight="1">
      <c r="H1654" s="43" t="n"/>
      <c r="AG1654" s="49">
        <f>IFERROR(__xludf.DUMMYFUNCTION("IFNA(vlookup(H1654,IMPORTRANGE(""1vUGwO1n0QQGx9kKbO0_M5gmuhXZ6-LaxQxgrmJnzgP0"",""'TP# look up'!A:C""),3,0),"""")"),"")</f>
        <v/>
      </c>
      <c r="AH1654" s="49">
        <f>LEFT(J1654,2)</f>
        <v/>
      </c>
    </row>
    <row r="1655" ht="12.75" customHeight="1">
      <c r="H1655" s="43" t="n"/>
      <c r="AG1655" s="49">
        <f>IFERROR(__xludf.DUMMYFUNCTION("IFNA(vlookup(H1655,IMPORTRANGE(""1vUGwO1n0QQGx9kKbO0_M5gmuhXZ6-LaxQxgrmJnzgP0"",""'TP# look up'!A:C""),3,0),"""")"),"")</f>
        <v/>
      </c>
      <c r="AH1655" s="49">
        <f>LEFT(J1655,2)</f>
        <v/>
      </c>
    </row>
    <row r="1656" ht="12.75" customHeight="1">
      <c r="H1656" s="43" t="n"/>
      <c r="AG1656" s="49">
        <f>IFERROR(__xludf.DUMMYFUNCTION("IFNA(vlookup(H1656,IMPORTRANGE(""1vUGwO1n0QQGx9kKbO0_M5gmuhXZ6-LaxQxgrmJnzgP0"",""'TP# look up'!A:C""),3,0),"""")"),"")</f>
        <v/>
      </c>
      <c r="AH1656" s="49">
        <f>LEFT(J1656,2)</f>
        <v/>
      </c>
    </row>
    <row r="1657" ht="12.75" customHeight="1">
      <c r="H1657" s="43" t="n"/>
      <c r="AG1657" s="49">
        <f>IFERROR(__xludf.DUMMYFUNCTION("IFNA(vlookup(H1657,IMPORTRANGE(""1vUGwO1n0QQGx9kKbO0_M5gmuhXZ6-LaxQxgrmJnzgP0"",""'TP# look up'!A:C""),3,0),"""")"),"")</f>
        <v/>
      </c>
      <c r="AH1657" s="49">
        <f>LEFT(J1657,2)</f>
        <v/>
      </c>
    </row>
    <row r="1658" ht="12.75" customHeight="1">
      <c r="H1658" s="43" t="n"/>
      <c r="AG1658" s="49">
        <f>IFERROR(__xludf.DUMMYFUNCTION("IFNA(vlookup(H1658,IMPORTRANGE(""1vUGwO1n0QQGx9kKbO0_M5gmuhXZ6-LaxQxgrmJnzgP0"",""'TP# look up'!A:C""),3,0),"""")"),"")</f>
        <v/>
      </c>
      <c r="AH1658" s="49">
        <f>LEFT(J1658,2)</f>
        <v/>
      </c>
    </row>
    <row r="1659" ht="12.75" customHeight="1">
      <c r="H1659" s="43" t="n"/>
      <c r="AG1659" s="49">
        <f>IFERROR(__xludf.DUMMYFUNCTION("IFNA(vlookup(H1659,IMPORTRANGE(""1vUGwO1n0QQGx9kKbO0_M5gmuhXZ6-LaxQxgrmJnzgP0"",""'TP# look up'!A:C""),3,0),"""")"),"")</f>
        <v/>
      </c>
      <c r="AH1659" s="49">
        <f>LEFT(J1659,2)</f>
        <v/>
      </c>
    </row>
    <row r="1660" ht="12.75" customHeight="1">
      <c r="H1660" s="43" t="n"/>
      <c r="AG1660" s="49">
        <f>IFERROR(__xludf.DUMMYFUNCTION("IFNA(vlookup(H1660,IMPORTRANGE(""1vUGwO1n0QQGx9kKbO0_M5gmuhXZ6-LaxQxgrmJnzgP0"",""'TP# look up'!A:C""),3,0),"""")"),"")</f>
        <v/>
      </c>
      <c r="AH1660" s="49">
        <f>LEFT(J1660,2)</f>
        <v/>
      </c>
    </row>
    <row r="1661" ht="12.75" customHeight="1">
      <c r="H1661" s="43" t="n"/>
      <c r="AG1661" s="49">
        <f>IFERROR(__xludf.DUMMYFUNCTION("IFNA(vlookup(H1661,IMPORTRANGE(""1vUGwO1n0QQGx9kKbO0_M5gmuhXZ6-LaxQxgrmJnzgP0"",""'TP# look up'!A:C""),3,0),"""")"),"")</f>
        <v/>
      </c>
      <c r="AH1661" s="49">
        <f>LEFT(J1661,2)</f>
        <v/>
      </c>
    </row>
    <row r="1662" ht="12.75" customHeight="1">
      <c r="H1662" s="43" t="n"/>
      <c r="AG1662" s="49">
        <f>IFERROR(__xludf.DUMMYFUNCTION("IFNA(vlookup(H1662,IMPORTRANGE(""1vUGwO1n0QQGx9kKbO0_M5gmuhXZ6-LaxQxgrmJnzgP0"",""'TP# look up'!A:C""),3,0),"""")"),"")</f>
        <v/>
      </c>
      <c r="AH1662" s="49">
        <f>LEFT(J1662,2)</f>
        <v/>
      </c>
    </row>
    <row r="1663" ht="12.75" customHeight="1">
      <c r="H1663" s="43" t="n"/>
      <c r="AG1663" s="49">
        <f>IFERROR(__xludf.DUMMYFUNCTION("IFNA(vlookup(H1663,IMPORTRANGE(""1vUGwO1n0QQGx9kKbO0_M5gmuhXZ6-LaxQxgrmJnzgP0"",""'TP# look up'!A:C""),3,0),"""")"),"")</f>
        <v/>
      </c>
      <c r="AH1663" s="49">
        <f>LEFT(J1663,2)</f>
        <v/>
      </c>
    </row>
    <row r="1664" ht="12.75" customHeight="1">
      <c r="H1664" s="43" t="n"/>
      <c r="AG1664" s="49">
        <f>IFERROR(__xludf.DUMMYFUNCTION("IFNA(vlookup(H1664,IMPORTRANGE(""1vUGwO1n0QQGx9kKbO0_M5gmuhXZ6-LaxQxgrmJnzgP0"",""'TP# look up'!A:C""),3,0),"""")"),"")</f>
        <v/>
      </c>
      <c r="AH1664" s="49">
        <f>LEFT(J1664,2)</f>
        <v/>
      </c>
    </row>
    <row r="1665" ht="12.75" customHeight="1">
      <c r="H1665" s="43" t="n"/>
      <c r="AG1665" s="49">
        <f>IFERROR(__xludf.DUMMYFUNCTION("IFNA(vlookup(H1665,IMPORTRANGE(""1vUGwO1n0QQGx9kKbO0_M5gmuhXZ6-LaxQxgrmJnzgP0"",""'TP# look up'!A:C""),3,0),"""")"),"")</f>
        <v/>
      </c>
      <c r="AH1665" s="49">
        <f>LEFT(J1665,2)</f>
        <v/>
      </c>
    </row>
    <row r="1666" ht="12.75" customHeight="1">
      <c r="H1666" s="43" t="n"/>
      <c r="AG1666" s="49">
        <f>IFERROR(__xludf.DUMMYFUNCTION("IFNA(vlookup(H1666,IMPORTRANGE(""1vUGwO1n0QQGx9kKbO0_M5gmuhXZ6-LaxQxgrmJnzgP0"",""'TP# look up'!A:C""),3,0),"""")"),"")</f>
        <v/>
      </c>
      <c r="AH1666" s="49">
        <f>LEFT(J1666,2)</f>
        <v/>
      </c>
    </row>
    <row r="1667" ht="12.75" customHeight="1">
      <c r="H1667" s="43" t="n"/>
      <c r="AG1667" s="49">
        <f>IFERROR(__xludf.DUMMYFUNCTION("IFNA(vlookup(H1667,IMPORTRANGE(""1vUGwO1n0QQGx9kKbO0_M5gmuhXZ6-LaxQxgrmJnzgP0"",""'TP# look up'!A:C""),3,0),"""")"),"")</f>
        <v/>
      </c>
      <c r="AH1667" s="49">
        <f>LEFT(J1667,2)</f>
        <v/>
      </c>
    </row>
    <row r="1668" ht="12.75" customHeight="1">
      <c r="H1668" s="43" t="n"/>
      <c r="AG1668" s="49">
        <f>IFERROR(__xludf.DUMMYFUNCTION("IFNA(vlookup(H1668,IMPORTRANGE(""1vUGwO1n0QQGx9kKbO0_M5gmuhXZ6-LaxQxgrmJnzgP0"",""'TP# look up'!A:C""),3,0),"""")"),"")</f>
        <v/>
      </c>
      <c r="AH1668" s="49">
        <f>LEFT(J1668,2)</f>
        <v/>
      </c>
    </row>
    <row r="1669" ht="12.75" customHeight="1">
      <c r="H1669" s="43" t="n"/>
      <c r="AG1669" s="49">
        <f>IFERROR(__xludf.DUMMYFUNCTION("IFNA(vlookup(H1669,IMPORTRANGE(""1vUGwO1n0QQGx9kKbO0_M5gmuhXZ6-LaxQxgrmJnzgP0"",""'TP# look up'!A:C""),3,0),"""")"),"")</f>
        <v/>
      </c>
      <c r="AH1669" s="49">
        <f>LEFT(J1669,2)</f>
        <v/>
      </c>
    </row>
    <row r="1670" ht="12.75" customHeight="1">
      <c r="H1670" s="43" t="n"/>
      <c r="AG1670" s="49">
        <f>IFERROR(__xludf.DUMMYFUNCTION("IFNA(vlookup(H1670,IMPORTRANGE(""1vUGwO1n0QQGx9kKbO0_M5gmuhXZ6-LaxQxgrmJnzgP0"",""'TP# look up'!A:C""),3,0),"""")"),"")</f>
        <v/>
      </c>
      <c r="AH1670" s="49">
        <f>LEFT(J1670,2)</f>
        <v/>
      </c>
    </row>
    <row r="1671" ht="12.75" customHeight="1">
      <c r="H1671" s="43" t="n"/>
      <c r="AG1671" s="49">
        <f>IFERROR(__xludf.DUMMYFUNCTION("IFNA(vlookup(H1671,IMPORTRANGE(""1vUGwO1n0QQGx9kKbO0_M5gmuhXZ6-LaxQxgrmJnzgP0"",""'TP# look up'!A:C""),3,0),"""")"),"")</f>
        <v/>
      </c>
      <c r="AH1671" s="49">
        <f>LEFT(J1671,2)</f>
        <v/>
      </c>
    </row>
    <row r="1672" ht="12.75" customHeight="1">
      <c r="H1672" s="43" t="n"/>
      <c r="AG1672" s="49">
        <f>IFERROR(__xludf.DUMMYFUNCTION("IFNA(vlookup(H1672,IMPORTRANGE(""1vUGwO1n0QQGx9kKbO0_M5gmuhXZ6-LaxQxgrmJnzgP0"",""'TP# look up'!A:C""),3,0),"""")"),"")</f>
        <v/>
      </c>
      <c r="AH1672" s="49">
        <f>LEFT(J1672,2)</f>
        <v/>
      </c>
    </row>
    <row r="1673" ht="12.75" customHeight="1">
      <c r="H1673" s="43" t="n"/>
      <c r="AG1673" s="49">
        <f>IFERROR(__xludf.DUMMYFUNCTION("IFNA(vlookup(H1673,IMPORTRANGE(""1vUGwO1n0QQGx9kKbO0_M5gmuhXZ6-LaxQxgrmJnzgP0"",""'TP# look up'!A:C""),3,0),"""")"),"")</f>
        <v/>
      </c>
      <c r="AH1673" s="49">
        <f>LEFT(J1673,2)</f>
        <v/>
      </c>
    </row>
    <row r="1674" ht="12.75" customHeight="1">
      <c r="H1674" s="43" t="n"/>
      <c r="AG1674" s="49">
        <f>IFERROR(__xludf.DUMMYFUNCTION("IFNA(vlookup(H1674,IMPORTRANGE(""1vUGwO1n0QQGx9kKbO0_M5gmuhXZ6-LaxQxgrmJnzgP0"",""'TP# look up'!A:C""),3,0),"""")"),"")</f>
        <v/>
      </c>
      <c r="AH1674" s="49">
        <f>LEFT(J1674,2)</f>
        <v/>
      </c>
    </row>
    <row r="1675" ht="12.75" customHeight="1">
      <c r="H1675" s="43" t="n"/>
      <c r="AG1675" s="49">
        <f>IFERROR(__xludf.DUMMYFUNCTION("IFNA(vlookup(H1675,IMPORTRANGE(""1vUGwO1n0QQGx9kKbO0_M5gmuhXZ6-LaxQxgrmJnzgP0"",""'TP# look up'!A:C""),3,0),"""")"),"")</f>
        <v/>
      </c>
      <c r="AH1675" s="49">
        <f>LEFT(J1675,2)</f>
        <v/>
      </c>
    </row>
    <row r="1676" ht="12.75" customHeight="1">
      <c r="H1676" s="43" t="n"/>
      <c r="AG1676" s="49">
        <f>IFERROR(__xludf.DUMMYFUNCTION("IFNA(vlookup(H1676,IMPORTRANGE(""1vUGwO1n0QQGx9kKbO0_M5gmuhXZ6-LaxQxgrmJnzgP0"",""'TP# look up'!A:C""),3,0),"""")"),"")</f>
        <v/>
      </c>
      <c r="AH1676" s="49">
        <f>LEFT(J1676,2)</f>
        <v/>
      </c>
    </row>
    <row r="1677" ht="12.75" customHeight="1">
      <c r="H1677" s="43" t="n"/>
      <c r="AG1677" s="49">
        <f>IFERROR(__xludf.DUMMYFUNCTION("IFNA(vlookup(H1677,IMPORTRANGE(""1vUGwO1n0QQGx9kKbO0_M5gmuhXZ6-LaxQxgrmJnzgP0"",""'TP# look up'!A:C""),3,0),"""")"),"")</f>
        <v/>
      </c>
      <c r="AH1677" s="49">
        <f>LEFT(J1677,2)</f>
        <v/>
      </c>
    </row>
    <row r="1678" ht="12.75" customHeight="1">
      <c r="H1678" s="43" t="n"/>
      <c r="AG1678" s="49">
        <f>IFERROR(__xludf.DUMMYFUNCTION("IFNA(vlookup(H1678,IMPORTRANGE(""1vUGwO1n0QQGx9kKbO0_M5gmuhXZ6-LaxQxgrmJnzgP0"",""'TP# look up'!A:C""),3,0),"""")"),"")</f>
        <v/>
      </c>
      <c r="AH1678" s="49">
        <f>LEFT(J1678,2)</f>
        <v/>
      </c>
    </row>
    <row r="1679" ht="12.75" customHeight="1">
      <c r="H1679" s="43" t="n"/>
      <c r="AG1679" s="49">
        <f>IFERROR(__xludf.DUMMYFUNCTION("IFNA(vlookup(H1679,IMPORTRANGE(""1vUGwO1n0QQGx9kKbO0_M5gmuhXZ6-LaxQxgrmJnzgP0"",""'TP# look up'!A:C""),3,0),"""")"),"")</f>
        <v/>
      </c>
      <c r="AH1679" s="49">
        <f>LEFT(J1679,2)</f>
        <v/>
      </c>
    </row>
    <row r="1680" ht="12.75" customHeight="1">
      <c r="H1680" s="43" t="n"/>
      <c r="AG1680" s="49">
        <f>IFERROR(__xludf.DUMMYFUNCTION("IFNA(vlookup(H1680,IMPORTRANGE(""1vUGwO1n0QQGx9kKbO0_M5gmuhXZ6-LaxQxgrmJnzgP0"",""'TP# look up'!A:C""),3,0),"""")"),"")</f>
        <v/>
      </c>
      <c r="AH1680" s="49">
        <f>LEFT(J1680,2)</f>
        <v/>
      </c>
    </row>
    <row r="1681" ht="12.75" customHeight="1">
      <c r="H1681" s="43" t="n"/>
      <c r="AG1681" s="49">
        <f>IFERROR(__xludf.DUMMYFUNCTION("IFNA(vlookup(H1681,IMPORTRANGE(""1vUGwO1n0QQGx9kKbO0_M5gmuhXZ6-LaxQxgrmJnzgP0"",""'TP# look up'!A:C""),3,0),"""")"),"")</f>
        <v/>
      </c>
      <c r="AH1681" s="49">
        <f>LEFT(J1681,2)</f>
        <v/>
      </c>
    </row>
    <row r="1682" ht="12.75" customHeight="1">
      <c r="H1682" s="43" t="n"/>
      <c r="AG1682" s="49">
        <f>IFERROR(__xludf.DUMMYFUNCTION("IFNA(vlookup(H1682,IMPORTRANGE(""1vUGwO1n0QQGx9kKbO0_M5gmuhXZ6-LaxQxgrmJnzgP0"",""'TP# look up'!A:C""),3,0),"""")"),"")</f>
        <v/>
      </c>
      <c r="AH1682" s="49">
        <f>LEFT(J1682,2)</f>
        <v/>
      </c>
    </row>
    <row r="1683" ht="12.75" customHeight="1">
      <c r="H1683" s="43" t="n"/>
      <c r="AG1683" s="49">
        <f>IFERROR(__xludf.DUMMYFUNCTION("IFNA(vlookup(H1683,IMPORTRANGE(""1vUGwO1n0QQGx9kKbO0_M5gmuhXZ6-LaxQxgrmJnzgP0"",""'TP# look up'!A:C""),3,0),"""")"),"")</f>
        <v/>
      </c>
      <c r="AH1683" s="49">
        <f>LEFT(J1683,2)</f>
        <v/>
      </c>
    </row>
    <row r="1684" ht="12.75" customHeight="1">
      <c r="H1684" s="43" t="n"/>
      <c r="AG1684" s="49">
        <f>IFERROR(__xludf.DUMMYFUNCTION("IFNA(vlookup(H1684,IMPORTRANGE(""1vUGwO1n0QQGx9kKbO0_M5gmuhXZ6-LaxQxgrmJnzgP0"",""'TP# look up'!A:C""),3,0),"""")"),"")</f>
        <v/>
      </c>
      <c r="AH1684" s="49">
        <f>LEFT(J1684,2)</f>
        <v/>
      </c>
    </row>
    <row r="1685" ht="12.75" customHeight="1">
      <c r="H1685" s="43" t="n"/>
      <c r="AG1685" s="49">
        <f>IFERROR(__xludf.DUMMYFUNCTION("IFNA(vlookup(H1685,IMPORTRANGE(""1vUGwO1n0QQGx9kKbO0_M5gmuhXZ6-LaxQxgrmJnzgP0"",""'TP# look up'!A:C""),3,0),"""")"),"")</f>
        <v/>
      </c>
      <c r="AH1685" s="49">
        <f>LEFT(J1685,2)</f>
        <v/>
      </c>
    </row>
    <row r="1686" ht="12.75" customHeight="1">
      <c r="H1686" s="43" t="n"/>
      <c r="AG1686" s="49">
        <f>IFERROR(__xludf.DUMMYFUNCTION("IFNA(vlookup(H1686,IMPORTRANGE(""1vUGwO1n0QQGx9kKbO0_M5gmuhXZ6-LaxQxgrmJnzgP0"",""'TP# look up'!A:C""),3,0),"""")"),"")</f>
        <v/>
      </c>
      <c r="AH1686" s="49">
        <f>LEFT(J1686,2)</f>
        <v/>
      </c>
    </row>
    <row r="1687" ht="12.75" customHeight="1">
      <c r="H1687" s="43" t="n"/>
      <c r="AG1687" s="49">
        <f>IFERROR(__xludf.DUMMYFUNCTION("IFNA(vlookup(H1687,IMPORTRANGE(""1vUGwO1n0QQGx9kKbO0_M5gmuhXZ6-LaxQxgrmJnzgP0"",""'TP# look up'!A:C""),3,0),"""")"),"")</f>
        <v/>
      </c>
      <c r="AH1687" s="49">
        <f>LEFT(J1687,2)</f>
        <v/>
      </c>
    </row>
    <row r="1688" ht="12.75" customHeight="1">
      <c r="H1688" s="43" t="n"/>
      <c r="AG1688" s="49">
        <f>IFERROR(__xludf.DUMMYFUNCTION("IFNA(vlookup(H1688,IMPORTRANGE(""1vUGwO1n0QQGx9kKbO0_M5gmuhXZ6-LaxQxgrmJnzgP0"",""'TP# look up'!A:C""),3,0),"""")"),"")</f>
        <v/>
      </c>
      <c r="AH1688" s="49">
        <f>LEFT(J1688,2)</f>
        <v/>
      </c>
    </row>
    <row r="1689" ht="12.75" customHeight="1">
      <c r="H1689" s="43" t="n"/>
      <c r="AG1689" s="49">
        <f>IFERROR(__xludf.DUMMYFUNCTION("IFNA(vlookup(H1689,IMPORTRANGE(""1vUGwO1n0QQGx9kKbO0_M5gmuhXZ6-LaxQxgrmJnzgP0"",""'TP# look up'!A:C""),3,0),"""")"),"")</f>
        <v/>
      </c>
      <c r="AH1689" s="49">
        <f>LEFT(J1689,2)</f>
        <v/>
      </c>
    </row>
    <row r="1690" ht="12.75" customHeight="1">
      <c r="H1690" s="43" t="n"/>
      <c r="AG1690" s="49">
        <f>IFERROR(__xludf.DUMMYFUNCTION("IFNA(vlookup(H1690,IMPORTRANGE(""1vUGwO1n0QQGx9kKbO0_M5gmuhXZ6-LaxQxgrmJnzgP0"",""'TP# look up'!A:C""),3,0),"""")"),"")</f>
        <v/>
      </c>
      <c r="AH1690" s="49">
        <f>LEFT(J1690,2)</f>
        <v/>
      </c>
    </row>
    <row r="1691" ht="12.75" customHeight="1">
      <c r="H1691" s="43" t="n"/>
      <c r="AG1691" s="49">
        <f>IFERROR(__xludf.DUMMYFUNCTION("IFNA(vlookup(H1691,IMPORTRANGE(""1vUGwO1n0QQGx9kKbO0_M5gmuhXZ6-LaxQxgrmJnzgP0"",""'TP# look up'!A:C""),3,0),"""")"),"")</f>
        <v/>
      </c>
      <c r="AH1691" s="49">
        <f>LEFT(J1691,2)</f>
        <v/>
      </c>
    </row>
    <row r="1692" ht="12.75" customHeight="1">
      <c r="H1692" s="43" t="n"/>
      <c r="AG1692" s="49">
        <f>IFERROR(__xludf.DUMMYFUNCTION("IFNA(vlookup(H1692,IMPORTRANGE(""1vUGwO1n0QQGx9kKbO0_M5gmuhXZ6-LaxQxgrmJnzgP0"",""'TP# look up'!A:C""),3,0),"""")"),"")</f>
        <v/>
      </c>
      <c r="AH1692" s="49">
        <f>LEFT(J1692,2)</f>
        <v/>
      </c>
    </row>
    <row r="1693" ht="12.75" customHeight="1">
      <c r="H1693" s="43" t="n"/>
      <c r="AG1693" s="49">
        <f>IFERROR(__xludf.DUMMYFUNCTION("IFNA(vlookup(H1693,IMPORTRANGE(""1vUGwO1n0QQGx9kKbO0_M5gmuhXZ6-LaxQxgrmJnzgP0"",""'TP# look up'!A:C""),3,0),"""")"),"")</f>
        <v/>
      </c>
      <c r="AH1693" s="49">
        <f>LEFT(J1693,2)</f>
        <v/>
      </c>
    </row>
    <row r="1694" ht="12.75" customHeight="1">
      <c r="H1694" s="43" t="n"/>
      <c r="AG1694" s="49">
        <f>IFERROR(__xludf.DUMMYFUNCTION("IFNA(vlookup(H1694,IMPORTRANGE(""1vUGwO1n0QQGx9kKbO0_M5gmuhXZ6-LaxQxgrmJnzgP0"",""'TP# look up'!A:C""),3,0),"""")"),"")</f>
        <v/>
      </c>
      <c r="AH1694" s="49">
        <f>LEFT(J1694,2)</f>
        <v/>
      </c>
    </row>
    <row r="1695" ht="12.75" customHeight="1">
      <c r="H1695" s="43" t="n"/>
      <c r="AG1695" s="49">
        <f>IFERROR(__xludf.DUMMYFUNCTION("IFNA(vlookup(H1695,IMPORTRANGE(""1vUGwO1n0QQGx9kKbO0_M5gmuhXZ6-LaxQxgrmJnzgP0"",""'TP# look up'!A:C""),3,0),"""")"),"")</f>
        <v/>
      </c>
      <c r="AH1695" s="49">
        <f>LEFT(J1695,2)</f>
        <v/>
      </c>
    </row>
    <row r="1696" ht="12.75" customHeight="1">
      <c r="H1696" s="43" t="n"/>
      <c r="AG1696" s="49">
        <f>IFERROR(__xludf.DUMMYFUNCTION("IFNA(vlookup(H1696,IMPORTRANGE(""1vUGwO1n0QQGx9kKbO0_M5gmuhXZ6-LaxQxgrmJnzgP0"",""'TP# look up'!A:C""),3,0),"""")"),"")</f>
        <v/>
      </c>
      <c r="AH1696" s="49">
        <f>LEFT(J1696,2)</f>
        <v/>
      </c>
    </row>
    <row r="1697" ht="12.75" customHeight="1">
      <c r="H1697" s="43" t="n"/>
      <c r="AG1697" s="49">
        <f>IFERROR(__xludf.DUMMYFUNCTION("IFNA(vlookup(H1697,IMPORTRANGE(""1vUGwO1n0QQGx9kKbO0_M5gmuhXZ6-LaxQxgrmJnzgP0"",""'TP# look up'!A:C""),3,0),"""")"),"")</f>
        <v/>
      </c>
      <c r="AH1697" s="49">
        <f>LEFT(J1697,2)</f>
        <v/>
      </c>
    </row>
    <row r="1698" ht="12.75" customHeight="1">
      <c r="H1698" s="43" t="n"/>
      <c r="AG1698" s="49">
        <f>IFERROR(__xludf.DUMMYFUNCTION("IFNA(vlookup(H1698,IMPORTRANGE(""1vUGwO1n0QQGx9kKbO0_M5gmuhXZ6-LaxQxgrmJnzgP0"",""'TP# look up'!A:C""),3,0),"""")"),"")</f>
        <v/>
      </c>
      <c r="AH1698" s="49">
        <f>LEFT(J1698,2)</f>
        <v/>
      </c>
    </row>
    <row r="1699" ht="12.75" customHeight="1">
      <c r="H1699" s="43" t="n"/>
      <c r="AG1699" s="49">
        <f>IFERROR(__xludf.DUMMYFUNCTION("IFNA(vlookup(H1699,IMPORTRANGE(""1vUGwO1n0QQGx9kKbO0_M5gmuhXZ6-LaxQxgrmJnzgP0"",""'TP# look up'!A:C""),3,0),"""")"),"")</f>
        <v/>
      </c>
      <c r="AH1699" s="49">
        <f>LEFT(J1699,2)</f>
        <v/>
      </c>
    </row>
    <row r="1700" ht="12.75" customHeight="1">
      <c r="H1700" s="43" t="n"/>
      <c r="AG1700" s="49">
        <f>IFERROR(__xludf.DUMMYFUNCTION("IFNA(vlookup(H1700,IMPORTRANGE(""1vUGwO1n0QQGx9kKbO0_M5gmuhXZ6-LaxQxgrmJnzgP0"",""'TP# look up'!A:C""),3,0),"""")"),"")</f>
        <v/>
      </c>
      <c r="AH1700" s="49">
        <f>LEFT(J1700,2)</f>
        <v/>
      </c>
    </row>
    <row r="1701" ht="12.75" customHeight="1">
      <c r="H1701" s="43" t="n"/>
      <c r="AG1701" s="49">
        <f>IFERROR(__xludf.DUMMYFUNCTION("IFNA(vlookup(H1701,IMPORTRANGE(""1vUGwO1n0QQGx9kKbO0_M5gmuhXZ6-LaxQxgrmJnzgP0"",""'TP# look up'!A:C""),3,0),"""")"),"")</f>
        <v/>
      </c>
      <c r="AH1701" s="49">
        <f>LEFT(J1701,2)</f>
        <v/>
      </c>
    </row>
    <row r="1702" ht="12.75" customHeight="1">
      <c r="H1702" s="43" t="n"/>
      <c r="AG1702" s="49">
        <f>IFERROR(__xludf.DUMMYFUNCTION("IFNA(vlookup(H1702,IMPORTRANGE(""1vUGwO1n0QQGx9kKbO0_M5gmuhXZ6-LaxQxgrmJnzgP0"",""'TP# look up'!A:C""),3,0),"""")"),"")</f>
        <v/>
      </c>
      <c r="AH1702" s="49">
        <f>LEFT(J1702,2)</f>
        <v/>
      </c>
    </row>
    <row r="1703" ht="12.75" customHeight="1">
      <c r="H1703" s="43" t="n"/>
      <c r="AG1703" s="49">
        <f>IFERROR(__xludf.DUMMYFUNCTION("IFNA(vlookup(H1703,IMPORTRANGE(""1vUGwO1n0QQGx9kKbO0_M5gmuhXZ6-LaxQxgrmJnzgP0"",""'TP# look up'!A:C""),3,0),"""")"),"")</f>
        <v/>
      </c>
      <c r="AH1703" s="49">
        <f>LEFT(J1703,2)</f>
        <v/>
      </c>
    </row>
    <row r="1704" ht="12.75" customHeight="1">
      <c r="H1704" s="43" t="n"/>
      <c r="AG1704" s="49">
        <f>IFERROR(__xludf.DUMMYFUNCTION("IFNA(vlookup(H1704,IMPORTRANGE(""1vUGwO1n0QQGx9kKbO0_M5gmuhXZ6-LaxQxgrmJnzgP0"",""'TP# look up'!A:C""),3,0),"""")"),"")</f>
        <v/>
      </c>
      <c r="AH1704" s="49">
        <f>LEFT(J1704,2)</f>
        <v/>
      </c>
    </row>
    <row r="1705" ht="12.75" customHeight="1">
      <c r="H1705" s="43" t="n"/>
      <c r="AG1705" s="49">
        <f>IFERROR(__xludf.DUMMYFUNCTION("IFNA(vlookup(H1705,IMPORTRANGE(""1vUGwO1n0QQGx9kKbO0_M5gmuhXZ6-LaxQxgrmJnzgP0"",""'TP# look up'!A:C""),3,0),"""")"),"")</f>
        <v/>
      </c>
      <c r="AH1705" s="49">
        <f>LEFT(J1705,2)</f>
        <v/>
      </c>
    </row>
    <row r="1706" ht="12.75" customHeight="1">
      <c r="H1706" s="43" t="n"/>
      <c r="AG1706" s="49">
        <f>IFERROR(__xludf.DUMMYFUNCTION("IFNA(vlookup(H1706,IMPORTRANGE(""1vUGwO1n0QQGx9kKbO0_M5gmuhXZ6-LaxQxgrmJnzgP0"",""'TP# look up'!A:C""),3,0),"""")"),"")</f>
        <v/>
      </c>
      <c r="AH1706" s="49">
        <f>LEFT(J1706,2)</f>
        <v/>
      </c>
    </row>
    <row r="1707" ht="12.75" customHeight="1">
      <c r="H1707" s="43" t="n"/>
      <c r="AG1707" s="49">
        <f>IFERROR(__xludf.DUMMYFUNCTION("IFNA(vlookup(H1707,IMPORTRANGE(""1vUGwO1n0QQGx9kKbO0_M5gmuhXZ6-LaxQxgrmJnzgP0"",""'TP# look up'!A:C""),3,0),"""")"),"")</f>
        <v/>
      </c>
      <c r="AH1707" s="49">
        <f>LEFT(J1707,2)</f>
        <v/>
      </c>
    </row>
    <row r="1708" ht="12.75" customHeight="1">
      <c r="H1708" s="43" t="n"/>
      <c r="AG1708" s="49">
        <f>IFERROR(__xludf.DUMMYFUNCTION("IFNA(vlookup(H1708,IMPORTRANGE(""1vUGwO1n0QQGx9kKbO0_M5gmuhXZ6-LaxQxgrmJnzgP0"",""'TP# look up'!A:C""),3,0),"""")"),"")</f>
        <v/>
      </c>
      <c r="AH1708" s="49">
        <f>LEFT(J1708,2)</f>
        <v/>
      </c>
    </row>
    <row r="1709" ht="12.75" customHeight="1">
      <c r="H1709" s="43" t="n"/>
      <c r="AG1709" s="49">
        <f>IFERROR(__xludf.DUMMYFUNCTION("IFNA(vlookup(H1709,IMPORTRANGE(""1vUGwO1n0QQGx9kKbO0_M5gmuhXZ6-LaxQxgrmJnzgP0"",""'TP# look up'!A:C""),3,0),"""")"),"")</f>
        <v/>
      </c>
      <c r="AH1709" s="49">
        <f>LEFT(J1709,2)</f>
        <v/>
      </c>
    </row>
    <row r="1710" ht="12.75" customHeight="1">
      <c r="H1710" s="43" t="n"/>
      <c r="AG1710" s="49">
        <f>IFERROR(__xludf.DUMMYFUNCTION("IFNA(vlookup(H1710,IMPORTRANGE(""1vUGwO1n0QQGx9kKbO0_M5gmuhXZ6-LaxQxgrmJnzgP0"",""'TP# look up'!A:C""),3,0),"""")"),"")</f>
        <v/>
      </c>
      <c r="AH1710" s="49">
        <f>LEFT(J1710,2)</f>
        <v/>
      </c>
    </row>
    <row r="1711" ht="12.75" customHeight="1">
      <c r="H1711" s="43" t="n"/>
      <c r="AG1711" s="49">
        <f>IFERROR(__xludf.DUMMYFUNCTION("IFNA(vlookup(H1711,IMPORTRANGE(""1vUGwO1n0QQGx9kKbO0_M5gmuhXZ6-LaxQxgrmJnzgP0"",""'TP# look up'!A:C""),3,0),"""")"),"")</f>
        <v/>
      </c>
      <c r="AH1711" s="49">
        <f>LEFT(J1711,2)</f>
        <v/>
      </c>
    </row>
    <row r="1712" ht="12.75" customHeight="1">
      <c r="H1712" s="43" t="n"/>
      <c r="AG1712" s="49">
        <f>IFERROR(__xludf.DUMMYFUNCTION("IFNA(vlookup(H1712,IMPORTRANGE(""1vUGwO1n0QQGx9kKbO0_M5gmuhXZ6-LaxQxgrmJnzgP0"",""'TP# look up'!A:C""),3,0),"""")"),"")</f>
        <v/>
      </c>
      <c r="AH1712" s="49">
        <f>LEFT(J1712,2)</f>
        <v/>
      </c>
    </row>
    <row r="1713" ht="12.75" customHeight="1">
      <c r="H1713" s="43" t="n"/>
      <c r="AG1713" s="49">
        <f>IFERROR(__xludf.DUMMYFUNCTION("IFNA(vlookup(H1713,IMPORTRANGE(""1vUGwO1n0QQGx9kKbO0_M5gmuhXZ6-LaxQxgrmJnzgP0"",""'TP# look up'!A:C""),3,0),"""")"),"")</f>
        <v/>
      </c>
      <c r="AH1713" s="49">
        <f>LEFT(J1713,2)</f>
        <v/>
      </c>
    </row>
    <row r="1714" ht="12.75" customHeight="1">
      <c r="H1714" s="43" t="n"/>
      <c r="AG1714" s="49">
        <f>IFERROR(__xludf.DUMMYFUNCTION("IFNA(vlookup(H1714,IMPORTRANGE(""1vUGwO1n0QQGx9kKbO0_M5gmuhXZ6-LaxQxgrmJnzgP0"",""'TP# look up'!A:C""),3,0),"""")"),"")</f>
        <v/>
      </c>
      <c r="AH1714" s="49">
        <f>LEFT(J1714,2)</f>
        <v/>
      </c>
    </row>
    <row r="1715" ht="12.75" customHeight="1">
      <c r="H1715" s="43" t="n"/>
      <c r="AG1715" s="49">
        <f>IFERROR(__xludf.DUMMYFUNCTION("IFNA(vlookup(H1715,IMPORTRANGE(""1vUGwO1n0QQGx9kKbO0_M5gmuhXZ6-LaxQxgrmJnzgP0"",""'TP# look up'!A:C""),3,0),"""")"),"")</f>
        <v/>
      </c>
      <c r="AH1715" s="49">
        <f>LEFT(J1715,2)</f>
        <v/>
      </c>
    </row>
    <row r="1716" ht="12.75" customHeight="1">
      <c r="H1716" s="43" t="n"/>
      <c r="AG1716" s="49">
        <f>IFERROR(__xludf.DUMMYFUNCTION("IFNA(vlookup(H1716,IMPORTRANGE(""1vUGwO1n0QQGx9kKbO0_M5gmuhXZ6-LaxQxgrmJnzgP0"",""'TP# look up'!A:C""),3,0),"""")"),"")</f>
        <v/>
      </c>
      <c r="AH1716" s="49">
        <f>LEFT(J1716,2)</f>
        <v/>
      </c>
    </row>
    <row r="1717" ht="12.75" customHeight="1">
      <c r="H1717" s="43" t="n"/>
      <c r="AG1717" s="49">
        <f>IFERROR(__xludf.DUMMYFUNCTION("IFNA(vlookup(H1717,IMPORTRANGE(""1vUGwO1n0QQGx9kKbO0_M5gmuhXZ6-LaxQxgrmJnzgP0"",""'TP# look up'!A:C""),3,0),"""")"),"")</f>
        <v/>
      </c>
      <c r="AH1717" s="49">
        <f>LEFT(J1717,2)</f>
        <v/>
      </c>
    </row>
    <row r="1718" ht="12.75" customHeight="1">
      <c r="H1718" s="43" t="n"/>
      <c r="AG1718" s="49">
        <f>IFERROR(__xludf.DUMMYFUNCTION("IFNA(vlookup(H1718,IMPORTRANGE(""1vUGwO1n0QQGx9kKbO0_M5gmuhXZ6-LaxQxgrmJnzgP0"",""'TP# look up'!A:C""),3,0),"""")"),"")</f>
        <v/>
      </c>
      <c r="AH1718" s="49">
        <f>LEFT(J1718,2)</f>
        <v/>
      </c>
    </row>
    <row r="1719" ht="12.75" customHeight="1">
      <c r="H1719" s="43" t="n"/>
      <c r="AG1719" s="49">
        <f>IFERROR(__xludf.DUMMYFUNCTION("IFNA(vlookup(H1719,IMPORTRANGE(""1vUGwO1n0QQGx9kKbO0_M5gmuhXZ6-LaxQxgrmJnzgP0"",""'TP# look up'!A:C""),3,0),"""")"),"")</f>
        <v/>
      </c>
      <c r="AH1719" s="49">
        <f>LEFT(J1719,2)</f>
        <v/>
      </c>
    </row>
    <row r="1720" ht="12.75" customHeight="1">
      <c r="H1720" s="43" t="n"/>
      <c r="AG1720" s="49">
        <f>IFERROR(__xludf.DUMMYFUNCTION("IFNA(vlookup(H1720,IMPORTRANGE(""1vUGwO1n0QQGx9kKbO0_M5gmuhXZ6-LaxQxgrmJnzgP0"",""'TP# look up'!A:C""),3,0),"""")"),"")</f>
        <v/>
      </c>
      <c r="AH1720" s="49">
        <f>LEFT(J1720,2)</f>
        <v/>
      </c>
    </row>
    <row r="1721" ht="12.75" customHeight="1">
      <c r="H1721" s="43" t="n"/>
      <c r="AG1721" s="49">
        <f>IFERROR(__xludf.DUMMYFUNCTION("IFNA(vlookup(H1721,IMPORTRANGE(""1vUGwO1n0QQGx9kKbO0_M5gmuhXZ6-LaxQxgrmJnzgP0"",""'TP# look up'!A:C""),3,0),"""")"),"")</f>
        <v/>
      </c>
      <c r="AH1721" s="49">
        <f>LEFT(J1721,2)</f>
        <v/>
      </c>
    </row>
    <row r="1722" ht="12.75" customHeight="1">
      <c r="H1722" s="43" t="n"/>
      <c r="AG1722" s="49">
        <f>IFERROR(__xludf.DUMMYFUNCTION("IFNA(vlookup(H1722,IMPORTRANGE(""1vUGwO1n0QQGx9kKbO0_M5gmuhXZ6-LaxQxgrmJnzgP0"",""'TP# look up'!A:C""),3,0),"""")"),"")</f>
        <v/>
      </c>
      <c r="AH1722" s="49">
        <f>LEFT(J1722,2)</f>
        <v/>
      </c>
    </row>
    <row r="1723" ht="12.75" customHeight="1">
      <c r="H1723" s="43" t="n"/>
      <c r="AG1723" s="49">
        <f>IFERROR(__xludf.DUMMYFUNCTION("IFNA(vlookup(H1723,IMPORTRANGE(""1vUGwO1n0QQGx9kKbO0_M5gmuhXZ6-LaxQxgrmJnzgP0"",""'TP# look up'!A:C""),3,0),"""")"),"")</f>
        <v/>
      </c>
      <c r="AH1723" s="49">
        <f>LEFT(J1723,2)</f>
        <v/>
      </c>
    </row>
    <row r="1724" ht="12.75" customHeight="1">
      <c r="H1724" s="43" t="n"/>
      <c r="AG1724" s="49">
        <f>IFERROR(__xludf.DUMMYFUNCTION("IFNA(vlookup(H1724,IMPORTRANGE(""1vUGwO1n0QQGx9kKbO0_M5gmuhXZ6-LaxQxgrmJnzgP0"",""'TP# look up'!A:C""),3,0),"""")"),"")</f>
        <v/>
      </c>
      <c r="AH1724" s="49">
        <f>LEFT(J1724,2)</f>
        <v/>
      </c>
    </row>
    <row r="1725" ht="12.75" customHeight="1">
      <c r="H1725" s="43" t="n"/>
      <c r="AG1725" s="49">
        <f>IFERROR(__xludf.DUMMYFUNCTION("IFNA(vlookup(H1725,IMPORTRANGE(""1vUGwO1n0QQGx9kKbO0_M5gmuhXZ6-LaxQxgrmJnzgP0"",""'TP# look up'!A:C""),3,0),"""")"),"")</f>
        <v/>
      </c>
      <c r="AH1725" s="49">
        <f>LEFT(J1725,2)</f>
        <v/>
      </c>
    </row>
    <row r="1726" ht="12.75" customHeight="1">
      <c r="H1726" s="43" t="n"/>
      <c r="AG1726" s="49">
        <f>IFERROR(__xludf.DUMMYFUNCTION("IFNA(vlookup(H1726,IMPORTRANGE(""1vUGwO1n0QQGx9kKbO0_M5gmuhXZ6-LaxQxgrmJnzgP0"",""'TP# look up'!A:C""),3,0),"""")"),"")</f>
        <v/>
      </c>
      <c r="AH1726" s="49">
        <f>LEFT(J1726,2)</f>
        <v/>
      </c>
    </row>
    <row r="1727" ht="12.75" customHeight="1">
      <c r="H1727" s="43" t="n"/>
      <c r="AG1727" s="49">
        <f>IFERROR(__xludf.DUMMYFUNCTION("IFNA(vlookup(H1727,IMPORTRANGE(""1vUGwO1n0QQGx9kKbO0_M5gmuhXZ6-LaxQxgrmJnzgP0"",""'TP# look up'!A:C""),3,0),"""")"),"")</f>
        <v/>
      </c>
      <c r="AH1727" s="49">
        <f>LEFT(J1727,2)</f>
        <v/>
      </c>
    </row>
    <row r="1728" ht="12.75" customHeight="1">
      <c r="H1728" s="43" t="n"/>
      <c r="AG1728" s="49">
        <f>IFERROR(__xludf.DUMMYFUNCTION("IFNA(vlookup(H1728,IMPORTRANGE(""1vUGwO1n0QQGx9kKbO0_M5gmuhXZ6-LaxQxgrmJnzgP0"",""'TP# look up'!A:C""),3,0),"""")"),"")</f>
        <v/>
      </c>
      <c r="AH1728" s="49">
        <f>LEFT(J1728,2)</f>
        <v/>
      </c>
    </row>
    <row r="1729" ht="12.75" customHeight="1">
      <c r="H1729" s="43" t="n"/>
      <c r="AG1729" s="49">
        <f>IFERROR(__xludf.DUMMYFUNCTION("IFNA(vlookup(H1729,IMPORTRANGE(""1vUGwO1n0QQGx9kKbO0_M5gmuhXZ6-LaxQxgrmJnzgP0"",""'TP# look up'!A:C""),3,0),"""")"),"")</f>
        <v/>
      </c>
      <c r="AH1729" s="49">
        <f>LEFT(J1729,2)</f>
        <v/>
      </c>
    </row>
    <row r="1730" ht="12.75" customHeight="1">
      <c r="H1730" s="43" t="n"/>
      <c r="AG1730" s="49">
        <f>IFERROR(__xludf.DUMMYFUNCTION("IFNA(vlookup(H1730,IMPORTRANGE(""1vUGwO1n0QQGx9kKbO0_M5gmuhXZ6-LaxQxgrmJnzgP0"",""'TP# look up'!A:C""),3,0),"""")"),"")</f>
        <v/>
      </c>
      <c r="AH1730" s="49">
        <f>LEFT(J1730,2)</f>
        <v/>
      </c>
    </row>
    <row r="1731" ht="12.75" customHeight="1">
      <c r="H1731" s="43" t="n"/>
      <c r="AG1731" s="49">
        <f>IFERROR(__xludf.DUMMYFUNCTION("IFNA(vlookup(H1731,IMPORTRANGE(""1vUGwO1n0QQGx9kKbO0_M5gmuhXZ6-LaxQxgrmJnzgP0"",""'TP# look up'!A:C""),3,0),"""")"),"")</f>
        <v/>
      </c>
      <c r="AH1731" s="49">
        <f>LEFT(J1731,2)</f>
        <v/>
      </c>
    </row>
    <row r="1732" ht="12.75" customHeight="1">
      <c r="H1732" s="43" t="n"/>
      <c r="AG1732" s="49">
        <f>IFERROR(__xludf.DUMMYFUNCTION("IFNA(vlookup(H1732,IMPORTRANGE(""1vUGwO1n0QQGx9kKbO0_M5gmuhXZ6-LaxQxgrmJnzgP0"",""'TP# look up'!A:C""),3,0),"""")"),"")</f>
        <v/>
      </c>
      <c r="AH1732" s="49">
        <f>LEFT(J1732,2)</f>
        <v/>
      </c>
    </row>
    <row r="1733" ht="12.75" customHeight="1">
      <c r="H1733" s="43" t="n"/>
      <c r="AG1733" s="49">
        <f>IFERROR(__xludf.DUMMYFUNCTION("IFNA(vlookup(H1733,IMPORTRANGE(""1vUGwO1n0QQGx9kKbO0_M5gmuhXZ6-LaxQxgrmJnzgP0"",""'TP# look up'!A:C""),3,0),"""")"),"")</f>
        <v/>
      </c>
      <c r="AH1733" s="49">
        <f>LEFT(J1733,2)</f>
        <v/>
      </c>
    </row>
    <row r="1734" ht="12.75" customHeight="1">
      <c r="H1734" s="43" t="n"/>
      <c r="AG1734" s="49">
        <f>IFERROR(__xludf.DUMMYFUNCTION("IFNA(vlookup(H1734,IMPORTRANGE(""1vUGwO1n0QQGx9kKbO0_M5gmuhXZ6-LaxQxgrmJnzgP0"",""'TP# look up'!A:C""),3,0),"""")"),"")</f>
        <v/>
      </c>
      <c r="AH1734" s="49">
        <f>LEFT(J1734,2)</f>
        <v/>
      </c>
    </row>
    <row r="1735" ht="12.75" customHeight="1">
      <c r="H1735" s="43" t="n"/>
      <c r="AG1735" s="49">
        <f>IFERROR(__xludf.DUMMYFUNCTION("IFNA(vlookup(H1735,IMPORTRANGE(""1vUGwO1n0QQGx9kKbO0_M5gmuhXZ6-LaxQxgrmJnzgP0"",""'TP# look up'!A:C""),3,0),"""")"),"")</f>
        <v/>
      </c>
      <c r="AH1735" s="49">
        <f>LEFT(J1735,2)</f>
        <v/>
      </c>
    </row>
    <row r="1736" ht="12.75" customHeight="1">
      <c r="H1736" s="43" t="n"/>
      <c r="AG1736" s="49">
        <f>IFERROR(__xludf.DUMMYFUNCTION("IFNA(vlookup(H1736,IMPORTRANGE(""1vUGwO1n0QQGx9kKbO0_M5gmuhXZ6-LaxQxgrmJnzgP0"",""'TP# look up'!A:C""),3,0),"""")"),"")</f>
        <v/>
      </c>
      <c r="AH1736" s="49">
        <f>LEFT(J1736,2)</f>
        <v/>
      </c>
    </row>
    <row r="1737" ht="12.75" customHeight="1">
      <c r="H1737" s="43" t="n"/>
      <c r="AG1737" s="49">
        <f>IFERROR(__xludf.DUMMYFUNCTION("IFNA(vlookup(H1737,IMPORTRANGE(""1vUGwO1n0QQGx9kKbO0_M5gmuhXZ6-LaxQxgrmJnzgP0"",""'TP# look up'!A:C""),3,0),"""")"),"")</f>
        <v/>
      </c>
      <c r="AH1737" s="49">
        <f>LEFT(J1737,2)</f>
        <v/>
      </c>
    </row>
    <row r="1738" ht="12.75" customHeight="1">
      <c r="H1738" s="43" t="n"/>
      <c r="AG1738" s="49">
        <f>IFERROR(__xludf.DUMMYFUNCTION("IFNA(vlookup(H1738,IMPORTRANGE(""1vUGwO1n0QQGx9kKbO0_M5gmuhXZ6-LaxQxgrmJnzgP0"",""'TP# look up'!A:C""),3,0),"""")"),"")</f>
        <v/>
      </c>
      <c r="AH1738" s="49">
        <f>LEFT(J1738,2)</f>
        <v/>
      </c>
    </row>
    <row r="1739" ht="12.75" customHeight="1">
      <c r="H1739" s="43" t="n"/>
      <c r="AG1739" s="49">
        <f>IFERROR(__xludf.DUMMYFUNCTION("IFNA(vlookup(H1739,IMPORTRANGE(""1vUGwO1n0QQGx9kKbO0_M5gmuhXZ6-LaxQxgrmJnzgP0"",""'TP# look up'!A:C""),3,0),"""")"),"")</f>
        <v/>
      </c>
      <c r="AH1739" s="49">
        <f>LEFT(J1739,2)</f>
        <v/>
      </c>
    </row>
    <row r="1740" ht="12.75" customHeight="1">
      <c r="H1740" s="43" t="n"/>
      <c r="AG1740" s="49">
        <f>IFERROR(__xludf.DUMMYFUNCTION("IFNA(vlookup(H1740,IMPORTRANGE(""1vUGwO1n0QQGx9kKbO0_M5gmuhXZ6-LaxQxgrmJnzgP0"",""'TP# look up'!A:C""),3,0),"""")"),"")</f>
        <v/>
      </c>
      <c r="AH1740" s="49">
        <f>LEFT(J1740,2)</f>
        <v/>
      </c>
    </row>
    <row r="1741" ht="12.75" customHeight="1">
      <c r="H1741" s="43" t="n"/>
      <c r="AG1741" s="49">
        <f>IFERROR(__xludf.DUMMYFUNCTION("IFNA(vlookup(H1741,IMPORTRANGE(""1vUGwO1n0QQGx9kKbO0_M5gmuhXZ6-LaxQxgrmJnzgP0"",""'TP# look up'!A:C""),3,0),"""")"),"")</f>
        <v/>
      </c>
      <c r="AH1741" s="49">
        <f>LEFT(J1741,2)</f>
        <v/>
      </c>
    </row>
    <row r="1742" ht="12.75" customHeight="1">
      <c r="H1742" s="43" t="n"/>
      <c r="AG1742" s="49">
        <f>IFERROR(__xludf.DUMMYFUNCTION("IFNA(vlookup(H1742,IMPORTRANGE(""1vUGwO1n0QQGx9kKbO0_M5gmuhXZ6-LaxQxgrmJnzgP0"",""'TP# look up'!A:C""),3,0),"""")"),"")</f>
        <v/>
      </c>
      <c r="AH1742" s="49">
        <f>LEFT(J1742,2)</f>
        <v/>
      </c>
    </row>
    <row r="1743" ht="12.75" customHeight="1">
      <c r="H1743" s="43" t="n"/>
      <c r="AG1743" s="49">
        <f>IFERROR(__xludf.DUMMYFUNCTION("IFNA(vlookup(H1743,IMPORTRANGE(""1vUGwO1n0QQGx9kKbO0_M5gmuhXZ6-LaxQxgrmJnzgP0"",""'TP# look up'!A:C""),3,0),"""")"),"")</f>
        <v/>
      </c>
      <c r="AH1743" s="49">
        <f>LEFT(J1743,2)</f>
        <v/>
      </c>
    </row>
    <row r="1744" ht="12.75" customHeight="1">
      <c r="H1744" s="43" t="n"/>
      <c r="AG1744" s="49">
        <f>IFERROR(__xludf.DUMMYFUNCTION("IFNA(vlookup(H1744,IMPORTRANGE(""1vUGwO1n0QQGx9kKbO0_M5gmuhXZ6-LaxQxgrmJnzgP0"",""'TP# look up'!A:C""),3,0),"""")"),"")</f>
        <v/>
      </c>
      <c r="AH1744" s="49">
        <f>LEFT(J1744,2)</f>
        <v/>
      </c>
    </row>
    <row r="1745" ht="12.75" customHeight="1">
      <c r="H1745" s="43" t="n"/>
      <c r="AG1745" s="49">
        <f>IFERROR(__xludf.DUMMYFUNCTION("IFNA(vlookup(H1745,IMPORTRANGE(""1vUGwO1n0QQGx9kKbO0_M5gmuhXZ6-LaxQxgrmJnzgP0"",""'TP# look up'!A:C""),3,0),"""")"),"")</f>
        <v/>
      </c>
      <c r="AH1745" s="49">
        <f>LEFT(J1745,2)</f>
        <v/>
      </c>
    </row>
    <row r="1746" ht="12.75" customHeight="1">
      <c r="H1746" s="43" t="n"/>
      <c r="AG1746" s="49">
        <f>IFERROR(__xludf.DUMMYFUNCTION("IFNA(vlookup(H1746,IMPORTRANGE(""1vUGwO1n0QQGx9kKbO0_M5gmuhXZ6-LaxQxgrmJnzgP0"",""'TP# look up'!A:C""),3,0),"""")"),"")</f>
        <v/>
      </c>
      <c r="AH1746" s="49">
        <f>LEFT(J1746,2)</f>
        <v/>
      </c>
    </row>
    <row r="1747" ht="12.75" customHeight="1">
      <c r="H1747" s="43" t="n"/>
      <c r="AG1747" s="49">
        <f>IFERROR(__xludf.DUMMYFUNCTION("IFNA(vlookup(H1747,IMPORTRANGE(""1vUGwO1n0QQGx9kKbO0_M5gmuhXZ6-LaxQxgrmJnzgP0"",""'TP# look up'!A:C""),3,0),"""")"),"")</f>
        <v/>
      </c>
      <c r="AH1747" s="49">
        <f>LEFT(J1747,2)</f>
        <v/>
      </c>
    </row>
    <row r="1748" ht="12.75" customHeight="1">
      <c r="H1748" s="43" t="n"/>
      <c r="AG1748" s="49">
        <f>IFERROR(__xludf.DUMMYFUNCTION("IFNA(vlookup(H1748,IMPORTRANGE(""1vUGwO1n0QQGx9kKbO0_M5gmuhXZ6-LaxQxgrmJnzgP0"",""'TP# look up'!A:C""),3,0),"""")"),"")</f>
        <v/>
      </c>
      <c r="AH1748" s="49">
        <f>LEFT(J1748,2)</f>
        <v/>
      </c>
    </row>
    <row r="1749" ht="12.75" customHeight="1">
      <c r="H1749" s="43" t="n"/>
      <c r="AG1749" s="49">
        <f>IFERROR(__xludf.DUMMYFUNCTION("IFNA(vlookup(H1749,IMPORTRANGE(""1vUGwO1n0QQGx9kKbO0_M5gmuhXZ6-LaxQxgrmJnzgP0"",""'TP# look up'!A:C""),3,0),"""")"),"")</f>
        <v/>
      </c>
      <c r="AH1749" s="49">
        <f>LEFT(J1749,2)</f>
        <v/>
      </c>
    </row>
    <row r="1750" ht="12.75" customHeight="1">
      <c r="H1750" s="43" t="n"/>
      <c r="AG1750" s="49">
        <f>IFERROR(__xludf.DUMMYFUNCTION("IFNA(vlookup(H1750,IMPORTRANGE(""1vUGwO1n0QQGx9kKbO0_M5gmuhXZ6-LaxQxgrmJnzgP0"",""'TP# look up'!A:C""),3,0),"""")"),"")</f>
        <v/>
      </c>
      <c r="AH1750" s="49">
        <f>LEFT(J1750,2)</f>
        <v/>
      </c>
    </row>
    <row r="1751" ht="12.75" customHeight="1">
      <c r="H1751" s="43" t="n"/>
      <c r="AG1751" s="49">
        <f>IFERROR(__xludf.DUMMYFUNCTION("IFNA(vlookup(H1751,IMPORTRANGE(""1vUGwO1n0QQGx9kKbO0_M5gmuhXZ6-LaxQxgrmJnzgP0"",""'TP# look up'!A:C""),3,0),"""")"),"")</f>
        <v/>
      </c>
      <c r="AH1751" s="49">
        <f>LEFT(J1751,2)</f>
        <v/>
      </c>
    </row>
    <row r="1752" ht="12.75" customHeight="1">
      <c r="H1752" s="43" t="n"/>
      <c r="AG1752" s="49">
        <f>IFERROR(__xludf.DUMMYFUNCTION("IFNA(vlookup(H1752,IMPORTRANGE(""1vUGwO1n0QQGx9kKbO0_M5gmuhXZ6-LaxQxgrmJnzgP0"",""'TP# look up'!A:C""),3,0),"""")"),"")</f>
        <v/>
      </c>
      <c r="AH1752" s="49">
        <f>LEFT(J1752,2)</f>
        <v/>
      </c>
    </row>
    <row r="1753" ht="12.75" customHeight="1">
      <c r="H1753" s="43" t="n"/>
      <c r="AG1753" s="49">
        <f>IFERROR(__xludf.DUMMYFUNCTION("IFNA(vlookup(H1753,IMPORTRANGE(""1vUGwO1n0QQGx9kKbO0_M5gmuhXZ6-LaxQxgrmJnzgP0"",""'TP# look up'!A:C""),3,0),"""")"),"")</f>
        <v/>
      </c>
      <c r="AH1753" s="49">
        <f>LEFT(J1753,2)</f>
        <v/>
      </c>
    </row>
    <row r="1754" ht="12.75" customHeight="1">
      <c r="H1754" s="43" t="n"/>
      <c r="AG1754" s="49">
        <f>IFERROR(__xludf.DUMMYFUNCTION("IFNA(vlookup(H1754,IMPORTRANGE(""1vUGwO1n0QQGx9kKbO0_M5gmuhXZ6-LaxQxgrmJnzgP0"",""'TP# look up'!A:C""),3,0),"""")"),"")</f>
        <v/>
      </c>
      <c r="AH1754" s="49">
        <f>LEFT(J1754,2)</f>
        <v/>
      </c>
    </row>
    <row r="1755" ht="12.75" customHeight="1">
      <c r="H1755" s="43" t="n"/>
      <c r="AG1755" s="49">
        <f>IFERROR(__xludf.DUMMYFUNCTION("IFNA(vlookup(H1755,IMPORTRANGE(""1vUGwO1n0QQGx9kKbO0_M5gmuhXZ6-LaxQxgrmJnzgP0"",""'TP# look up'!A:C""),3,0),"""")"),"")</f>
        <v/>
      </c>
      <c r="AH1755" s="49">
        <f>LEFT(J1755,2)</f>
        <v/>
      </c>
    </row>
    <row r="1756" ht="12.75" customHeight="1">
      <c r="H1756" s="43" t="n"/>
      <c r="AG1756" s="49">
        <f>IFERROR(__xludf.DUMMYFUNCTION("IFNA(vlookup(H1756,IMPORTRANGE(""1vUGwO1n0QQGx9kKbO0_M5gmuhXZ6-LaxQxgrmJnzgP0"",""'TP# look up'!A:C""),3,0),"""")"),"")</f>
        <v/>
      </c>
      <c r="AH1756" s="49">
        <f>LEFT(J1756,2)</f>
        <v/>
      </c>
    </row>
    <row r="1757" ht="12.75" customHeight="1">
      <c r="H1757" s="43" t="n"/>
      <c r="AG1757" s="49">
        <f>IFERROR(__xludf.DUMMYFUNCTION("IFNA(vlookup(H1757,IMPORTRANGE(""1vUGwO1n0QQGx9kKbO0_M5gmuhXZ6-LaxQxgrmJnzgP0"",""'TP# look up'!A:C""),3,0),"""")"),"")</f>
        <v/>
      </c>
      <c r="AH1757" s="49">
        <f>LEFT(J1757,2)</f>
        <v/>
      </c>
    </row>
    <row r="1758" ht="12.75" customHeight="1">
      <c r="H1758" s="43" t="n"/>
      <c r="AG1758" s="49">
        <f>IFERROR(__xludf.DUMMYFUNCTION("IFNA(vlookup(H1758,IMPORTRANGE(""1vUGwO1n0QQGx9kKbO0_M5gmuhXZ6-LaxQxgrmJnzgP0"",""'TP# look up'!A:C""),3,0),"""")"),"")</f>
        <v/>
      </c>
      <c r="AH1758" s="49">
        <f>LEFT(J1758,2)</f>
        <v/>
      </c>
    </row>
    <row r="1759" ht="12.75" customHeight="1">
      <c r="H1759" s="43" t="n"/>
      <c r="AG1759" s="49">
        <f>IFERROR(__xludf.DUMMYFUNCTION("IFNA(vlookup(H1759,IMPORTRANGE(""1vUGwO1n0QQGx9kKbO0_M5gmuhXZ6-LaxQxgrmJnzgP0"",""'TP# look up'!A:C""),3,0),"""")"),"")</f>
        <v/>
      </c>
      <c r="AH1759" s="49">
        <f>LEFT(J1759,2)</f>
        <v/>
      </c>
    </row>
    <row r="1760" ht="12.75" customHeight="1">
      <c r="H1760" s="43" t="n"/>
      <c r="AG1760" s="49">
        <f>IFERROR(__xludf.DUMMYFUNCTION("IFNA(vlookup(H1760,IMPORTRANGE(""1vUGwO1n0QQGx9kKbO0_M5gmuhXZ6-LaxQxgrmJnzgP0"",""'TP# look up'!A:C""),3,0),"""")"),"")</f>
        <v/>
      </c>
      <c r="AH1760" s="49">
        <f>LEFT(J1760,2)</f>
        <v/>
      </c>
    </row>
    <row r="1761" ht="12.75" customHeight="1">
      <c r="H1761" s="43" t="n"/>
      <c r="AG1761" s="49">
        <f>IFERROR(__xludf.DUMMYFUNCTION("IFNA(vlookup(H1761,IMPORTRANGE(""1vUGwO1n0QQGx9kKbO0_M5gmuhXZ6-LaxQxgrmJnzgP0"",""'TP# look up'!A:C""),3,0),"""")"),"")</f>
        <v/>
      </c>
      <c r="AH1761" s="49">
        <f>LEFT(J1761,2)</f>
        <v/>
      </c>
    </row>
    <row r="1762" ht="12.75" customHeight="1">
      <c r="H1762" s="43" t="n"/>
      <c r="AG1762" s="49">
        <f>IFERROR(__xludf.DUMMYFUNCTION("IFNA(vlookup(H1762,IMPORTRANGE(""1vUGwO1n0QQGx9kKbO0_M5gmuhXZ6-LaxQxgrmJnzgP0"",""'TP# look up'!A:C""),3,0),"""")"),"")</f>
        <v/>
      </c>
      <c r="AH1762" s="49">
        <f>LEFT(J1762,2)</f>
        <v/>
      </c>
    </row>
    <row r="1763" ht="12.75" customHeight="1">
      <c r="H1763" s="43" t="n"/>
      <c r="AG1763" s="49">
        <f>IFERROR(__xludf.DUMMYFUNCTION("IFNA(vlookup(H1763,IMPORTRANGE(""1vUGwO1n0QQGx9kKbO0_M5gmuhXZ6-LaxQxgrmJnzgP0"",""'TP# look up'!A:C""),3,0),"""")"),"")</f>
        <v/>
      </c>
      <c r="AH1763" s="49">
        <f>LEFT(J1763,2)</f>
        <v/>
      </c>
    </row>
    <row r="1764" ht="12.75" customHeight="1">
      <c r="H1764" s="43" t="n"/>
      <c r="AG1764" s="49">
        <f>IFERROR(__xludf.DUMMYFUNCTION("IFNA(vlookup(H1764,IMPORTRANGE(""1vUGwO1n0QQGx9kKbO0_M5gmuhXZ6-LaxQxgrmJnzgP0"",""'TP# look up'!A:C""),3,0),"""")"),"")</f>
        <v/>
      </c>
      <c r="AH1764" s="49">
        <f>LEFT(J1764,2)</f>
        <v/>
      </c>
    </row>
    <row r="1765" ht="12.75" customHeight="1">
      <c r="H1765" s="43" t="n"/>
      <c r="AG1765" s="49">
        <f>IFERROR(__xludf.DUMMYFUNCTION("IFNA(vlookup(H1765,IMPORTRANGE(""1vUGwO1n0QQGx9kKbO0_M5gmuhXZ6-LaxQxgrmJnzgP0"",""'TP# look up'!A:C""),3,0),"""")"),"")</f>
        <v/>
      </c>
      <c r="AH1765" s="49">
        <f>LEFT(J1765,2)</f>
        <v/>
      </c>
    </row>
    <row r="1766" ht="12.75" customHeight="1">
      <c r="H1766" s="43" t="n"/>
      <c r="AG1766" s="49">
        <f>IFERROR(__xludf.DUMMYFUNCTION("IFNA(vlookup(H1766,IMPORTRANGE(""1vUGwO1n0QQGx9kKbO0_M5gmuhXZ6-LaxQxgrmJnzgP0"",""'TP# look up'!A:C""),3,0),"""")"),"")</f>
        <v/>
      </c>
      <c r="AH1766" s="49">
        <f>LEFT(J1766,2)</f>
        <v/>
      </c>
    </row>
    <row r="1767" ht="12.75" customHeight="1">
      <c r="H1767" s="43" t="n"/>
      <c r="AG1767" s="49">
        <f>IFERROR(__xludf.DUMMYFUNCTION("IFNA(vlookup(H1767,IMPORTRANGE(""1vUGwO1n0QQGx9kKbO0_M5gmuhXZ6-LaxQxgrmJnzgP0"",""'TP# look up'!A:C""),3,0),"""")"),"")</f>
        <v/>
      </c>
      <c r="AH1767" s="49">
        <f>LEFT(J1767,2)</f>
        <v/>
      </c>
    </row>
    <row r="1768" ht="12.75" customHeight="1">
      <c r="H1768" s="43" t="n"/>
      <c r="AG1768" s="49">
        <f>IFERROR(__xludf.DUMMYFUNCTION("IFNA(vlookup(H1768,IMPORTRANGE(""1vUGwO1n0QQGx9kKbO0_M5gmuhXZ6-LaxQxgrmJnzgP0"",""'TP# look up'!A:C""),3,0),"""")"),"")</f>
        <v/>
      </c>
      <c r="AH1768" s="49">
        <f>LEFT(J1768,2)</f>
        <v/>
      </c>
    </row>
    <row r="1769" ht="12.75" customHeight="1">
      <c r="H1769" s="43" t="n"/>
      <c r="AG1769" s="49">
        <f>IFERROR(__xludf.DUMMYFUNCTION("IFNA(vlookup(H1769,IMPORTRANGE(""1vUGwO1n0QQGx9kKbO0_M5gmuhXZ6-LaxQxgrmJnzgP0"",""'TP# look up'!A:C""),3,0),"""")"),"")</f>
        <v/>
      </c>
      <c r="AH1769" s="49">
        <f>LEFT(J1769,2)</f>
        <v/>
      </c>
    </row>
    <row r="1770" ht="12.75" customHeight="1">
      <c r="H1770" s="43" t="n"/>
      <c r="AG1770" s="49">
        <f>IFERROR(__xludf.DUMMYFUNCTION("IFNA(vlookup(H1770,IMPORTRANGE(""1vUGwO1n0QQGx9kKbO0_M5gmuhXZ6-LaxQxgrmJnzgP0"",""'TP# look up'!A:C""),3,0),"""")"),"")</f>
        <v/>
      </c>
      <c r="AH1770" s="49">
        <f>LEFT(J1770,2)</f>
        <v/>
      </c>
    </row>
    <row r="1771" ht="12.75" customHeight="1">
      <c r="H1771" s="43" t="n"/>
      <c r="AG1771" s="49">
        <f>IFERROR(__xludf.DUMMYFUNCTION("IFNA(vlookup(H1771,IMPORTRANGE(""1vUGwO1n0QQGx9kKbO0_M5gmuhXZ6-LaxQxgrmJnzgP0"",""'TP# look up'!A:C""),3,0),"""")"),"")</f>
        <v/>
      </c>
      <c r="AH1771" s="49">
        <f>LEFT(J1771,2)</f>
        <v/>
      </c>
    </row>
    <row r="1772" ht="12.75" customHeight="1">
      <c r="H1772" s="43" t="n"/>
      <c r="AG1772" s="49">
        <f>IFERROR(__xludf.DUMMYFUNCTION("IFNA(vlookup(H1772,IMPORTRANGE(""1vUGwO1n0QQGx9kKbO0_M5gmuhXZ6-LaxQxgrmJnzgP0"",""'TP# look up'!A:C""),3,0),"""")"),"")</f>
        <v/>
      </c>
      <c r="AH1772" s="49">
        <f>LEFT(J1772,2)</f>
        <v/>
      </c>
    </row>
    <row r="1773" ht="12.75" customHeight="1">
      <c r="H1773" s="43" t="n"/>
      <c r="AG1773" s="49">
        <f>IFERROR(__xludf.DUMMYFUNCTION("IFNA(vlookup(H1773,IMPORTRANGE(""1vUGwO1n0QQGx9kKbO0_M5gmuhXZ6-LaxQxgrmJnzgP0"",""'TP# look up'!A:C""),3,0),"""")"),"")</f>
        <v/>
      </c>
      <c r="AH1773" s="49">
        <f>LEFT(J1773,2)</f>
        <v/>
      </c>
    </row>
    <row r="1774" ht="12.75" customHeight="1">
      <c r="H1774" s="43" t="n"/>
      <c r="AG1774" s="49">
        <f>IFERROR(__xludf.DUMMYFUNCTION("IFNA(vlookup(H1774,IMPORTRANGE(""1vUGwO1n0QQGx9kKbO0_M5gmuhXZ6-LaxQxgrmJnzgP0"",""'TP# look up'!A:C""),3,0),"""")"),"")</f>
        <v/>
      </c>
      <c r="AH1774" s="49">
        <f>LEFT(J1774,2)</f>
        <v/>
      </c>
    </row>
    <row r="1775" ht="12.75" customHeight="1">
      <c r="H1775" s="43" t="n"/>
      <c r="AG1775" s="49">
        <f>IFERROR(__xludf.DUMMYFUNCTION("IFNA(vlookup(H1775,IMPORTRANGE(""1vUGwO1n0QQGx9kKbO0_M5gmuhXZ6-LaxQxgrmJnzgP0"",""'TP# look up'!A:C""),3,0),"""")"),"")</f>
        <v/>
      </c>
      <c r="AH1775" s="49">
        <f>LEFT(J1775,2)</f>
        <v/>
      </c>
    </row>
    <row r="1776" ht="12.75" customHeight="1">
      <c r="H1776" s="43" t="n"/>
      <c r="AG1776" s="49">
        <f>IFERROR(__xludf.DUMMYFUNCTION("IFNA(vlookup(H1776,IMPORTRANGE(""1vUGwO1n0QQGx9kKbO0_M5gmuhXZ6-LaxQxgrmJnzgP0"",""'TP# look up'!A:C""),3,0),"""")"),"")</f>
        <v/>
      </c>
      <c r="AH1776" s="49">
        <f>LEFT(J1776,2)</f>
        <v/>
      </c>
    </row>
    <row r="1777" ht="12.75" customHeight="1">
      <c r="H1777" s="43" t="n"/>
      <c r="AG1777" s="49">
        <f>IFERROR(__xludf.DUMMYFUNCTION("IFNA(vlookup(H1777,IMPORTRANGE(""1vUGwO1n0QQGx9kKbO0_M5gmuhXZ6-LaxQxgrmJnzgP0"",""'TP# look up'!A:C""),3,0),"""")"),"")</f>
        <v/>
      </c>
      <c r="AH1777" s="49">
        <f>LEFT(J1777,2)</f>
        <v/>
      </c>
    </row>
    <row r="1778" ht="12.75" customHeight="1">
      <c r="H1778" s="43" t="n"/>
      <c r="AG1778" s="49">
        <f>IFERROR(__xludf.DUMMYFUNCTION("IFNA(vlookup(H1778,IMPORTRANGE(""1vUGwO1n0QQGx9kKbO0_M5gmuhXZ6-LaxQxgrmJnzgP0"",""'TP# look up'!A:C""),3,0),"""")"),"")</f>
        <v/>
      </c>
      <c r="AH1778" s="49">
        <f>LEFT(J1778,2)</f>
        <v/>
      </c>
    </row>
    <row r="1779" ht="12.75" customHeight="1">
      <c r="H1779" s="43" t="n"/>
      <c r="AG1779" s="49">
        <f>IFERROR(__xludf.DUMMYFUNCTION("IFNA(vlookup(H1779,IMPORTRANGE(""1vUGwO1n0QQGx9kKbO0_M5gmuhXZ6-LaxQxgrmJnzgP0"",""'TP# look up'!A:C""),3,0),"""")"),"")</f>
        <v/>
      </c>
      <c r="AH1779" s="49">
        <f>LEFT(J1779,2)</f>
        <v/>
      </c>
    </row>
    <row r="1780" ht="12.75" customHeight="1">
      <c r="H1780" s="43" t="n"/>
      <c r="AG1780" s="49">
        <f>IFERROR(__xludf.DUMMYFUNCTION("IFNA(vlookup(H1780,IMPORTRANGE(""1vUGwO1n0QQGx9kKbO0_M5gmuhXZ6-LaxQxgrmJnzgP0"",""'TP# look up'!A:C""),3,0),"""")"),"")</f>
        <v/>
      </c>
      <c r="AH1780" s="49">
        <f>LEFT(J1780,2)</f>
        <v/>
      </c>
    </row>
    <row r="1781" ht="12.75" customHeight="1">
      <c r="H1781" s="43" t="n"/>
      <c r="AG1781" s="49">
        <f>IFERROR(__xludf.DUMMYFUNCTION("IFNA(vlookup(H1781,IMPORTRANGE(""1vUGwO1n0QQGx9kKbO0_M5gmuhXZ6-LaxQxgrmJnzgP0"",""'TP# look up'!A:C""),3,0),"""")"),"")</f>
        <v/>
      </c>
      <c r="AH1781" s="49">
        <f>LEFT(J1781,2)</f>
        <v/>
      </c>
    </row>
    <row r="1782" ht="12.75" customHeight="1">
      <c r="H1782" s="43" t="n"/>
      <c r="AG1782" s="49">
        <f>IFERROR(__xludf.DUMMYFUNCTION("IFNA(vlookup(H1782,IMPORTRANGE(""1vUGwO1n0QQGx9kKbO0_M5gmuhXZ6-LaxQxgrmJnzgP0"",""'TP# look up'!A:C""),3,0),"""")"),"")</f>
        <v/>
      </c>
      <c r="AH1782" s="49">
        <f>LEFT(J1782,2)</f>
        <v/>
      </c>
    </row>
    <row r="1783" ht="12.75" customHeight="1">
      <c r="H1783" s="43" t="n"/>
      <c r="AG1783" s="49">
        <f>IFERROR(__xludf.DUMMYFUNCTION("IFNA(vlookup(H1783,IMPORTRANGE(""1vUGwO1n0QQGx9kKbO0_M5gmuhXZ6-LaxQxgrmJnzgP0"",""'TP# look up'!A:C""),3,0),"""")"),"")</f>
        <v/>
      </c>
      <c r="AH1783" s="49">
        <f>LEFT(J1783,2)</f>
        <v/>
      </c>
    </row>
    <row r="1784" ht="12.75" customHeight="1">
      <c r="H1784" s="43" t="n"/>
      <c r="AG1784" s="49">
        <f>IFERROR(__xludf.DUMMYFUNCTION("IFNA(vlookup(H1784,IMPORTRANGE(""1vUGwO1n0QQGx9kKbO0_M5gmuhXZ6-LaxQxgrmJnzgP0"",""'TP# look up'!A:C""),3,0),"""")"),"")</f>
        <v/>
      </c>
      <c r="AH1784" s="49">
        <f>LEFT(J1784,2)</f>
        <v/>
      </c>
    </row>
    <row r="1785" ht="12.75" customHeight="1">
      <c r="H1785" s="43" t="n"/>
      <c r="AG1785" s="49">
        <f>IFERROR(__xludf.DUMMYFUNCTION("IFNA(vlookup(H1785,IMPORTRANGE(""1vUGwO1n0QQGx9kKbO0_M5gmuhXZ6-LaxQxgrmJnzgP0"",""'TP# look up'!A:C""),3,0),"""")"),"")</f>
        <v/>
      </c>
      <c r="AH1785" s="49">
        <f>LEFT(J1785,2)</f>
        <v/>
      </c>
    </row>
    <row r="1786" ht="12.75" customHeight="1">
      <c r="H1786" s="43" t="n"/>
      <c r="AG1786" s="49">
        <f>IFERROR(__xludf.DUMMYFUNCTION("IFNA(vlookup(H1786,IMPORTRANGE(""1vUGwO1n0QQGx9kKbO0_M5gmuhXZ6-LaxQxgrmJnzgP0"",""'TP# look up'!A:C""),3,0),"""")"),"")</f>
        <v/>
      </c>
      <c r="AH1786" s="49">
        <f>LEFT(J1786,2)</f>
        <v/>
      </c>
    </row>
    <row r="1787" ht="12.75" customHeight="1">
      <c r="H1787" s="43" t="n"/>
      <c r="AG1787" s="49">
        <f>IFERROR(__xludf.DUMMYFUNCTION("IFNA(vlookup(H1787,IMPORTRANGE(""1vUGwO1n0QQGx9kKbO0_M5gmuhXZ6-LaxQxgrmJnzgP0"",""'TP# look up'!A:C""),3,0),"""")"),"")</f>
        <v/>
      </c>
      <c r="AH1787" s="49">
        <f>LEFT(J1787,2)</f>
        <v/>
      </c>
    </row>
    <row r="1788" ht="12.75" customHeight="1">
      <c r="H1788" s="43" t="n"/>
      <c r="AG1788" s="49">
        <f>IFERROR(__xludf.DUMMYFUNCTION("IFNA(vlookup(H1788,IMPORTRANGE(""1vUGwO1n0QQGx9kKbO0_M5gmuhXZ6-LaxQxgrmJnzgP0"",""'TP# look up'!A:C""),3,0),"""")"),"")</f>
        <v/>
      </c>
      <c r="AH1788" s="49">
        <f>LEFT(J1788,2)</f>
        <v/>
      </c>
    </row>
    <row r="1789" ht="12.75" customHeight="1">
      <c r="H1789" s="43" t="n"/>
      <c r="AG1789" s="49">
        <f>IFERROR(__xludf.DUMMYFUNCTION("IFNA(vlookup(H1789,IMPORTRANGE(""1vUGwO1n0QQGx9kKbO0_M5gmuhXZ6-LaxQxgrmJnzgP0"",""'TP# look up'!A:C""),3,0),"""")"),"")</f>
        <v/>
      </c>
      <c r="AH1789" s="49">
        <f>LEFT(J1789,2)</f>
        <v/>
      </c>
    </row>
    <row r="1790" ht="12.75" customHeight="1">
      <c r="H1790" s="43" t="n"/>
      <c r="AG1790" s="49">
        <f>IFERROR(__xludf.DUMMYFUNCTION("IFNA(vlookup(H1790,IMPORTRANGE(""1vUGwO1n0QQGx9kKbO0_M5gmuhXZ6-LaxQxgrmJnzgP0"",""'TP# look up'!A:C""),3,0),"""")"),"")</f>
        <v/>
      </c>
      <c r="AH1790" s="49">
        <f>LEFT(J1790,2)</f>
        <v/>
      </c>
    </row>
    <row r="1791" ht="12.75" customHeight="1">
      <c r="H1791" s="43" t="n"/>
      <c r="AG1791" s="49">
        <f>IFERROR(__xludf.DUMMYFUNCTION("IFNA(vlookup(H1791,IMPORTRANGE(""1vUGwO1n0QQGx9kKbO0_M5gmuhXZ6-LaxQxgrmJnzgP0"",""'TP# look up'!A:C""),3,0),"""")"),"")</f>
        <v/>
      </c>
      <c r="AH1791" s="49">
        <f>LEFT(J1791,2)</f>
        <v/>
      </c>
    </row>
    <row r="1792" ht="12.75" customHeight="1">
      <c r="H1792" s="43" t="n"/>
      <c r="AG1792" s="49">
        <f>IFERROR(__xludf.DUMMYFUNCTION("IFNA(vlookup(H1792,IMPORTRANGE(""1vUGwO1n0QQGx9kKbO0_M5gmuhXZ6-LaxQxgrmJnzgP0"",""'TP# look up'!A:C""),3,0),"""")"),"")</f>
        <v/>
      </c>
      <c r="AH1792" s="49">
        <f>LEFT(J1792,2)</f>
        <v/>
      </c>
    </row>
    <row r="1793" ht="12.75" customHeight="1">
      <c r="H1793" s="43" t="n"/>
      <c r="AG1793" s="49">
        <f>IFERROR(__xludf.DUMMYFUNCTION("IFNA(vlookup(H1793,IMPORTRANGE(""1vUGwO1n0QQGx9kKbO0_M5gmuhXZ6-LaxQxgrmJnzgP0"",""'TP# look up'!A:C""),3,0),"""")"),"")</f>
        <v/>
      </c>
      <c r="AH1793" s="49">
        <f>LEFT(J1793,2)</f>
        <v/>
      </c>
    </row>
    <row r="1794" ht="12.75" customHeight="1">
      <c r="H1794" s="43" t="n"/>
      <c r="AG1794" s="49">
        <f>IFERROR(__xludf.DUMMYFUNCTION("IFNA(vlookup(H1794,IMPORTRANGE(""1vUGwO1n0QQGx9kKbO0_M5gmuhXZ6-LaxQxgrmJnzgP0"",""'TP# look up'!A:C""),3,0),"""")"),"")</f>
        <v/>
      </c>
      <c r="AH1794" s="49">
        <f>LEFT(J1794,2)</f>
        <v/>
      </c>
    </row>
    <row r="1795" ht="12.75" customHeight="1">
      <c r="H1795" s="43" t="n"/>
      <c r="AG1795" s="49">
        <f>IFERROR(__xludf.DUMMYFUNCTION("IFNA(vlookup(H1795,IMPORTRANGE(""1vUGwO1n0QQGx9kKbO0_M5gmuhXZ6-LaxQxgrmJnzgP0"",""'TP# look up'!A:C""),3,0),"""")"),"")</f>
        <v/>
      </c>
      <c r="AH1795" s="49">
        <f>LEFT(J1795,2)</f>
        <v/>
      </c>
    </row>
    <row r="1796" ht="12.75" customHeight="1">
      <c r="H1796" s="43" t="n"/>
      <c r="AG1796" s="49">
        <f>IFERROR(__xludf.DUMMYFUNCTION("IFNA(vlookup(H1796,IMPORTRANGE(""1vUGwO1n0QQGx9kKbO0_M5gmuhXZ6-LaxQxgrmJnzgP0"",""'TP# look up'!A:C""),3,0),"""")"),"")</f>
        <v/>
      </c>
      <c r="AH1796" s="49">
        <f>LEFT(J1796,2)</f>
        <v/>
      </c>
    </row>
    <row r="1797" ht="12.75" customHeight="1">
      <c r="H1797" s="43" t="n"/>
      <c r="AG1797" s="49">
        <f>IFERROR(__xludf.DUMMYFUNCTION("IFNA(vlookup(H1797,IMPORTRANGE(""1vUGwO1n0QQGx9kKbO0_M5gmuhXZ6-LaxQxgrmJnzgP0"",""'TP# look up'!A:C""),3,0),"""")"),"")</f>
        <v/>
      </c>
      <c r="AH1797" s="49">
        <f>LEFT(J1797,2)</f>
        <v/>
      </c>
    </row>
    <row r="1798" ht="12.75" customHeight="1">
      <c r="H1798" s="43" t="n"/>
      <c r="AG1798" s="49">
        <f>IFERROR(__xludf.DUMMYFUNCTION("IFNA(vlookup(H1798,IMPORTRANGE(""1vUGwO1n0QQGx9kKbO0_M5gmuhXZ6-LaxQxgrmJnzgP0"",""'TP# look up'!A:C""),3,0),"""")"),"")</f>
        <v/>
      </c>
      <c r="AH1798" s="49">
        <f>LEFT(J1798,2)</f>
        <v/>
      </c>
    </row>
    <row r="1799" ht="12.75" customHeight="1">
      <c r="H1799" s="43" t="n"/>
      <c r="AG1799" s="49">
        <f>IFERROR(__xludf.DUMMYFUNCTION("IFNA(vlookup(H1799,IMPORTRANGE(""1vUGwO1n0QQGx9kKbO0_M5gmuhXZ6-LaxQxgrmJnzgP0"",""'TP# look up'!A:C""),3,0),"""")"),"")</f>
        <v/>
      </c>
      <c r="AH1799" s="49">
        <f>LEFT(J1799,2)</f>
        <v/>
      </c>
    </row>
    <row r="1800" ht="12.75" customHeight="1">
      <c r="H1800" s="43" t="n"/>
      <c r="AG1800" s="49">
        <f>IFERROR(__xludf.DUMMYFUNCTION("IFNA(vlookup(H1800,IMPORTRANGE(""1vUGwO1n0QQGx9kKbO0_M5gmuhXZ6-LaxQxgrmJnzgP0"",""'TP# look up'!A:C""),3,0),"""")"),"")</f>
        <v/>
      </c>
      <c r="AH1800" s="49">
        <f>LEFT(J1800,2)</f>
        <v/>
      </c>
    </row>
    <row r="1801" ht="12.75" customHeight="1">
      <c r="H1801" s="43" t="n"/>
      <c r="AG1801" s="49">
        <f>IFERROR(__xludf.DUMMYFUNCTION("IFNA(vlookup(H1801,IMPORTRANGE(""1vUGwO1n0QQGx9kKbO0_M5gmuhXZ6-LaxQxgrmJnzgP0"",""'TP# look up'!A:C""),3,0),"""")"),"")</f>
        <v/>
      </c>
      <c r="AH1801" s="49">
        <f>LEFT(J1801,2)</f>
        <v/>
      </c>
    </row>
    <row r="1802" ht="12.75" customHeight="1">
      <c r="H1802" s="43" t="n"/>
      <c r="AG1802" s="49">
        <f>IFERROR(__xludf.DUMMYFUNCTION("IFNA(vlookup(H1802,IMPORTRANGE(""1vUGwO1n0QQGx9kKbO0_M5gmuhXZ6-LaxQxgrmJnzgP0"",""'TP# look up'!A:C""),3,0),"""")"),"")</f>
        <v/>
      </c>
      <c r="AH1802" s="49">
        <f>LEFT(J1802,2)</f>
        <v/>
      </c>
    </row>
    <row r="1803" ht="12.75" customHeight="1">
      <c r="H1803" s="43" t="n"/>
      <c r="AG1803" s="49">
        <f>IFERROR(__xludf.DUMMYFUNCTION("IFNA(vlookup(H1803,IMPORTRANGE(""1vUGwO1n0QQGx9kKbO0_M5gmuhXZ6-LaxQxgrmJnzgP0"",""'TP# look up'!A:C""),3,0),"""")"),"")</f>
        <v/>
      </c>
      <c r="AH1803" s="49">
        <f>LEFT(J1803,2)</f>
        <v/>
      </c>
    </row>
    <row r="1804" ht="12.75" customHeight="1">
      <c r="H1804" s="43" t="n"/>
      <c r="AG1804" s="49">
        <f>IFERROR(__xludf.DUMMYFUNCTION("IFNA(vlookup(H1804,IMPORTRANGE(""1vUGwO1n0QQGx9kKbO0_M5gmuhXZ6-LaxQxgrmJnzgP0"",""'TP# look up'!A:C""),3,0),"""")"),"")</f>
        <v/>
      </c>
      <c r="AH1804" s="49">
        <f>LEFT(J1804,2)</f>
        <v/>
      </c>
    </row>
    <row r="1805" ht="12.75" customHeight="1">
      <c r="H1805" s="43" t="n"/>
      <c r="AG1805" s="49">
        <f>IFERROR(__xludf.DUMMYFUNCTION("IFNA(vlookup(H1805,IMPORTRANGE(""1vUGwO1n0QQGx9kKbO0_M5gmuhXZ6-LaxQxgrmJnzgP0"",""'TP# look up'!A:C""),3,0),"""")"),"")</f>
        <v/>
      </c>
      <c r="AH1805" s="49">
        <f>LEFT(J1805,2)</f>
        <v/>
      </c>
    </row>
    <row r="1806" ht="12.75" customHeight="1">
      <c r="H1806" s="43" t="n"/>
      <c r="AG1806" s="49">
        <f>IFERROR(__xludf.DUMMYFUNCTION("IFNA(vlookup(H1806,IMPORTRANGE(""1vUGwO1n0QQGx9kKbO0_M5gmuhXZ6-LaxQxgrmJnzgP0"",""'TP# look up'!A:C""),3,0),"""")"),"")</f>
        <v/>
      </c>
      <c r="AH1806" s="49">
        <f>LEFT(J1806,2)</f>
        <v/>
      </c>
    </row>
    <row r="1807" ht="12.75" customHeight="1">
      <c r="H1807" s="43" t="n"/>
      <c r="AG1807" s="49">
        <f>IFERROR(__xludf.DUMMYFUNCTION("IFNA(vlookup(H1807,IMPORTRANGE(""1vUGwO1n0QQGx9kKbO0_M5gmuhXZ6-LaxQxgrmJnzgP0"",""'TP# look up'!A:C""),3,0),"""")"),"")</f>
        <v/>
      </c>
      <c r="AH1807" s="49">
        <f>LEFT(J1807,2)</f>
        <v/>
      </c>
    </row>
    <row r="1808" ht="12.75" customHeight="1">
      <c r="H1808" s="43" t="n"/>
      <c r="AG1808" s="49">
        <f>IFERROR(__xludf.DUMMYFUNCTION("IFNA(vlookup(H1808,IMPORTRANGE(""1vUGwO1n0QQGx9kKbO0_M5gmuhXZ6-LaxQxgrmJnzgP0"",""'TP# look up'!A:C""),3,0),"""")"),"")</f>
        <v/>
      </c>
      <c r="AH1808" s="49">
        <f>LEFT(J1808,2)</f>
        <v/>
      </c>
    </row>
    <row r="1809" ht="12.75" customHeight="1">
      <c r="H1809" s="43" t="n"/>
      <c r="AG1809" s="49">
        <f>IFERROR(__xludf.DUMMYFUNCTION("IFNA(vlookup(H1809,IMPORTRANGE(""1vUGwO1n0QQGx9kKbO0_M5gmuhXZ6-LaxQxgrmJnzgP0"",""'TP# look up'!A:C""),3,0),"""")"),"")</f>
        <v/>
      </c>
      <c r="AH1809" s="49">
        <f>LEFT(J1809,2)</f>
        <v/>
      </c>
    </row>
    <row r="1810" ht="12.75" customHeight="1">
      <c r="H1810" s="43" t="n"/>
      <c r="AG1810" s="49">
        <f>IFERROR(__xludf.DUMMYFUNCTION("IFNA(vlookup(H1810,IMPORTRANGE(""1vUGwO1n0QQGx9kKbO0_M5gmuhXZ6-LaxQxgrmJnzgP0"",""'TP# look up'!A:C""),3,0),"""")"),"")</f>
        <v/>
      </c>
      <c r="AH1810" s="49">
        <f>LEFT(J1810,2)</f>
        <v/>
      </c>
    </row>
    <row r="1811" ht="12.75" customHeight="1">
      <c r="H1811" s="43" t="n"/>
      <c r="AG1811" s="49">
        <f>IFERROR(__xludf.DUMMYFUNCTION("IFNA(vlookup(H1811,IMPORTRANGE(""1vUGwO1n0QQGx9kKbO0_M5gmuhXZ6-LaxQxgrmJnzgP0"",""'TP# look up'!A:C""),3,0),"""")"),"")</f>
        <v/>
      </c>
      <c r="AH1811" s="49">
        <f>LEFT(J1811,2)</f>
        <v/>
      </c>
    </row>
    <row r="1812" ht="12.75" customHeight="1">
      <c r="H1812" s="43" t="n"/>
      <c r="AG1812" s="49">
        <f>IFERROR(__xludf.DUMMYFUNCTION("IFNA(vlookup(H1812,IMPORTRANGE(""1vUGwO1n0QQGx9kKbO0_M5gmuhXZ6-LaxQxgrmJnzgP0"",""'TP# look up'!A:C""),3,0),"""")"),"")</f>
        <v/>
      </c>
      <c r="AH1812" s="49">
        <f>LEFT(J1812,2)</f>
        <v/>
      </c>
    </row>
    <row r="1813" ht="12.75" customHeight="1">
      <c r="H1813" s="43" t="n"/>
      <c r="AG1813" s="49">
        <f>IFERROR(__xludf.DUMMYFUNCTION("IFNA(vlookup(H1813,IMPORTRANGE(""1vUGwO1n0QQGx9kKbO0_M5gmuhXZ6-LaxQxgrmJnzgP0"",""'TP# look up'!A:C""),3,0),"""")"),"")</f>
        <v/>
      </c>
      <c r="AH1813" s="49">
        <f>LEFT(J1813,2)</f>
        <v/>
      </c>
    </row>
    <row r="1814" ht="12.75" customHeight="1">
      <c r="H1814" s="43" t="n"/>
      <c r="AG1814" s="49">
        <f>IFERROR(__xludf.DUMMYFUNCTION("IFNA(vlookup(H1814,IMPORTRANGE(""1vUGwO1n0QQGx9kKbO0_M5gmuhXZ6-LaxQxgrmJnzgP0"",""'TP# look up'!A:C""),3,0),"""")"),"")</f>
        <v/>
      </c>
      <c r="AH1814" s="49">
        <f>LEFT(J1814,2)</f>
        <v/>
      </c>
    </row>
    <row r="1815" ht="12.75" customHeight="1">
      <c r="H1815" s="43" t="n"/>
      <c r="AG1815" s="49">
        <f>IFERROR(__xludf.DUMMYFUNCTION("IFNA(vlookup(H1815,IMPORTRANGE(""1vUGwO1n0QQGx9kKbO0_M5gmuhXZ6-LaxQxgrmJnzgP0"",""'TP# look up'!A:C""),3,0),"""")"),"")</f>
        <v/>
      </c>
      <c r="AH1815" s="49">
        <f>LEFT(J1815,2)</f>
        <v/>
      </c>
    </row>
    <row r="1816" ht="12.75" customHeight="1">
      <c r="H1816" s="43" t="n"/>
      <c r="AG1816" s="49">
        <f>IFERROR(__xludf.DUMMYFUNCTION("IFNA(vlookup(H1816,IMPORTRANGE(""1vUGwO1n0QQGx9kKbO0_M5gmuhXZ6-LaxQxgrmJnzgP0"",""'TP# look up'!A:C""),3,0),"""")"),"")</f>
        <v/>
      </c>
      <c r="AH1816" s="49">
        <f>LEFT(J1816,2)</f>
        <v/>
      </c>
    </row>
    <row r="1817" ht="12.75" customHeight="1">
      <c r="H1817" s="43" t="n"/>
      <c r="AG1817" s="49">
        <f>IFERROR(__xludf.DUMMYFUNCTION("IFNA(vlookup(H1817,IMPORTRANGE(""1vUGwO1n0QQGx9kKbO0_M5gmuhXZ6-LaxQxgrmJnzgP0"",""'TP# look up'!A:C""),3,0),"""")"),"")</f>
        <v/>
      </c>
      <c r="AH1817" s="49">
        <f>LEFT(J1817,2)</f>
        <v/>
      </c>
    </row>
    <row r="1818" ht="12.75" customHeight="1">
      <c r="H1818" s="43" t="n"/>
      <c r="AG1818" s="49">
        <f>IFERROR(__xludf.DUMMYFUNCTION("IFNA(vlookup(H1818,IMPORTRANGE(""1vUGwO1n0QQGx9kKbO0_M5gmuhXZ6-LaxQxgrmJnzgP0"",""'TP# look up'!A:C""),3,0),"""")"),"")</f>
        <v/>
      </c>
      <c r="AH1818" s="49">
        <f>LEFT(J1818,2)</f>
        <v/>
      </c>
    </row>
    <row r="1819" ht="12.75" customHeight="1">
      <c r="H1819" s="43" t="n"/>
      <c r="AG1819" s="49">
        <f>IFERROR(__xludf.DUMMYFUNCTION("IFNA(vlookup(H1819,IMPORTRANGE(""1vUGwO1n0QQGx9kKbO0_M5gmuhXZ6-LaxQxgrmJnzgP0"",""'TP# look up'!A:C""),3,0),"""")"),"")</f>
        <v/>
      </c>
      <c r="AH1819" s="49">
        <f>LEFT(J1819,2)</f>
        <v/>
      </c>
    </row>
    <row r="1820" ht="12.75" customHeight="1">
      <c r="H1820" s="43" t="n"/>
      <c r="AG1820" s="49">
        <f>IFERROR(__xludf.DUMMYFUNCTION("IFNA(vlookup(H1820,IMPORTRANGE(""1vUGwO1n0QQGx9kKbO0_M5gmuhXZ6-LaxQxgrmJnzgP0"",""'TP# look up'!A:C""),3,0),"""")"),"")</f>
        <v/>
      </c>
      <c r="AH1820" s="49">
        <f>LEFT(J1820,2)</f>
        <v/>
      </c>
    </row>
    <row r="1821" ht="12.75" customHeight="1">
      <c r="H1821" s="43" t="n"/>
      <c r="AG1821" s="49">
        <f>IFERROR(__xludf.DUMMYFUNCTION("IFNA(vlookup(H1821,IMPORTRANGE(""1vUGwO1n0QQGx9kKbO0_M5gmuhXZ6-LaxQxgrmJnzgP0"",""'TP# look up'!A:C""),3,0),"""")"),"")</f>
        <v/>
      </c>
      <c r="AH1821" s="49">
        <f>LEFT(J1821,2)</f>
        <v/>
      </c>
    </row>
    <row r="1822" ht="12.75" customHeight="1">
      <c r="H1822" s="43" t="n"/>
      <c r="AG1822" s="49">
        <f>IFERROR(__xludf.DUMMYFUNCTION("IFNA(vlookup(H1822,IMPORTRANGE(""1vUGwO1n0QQGx9kKbO0_M5gmuhXZ6-LaxQxgrmJnzgP0"",""'TP# look up'!A:C""),3,0),"""")"),"")</f>
        <v/>
      </c>
      <c r="AH1822" s="49">
        <f>LEFT(J1822,2)</f>
        <v/>
      </c>
    </row>
    <row r="1823" ht="12.75" customHeight="1">
      <c r="H1823" s="43" t="n"/>
      <c r="AG1823" s="49">
        <f>IFERROR(__xludf.DUMMYFUNCTION("IFNA(vlookup(H1823,IMPORTRANGE(""1vUGwO1n0QQGx9kKbO0_M5gmuhXZ6-LaxQxgrmJnzgP0"",""'TP# look up'!A:C""),3,0),"""")"),"")</f>
        <v/>
      </c>
      <c r="AH1823" s="49">
        <f>LEFT(J1823,2)</f>
        <v/>
      </c>
    </row>
    <row r="1824" ht="12.75" customHeight="1">
      <c r="H1824" s="43" t="n"/>
      <c r="AG1824" s="49">
        <f>IFERROR(__xludf.DUMMYFUNCTION("IFNA(vlookup(H1824,IMPORTRANGE(""1vUGwO1n0QQGx9kKbO0_M5gmuhXZ6-LaxQxgrmJnzgP0"",""'TP# look up'!A:C""),3,0),"""")"),"")</f>
        <v/>
      </c>
      <c r="AH1824" s="49">
        <f>LEFT(J1824,2)</f>
        <v/>
      </c>
    </row>
    <row r="1825" ht="12.75" customHeight="1">
      <c r="H1825" s="43" t="n"/>
      <c r="AG1825" s="49">
        <f>IFERROR(__xludf.DUMMYFUNCTION("IFNA(vlookup(H1825,IMPORTRANGE(""1vUGwO1n0QQGx9kKbO0_M5gmuhXZ6-LaxQxgrmJnzgP0"",""'TP# look up'!A:C""),3,0),"""")"),"")</f>
        <v/>
      </c>
      <c r="AH1825" s="49">
        <f>LEFT(J1825,2)</f>
        <v/>
      </c>
    </row>
    <row r="1826" ht="12.75" customHeight="1">
      <c r="H1826" s="43" t="n"/>
      <c r="AG1826" s="49">
        <f>IFERROR(__xludf.DUMMYFUNCTION("IFNA(vlookup(H1826,IMPORTRANGE(""1vUGwO1n0QQGx9kKbO0_M5gmuhXZ6-LaxQxgrmJnzgP0"",""'TP# look up'!A:C""),3,0),"""")"),"")</f>
        <v/>
      </c>
      <c r="AH1826" s="49">
        <f>LEFT(J1826,2)</f>
        <v/>
      </c>
    </row>
    <row r="1827" ht="12.75" customHeight="1">
      <c r="H1827" s="43" t="n"/>
      <c r="AG1827" s="49">
        <f>IFERROR(__xludf.DUMMYFUNCTION("IFNA(vlookup(H1827,IMPORTRANGE(""1vUGwO1n0QQGx9kKbO0_M5gmuhXZ6-LaxQxgrmJnzgP0"",""'TP# look up'!A:C""),3,0),"""")"),"")</f>
        <v/>
      </c>
      <c r="AH1827" s="49">
        <f>LEFT(J1827,2)</f>
        <v/>
      </c>
    </row>
    <row r="1828" ht="12.75" customHeight="1">
      <c r="H1828" s="43" t="n"/>
      <c r="AG1828" s="49">
        <f>IFERROR(__xludf.DUMMYFUNCTION("IFNA(vlookup(H1828,IMPORTRANGE(""1vUGwO1n0QQGx9kKbO0_M5gmuhXZ6-LaxQxgrmJnzgP0"",""'TP# look up'!A:C""),3,0),"""")"),"")</f>
        <v/>
      </c>
      <c r="AH1828" s="49">
        <f>LEFT(J1828,2)</f>
        <v/>
      </c>
    </row>
    <row r="1829" ht="12.75" customHeight="1">
      <c r="H1829" s="43" t="n"/>
      <c r="AG1829" s="49">
        <f>IFERROR(__xludf.DUMMYFUNCTION("IFNA(vlookup(H1829,IMPORTRANGE(""1vUGwO1n0QQGx9kKbO0_M5gmuhXZ6-LaxQxgrmJnzgP0"",""'TP# look up'!A:C""),3,0),"""")"),"")</f>
        <v/>
      </c>
      <c r="AH1829" s="49">
        <f>LEFT(J1829,2)</f>
        <v/>
      </c>
    </row>
    <row r="1830" ht="12.75" customHeight="1">
      <c r="H1830" s="43" t="n"/>
      <c r="AG1830" s="49">
        <f>IFERROR(__xludf.DUMMYFUNCTION("IFNA(vlookup(H1830,IMPORTRANGE(""1vUGwO1n0QQGx9kKbO0_M5gmuhXZ6-LaxQxgrmJnzgP0"",""'TP# look up'!A:C""),3,0),"""")"),"")</f>
        <v/>
      </c>
      <c r="AH1830" s="49">
        <f>LEFT(J1830,2)</f>
        <v/>
      </c>
    </row>
    <row r="1831" ht="12.75" customHeight="1">
      <c r="H1831" s="43" t="n"/>
      <c r="AG1831" s="49">
        <f>IFERROR(__xludf.DUMMYFUNCTION("IFNA(vlookup(H1831,IMPORTRANGE(""1vUGwO1n0QQGx9kKbO0_M5gmuhXZ6-LaxQxgrmJnzgP0"",""'TP# look up'!A:C""),3,0),"""")"),"")</f>
        <v/>
      </c>
      <c r="AH1831" s="49">
        <f>LEFT(J1831,2)</f>
        <v/>
      </c>
    </row>
    <row r="1832" ht="12.75" customHeight="1">
      <c r="H1832" s="43" t="n"/>
      <c r="AG1832" s="49">
        <f>IFERROR(__xludf.DUMMYFUNCTION("IFNA(vlookup(H1832,IMPORTRANGE(""1vUGwO1n0QQGx9kKbO0_M5gmuhXZ6-LaxQxgrmJnzgP0"",""'TP# look up'!A:C""),3,0),"""")"),"")</f>
        <v/>
      </c>
      <c r="AH1832" s="49">
        <f>LEFT(J1832,2)</f>
        <v/>
      </c>
    </row>
    <row r="1833" ht="12.75" customHeight="1">
      <c r="H1833" s="43" t="n"/>
      <c r="AG1833" s="49">
        <f>IFERROR(__xludf.DUMMYFUNCTION("IFNA(vlookup(H1833,IMPORTRANGE(""1vUGwO1n0QQGx9kKbO0_M5gmuhXZ6-LaxQxgrmJnzgP0"",""'TP# look up'!A:C""),3,0),"""")"),"")</f>
        <v/>
      </c>
      <c r="AH1833" s="49">
        <f>LEFT(J1833,2)</f>
        <v/>
      </c>
    </row>
    <row r="1834" ht="12.75" customHeight="1">
      <c r="H1834" s="43" t="n"/>
      <c r="AG1834" s="49">
        <f>IFERROR(__xludf.DUMMYFUNCTION("IFNA(vlookup(H1834,IMPORTRANGE(""1vUGwO1n0QQGx9kKbO0_M5gmuhXZ6-LaxQxgrmJnzgP0"",""'TP# look up'!A:C""),3,0),"""")"),"")</f>
        <v/>
      </c>
      <c r="AH1834" s="49">
        <f>LEFT(J1834,2)</f>
        <v/>
      </c>
    </row>
    <row r="1835" ht="12.75" customHeight="1">
      <c r="H1835" s="43" t="n"/>
      <c r="AG1835" s="49">
        <f>IFERROR(__xludf.DUMMYFUNCTION("IFNA(vlookup(H1835,IMPORTRANGE(""1vUGwO1n0QQGx9kKbO0_M5gmuhXZ6-LaxQxgrmJnzgP0"",""'TP# look up'!A:C""),3,0),"""")"),"")</f>
        <v/>
      </c>
      <c r="AH1835" s="49">
        <f>LEFT(J1835,2)</f>
        <v/>
      </c>
    </row>
    <row r="1836" ht="12.75" customHeight="1">
      <c r="H1836" s="43" t="n"/>
      <c r="AG1836" s="49">
        <f>IFERROR(__xludf.DUMMYFUNCTION("IFNA(vlookup(H1836,IMPORTRANGE(""1vUGwO1n0QQGx9kKbO0_M5gmuhXZ6-LaxQxgrmJnzgP0"",""'TP# look up'!A:C""),3,0),"""")"),"")</f>
        <v/>
      </c>
      <c r="AH1836" s="49">
        <f>LEFT(J1836,2)</f>
        <v/>
      </c>
    </row>
    <row r="1837" ht="12.75" customHeight="1">
      <c r="H1837" s="43" t="n"/>
      <c r="AG1837" s="49">
        <f>IFERROR(__xludf.DUMMYFUNCTION("IFNA(vlookup(H1837,IMPORTRANGE(""1vUGwO1n0QQGx9kKbO0_M5gmuhXZ6-LaxQxgrmJnzgP0"",""'TP# look up'!A:C""),3,0),"""")"),"")</f>
        <v/>
      </c>
      <c r="AH1837" s="49">
        <f>LEFT(J1837,2)</f>
        <v/>
      </c>
    </row>
    <row r="1838" ht="12.75" customHeight="1">
      <c r="H1838" s="43" t="n"/>
      <c r="AG1838" s="49">
        <f>IFERROR(__xludf.DUMMYFUNCTION("IFNA(vlookup(H1838,IMPORTRANGE(""1vUGwO1n0QQGx9kKbO0_M5gmuhXZ6-LaxQxgrmJnzgP0"",""'TP# look up'!A:C""),3,0),"""")"),"")</f>
        <v/>
      </c>
      <c r="AH1838" s="49">
        <f>LEFT(J1838,2)</f>
        <v/>
      </c>
    </row>
    <row r="1839" ht="12.75" customHeight="1">
      <c r="H1839" s="43" t="n"/>
      <c r="AG1839" s="49">
        <f>IFERROR(__xludf.DUMMYFUNCTION("IFNA(vlookup(H1839,IMPORTRANGE(""1vUGwO1n0QQGx9kKbO0_M5gmuhXZ6-LaxQxgrmJnzgP0"",""'TP# look up'!A:C""),3,0),"""")"),"")</f>
        <v/>
      </c>
      <c r="AH1839" s="49">
        <f>LEFT(J1839,2)</f>
        <v/>
      </c>
    </row>
    <row r="1840" ht="12.75" customHeight="1">
      <c r="H1840" s="43" t="n"/>
      <c r="AG1840" s="49">
        <f>IFERROR(__xludf.DUMMYFUNCTION("IFNA(vlookup(H1840,IMPORTRANGE(""1vUGwO1n0QQGx9kKbO0_M5gmuhXZ6-LaxQxgrmJnzgP0"",""'TP# look up'!A:C""),3,0),"""")"),"")</f>
        <v/>
      </c>
      <c r="AH1840" s="49">
        <f>LEFT(J1840,2)</f>
        <v/>
      </c>
    </row>
    <row r="1841" ht="12.75" customHeight="1">
      <c r="H1841" s="43" t="n"/>
      <c r="AG1841" s="49">
        <f>IFERROR(__xludf.DUMMYFUNCTION("IFNA(vlookup(H1841,IMPORTRANGE(""1vUGwO1n0QQGx9kKbO0_M5gmuhXZ6-LaxQxgrmJnzgP0"",""'TP# look up'!A:C""),3,0),"""")"),"")</f>
        <v/>
      </c>
      <c r="AH1841" s="49">
        <f>LEFT(J1841,2)</f>
        <v/>
      </c>
    </row>
    <row r="1842" ht="12.75" customHeight="1">
      <c r="H1842" s="43" t="n"/>
      <c r="AG1842" s="49">
        <f>IFERROR(__xludf.DUMMYFUNCTION("IFNA(vlookup(H1842,IMPORTRANGE(""1vUGwO1n0QQGx9kKbO0_M5gmuhXZ6-LaxQxgrmJnzgP0"",""'TP# look up'!A:C""),3,0),"""")"),"")</f>
        <v/>
      </c>
      <c r="AH1842" s="49">
        <f>LEFT(J1842,2)</f>
        <v/>
      </c>
    </row>
    <row r="1843" ht="12.75" customHeight="1">
      <c r="H1843" s="43" t="n"/>
      <c r="AG1843" s="49">
        <f>IFERROR(__xludf.DUMMYFUNCTION("IFNA(vlookup(H1843,IMPORTRANGE(""1vUGwO1n0QQGx9kKbO0_M5gmuhXZ6-LaxQxgrmJnzgP0"",""'TP# look up'!A:C""),3,0),"""")"),"")</f>
        <v/>
      </c>
      <c r="AH1843" s="49">
        <f>LEFT(J1843,2)</f>
        <v/>
      </c>
    </row>
    <row r="1844" ht="12.75" customHeight="1">
      <c r="H1844" s="43" t="n"/>
      <c r="AG1844" s="49">
        <f>IFERROR(__xludf.DUMMYFUNCTION("IFNA(vlookup(H1844,IMPORTRANGE(""1vUGwO1n0QQGx9kKbO0_M5gmuhXZ6-LaxQxgrmJnzgP0"",""'TP# look up'!A:C""),3,0),"""")"),"")</f>
        <v/>
      </c>
      <c r="AH1844" s="49">
        <f>LEFT(J1844,2)</f>
        <v/>
      </c>
    </row>
    <row r="1845" ht="12.75" customHeight="1">
      <c r="H1845" s="43" t="n"/>
      <c r="AG1845" s="49">
        <f>IFERROR(__xludf.DUMMYFUNCTION("IFNA(vlookup(H1845,IMPORTRANGE(""1vUGwO1n0QQGx9kKbO0_M5gmuhXZ6-LaxQxgrmJnzgP0"",""'TP# look up'!A:C""),3,0),"""")"),"")</f>
        <v/>
      </c>
      <c r="AH1845" s="49">
        <f>LEFT(J1845,2)</f>
        <v/>
      </c>
    </row>
    <row r="1846" ht="12.75" customHeight="1">
      <c r="H1846" s="43" t="n"/>
      <c r="AG1846" s="49">
        <f>IFERROR(__xludf.DUMMYFUNCTION("IFNA(vlookup(H1846,IMPORTRANGE(""1vUGwO1n0QQGx9kKbO0_M5gmuhXZ6-LaxQxgrmJnzgP0"",""'TP# look up'!A:C""),3,0),"""")"),"")</f>
        <v/>
      </c>
      <c r="AH1846" s="49">
        <f>LEFT(J1846,2)</f>
        <v/>
      </c>
    </row>
    <row r="1847" ht="12.75" customHeight="1">
      <c r="H1847" s="43" t="n"/>
      <c r="AG1847" s="49">
        <f>IFERROR(__xludf.DUMMYFUNCTION("IFNA(vlookup(H1847,IMPORTRANGE(""1vUGwO1n0QQGx9kKbO0_M5gmuhXZ6-LaxQxgrmJnzgP0"",""'TP# look up'!A:C""),3,0),"""")"),"")</f>
        <v/>
      </c>
      <c r="AH1847" s="49">
        <f>LEFT(J1847,2)</f>
        <v/>
      </c>
    </row>
    <row r="1848" ht="12.75" customHeight="1">
      <c r="H1848" s="43" t="n"/>
      <c r="AG1848" s="49">
        <f>IFERROR(__xludf.DUMMYFUNCTION("IFNA(vlookup(H1848,IMPORTRANGE(""1vUGwO1n0QQGx9kKbO0_M5gmuhXZ6-LaxQxgrmJnzgP0"",""'TP# look up'!A:C""),3,0),"""")"),"")</f>
        <v/>
      </c>
      <c r="AH1848" s="49">
        <f>LEFT(J1848,2)</f>
        <v/>
      </c>
    </row>
    <row r="1849" ht="12.75" customHeight="1">
      <c r="H1849" s="43" t="n"/>
      <c r="AG1849" s="49">
        <f>IFERROR(__xludf.DUMMYFUNCTION("IFNA(vlookup(H1849,IMPORTRANGE(""1vUGwO1n0QQGx9kKbO0_M5gmuhXZ6-LaxQxgrmJnzgP0"",""'TP# look up'!A:C""),3,0),"""")"),"")</f>
        <v/>
      </c>
      <c r="AH1849" s="49">
        <f>LEFT(J1849,2)</f>
        <v/>
      </c>
    </row>
    <row r="1850" ht="12.75" customHeight="1">
      <c r="H1850" s="43" t="n"/>
      <c r="AG1850" s="49">
        <f>IFERROR(__xludf.DUMMYFUNCTION("IFNA(vlookup(H1850,IMPORTRANGE(""1vUGwO1n0QQGx9kKbO0_M5gmuhXZ6-LaxQxgrmJnzgP0"",""'TP# look up'!A:C""),3,0),"""")"),"")</f>
        <v/>
      </c>
      <c r="AH1850" s="49">
        <f>LEFT(J1850,2)</f>
        <v/>
      </c>
    </row>
    <row r="1851" ht="12.75" customHeight="1">
      <c r="H1851" s="43" t="n"/>
      <c r="AG1851" s="49">
        <f>IFERROR(__xludf.DUMMYFUNCTION("IFNA(vlookup(H1851,IMPORTRANGE(""1vUGwO1n0QQGx9kKbO0_M5gmuhXZ6-LaxQxgrmJnzgP0"",""'TP# look up'!A:C""),3,0),"""")"),"")</f>
        <v/>
      </c>
      <c r="AH1851" s="49">
        <f>LEFT(J1851,2)</f>
        <v/>
      </c>
    </row>
    <row r="1852" ht="12.75" customHeight="1">
      <c r="H1852" s="43" t="n"/>
      <c r="AG1852" s="49">
        <f>IFERROR(__xludf.DUMMYFUNCTION("IFNA(vlookup(H1852,IMPORTRANGE(""1vUGwO1n0QQGx9kKbO0_M5gmuhXZ6-LaxQxgrmJnzgP0"",""'TP# look up'!A:C""),3,0),"""")"),"")</f>
        <v/>
      </c>
      <c r="AH1852" s="49">
        <f>LEFT(J1852,2)</f>
        <v/>
      </c>
    </row>
    <row r="1853" ht="12.75" customHeight="1">
      <c r="H1853" s="43" t="n"/>
      <c r="AG1853" s="49">
        <f>IFERROR(__xludf.DUMMYFUNCTION("IFNA(vlookup(H1853,IMPORTRANGE(""1vUGwO1n0QQGx9kKbO0_M5gmuhXZ6-LaxQxgrmJnzgP0"",""'TP# look up'!A:C""),3,0),"""")"),"")</f>
        <v/>
      </c>
      <c r="AH1853" s="49">
        <f>LEFT(J1853,2)</f>
        <v/>
      </c>
    </row>
    <row r="1854" ht="12.75" customHeight="1">
      <c r="H1854" s="43" t="n"/>
      <c r="AG1854" s="49">
        <f>IFERROR(__xludf.DUMMYFUNCTION("IFNA(vlookup(H1854,IMPORTRANGE(""1vUGwO1n0QQGx9kKbO0_M5gmuhXZ6-LaxQxgrmJnzgP0"",""'TP# look up'!A:C""),3,0),"""")"),"")</f>
        <v/>
      </c>
      <c r="AH1854" s="49">
        <f>LEFT(J1854,2)</f>
        <v/>
      </c>
    </row>
    <row r="1855" ht="12.75" customHeight="1">
      <c r="H1855" s="43" t="n"/>
      <c r="AG1855" s="49">
        <f>IFERROR(__xludf.DUMMYFUNCTION("IFNA(vlookup(H1855,IMPORTRANGE(""1vUGwO1n0QQGx9kKbO0_M5gmuhXZ6-LaxQxgrmJnzgP0"",""'TP# look up'!A:C""),3,0),"""")"),"")</f>
        <v/>
      </c>
      <c r="AH1855" s="49">
        <f>LEFT(J1855,2)</f>
        <v/>
      </c>
    </row>
    <row r="1856" ht="12.75" customHeight="1">
      <c r="H1856" s="43" t="n"/>
      <c r="AG1856" s="49">
        <f>IFERROR(__xludf.DUMMYFUNCTION("IFNA(vlookup(H1856,IMPORTRANGE(""1vUGwO1n0QQGx9kKbO0_M5gmuhXZ6-LaxQxgrmJnzgP0"",""'TP# look up'!A:C""),3,0),"""")"),"")</f>
        <v/>
      </c>
      <c r="AH1856" s="49">
        <f>LEFT(J1856,2)</f>
        <v/>
      </c>
    </row>
    <row r="1857" ht="12.75" customHeight="1">
      <c r="H1857" s="43" t="n"/>
      <c r="AG1857" s="49">
        <f>IFERROR(__xludf.DUMMYFUNCTION("IFNA(vlookup(H1857,IMPORTRANGE(""1vUGwO1n0QQGx9kKbO0_M5gmuhXZ6-LaxQxgrmJnzgP0"",""'TP# look up'!A:C""),3,0),"""")"),"")</f>
        <v/>
      </c>
      <c r="AH1857" s="49">
        <f>LEFT(J1857,2)</f>
        <v/>
      </c>
    </row>
    <row r="1858" ht="12.75" customHeight="1">
      <c r="H1858" s="43" t="n"/>
      <c r="AG1858" s="49">
        <f>IFERROR(__xludf.DUMMYFUNCTION("IFNA(vlookup(H1858,IMPORTRANGE(""1vUGwO1n0QQGx9kKbO0_M5gmuhXZ6-LaxQxgrmJnzgP0"",""'TP# look up'!A:C""),3,0),"""")"),"")</f>
        <v/>
      </c>
      <c r="AH1858" s="49">
        <f>LEFT(J1858,2)</f>
        <v/>
      </c>
    </row>
    <row r="1859" ht="12.75" customHeight="1">
      <c r="H1859" s="43" t="n"/>
      <c r="AG1859" s="49">
        <f>IFERROR(__xludf.DUMMYFUNCTION("IFNA(vlookup(H1859,IMPORTRANGE(""1vUGwO1n0QQGx9kKbO0_M5gmuhXZ6-LaxQxgrmJnzgP0"",""'TP# look up'!A:C""),3,0),"""")"),"")</f>
        <v/>
      </c>
      <c r="AH1859" s="49">
        <f>LEFT(J1859,2)</f>
        <v/>
      </c>
    </row>
    <row r="1860" ht="12.75" customHeight="1">
      <c r="H1860" s="43" t="n"/>
      <c r="AG1860" s="49">
        <f>IFERROR(__xludf.DUMMYFUNCTION("IFNA(vlookup(H1860,IMPORTRANGE(""1vUGwO1n0QQGx9kKbO0_M5gmuhXZ6-LaxQxgrmJnzgP0"",""'TP# look up'!A:C""),3,0),"""")"),"")</f>
        <v/>
      </c>
      <c r="AH1860" s="49">
        <f>LEFT(J1860,2)</f>
        <v/>
      </c>
    </row>
    <row r="1861" ht="12.75" customHeight="1">
      <c r="H1861" s="43" t="n"/>
      <c r="AG1861" s="49">
        <f>IFERROR(__xludf.DUMMYFUNCTION("IFNA(vlookup(H1861,IMPORTRANGE(""1vUGwO1n0QQGx9kKbO0_M5gmuhXZ6-LaxQxgrmJnzgP0"",""'TP# look up'!A:C""),3,0),"""")"),"")</f>
        <v/>
      </c>
      <c r="AH1861" s="49">
        <f>LEFT(J1861,2)</f>
        <v/>
      </c>
    </row>
    <row r="1862" ht="12.75" customHeight="1">
      <c r="H1862" s="43" t="n"/>
      <c r="AG1862" s="49">
        <f>IFERROR(__xludf.DUMMYFUNCTION("IFNA(vlookup(H1862,IMPORTRANGE(""1vUGwO1n0QQGx9kKbO0_M5gmuhXZ6-LaxQxgrmJnzgP0"",""'TP# look up'!A:C""),3,0),"""")"),"")</f>
        <v/>
      </c>
      <c r="AH1862" s="49">
        <f>LEFT(J1862,2)</f>
        <v/>
      </c>
    </row>
    <row r="1863" ht="12.75" customHeight="1">
      <c r="H1863" s="43" t="n"/>
      <c r="AG1863" s="49">
        <f>IFERROR(__xludf.DUMMYFUNCTION("IFNA(vlookup(H1863,IMPORTRANGE(""1vUGwO1n0QQGx9kKbO0_M5gmuhXZ6-LaxQxgrmJnzgP0"",""'TP# look up'!A:C""),3,0),"""")"),"")</f>
        <v/>
      </c>
      <c r="AH1863" s="49">
        <f>LEFT(J1863,2)</f>
        <v/>
      </c>
    </row>
    <row r="1864" ht="12.75" customHeight="1">
      <c r="H1864" s="43" t="n"/>
      <c r="AG1864" s="49">
        <f>IFERROR(__xludf.DUMMYFUNCTION("IFNA(vlookup(H1864,IMPORTRANGE(""1vUGwO1n0QQGx9kKbO0_M5gmuhXZ6-LaxQxgrmJnzgP0"",""'TP# look up'!A:C""),3,0),"""")"),"")</f>
        <v/>
      </c>
      <c r="AH1864" s="49">
        <f>LEFT(J1864,2)</f>
        <v/>
      </c>
    </row>
    <row r="1865" ht="12.75" customHeight="1">
      <c r="H1865" s="43" t="n"/>
      <c r="AG1865" s="49">
        <f>IFERROR(__xludf.DUMMYFUNCTION("IFNA(vlookup(H1865,IMPORTRANGE(""1vUGwO1n0QQGx9kKbO0_M5gmuhXZ6-LaxQxgrmJnzgP0"",""'TP# look up'!A:C""),3,0),"""")"),"")</f>
        <v/>
      </c>
      <c r="AH1865" s="49">
        <f>LEFT(J1865,2)</f>
        <v/>
      </c>
    </row>
    <row r="1866" ht="12.75" customHeight="1">
      <c r="H1866" s="43" t="n"/>
      <c r="AG1866" s="49">
        <f>IFERROR(__xludf.DUMMYFUNCTION("IFNA(vlookup(H1866,IMPORTRANGE(""1vUGwO1n0QQGx9kKbO0_M5gmuhXZ6-LaxQxgrmJnzgP0"",""'TP# look up'!A:C""),3,0),"""")"),"")</f>
        <v/>
      </c>
      <c r="AH1866" s="49">
        <f>LEFT(J1866,2)</f>
        <v/>
      </c>
    </row>
    <row r="1867" ht="12.75" customHeight="1">
      <c r="H1867" s="43" t="n"/>
      <c r="AG1867" s="49">
        <f>IFERROR(__xludf.DUMMYFUNCTION("IFNA(vlookup(H1867,IMPORTRANGE(""1vUGwO1n0QQGx9kKbO0_M5gmuhXZ6-LaxQxgrmJnzgP0"",""'TP# look up'!A:C""),3,0),"""")"),"")</f>
        <v/>
      </c>
      <c r="AH1867" s="49">
        <f>LEFT(J1867,2)</f>
        <v/>
      </c>
    </row>
    <row r="1868" ht="12.75" customHeight="1">
      <c r="H1868" s="43" t="n"/>
      <c r="AG1868" s="49">
        <f>IFERROR(__xludf.DUMMYFUNCTION("IFNA(vlookup(H1868,IMPORTRANGE(""1vUGwO1n0QQGx9kKbO0_M5gmuhXZ6-LaxQxgrmJnzgP0"",""'TP# look up'!A:C""),3,0),"""")"),"")</f>
        <v/>
      </c>
      <c r="AH1868" s="49">
        <f>LEFT(J1868,2)</f>
        <v/>
      </c>
    </row>
    <row r="1869" ht="12.75" customHeight="1">
      <c r="H1869" s="43" t="n"/>
      <c r="AG1869" s="49">
        <f>IFERROR(__xludf.DUMMYFUNCTION("IFNA(vlookup(H1869,IMPORTRANGE(""1vUGwO1n0QQGx9kKbO0_M5gmuhXZ6-LaxQxgrmJnzgP0"",""'TP# look up'!A:C""),3,0),"""")"),"")</f>
        <v/>
      </c>
      <c r="AH1869" s="49">
        <f>LEFT(J1869,2)</f>
        <v/>
      </c>
    </row>
    <row r="1870" ht="12.75" customHeight="1">
      <c r="H1870" s="43" t="n"/>
      <c r="AG1870" s="49">
        <f>IFERROR(__xludf.DUMMYFUNCTION("IFNA(vlookup(H1870,IMPORTRANGE(""1vUGwO1n0QQGx9kKbO0_M5gmuhXZ6-LaxQxgrmJnzgP0"",""'TP# look up'!A:C""),3,0),"""")"),"")</f>
        <v/>
      </c>
      <c r="AH1870" s="49">
        <f>LEFT(J1870,2)</f>
        <v/>
      </c>
    </row>
    <row r="1871" ht="12.75" customHeight="1">
      <c r="H1871" s="43" t="n"/>
      <c r="AG1871" s="49">
        <f>IFERROR(__xludf.DUMMYFUNCTION("IFNA(vlookup(H1871,IMPORTRANGE(""1vUGwO1n0QQGx9kKbO0_M5gmuhXZ6-LaxQxgrmJnzgP0"",""'TP# look up'!A:C""),3,0),"""")"),"")</f>
        <v/>
      </c>
      <c r="AH1871" s="49">
        <f>LEFT(J1871,2)</f>
        <v/>
      </c>
    </row>
    <row r="1872" ht="12.75" customHeight="1">
      <c r="H1872" s="43" t="n"/>
      <c r="AG1872" s="49">
        <f>IFERROR(__xludf.DUMMYFUNCTION("IFNA(vlookup(H1872,IMPORTRANGE(""1vUGwO1n0QQGx9kKbO0_M5gmuhXZ6-LaxQxgrmJnzgP0"",""'TP# look up'!A:C""),3,0),"""")"),"")</f>
        <v/>
      </c>
      <c r="AH1872" s="49">
        <f>LEFT(J1872,2)</f>
        <v/>
      </c>
    </row>
    <row r="1873" ht="12.75" customHeight="1">
      <c r="H1873" s="43" t="n"/>
      <c r="AG1873" s="49">
        <f>IFERROR(__xludf.DUMMYFUNCTION("IFNA(vlookup(H1873,IMPORTRANGE(""1vUGwO1n0QQGx9kKbO0_M5gmuhXZ6-LaxQxgrmJnzgP0"",""'TP# look up'!A:C""),3,0),"""")"),"")</f>
        <v/>
      </c>
      <c r="AH1873" s="49">
        <f>LEFT(J1873,2)</f>
        <v/>
      </c>
    </row>
    <row r="1874" ht="12.75" customHeight="1">
      <c r="H1874" s="43" t="n"/>
      <c r="AG1874" s="49">
        <f>IFERROR(__xludf.DUMMYFUNCTION("IFNA(vlookup(H1874,IMPORTRANGE(""1vUGwO1n0QQGx9kKbO0_M5gmuhXZ6-LaxQxgrmJnzgP0"",""'TP# look up'!A:C""),3,0),"""")"),"")</f>
        <v/>
      </c>
      <c r="AH1874" s="49">
        <f>LEFT(J1874,2)</f>
        <v/>
      </c>
    </row>
    <row r="1875" ht="12.75" customHeight="1">
      <c r="H1875" s="43" t="n"/>
      <c r="AG1875" s="49">
        <f>IFERROR(__xludf.DUMMYFUNCTION("IFNA(vlookup(H1875,IMPORTRANGE(""1vUGwO1n0QQGx9kKbO0_M5gmuhXZ6-LaxQxgrmJnzgP0"",""'TP# look up'!A:C""),3,0),"""")"),"")</f>
        <v/>
      </c>
      <c r="AH1875" s="49">
        <f>LEFT(J1875,2)</f>
        <v/>
      </c>
    </row>
    <row r="1876" ht="12.75" customHeight="1">
      <c r="H1876" s="43" t="n"/>
      <c r="AG1876" s="49">
        <f>IFERROR(__xludf.DUMMYFUNCTION("IFNA(vlookup(H1876,IMPORTRANGE(""1vUGwO1n0QQGx9kKbO0_M5gmuhXZ6-LaxQxgrmJnzgP0"",""'TP# look up'!A:C""),3,0),"""")"),"")</f>
        <v/>
      </c>
      <c r="AH1876" s="49">
        <f>LEFT(J1876,2)</f>
        <v/>
      </c>
    </row>
    <row r="1877" ht="12.75" customHeight="1">
      <c r="H1877" s="43" t="n"/>
      <c r="AG1877" s="49">
        <f>IFERROR(__xludf.DUMMYFUNCTION("IFNA(vlookup(H1877,IMPORTRANGE(""1vUGwO1n0QQGx9kKbO0_M5gmuhXZ6-LaxQxgrmJnzgP0"",""'TP# look up'!A:C""),3,0),"""")"),"")</f>
        <v/>
      </c>
      <c r="AH1877" s="49">
        <f>LEFT(J1877,2)</f>
        <v/>
      </c>
    </row>
    <row r="1878" ht="12.75" customHeight="1">
      <c r="H1878" s="43" t="n"/>
      <c r="AG1878" s="49">
        <f>IFERROR(__xludf.DUMMYFUNCTION("IFNA(vlookup(H1878,IMPORTRANGE(""1vUGwO1n0QQGx9kKbO0_M5gmuhXZ6-LaxQxgrmJnzgP0"",""'TP# look up'!A:C""),3,0),"""")"),"")</f>
        <v/>
      </c>
      <c r="AH1878" s="49">
        <f>LEFT(J1878,2)</f>
        <v/>
      </c>
    </row>
    <row r="1879" ht="12.75" customHeight="1">
      <c r="H1879" s="43" t="n"/>
      <c r="AG1879" s="49">
        <f>IFERROR(__xludf.DUMMYFUNCTION("IFNA(vlookup(H1879,IMPORTRANGE(""1vUGwO1n0QQGx9kKbO0_M5gmuhXZ6-LaxQxgrmJnzgP0"",""'TP# look up'!A:C""),3,0),"""")"),"")</f>
        <v/>
      </c>
      <c r="AH1879" s="49">
        <f>LEFT(J1879,2)</f>
        <v/>
      </c>
    </row>
    <row r="1880" ht="12.75" customHeight="1">
      <c r="H1880" s="43" t="n"/>
      <c r="AG1880" s="49">
        <f>IFERROR(__xludf.DUMMYFUNCTION("IFNA(vlookup(H1880,IMPORTRANGE(""1vUGwO1n0QQGx9kKbO0_M5gmuhXZ6-LaxQxgrmJnzgP0"",""'TP# look up'!A:C""),3,0),"""")"),"")</f>
        <v/>
      </c>
      <c r="AH1880" s="49">
        <f>LEFT(J1880,2)</f>
        <v/>
      </c>
    </row>
    <row r="1881" ht="12.75" customHeight="1">
      <c r="H1881" s="43" t="n"/>
      <c r="AG1881" s="49">
        <f>IFERROR(__xludf.DUMMYFUNCTION("IFNA(vlookup(H1881,IMPORTRANGE(""1vUGwO1n0QQGx9kKbO0_M5gmuhXZ6-LaxQxgrmJnzgP0"",""'TP# look up'!A:C""),3,0),"""")"),"")</f>
        <v/>
      </c>
      <c r="AH1881" s="49">
        <f>LEFT(J1881,2)</f>
        <v/>
      </c>
    </row>
    <row r="1882" ht="12.75" customHeight="1">
      <c r="H1882" s="43" t="n"/>
      <c r="AG1882" s="49">
        <f>IFERROR(__xludf.DUMMYFUNCTION("IFNA(vlookup(H1882,IMPORTRANGE(""1vUGwO1n0QQGx9kKbO0_M5gmuhXZ6-LaxQxgrmJnzgP0"",""'TP# look up'!A:C""),3,0),"""")"),"")</f>
        <v/>
      </c>
      <c r="AH1882" s="49">
        <f>LEFT(J1882,2)</f>
        <v/>
      </c>
    </row>
    <row r="1883" ht="12.75" customHeight="1">
      <c r="H1883" s="43" t="n"/>
      <c r="AG1883" s="49">
        <f>IFERROR(__xludf.DUMMYFUNCTION("IFNA(vlookup(H1883,IMPORTRANGE(""1vUGwO1n0QQGx9kKbO0_M5gmuhXZ6-LaxQxgrmJnzgP0"",""'TP# look up'!A:C""),3,0),"""")"),"")</f>
        <v/>
      </c>
      <c r="AH1883" s="49">
        <f>LEFT(J1883,2)</f>
        <v/>
      </c>
    </row>
    <row r="1884" ht="12.75" customHeight="1">
      <c r="H1884" s="43" t="n"/>
      <c r="AG1884" s="49">
        <f>IFERROR(__xludf.DUMMYFUNCTION("IFNA(vlookup(H1884,IMPORTRANGE(""1vUGwO1n0QQGx9kKbO0_M5gmuhXZ6-LaxQxgrmJnzgP0"",""'TP# look up'!A:C""),3,0),"""")"),"")</f>
        <v/>
      </c>
      <c r="AH1884" s="49">
        <f>LEFT(J1884,2)</f>
        <v/>
      </c>
    </row>
    <row r="1885" ht="12.75" customHeight="1">
      <c r="H1885" s="43" t="n"/>
      <c r="AG1885" s="49">
        <f>IFERROR(__xludf.DUMMYFUNCTION("IFNA(vlookup(H1885,IMPORTRANGE(""1vUGwO1n0QQGx9kKbO0_M5gmuhXZ6-LaxQxgrmJnzgP0"",""'TP# look up'!A:C""),3,0),"""")"),"")</f>
        <v/>
      </c>
      <c r="AH1885" s="49">
        <f>LEFT(J1885,2)</f>
        <v/>
      </c>
    </row>
    <row r="1886" ht="12.75" customHeight="1">
      <c r="H1886" s="43" t="n"/>
      <c r="AG1886" s="49">
        <f>IFERROR(__xludf.DUMMYFUNCTION("IFNA(vlookup(H1886,IMPORTRANGE(""1vUGwO1n0QQGx9kKbO0_M5gmuhXZ6-LaxQxgrmJnzgP0"",""'TP# look up'!A:C""),3,0),"""")"),"")</f>
        <v/>
      </c>
      <c r="AH1886" s="49">
        <f>LEFT(J1886,2)</f>
        <v/>
      </c>
    </row>
    <row r="1887" ht="12.75" customHeight="1">
      <c r="H1887" s="43" t="n"/>
      <c r="AG1887" s="49">
        <f>IFERROR(__xludf.DUMMYFUNCTION("IFNA(vlookup(H1887,IMPORTRANGE(""1vUGwO1n0QQGx9kKbO0_M5gmuhXZ6-LaxQxgrmJnzgP0"",""'TP# look up'!A:C""),3,0),"""")"),"")</f>
        <v/>
      </c>
      <c r="AH1887" s="49">
        <f>LEFT(J1887,2)</f>
        <v/>
      </c>
    </row>
    <row r="1888" ht="12.75" customHeight="1">
      <c r="H1888" s="43" t="n"/>
      <c r="AG1888" s="49">
        <f>IFERROR(__xludf.DUMMYFUNCTION("IFNA(vlookup(H1888,IMPORTRANGE(""1vUGwO1n0QQGx9kKbO0_M5gmuhXZ6-LaxQxgrmJnzgP0"",""'TP# look up'!A:C""),3,0),"""")"),"")</f>
        <v/>
      </c>
      <c r="AH1888" s="49">
        <f>LEFT(J1888,2)</f>
        <v/>
      </c>
    </row>
    <row r="1889" ht="12.75" customHeight="1">
      <c r="H1889" s="43" t="n"/>
      <c r="AG1889" s="49">
        <f>IFERROR(__xludf.DUMMYFUNCTION("IFNA(vlookup(H1889,IMPORTRANGE(""1vUGwO1n0QQGx9kKbO0_M5gmuhXZ6-LaxQxgrmJnzgP0"",""'TP# look up'!A:C""),3,0),"""")"),"")</f>
        <v/>
      </c>
      <c r="AH1889" s="49">
        <f>LEFT(J1889,2)</f>
        <v/>
      </c>
    </row>
    <row r="1890" ht="12.75" customHeight="1">
      <c r="H1890" s="43" t="n"/>
      <c r="AG1890" s="49">
        <f>IFERROR(__xludf.DUMMYFUNCTION("IFNA(vlookup(H1890,IMPORTRANGE(""1vUGwO1n0QQGx9kKbO0_M5gmuhXZ6-LaxQxgrmJnzgP0"",""'TP# look up'!A:C""),3,0),"""")"),"")</f>
        <v/>
      </c>
      <c r="AH1890" s="49">
        <f>LEFT(J1890,2)</f>
        <v/>
      </c>
    </row>
    <row r="1891" ht="12.75" customHeight="1">
      <c r="H1891" s="43" t="n"/>
      <c r="AG1891" s="49">
        <f>IFERROR(__xludf.DUMMYFUNCTION("IFNA(vlookup(H1891,IMPORTRANGE(""1vUGwO1n0QQGx9kKbO0_M5gmuhXZ6-LaxQxgrmJnzgP0"",""'TP# look up'!A:C""),3,0),"""")"),"")</f>
        <v/>
      </c>
      <c r="AH1891" s="49">
        <f>LEFT(J1891,2)</f>
        <v/>
      </c>
    </row>
    <row r="1892" ht="12.75" customHeight="1">
      <c r="H1892" s="43" t="n"/>
      <c r="AG1892" s="49">
        <f>IFERROR(__xludf.DUMMYFUNCTION("IFNA(vlookup(H1892,IMPORTRANGE(""1vUGwO1n0QQGx9kKbO0_M5gmuhXZ6-LaxQxgrmJnzgP0"",""'TP# look up'!A:C""),3,0),"""")"),"")</f>
        <v/>
      </c>
      <c r="AH1892" s="49">
        <f>LEFT(J1892,2)</f>
        <v/>
      </c>
    </row>
    <row r="1893" ht="12.75" customHeight="1">
      <c r="H1893" s="43" t="n"/>
      <c r="AG1893" s="49">
        <f>IFERROR(__xludf.DUMMYFUNCTION("IFNA(vlookup(H1893,IMPORTRANGE(""1vUGwO1n0QQGx9kKbO0_M5gmuhXZ6-LaxQxgrmJnzgP0"",""'TP# look up'!A:C""),3,0),"""")"),"")</f>
        <v/>
      </c>
      <c r="AH1893" s="49">
        <f>LEFT(J1893,2)</f>
        <v/>
      </c>
    </row>
    <row r="1894" ht="12.75" customHeight="1">
      <c r="H1894" s="43" t="n"/>
      <c r="AG1894" s="49">
        <f>IFERROR(__xludf.DUMMYFUNCTION("IFNA(vlookup(H1894,IMPORTRANGE(""1vUGwO1n0QQGx9kKbO0_M5gmuhXZ6-LaxQxgrmJnzgP0"",""'TP# look up'!A:C""),3,0),"""")"),"")</f>
        <v/>
      </c>
      <c r="AH1894" s="49">
        <f>LEFT(J1894,2)</f>
        <v/>
      </c>
    </row>
    <row r="1895" ht="12.75" customHeight="1">
      <c r="H1895" s="43" t="n"/>
      <c r="AG1895" s="49">
        <f>IFERROR(__xludf.DUMMYFUNCTION("IFNA(vlookup(H1895,IMPORTRANGE(""1vUGwO1n0QQGx9kKbO0_M5gmuhXZ6-LaxQxgrmJnzgP0"",""'TP# look up'!A:C""),3,0),"""")"),"")</f>
        <v/>
      </c>
      <c r="AH1895" s="49">
        <f>LEFT(J1895,2)</f>
        <v/>
      </c>
    </row>
    <row r="1896" ht="12.75" customHeight="1">
      <c r="H1896" s="43" t="n"/>
      <c r="AG1896" s="49">
        <f>IFERROR(__xludf.DUMMYFUNCTION("IFNA(vlookup(H1896,IMPORTRANGE(""1vUGwO1n0QQGx9kKbO0_M5gmuhXZ6-LaxQxgrmJnzgP0"",""'TP# look up'!A:C""),3,0),"""")"),"")</f>
        <v/>
      </c>
      <c r="AH1896" s="49">
        <f>LEFT(J1896,2)</f>
        <v/>
      </c>
    </row>
    <row r="1897" ht="12.75" customHeight="1">
      <c r="H1897" s="43" t="n"/>
      <c r="AG1897" s="49">
        <f>IFERROR(__xludf.DUMMYFUNCTION("IFNA(vlookup(H1897,IMPORTRANGE(""1vUGwO1n0QQGx9kKbO0_M5gmuhXZ6-LaxQxgrmJnzgP0"",""'TP# look up'!A:C""),3,0),"""")"),"")</f>
        <v/>
      </c>
      <c r="AH1897" s="49">
        <f>LEFT(J1897,2)</f>
        <v/>
      </c>
    </row>
    <row r="1898" ht="12.75" customHeight="1">
      <c r="H1898" s="43" t="n"/>
      <c r="AG1898" s="49">
        <f>IFERROR(__xludf.DUMMYFUNCTION("IFNA(vlookup(H1898,IMPORTRANGE(""1vUGwO1n0QQGx9kKbO0_M5gmuhXZ6-LaxQxgrmJnzgP0"",""'TP# look up'!A:C""),3,0),"""")"),"")</f>
        <v/>
      </c>
      <c r="AH1898" s="49">
        <f>LEFT(J1898,2)</f>
        <v/>
      </c>
    </row>
    <row r="1899" ht="12.75" customHeight="1">
      <c r="H1899" s="43" t="n"/>
      <c r="AG1899" s="49">
        <f>IFERROR(__xludf.DUMMYFUNCTION("IFNA(vlookup(H1899,IMPORTRANGE(""1vUGwO1n0QQGx9kKbO0_M5gmuhXZ6-LaxQxgrmJnzgP0"",""'TP# look up'!A:C""),3,0),"""")"),"")</f>
        <v/>
      </c>
      <c r="AH1899" s="49">
        <f>LEFT(J1899,2)</f>
        <v/>
      </c>
    </row>
    <row r="1900" ht="12.75" customHeight="1">
      <c r="H1900" s="43" t="n"/>
      <c r="AG1900" s="49">
        <f>IFERROR(__xludf.DUMMYFUNCTION("IFNA(vlookup(H1900,IMPORTRANGE(""1vUGwO1n0QQGx9kKbO0_M5gmuhXZ6-LaxQxgrmJnzgP0"",""'TP# look up'!A:C""),3,0),"""")"),"")</f>
        <v/>
      </c>
      <c r="AH1900" s="49">
        <f>LEFT(J1900,2)</f>
        <v/>
      </c>
    </row>
    <row r="1901" ht="12.75" customHeight="1">
      <c r="H1901" s="43" t="n"/>
      <c r="AG1901" s="49">
        <f>IFERROR(__xludf.DUMMYFUNCTION("IFNA(vlookup(H1901,IMPORTRANGE(""1vUGwO1n0QQGx9kKbO0_M5gmuhXZ6-LaxQxgrmJnzgP0"",""'TP# look up'!A:C""),3,0),"""")"),"")</f>
        <v/>
      </c>
      <c r="AH1901" s="49">
        <f>LEFT(J1901,2)</f>
        <v/>
      </c>
    </row>
    <row r="1902" ht="12.75" customHeight="1">
      <c r="H1902" s="43" t="n"/>
      <c r="AG1902" s="49">
        <f>IFERROR(__xludf.DUMMYFUNCTION("IFNA(vlookup(H1902,IMPORTRANGE(""1vUGwO1n0QQGx9kKbO0_M5gmuhXZ6-LaxQxgrmJnzgP0"",""'TP# look up'!A:C""),3,0),"""")"),"")</f>
        <v/>
      </c>
      <c r="AH1902" s="49">
        <f>LEFT(J1902,2)</f>
        <v/>
      </c>
    </row>
    <row r="1903" ht="12.75" customHeight="1">
      <c r="H1903" s="43" t="n"/>
      <c r="AG1903" s="49">
        <f>IFERROR(__xludf.DUMMYFUNCTION("IFNA(vlookup(H1903,IMPORTRANGE(""1vUGwO1n0QQGx9kKbO0_M5gmuhXZ6-LaxQxgrmJnzgP0"",""'TP# look up'!A:C""),3,0),"""")"),"")</f>
        <v/>
      </c>
      <c r="AH1903" s="49">
        <f>LEFT(J1903,2)</f>
        <v/>
      </c>
    </row>
    <row r="1904" ht="12.75" customHeight="1">
      <c r="H1904" s="43" t="n"/>
      <c r="AG1904" s="49">
        <f>IFERROR(__xludf.DUMMYFUNCTION("IFNA(vlookup(H1904,IMPORTRANGE(""1vUGwO1n0QQGx9kKbO0_M5gmuhXZ6-LaxQxgrmJnzgP0"",""'TP# look up'!A:C""),3,0),"""")"),"")</f>
        <v/>
      </c>
      <c r="AH1904" s="49">
        <f>LEFT(J1904,2)</f>
        <v/>
      </c>
    </row>
    <row r="1905" ht="12.75" customHeight="1">
      <c r="H1905" s="43" t="n"/>
      <c r="AG1905" s="49">
        <f>IFERROR(__xludf.DUMMYFUNCTION("IFNA(vlookup(H1905,IMPORTRANGE(""1vUGwO1n0QQGx9kKbO0_M5gmuhXZ6-LaxQxgrmJnzgP0"",""'TP# look up'!A:C""),3,0),"""")"),"")</f>
        <v/>
      </c>
      <c r="AH1905" s="49">
        <f>LEFT(J1905,2)</f>
        <v/>
      </c>
    </row>
    <row r="1906" ht="12.75" customHeight="1">
      <c r="H1906" s="43" t="n"/>
      <c r="AG1906" s="49">
        <f>IFERROR(__xludf.DUMMYFUNCTION("IFNA(vlookup(H1906,IMPORTRANGE(""1vUGwO1n0QQGx9kKbO0_M5gmuhXZ6-LaxQxgrmJnzgP0"",""'TP# look up'!A:C""),3,0),"""")"),"")</f>
        <v/>
      </c>
      <c r="AH1906" s="49">
        <f>LEFT(J1906,2)</f>
        <v/>
      </c>
    </row>
    <row r="1907" ht="12.75" customHeight="1">
      <c r="H1907" s="43" t="n"/>
      <c r="AG1907" s="49">
        <f>IFERROR(__xludf.DUMMYFUNCTION("IFNA(vlookup(H1907,IMPORTRANGE(""1vUGwO1n0QQGx9kKbO0_M5gmuhXZ6-LaxQxgrmJnzgP0"",""'TP# look up'!A:C""),3,0),"""")"),"")</f>
        <v/>
      </c>
      <c r="AH1907" s="49">
        <f>LEFT(J1907,2)</f>
        <v/>
      </c>
    </row>
    <row r="1908" ht="12.75" customHeight="1">
      <c r="H1908" s="43" t="n"/>
      <c r="AG1908" s="49">
        <f>IFERROR(__xludf.DUMMYFUNCTION("IFNA(vlookup(H1908,IMPORTRANGE(""1vUGwO1n0QQGx9kKbO0_M5gmuhXZ6-LaxQxgrmJnzgP0"",""'TP# look up'!A:C""),3,0),"""")"),"")</f>
        <v/>
      </c>
      <c r="AH1908" s="49">
        <f>LEFT(J1908,2)</f>
        <v/>
      </c>
    </row>
    <row r="1909" ht="12.75" customHeight="1">
      <c r="H1909" s="43" t="n"/>
      <c r="AG1909" s="49">
        <f>IFERROR(__xludf.DUMMYFUNCTION("IFNA(vlookup(H1909,IMPORTRANGE(""1vUGwO1n0QQGx9kKbO0_M5gmuhXZ6-LaxQxgrmJnzgP0"",""'TP# look up'!A:C""),3,0),"""")"),"")</f>
        <v/>
      </c>
      <c r="AH1909" s="49">
        <f>LEFT(J1909,2)</f>
        <v/>
      </c>
    </row>
    <row r="1910" ht="12.75" customHeight="1">
      <c r="H1910" s="43" t="n"/>
      <c r="AG1910" s="49">
        <f>IFERROR(__xludf.DUMMYFUNCTION("IFNA(vlookup(H1910,IMPORTRANGE(""1vUGwO1n0QQGx9kKbO0_M5gmuhXZ6-LaxQxgrmJnzgP0"",""'TP# look up'!A:C""),3,0),"""")"),"")</f>
        <v/>
      </c>
      <c r="AH1910" s="49">
        <f>LEFT(J1910,2)</f>
        <v/>
      </c>
    </row>
    <row r="1911" ht="12.75" customHeight="1">
      <c r="H1911" s="43" t="n"/>
      <c r="AG1911" s="49">
        <f>IFERROR(__xludf.DUMMYFUNCTION("IFNA(vlookup(H1911,IMPORTRANGE(""1vUGwO1n0QQGx9kKbO0_M5gmuhXZ6-LaxQxgrmJnzgP0"",""'TP# look up'!A:C""),3,0),"""")"),"")</f>
        <v/>
      </c>
      <c r="AH1911" s="49">
        <f>LEFT(J1911,2)</f>
        <v/>
      </c>
    </row>
    <row r="1912" ht="12.75" customHeight="1">
      <c r="H1912" s="43" t="n"/>
      <c r="AG1912" s="49">
        <f>IFERROR(__xludf.DUMMYFUNCTION("IFNA(vlookup(H1912,IMPORTRANGE(""1vUGwO1n0QQGx9kKbO0_M5gmuhXZ6-LaxQxgrmJnzgP0"",""'TP# look up'!A:C""),3,0),"""")"),"")</f>
        <v/>
      </c>
      <c r="AH1912" s="49">
        <f>LEFT(J1912,2)</f>
        <v/>
      </c>
    </row>
    <row r="1913" ht="12.75" customHeight="1">
      <c r="H1913" s="43" t="n"/>
      <c r="AG1913" s="49">
        <f>IFERROR(__xludf.DUMMYFUNCTION("IFNA(vlookup(H1913,IMPORTRANGE(""1vUGwO1n0QQGx9kKbO0_M5gmuhXZ6-LaxQxgrmJnzgP0"",""'TP# look up'!A:C""),3,0),"""")"),"")</f>
        <v/>
      </c>
      <c r="AH1913" s="49">
        <f>LEFT(J1913,2)</f>
        <v/>
      </c>
    </row>
    <row r="1914" ht="12.75" customHeight="1">
      <c r="H1914" s="43" t="n"/>
      <c r="AG1914" s="49">
        <f>IFERROR(__xludf.DUMMYFUNCTION("IFNA(vlookup(H1914,IMPORTRANGE(""1vUGwO1n0QQGx9kKbO0_M5gmuhXZ6-LaxQxgrmJnzgP0"",""'TP# look up'!A:C""),3,0),"""")"),"")</f>
        <v/>
      </c>
      <c r="AH1914" s="49">
        <f>LEFT(J1914,2)</f>
        <v/>
      </c>
    </row>
    <row r="1915" ht="12.75" customHeight="1">
      <c r="H1915" s="43" t="n"/>
      <c r="AG1915" s="49">
        <f>IFERROR(__xludf.DUMMYFUNCTION("IFNA(vlookup(H1915,IMPORTRANGE(""1vUGwO1n0QQGx9kKbO0_M5gmuhXZ6-LaxQxgrmJnzgP0"",""'TP# look up'!A:C""),3,0),"""")"),"")</f>
        <v/>
      </c>
      <c r="AH1915" s="49">
        <f>LEFT(J1915,2)</f>
        <v/>
      </c>
    </row>
    <row r="1916" ht="12.75" customHeight="1">
      <c r="H1916" s="43" t="n"/>
      <c r="AG1916" s="49">
        <f>IFERROR(__xludf.DUMMYFUNCTION("IFNA(vlookup(H1916,IMPORTRANGE(""1vUGwO1n0QQGx9kKbO0_M5gmuhXZ6-LaxQxgrmJnzgP0"",""'TP# look up'!A:C""),3,0),"""")"),"")</f>
        <v/>
      </c>
      <c r="AH1916" s="49">
        <f>LEFT(J1916,2)</f>
        <v/>
      </c>
    </row>
    <row r="1917" ht="12.75" customHeight="1">
      <c r="H1917" s="43" t="n"/>
      <c r="AG1917" s="49">
        <f>IFERROR(__xludf.DUMMYFUNCTION("IFNA(vlookup(H1917,IMPORTRANGE(""1vUGwO1n0QQGx9kKbO0_M5gmuhXZ6-LaxQxgrmJnzgP0"",""'TP# look up'!A:C""),3,0),"""")"),"")</f>
        <v/>
      </c>
      <c r="AH1917" s="49">
        <f>LEFT(J1917,2)</f>
        <v/>
      </c>
    </row>
    <row r="1918" ht="12.75" customHeight="1">
      <c r="H1918" s="43" t="n"/>
      <c r="AG1918" s="49">
        <f>IFERROR(__xludf.DUMMYFUNCTION("IFNA(vlookup(H1918,IMPORTRANGE(""1vUGwO1n0QQGx9kKbO0_M5gmuhXZ6-LaxQxgrmJnzgP0"",""'TP# look up'!A:C""),3,0),"""")"),"")</f>
        <v/>
      </c>
      <c r="AH1918" s="49">
        <f>LEFT(J1918,2)</f>
        <v/>
      </c>
    </row>
    <row r="1919" ht="12.75" customHeight="1">
      <c r="H1919" s="43" t="n"/>
      <c r="AG1919" s="49">
        <f>IFERROR(__xludf.DUMMYFUNCTION("IFNA(vlookup(H1919,IMPORTRANGE(""1vUGwO1n0QQGx9kKbO0_M5gmuhXZ6-LaxQxgrmJnzgP0"",""'TP# look up'!A:C""),3,0),"""")"),"")</f>
        <v/>
      </c>
      <c r="AH1919" s="49">
        <f>LEFT(J1919,2)</f>
        <v/>
      </c>
    </row>
    <row r="1920" ht="12.75" customHeight="1">
      <c r="H1920" s="43" t="n"/>
      <c r="AG1920" s="49">
        <f>IFERROR(__xludf.DUMMYFUNCTION("IFNA(vlookup(H1920,IMPORTRANGE(""1vUGwO1n0QQGx9kKbO0_M5gmuhXZ6-LaxQxgrmJnzgP0"",""'TP# look up'!A:C""),3,0),"""")"),"")</f>
        <v/>
      </c>
      <c r="AH1920" s="49">
        <f>LEFT(J1920,2)</f>
        <v/>
      </c>
    </row>
    <row r="1921" ht="12.75" customHeight="1">
      <c r="H1921" s="43" t="n"/>
      <c r="AG1921" s="49">
        <f>IFERROR(__xludf.DUMMYFUNCTION("IFNA(vlookup(H1921,IMPORTRANGE(""1vUGwO1n0QQGx9kKbO0_M5gmuhXZ6-LaxQxgrmJnzgP0"",""'TP# look up'!A:C""),3,0),"""")"),"")</f>
        <v/>
      </c>
      <c r="AH1921" s="49">
        <f>LEFT(J1921,2)</f>
        <v/>
      </c>
    </row>
    <row r="1922" ht="12.75" customHeight="1">
      <c r="H1922" s="43" t="n"/>
      <c r="AG1922" s="49">
        <f>IFERROR(__xludf.DUMMYFUNCTION("IFNA(vlookup(H1922,IMPORTRANGE(""1vUGwO1n0QQGx9kKbO0_M5gmuhXZ6-LaxQxgrmJnzgP0"",""'TP# look up'!A:C""),3,0),"""")"),"")</f>
        <v/>
      </c>
      <c r="AH1922" s="49">
        <f>LEFT(J1922,2)</f>
        <v/>
      </c>
    </row>
    <row r="1923" ht="12.75" customHeight="1">
      <c r="H1923" s="43" t="n"/>
      <c r="AG1923" s="49">
        <f>IFERROR(__xludf.DUMMYFUNCTION("IFNA(vlookup(H1923,IMPORTRANGE(""1vUGwO1n0QQGx9kKbO0_M5gmuhXZ6-LaxQxgrmJnzgP0"",""'TP# look up'!A:C""),3,0),"""")"),"")</f>
        <v/>
      </c>
      <c r="AH1923" s="49">
        <f>LEFT(J1923,2)</f>
        <v/>
      </c>
    </row>
    <row r="1924" ht="12.75" customHeight="1">
      <c r="H1924" s="43" t="n"/>
      <c r="AG1924" s="49">
        <f>IFERROR(__xludf.DUMMYFUNCTION("IFNA(vlookup(H1924,IMPORTRANGE(""1vUGwO1n0QQGx9kKbO0_M5gmuhXZ6-LaxQxgrmJnzgP0"",""'TP# look up'!A:C""),3,0),"""")"),"")</f>
        <v/>
      </c>
      <c r="AH1924" s="49">
        <f>LEFT(J1924,2)</f>
        <v/>
      </c>
    </row>
    <row r="1925" ht="12.75" customHeight="1">
      <c r="H1925" s="43" t="n"/>
      <c r="AG1925" s="49">
        <f>IFERROR(__xludf.DUMMYFUNCTION("IFNA(vlookup(H1925,IMPORTRANGE(""1vUGwO1n0QQGx9kKbO0_M5gmuhXZ6-LaxQxgrmJnzgP0"",""'TP# look up'!A:C""),3,0),"""")"),"")</f>
        <v/>
      </c>
      <c r="AH1925" s="49">
        <f>LEFT(J1925,2)</f>
        <v/>
      </c>
    </row>
    <row r="1926" ht="12.75" customHeight="1">
      <c r="H1926" s="43" t="n"/>
      <c r="AG1926" s="49">
        <f>IFERROR(__xludf.DUMMYFUNCTION("IFNA(vlookup(H1926,IMPORTRANGE(""1vUGwO1n0QQGx9kKbO0_M5gmuhXZ6-LaxQxgrmJnzgP0"",""'TP# look up'!A:C""),3,0),"""")"),"")</f>
        <v/>
      </c>
      <c r="AH1926" s="49">
        <f>LEFT(J1926,2)</f>
        <v/>
      </c>
    </row>
    <row r="1927" ht="12.75" customHeight="1">
      <c r="H1927" s="43" t="n"/>
      <c r="AG1927" s="49">
        <f>IFERROR(__xludf.DUMMYFUNCTION("IFNA(vlookup(H1927,IMPORTRANGE(""1vUGwO1n0QQGx9kKbO0_M5gmuhXZ6-LaxQxgrmJnzgP0"",""'TP# look up'!A:C""),3,0),"""")"),"")</f>
        <v/>
      </c>
      <c r="AH1927" s="49">
        <f>LEFT(J1927,2)</f>
        <v/>
      </c>
    </row>
    <row r="1928" ht="12.75" customHeight="1">
      <c r="H1928" s="43" t="n"/>
      <c r="AG1928" s="49">
        <f>IFERROR(__xludf.DUMMYFUNCTION("IFNA(vlookup(H1928,IMPORTRANGE(""1vUGwO1n0QQGx9kKbO0_M5gmuhXZ6-LaxQxgrmJnzgP0"",""'TP# look up'!A:C""),3,0),"""")"),"")</f>
        <v/>
      </c>
      <c r="AH1928" s="49">
        <f>LEFT(J1928,2)</f>
        <v/>
      </c>
    </row>
    <row r="1929" ht="12.75" customHeight="1">
      <c r="H1929" s="43" t="n"/>
      <c r="AG1929" s="49">
        <f>IFERROR(__xludf.DUMMYFUNCTION("IFNA(vlookup(H1929,IMPORTRANGE(""1vUGwO1n0QQGx9kKbO0_M5gmuhXZ6-LaxQxgrmJnzgP0"",""'TP# look up'!A:C""),3,0),"""")"),"")</f>
        <v/>
      </c>
      <c r="AH1929" s="49">
        <f>LEFT(J1929,2)</f>
        <v/>
      </c>
    </row>
    <row r="1930" ht="12.75" customHeight="1">
      <c r="H1930" s="43" t="n"/>
      <c r="AG1930" s="49">
        <f>IFERROR(__xludf.DUMMYFUNCTION("IFNA(vlookup(H1930,IMPORTRANGE(""1vUGwO1n0QQGx9kKbO0_M5gmuhXZ6-LaxQxgrmJnzgP0"",""'TP# look up'!A:C""),3,0),"""")"),"")</f>
        <v/>
      </c>
      <c r="AH1930" s="49">
        <f>LEFT(J1930,2)</f>
        <v/>
      </c>
    </row>
    <row r="1931" ht="12.75" customHeight="1">
      <c r="H1931" s="43" t="n"/>
      <c r="AG1931" s="49">
        <f>IFERROR(__xludf.DUMMYFUNCTION("IFNA(vlookup(H1931,IMPORTRANGE(""1vUGwO1n0QQGx9kKbO0_M5gmuhXZ6-LaxQxgrmJnzgP0"",""'TP# look up'!A:C""),3,0),"""")"),"")</f>
        <v/>
      </c>
      <c r="AH1931" s="49">
        <f>LEFT(J1931,2)</f>
        <v/>
      </c>
    </row>
    <row r="1932" ht="12.75" customHeight="1">
      <c r="H1932" s="43" t="n"/>
      <c r="AG1932" s="49">
        <f>IFERROR(__xludf.DUMMYFUNCTION("IFNA(vlookup(H1932,IMPORTRANGE(""1vUGwO1n0QQGx9kKbO0_M5gmuhXZ6-LaxQxgrmJnzgP0"",""'TP# look up'!A:C""),3,0),"""")"),"")</f>
        <v/>
      </c>
      <c r="AH1932" s="49">
        <f>LEFT(J1932,2)</f>
        <v/>
      </c>
    </row>
    <row r="1933" ht="12.75" customHeight="1">
      <c r="H1933" s="43" t="n"/>
      <c r="AG1933" s="49">
        <f>IFERROR(__xludf.DUMMYFUNCTION("IFNA(vlookup(H1933,IMPORTRANGE(""1vUGwO1n0QQGx9kKbO0_M5gmuhXZ6-LaxQxgrmJnzgP0"",""'TP# look up'!A:C""),3,0),"""")"),"")</f>
        <v/>
      </c>
      <c r="AH1933" s="49">
        <f>LEFT(J1933,2)</f>
        <v/>
      </c>
    </row>
    <row r="1934" ht="12.75" customHeight="1">
      <c r="H1934" s="43" t="n"/>
      <c r="AG1934" s="49">
        <f>IFERROR(__xludf.DUMMYFUNCTION("IFNA(vlookup(H1934,IMPORTRANGE(""1vUGwO1n0QQGx9kKbO0_M5gmuhXZ6-LaxQxgrmJnzgP0"",""'TP# look up'!A:C""),3,0),"""")"),"")</f>
        <v/>
      </c>
      <c r="AH1934" s="49">
        <f>LEFT(J1934,2)</f>
        <v/>
      </c>
    </row>
    <row r="1935" ht="12.75" customHeight="1">
      <c r="H1935" s="43" t="n"/>
      <c r="AG1935" s="49">
        <f>IFERROR(__xludf.DUMMYFUNCTION("IFNA(vlookup(H1935,IMPORTRANGE(""1vUGwO1n0QQGx9kKbO0_M5gmuhXZ6-LaxQxgrmJnzgP0"",""'TP# look up'!A:C""),3,0),"""")"),"")</f>
        <v/>
      </c>
      <c r="AH1935" s="49">
        <f>LEFT(J1935,2)</f>
        <v/>
      </c>
    </row>
    <row r="1936" ht="12.75" customHeight="1">
      <c r="H1936" s="43" t="n"/>
      <c r="AG1936" s="49">
        <f>IFERROR(__xludf.DUMMYFUNCTION("IFNA(vlookup(H1936,IMPORTRANGE(""1vUGwO1n0QQGx9kKbO0_M5gmuhXZ6-LaxQxgrmJnzgP0"",""'TP# look up'!A:C""),3,0),"""")"),"")</f>
        <v/>
      </c>
      <c r="AH1936" s="49">
        <f>LEFT(J1936,2)</f>
        <v/>
      </c>
    </row>
    <row r="1937" ht="12.75" customHeight="1">
      <c r="H1937" s="43" t="n"/>
      <c r="AG1937" s="49">
        <f>IFERROR(__xludf.DUMMYFUNCTION("IFNA(vlookup(H1937,IMPORTRANGE(""1vUGwO1n0QQGx9kKbO0_M5gmuhXZ6-LaxQxgrmJnzgP0"",""'TP# look up'!A:C""),3,0),"""")"),"")</f>
        <v/>
      </c>
      <c r="AH1937" s="49">
        <f>LEFT(J1937,2)</f>
        <v/>
      </c>
    </row>
    <row r="1938" ht="12.75" customHeight="1">
      <c r="H1938" s="43" t="n"/>
      <c r="AG1938" s="49">
        <f>IFERROR(__xludf.DUMMYFUNCTION("IFNA(vlookup(H1938,IMPORTRANGE(""1vUGwO1n0QQGx9kKbO0_M5gmuhXZ6-LaxQxgrmJnzgP0"",""'TP# look up'!A:C""),3,0),"""")"),"")</f>
        <v/>
      </c>
      <c r="AH1938" s="49">
        <f>LEFT(J1938,2)</f>
        <v/>
      </c>
    </row>
    <row r="1939" ht="12.75" customHeight="1">
      <c r="H1939" s="43" t="n"/>
      <c r="AG1939" s="49">
        <f>IFERROR(__xludf.DUMMYFUNCTION("IFNA(vlookup(H1939,IMPORTRANGE(""1vUGwO1n0QQGx9kKbO0_M5gmuhXZ6-LaxQxgrmJnzgP0"",""'TP# look up'!A:C""),3,0),"""")"),"")</f>
        <v/>
      </c>
      <c r="AH1939" s="49">
        <f>LEFT(J1939,2)</f>
        <v/>
      </c>
    </row>
    <row r="1940" ht="12.75" customHeight="1">
      <c r="H1940" s="43" t="n"/>
      <c r="AG1940" s="49">
        <f>IFERROR(__xludf.DUMMYFUNCTION("IFNA(vlookup(H1940,IMPORTRANGE(""1vUGwO1n0QQGx9kKbO0_M5gmuhXZ6-LaxQxgrmJnzgP0"",""'TP# look up'!A:C""),3,0),"""")"),"")</f>
        <v/>
      </c>
      <c r="AH1940" s="49">
        <f>LEFT(J1940,2)</f>
        <v/>
      </c>
    </row>
    <row r="1941" ht="12.75" customHeight="1">
      <c r="H1941" s="43" t="n"/>
      <c r="AG1941" s="49">
        <f>IFERROR(__xludf.DUMMYFUNCTION("IFNA(vlookup(H1941,IMPORTRANGE(""1vUGwO1n0QQGx9kKbO0_M5gmuhXZ6-LaxQxgrmJnzgP0"",""'TP# look up'!A:C""),3,0),"""")"),"")</f>
        <v/>
      </c>
      <c r="AH1941" s="49">
        <f>LEFT(J1941,2)</f>
        <v/>
      </c>
    </row>
    <row r="1942" ht="12.75" customHeight="1">
      <c r="H1942" s="43" t="n"/>
      <c r="AG1942" s="49">
        <f>IFERROR(__xludf.DUMMYFUNCTION("IFNA(vlookup(H1942,IMPORTRANGE(""1vUGwO1n0QQGx9kKbO0_M5gmuhXZ6-LaxQxgrmJnzgP0"",""'TP# look up'!A:C""),3,0),"""")"),"")</f>
        <v/>
      </c>
      <c r="AH1942" s="49">
        <f>LEFT(J1942,2)</f>
        <v/>
      </c>
    </row>
    <row r="1943" ht="12.75" customHeight="1">
      <c r="H1943" s="43" t="n"/>
      <c r="AG1943" s="49">
        <f>IFERROR(__xludf.DUMMYFUNCTION("IFNA(vlookup(H1943,IMPORTRANGE(""1vUGwO1n0QQGx9kKbO0_M5gmuhXZ6-LaxQxgrmJnzgP0"",""'TP# look up'!A:C""),3,0),"""")"),"")</f>
        <v/>
      </c>
      <c r="AH1943" s="49">
        <f>LEFT(J1943,2)</f>
        <v/>
      </c>
    </row>
    <row r="1944" ht="12.75" customHeight="1">
      <c r="H1944" s="43" t="n"/>
      <c r="AG1944" s="49">
        <f>IFERROR(__xludf.DUMMYFUNCTION("IFNA(vlookup(H1944,IMPORTRANGE(""1vUGwO1n0QQGx9kKbO0_M5gmuhXZ6-LaxQxgrmJnzgP0"",""'TP# look up'!A:C""),3,0),"""")"),"")</f>
        <v/>
      </c>
      <c r="AH1944" s="49">
        <f>LEFT(J1944,2)</f>
        <v/>
      </c>
    </row>
    <row r="1945" ht="12.75" customHeight="1">
      <c r="H1945" s="43" t="n"/>
      <c r="AG1945" s="49">
        <f>IFERROR(__xludf.DUMMYFUNCTION("IFNA(vlookup(H1945,IMPORTRANGE(""1vUGwO1n0QQGx9kKbO0_M5gmuhXZ6-LaxQxgrmJnzgP0"",""'TP# look up'!A:C""),3,0),"""")"),"")</f>
        <v/>
      </c>
      <c r="AH1945" s="49">
        <f>LEFT(J1945,2)</f>
        <v/>
      </c>
    </row>
    <row r="1946" ht="12.75" customHeight="1">
      <c r="H1946" s="43" t="n"/>
      <c r="AG1946" s="49">
        <f>IFERROR(__xludf.DUMMYFUNCTION("IFNA(vlookup(H1946,IMPORTRANGE(""1vUGwO1n0QQGx9kKbO0_M5gmuhXZ6-LaxQxgrmJnzgP0"",""'TP# look up'!A:C""),3,0),"""")"),"")</f>
        <v/>
      </c>
      <c r="AH1946" s="49">
        <f>LEFT(J1946,2)</f>
        <v/>
      </c>
    </row>
    <row r="1947" ht="12.75" customHeight="1">
      <c r="H1947" s="43" t="n"/>
      <c r="AG1947" s="49">
        <f>IFERROR(__xludf.DUMMYFUNCTION("IFNA(vlookup(H1947,IMPORTRANGE(""1vUGwO1n0QQGx9kKbO0_M5gmuhXZ6-LaxQxgrmJnzgP0"",""'TP# look up'!A:C""),3,0),"""")"),"")</f>
        <v/>
      </c>
      <c r="AH1947" s="49">
        <f>LEFT(J1947,2)</f>
        <v/>
      </c>
    </row>
    <row r="1948" ht="12.75" customHeight="1">
      <c r="H1948" s="43" t="n"/>
      <c r="AG1948" s="49">
        <f>IFERROR(__xludf.DUMMYFUNCTION("IFNA(vlookup(H1948,IMPORTRANGE(""1vUGwO1n0QQGx9kKbO0_M5gmuhXZ6-LaxQxgrmJnzgP0"",""'TP# look up'!A:C""),3,0),"""")"),"")</f>
        <v/>
      </c>
      <c r="AH1948" s="49">
        <f>LEFT(J1948,2)</f>
        <v/>
      </c>
    </row>
    <row r="1949" ht="12.75" customHeight="1">
      <c r="H1949" s="43" t="n"/>
      <c r="AG1949" s="49">
        <f>IFERROR(__xludf.DUMMYFUNCTION("IFNA(vlookup(H1949,IMPORTRANGE(""1vUGwO1n0QQGx9kKbO0_M5gmuhXZ6-LaxQxgrmJnzgP0"",""'TP# look up'!A:C""),3,0),"""")"),"")</f>
        <v/>
      </c>
      <c r="AH1949" s="49">
        <f>LEFT(J1949,2)</f>
        <v/>
      </c>
    </row>
    <row r="1950" ht="12.75" customHeight="1">
      <c r="H1950" s="43" t="n"/>
      <c r="AG1950" s="49">
        <f>IFERROR(__xludf.DUMMYFUNCTION("IFNA(vlookup(H1950,IMPORTRANGE(""1vUGwO1n0QQGx9kKbO0_M5gmuhXZ6-LaxQxgrmJnzgP0"",""'TP# look up'!A:C""),3,0),"""")"),"")</f>
        <v/>
      </c>
      <c r="AH1950" s="49">
        <f>LEFT(J1950,2)</f>
        <v/>
      </c>
    </row>
    <row r="1951" ht="12.75" customHeight="1">
      <c r="H1951" s="43" t="n"/>
      <c r="AG1951" s="49">
        <f>IFERROR(__xludf.DUMMYFUNCTION("IFNA(vlookup(H1951,IMPORTRANGE(""1vUGwO1n0QQGx9kKbO0_M5gmuhXZ6-LaxQxgrmJnzgP0"",""'TP# look up'!A:C""),3,0),"""")"),"")</f>
        <v/>
      </c>
      <c r="AH1951" s="49">
        <f>LEFT(J1951,2)</f>
        <v/>
      </c>
    </row>
    <row r="1952" ht="12.75" customHeight="1">
      <c r="H1952" s="43" t="n"/>
      <c r="AG1952" s="49">
        <f>IFERROR(__xludf.DUMMYFUNCTION("IFNA(vlookup(H1952,IMPORTRANGE(""1vUGwO1n0QQGx9kKbO0_M5gmuhXZ6-LaxQxgrmJnzgP0"",""'TP# look up'!A:C""),3,0),"""")"),"")</f>
        <v/>
      </c>
      <c r="AH1952" s="49">
        <f>LEFT(J1952,2)</f>
        <v/>
      </c>
    </row>
    <row r="1953" ht="12.75" customHeight="1">
      <c r="H1953" s="43" t="n"/>
      <c r="AG1953" s="49">
        <f>IFERROR(__xludf.DUMMYFUNCTION("IFNA(vlookup(H1953,IMPORTRANGE(""1vUGwO1n0QQGx9kKbO0_M5gmuhXZ6-LaxQxgrmJnzgP0"",""'TP# look up'!A:C""),3,0),"""")"),"")</f>
        <v/>
      </c>
      <c r="AH1953" s="49">
        <f>LEFT(J1953,2)</f>
        <v/>
      </c>
    </row>
    <row r="1954" ht="12.75" customHeight="1">
      <c r="H1954" s="43" t="n"/>
      <c r="AG1954" s="49">
        <f>IFERROR(__xludf.DUMMYFUNCTION("IFNA(vlookup(H1954,IMPORTRANGE(""1vUGwO1n0QQGx9kKbO0_M5gmuhXZ6-LaxQxgrmJnzgP0"",""'TP# look up'!A:C""),3,0),"""")"),"")</f>
        <v/>
      </c>
      <c r="AH1954" s="49">
        <f>LEFT(J1954,2)</f>
        <v/>
      </c>
    </row>
    <row r="1955" ht="12.75" customHeight="1">
      <c r="H1955" s="43" t="n"/>
      <c r="AG1955" s="49">
        <f>IFERROR(__xludf.DUMMYFUNCTION("IFNA(vlookup(H1955,IMPORTRANGE(""1vUGwO1n0QQGx9kKbO0_M5gmuhXZ6-LaxQxgrmJnzgP0"",""'TP# look up'!A:C""),3,0),"""")"),"")</f>
        <v/>
      </c>
      <c r="AH1955" s="49">
        <f>LEFT(J1955,2)</f>
        <v/>
      </c>
    </row>
    <row r="1956" ht="12.75" customHeight="1">
      <c r="H1956" s="43" t="n"/>
      <c r="AG1956" s="49">
        <f>IFERROR(__xludf.DUMMYFUNCTION("IFNA(vlookup(H1956,IMPORTRANGE(""1vUGwO1n0QQGx9kKbO0_M5gmuhXZ6-LaxQxgrmJnzgP0"",""'TP# look up'!A:C""),3,0),"""")"),"")</f>
        <v/>
      </c>
      <c r="AH1956" s="49">
        <f>LEFT(J1956,2)</f>
        <v/>
      </c>
    </row>
    <row r="1957" ht="12.75" customHeight="1">
      <c r="H1957" s="43" t="n"/>
      <c r="AG1957" s="49">
        <f>IFERROR(__xludf.DUMMYFUNCTION("IFNA(vlookup(H1957,IMPORTRANGE(""1vUGwO1n0QQGx9kKbO0_M5gmuhXZ6-LaxQxgrmJnzgP0"",""'TP# look up'!A:C""),3,0),"""")"),"")</f>
        <v/>
      </c>
      <c r="AH1957" s="49">
        <f>LEFT(J1957,2)</f>
        <v/>
      </c>
    </row>
    <row r="1958" ht="12.75" customHeight="1">
      <c r="H1958" s="43" t="n"/>
      <c r="AG1958" s="49">
        <f>IFERROR(__xludf.DUMMYFUNCTION("IFNA(vlookup(H1958,IMPORTRANGE(""1vUGwO1n0QQGx9kKbO0_M5gmuhXZ6-LaxQxgrmJnzgP0"",""'TP# look up'!A:C""),3,0),"""")"),"")</f>
        <v/>
      </c>
      <c r="AH1958" s="49">
        <f>LEFT(J1958,2)</f>
        <v/>
      </c>
    </row>
    <row r="1959" ht="12.75" customHeight="1">
      <c r="H1959" s="43" t="n"/>
      <c r="AG1959" s="49">
        <f>IFERROR(__xludf.DUMMYFUNCTION("IFNA(vlookup(H1959,IMPORTRANGE(""1vUGwO1n0QQGx9kKbO0_M5gmuhXZ6-LaxQxgrmJnzgP0"",""'TP# look up'!A:C""),3,0),"""")"),"")</f>
        <v/>
      </c>
      <c r="AH1959" s="49">
        <f>LEFT(J1959,2)</f>
        <v/>
      </c>
    </row>
    <row r="1960" ht="12.75" customHeight="1">
      <c r="H1960" s="43" t="n"/>
      <c r="AG1960" s="49">
        <f>IFERROR(__xludf.DUMMYFUNCTION("IFNA(vlookup(H1960,IMPORTRANGE(""1vUGwO1n0QQGx9kKbO0_M5gmuhXZ6-LaxQxgrmJnzgP0"",""'TP# look up'!A:C""),3,0),"""")"),"")</f>
        <v/>
      </c>
      <c r="AH1960" s="49">
        <f>LEFT(J1960,2)</f>
        <v/>
      </c>
    </row>
    <row r="1961" ht="12.75" customHeight="1">
      <c r="H1961" s="43" t="n"/>
      <c r="AG1961" s="49">
        <f>IFERROR(__xludf.DUMMYFUNCTION("IFNA(vlookup(H1961,IMPORTRANGE(""1vUGwO1n0QQGx9kKbO0_M5gmuhXZ6-LaxQxgrmJnzgP0"",""'TP# look up'!A:C""),3,0),"""")"),"")</f>
        <v/>
      </c>
      <c r="AH1961" s="49">
        <f>LEFT(J1961,2)</f>
        <v/>
      </c>
    </row>
    <row r="1962" ht="12.75" customHeight="1">
      <c r="H1962" s="43" t="n"/>
      <c r="AG1962" s="49">
        <f>IFERROR(__xludf.DUMMYFUNCTION("IFNA(vlookup(H1962,IMPORTRANGE(""1vUGwO1n0QQGx9kKbO0_M5gmuhXZ6-LaxQxgrmJnzgP0"",""'TP# look up'!A:C""),3,0),"""")"),"")</f>
        <v/>
      </c>
      <c r="AH1962" s="49">
        <f>LEFT(J1962,2)</f>
        <v/>
      </c>
    </row>
    <row r="1963" ht="12.75" customHeight="1">
      <c r="H1963" s="43" t="n"/>
      <c r="AG1963" s="49">
        <f>IFERROR(__xludf.DUMMYFUNCTION("IFNA(vlookup(H1963,IMPORTRANGE(""1vUGwO1n0QQGx9kKbO0_M5gmuhXZ6-LaxQxgrmJnzgP0"",""'TP# look up'!A:C""),3,0),"""")"),"")</f>
        <v/>
      </c>
      <c r="AH1963" s="49">
        <f>LEFT(J1963,2)</f>
        <v/>
      </c>
    </row>
    <row r="1964" ht="12.75" customHeight="1">
      <c r="H1964" s="43" t="n"/>
      <c r="AG1964" s="49">
        <f>IFERROR(__xludf.DUMMYFUNCTION("IFNA(vlookup(H1964,IMPORTRANGE(""1vUGwO1n0QQGx9kKbO0_M5gmuhXZ6-LaxQxgrmJnzgP0"",""'TP# look up'!A:C""),3,0),"""")"),"")</f>
        <v/>
      </c>
      <c r="AH1964" s="49">
        <f>LEFT(J1964,2)</f>
        <v/>
      </c>
    </row>
    <row r="1965" ht="12.75" customHeight="1">
      <c r="H1965" s="43" t="n"/>
      <c r="AG1965" s="49">
        <f>IFERROR(__xludf.DUMMYFUNCTION("IFNA(vlookup(H1965,IMPORTRANGE(""1vUGwO1n0QQGx9kKbO0_M5gmuhXZ6-LaxQxgrmJnzgP0"",""'TP# look up'!A:C""),3,0),"""")"),"")</f>
        <v/>
      </c>
      <c r="AH1965" s="49">
        <f>LEFT(J1965,2)</f>
        <v/>
      </c>
    </row>
    <row r="1966" ht="12.75" customHeight="1">
      <c r="H1966" s="43" t="n"/>
      <c r="AG1966" s="49">
        <f>IFERROR(__xludf.DUMMYFUNCTION("IFNA(vlookup(H1966,IMPORTRANGE(""1vUGwO1n0QQGx9kKbO0_M5gmuhXZ6-LaxQxgrmJnzgP0"",""'TP# look up'!A:C""),3,0),"""")"),"")</f>
        <v/>
      </c>
      <c r="AH1966" s="49">
        <f>LEFT(J1966,2)</f>
        <v/>
      </c>
    </row>
    <row r="1967" ht="12.75" customHeight="1">
      <c r="H1967" s="43" t="n"/>
      <c r="AG1967" s="49">
        <f>IFERROR(__xludf.DUMMYFUNCTION("IFNA(vlookup(H1967,IMPORTRANGE(""1vUGwO1n0QQGx9kKbO0_M5gmuhXZ6-LaxQxgrmJnzgP0"",""'TP# look up'!A:C""),3,0),"""")"),"")</f>
        <v/>
      </c>
      <c r="AH1967" s="49">
        <f>LEFT(J1967,2)</f>
        <v/>
      </c>
    </row>
    <row r="1968" ht="12.75" customHeight="1">
      <c r="H1968" s="43" t="n"/>
      <c r="AG1968" s="49">
        <f>IFERROR(__xludf.DUMMYFUNCTION("IFNA(vlookup(H1968,IMPORTRANGE(""1vUGwO1n0QQGx9kKbO0_M5gmuhXZ6-LaxQxgrmJnzgP0"",""'TP# look up'!A:C""),3,0),"""")"),"")</f>
        <v/>
      </c>
      <c r="AH1968" s="49">
        <f>LEFT(J1968,2)</f>
        <v/>
      </c>
    </row>
    <row r="1969" ht="12.75" customHeight="1">
      <c r="H1969" s="43" t="n"/>
      <c r="AG1969" s="49">
        <f>IFERROR(__xludf.DUMMYFUNCTION("IFNA(vlookup(H1969,IMPORTRANGE(""1vUGwO1n0QQGx9kKbO0_M5gmuhXZ6-LaxQxgrmJnzgP0"",""'TP# look up'!A:C""),3,0),"""")"),"")</f>
        <v/>
      </c>
      <c r="AH1969" s="49">
        <f>LEFT(J1969,2)</f>
        <v/>
      </c>
    </row>
    <row r="1970" ht="12.75" customHeight="1">
      <c r="H1970" s="43" t="n"/>
      <c r="AG1970" s="49">
        <f>IFERROR(__xludf.DUMMYFUNCTION("IFNA(vlookup(H1970,IMPORTRANGE(""1vUGwO1n0QQGx9kKbO0_M5gmuhXZ6-LaxQxgrmJnzgP0"",""'TP# look up'!A:C""),3,0),"""")"),"")</f>
        <v/>
      </c>
      <c r="AH1970" s="49">
        <f>LEFT(J1970,2)</f>
        <v/>
      </c>
    </row>
    <row r="1971" ht="12.75" customHeight="1">
      <c r="H1971" s="43" t="n"/>
      <c r="AG1971" s="49">
        <f>IFERROR(__xludf.DUMMYFUNCTION("IFNA(vlookup(H1971,IMPORTRANGE(""1vUGwO1n0QQGx9kKbO0_M5gmuhXZ6-LaxQxgrmJnzgP0"",""'TP# look up'!A:C""),3,0),"""")"),"")</f>
        <v/>
      </c>
      <c r="AH1971" s="49">
        <f>LEFT(J1971,2)</f>
        <v/>
      </c>
    </row>
    <row r="1972" ht="12.75" customHeight="1">
      <c r="H1972" s="43" t="n"/>
      <c r="AG1972" s="49">
        <f>IFERROR(__xludf.DUMMYFUNCTION("IFNA(vlookup(H1972,IMPORTRANGE(""1vUGwO1n0QQGx9kKbO0_M5gmuhXZ6-LaxQxgrmJnzgP0"",""'TP# look up'!A:C""),3,0),"""")"),"")</f>
        <v/>
      </c>
      <c r="AH1972" s="49">
        <f>LEFT(J1972,2)</f>
        <v/>
      </c>
    </row>
    <row r="1973" ht="12.75" customHeight="1">
      <c r="H1973" s="43" t="n"/>
      <c r="AG1973" s="49">
        <f>IFERROR(__xludf.DUMMYFUNCTION("IFNA(vlookup(H1973,IMPORTRANGE(""1vUGwO1n0QQGx9kKbO0_M5gmuhXZ6-LaxQxgrmJnzgP0"",""'TP# look up'!A:C""),3,0),"""")"),"")</f>
        <v/>
      </c>
      <c r="AH1973" s="49">
        <f>LEFT(J1973,2)</f>
        <v/>
      </c>
    </row>
    <row r="1974" ht="12.75" customHeight="1">
      <c r="H1974" s="43" t="n"/>
      <c r="AG1974" s="49">
        <f>IFERROR(__xludf.DUMMYFUNCTION("IFNA(vlookup(H1974,IMPORTRANGE(""1vUGwO1n0QQGx9kKbO0_M5gmuhXZ6-LaxQxgrmJnzgP0"",""'TP# look up'!A:C""),3,0),"""")"),"")</f>
        <v/>
      </c>
      <c r="AH1974" s="49">
        <f>LEFT(J1974,2)</f>
        <v/>
      </c>
    </row>
    <row r="1975" ht="12.75" customHeight="1">
      <c r="H1975" s="43" t="n"/>
      <c r="AG1975" s="49">
        <f>IFERROR(__xludf.DUMMYFUNCTION("IFNA(vlookup(H1975,IMPORTRANGE(""1vUGwO1n0QQGx9kKbO0_M5gmuhXZ6-LaxQxgrmJnzgP0"",""'TP# look up'!A:C""),3,0),"""")"),"")</f>
        <v/>
      </c>
      <c r="AH1975" s="49">
        <f>LEFT(J1975,2)</f>
        <v/>
      </c>
    </row>
    <row r="1976" ht="12.75" customHeight="1">
      <c r="H1976" s="43" t="n"/>
      <c r="AG1976" s="49">
        <f>IFERROR(__xludf.DUMMYFUNCTION("IFNA(vlookup(H1976,IMPORTRANGE(""1vUGwO1n0QQGx9kKbO0_M5gmuhXZ6-LaxQxgrmJnzgP0"",""'TP# look up'!A:C""),3,0),"""")"),"")</f>
        <v/>
      </c>
      <c r="AH1976" s="49">
        <f>LEFT(J1976,2)</f>
        <v/>
      </c>
    </row>
    <row r="1977" ht="12.75" customHeight="1">
      <c r="H1977" s="43" t="n"/>
      <c r="AG1977" s="49">
        <f>IFERROR(__xludf.DUMMYFUNCTION("IFNA(vlookup(H1977,IMPORTRANGE(""1vUGwO1n0QQGx9kKbO0_M5gmuhXZ6-LaxQxgrmJnzgP0"",""'TP# look up'!A:C""),3,0),"""")"),"")</f>
        <v/>
      </c>
      <c r="AH1977" s="49">
        <f>LEFT(J1977,2)</f>
        <v/>
      </c>
    </row>
    <row r="1978" ht="12.75" customHeight="1">
      <c r="H1978" s="43" t="n"/>
      <c r="AG1978" s="49">
        <f>IFERROR(__xludf.DUMMYFUNCTION("IFNA(vlookup(H1978,IMPORTRANGE(""1vUGwO1n0QQGx9kKbO0_M5gmuhXZ6-LaxQxgrmJnzgP0"",""'TP# look up'!A:C""),3,0),"""")"),"")</f>
        <v/>
      </c>
      <c r="AH1978" s="49">
        <f>LEFT(J1978,2)</f>
        <v/>
      </c>
    </row>
    <row r="1979" ht="12.75" customHeight="1">
      <c r="H1979" s="43" t="n"/>
      <c r="AG1979" s="49">
        <f>IFERROR(__xludf.DUMMYFUNCTION("IFNA(vlookup(H1979,IMPORTRANGE(""1vUGwO1n0QQGx9kKbO0_M5gmuhXZ6-LaxQxgrmJnzgP0"",""'TP# look up'!A:C""),3,0),"""")"),"")</f>
        <v/>
      </c>
      <c r="AH1979" s="49">
        <f>LEFT(J1979,2)</f>
        <v/>
      </c>
    </row>
    <row r="1980" ht="12.75" customHeight="1">
      <c r="H1980" s="43" t="n"/>
      <c r="AG1980" s="49">
        <f>IFERROR(__xludf.DUMMYFUNCTION("IFNA(vlookup(H1980,IMPORTRANGE(""1vUGwO1n0QQGx9kKbO0_M5gmuhXZ6-LaxQxgrmJnzgP0"",""'TP# look up'!A:C""),3,0),"""")"),"")</f>
        <v/>
      </c>
      <c r="AH1980" s="49">
        <f>LEFT(J1980,2)</f>
        <v/>
      </c>
    </row>
    <row r="1981" ht="12.75" customHeight="1">
      <c r="H1981" s="43" t="n"/>
      <c r="AG1981" s="49">
        <f>IFERROR(__xludf.DUMMYFUNCTION("IFNA(vlookup(H1981,IMPORTRANGE(""1vUGwO1n0QQGx9kKbO0_M5gmuhXZ6-LaxQxgrmJnzgP0"",""'TP# look up'!A:C""),3,0),"""")"),"")</f>
        <v/>
      </c>
      <c r="AH1981" s="49">
        <f>LEFT(J1981,2)</f>
        <v/>
      </c>
    </row>
    <row r="1982" ht="12.75" customHeight="1">
      <c r="H1982" s="43" t="n"/>
      <c r="AG1982" s="49">
        <f>IFERROR(__xludf.DUMMYFUNCTION("IFNA(vlookup(H1982,IMPORTRANGE(""1vUGwO1n0QQGx9kKbO0_M5gmuhXZ6-LaxQxgrmJnzgP0"",""'TP# look up'!A:C""),3,0),"""")"),"")</f>
        <v/>
      </c>
      <c r="AH1982" s="49">
        <f>LEFT(J1982,2)</f>
        <v/>
      </c>
    </row>
    <row r="1983" ht="12.75" customHeight="1">
      <c r="H1983" s="43" t="n"/>
      <c r="AG1983" s="49">
        <f>IFERROR(__xludf.DUMMYFUNCTION("IFNA(vlookup(H1983,IMPORTRANGE(""1vUGwO1n0QQGx9kKbO0_M5gmuhXZ6-LaxQxgrmJnzgP0"",""'TP# look up'!A:C""),3,0),"""")"),"")</f>
        <v/>
      </c>
      <c r="AH1983" s="49">
        <f>LEFT(J1983,2)</f>
        <v/>
      </c>
    </row>
    <row r="1984" ht="12.75" customHeight="1">
      <c r="H1984" s="43" t="n"/>
      <c r="AG1984" s="49">
        <f>IFERROR(__xludf.DUMMYFUNCTION("IFNA(vlookup(H1984,IMPORTRANGE(""1vUGwO1n0QQGx9kKbO0_M5gmuhXZ6-LaxQxgrmJnzgP0"",""'TP# look up'!A:C""),3,0),"""")"),"")</f>
        <v/>
      </c>
      <c r="AH1984" s="49">
        <f>LEFT(J1984,2)</f>
        <v/>
      </c>
    </row>
    <row r="1985" ht="12.75" customHeight="1">
      <c r="H1985" s="43" t="n"/>
      <c r="AG1985" s="49">
        <f>IFERROR(__xludf.DUMMYFUNCTION("IFNA(vlookup(H1985,IMPORTRANGE(""1vUGwO1n0QQGx9kKbO0_M5gmuhXZ6-LaxQxgrmJnzgP0"",""'TP# look up'!A:C""),3,0),"""")"),"")</f>
        <v/>
      </c>
      <c r="AH1985" s="49">
        <f>LEFT(J1985,2)</f>
        <v/>
      </c>
    </row>
    <row r="1986" ht="12.75" customHeight="1">
      <c r="H1986" s="43" t="n"/>
      <c r="AG1986" s="49">
        <f>IFERROR(__xludf.DUMMYFUNCTION("IFNA(vlookup(H1986,IMPORTRANGE(""1vUGwO1n0QQGx9kKbO0_M5gmuhXZ6-LaxQxgrmJnzgP0"",""'TP# look up'!A:C""),3,0),"""")"),"")</f>
        <v/>
      </c>
      <c r="AH1986" s="49">
        <f>LEFT(J1986,2)</f>
        <v/>
      </c>
    </row>
    <row r="1987" ht="12.75" customHeight="1">
      <c r="H1987" s="43" t="n"/>
      <c r="AG1987" s="49">
        <f>IFERROR(__xludf.DUMMYFUNCTION("IFNA(vlookup(H1987,IMPORTRANGE(""1vUGwO1n0QQGx9kKbO0_M5gmuhXZ6-LaxQxgrmJnzgP0"",""'TP# look up'!A:C""),3,0),"""")"),"")</f>
        <v/>
      </c>
      <c r="AH1987" s="49">
        <f>LEFT(J1987,2)</f>
        <v/>
      </c>
    </row>
    <row r="1988" ht="12.75" customHeight="1">
      <c r="H1988" s="43" t="n"/>
      <c r="AG1988" s="49">
        <f>IFERROR(__xludf.DUMMYFUNCTION("IFNA(vlookup(H1988,IMPORTRANGE(""1vUGwO1n0QQGx9kKbO0_M5gmuhXZ6-LaxQxgrmJnzgP0"",""'TP# look up'!A:C""),3,0),"""")"),"")</f>
        <v/>
      </c>
      <c r="AH1988" s="49">
        <f>LEFT(J1988,2)</f>
        <v/>
      </c>
    </row>
    <row r="1989" ht="12.75" customHeight="1">
      <c r="H1989" s="43" t="n"/>
      <c r="AG1989" s="49">
        <f>IFERROR(__xludf.DUMMYFUNCTION("IFNA(vlookup(H1989,IMPORTRANGE(""1vUGwO1n0QQGx9kKbO0_M5gmuhXZ6-LaxQxgrmJnzgP0"",""'TP# look up'!A:C""),3,0),"""")"),"")</f>
        <v/>
      </c>
      <c r="AH1989" s="49">
        <f>LEFT(J1989,2)</f>
        <v/>
      </c>
    </row>
    <row r="1990" ht="12.75" customHeight="1">
      <c r="H1990" s="43" t="n"/>
      <c r="AG1990" s="49">
        <f>IFERROR(__xludf.DUMMYFUNCTION("IFNA(vlookup(H1990,IMPORTRANGE(""1vUGwO1n0QQGx9kKbO0_M5gmuhXZ6-LaxQxgrmJnzgP0"",""'TP# look up'!A:C""),3,0),"""")"),"")</f>
        <v/>
      </c>
      <c r="AH1990" s="49">
        <f>LEFT(J1990,2)</f>
        <v/>
      </c>
    </row>
    <row r="1991" ht="12.75" customHeight="1">
      <c r="H1991" s="43" t="n"/>
      <c r="AG1991" s="49">
        <f>IFERROR(__xludf.DUMMYFUNCTION("IFNA(vlookup(H1991,IMPORTRANGE(""1vUGwO1n0QQGx9kKbO0_M5gmuhXZ6-LaxQxgrmJnzgP0"",""'TP# look up'!A:C""),3,0),"""")"),"")</f>
        <v/>
      </c>
      <c r="AH1991" s="49">
        <f>LEFT(J1991,2)</f>
        <v/>
      </c>
    </row>
    <row r="1992" ht="12.75" customHeight="1">
      <c r="H1992" s="43" t="n"/>
      <c r="AG1992" s="49">
        <f>IFERROR(__xludf.DUMMYFUNCTION("IFNA(vlookup(H1992,IMPORTRANGE(""1vUGwO1n0QQGx9kKbO0_M5gmuhXZ6-LaxQxgrmJnzgP0"",""'TP# look up'!A:C""),3,0),"""")"),"")</f>
        <v/>
      </c>
      <c r="AH1992" s="49">
        <f>LEFT(J1992,2)</f>
        <v/>
      </c>
    </row>
    <row r="1993" ht="12.75" customHeight="1">
      <c r="H1993" s="43" t="n"/>
      <c r="AG1993" s="49">
        <f>IFERROR(__xludf.DUMMYFUNCTION("IFNA(vlookup(H1993,IMPORTRANGE(""1vUGwO1n0QQGx9kKbO0_M5gmuhXZ6-LaxQxgrmJnzgP0"",""'TP# look up'!A:C""),3,0),"""")"),"")</f>
        <v/>
      </c>
      <c r="AH1993" s="49">
        <f>LEFT(J1993,2)</f>
        <v/>
      </c>
    </row>
    <row r="1994" ht="12.75" customHeight="1">
      <c r="H1994" s="43" t="n"/>
      <c r="AG1994" s="49">
        <f>IFERROR(__xludf.DUMMYFUNCTION("IFNA(vlookup(H1994,IMPORTRANGE(""1vUGwO1n0QQGx9kKbO0_M5gmuhXZ6-LaxQxgrmJnzgP0"",""'TP# look up'!A:C""),3,0),"""")"),"")</f>
        <v/>
      </c>
      <c r="AH1994" s="49">
        <f>LEFT(J1994,2)</f>
        <v/>
      </c>
    </row>
    <row r="1995" ht="12.75" customHeight="1">
      <c r="H1995" s="43" t="n"/>
      <c r="AG1995" s="49">
        <f>IFERROR(__xludf.DUMMYFUNCTION("IFNA(vlookup(H1995,IMPORTRANGE(""1vUGwO1n0QQGx9kKbO0_M5gmuhXZ6-LaxQxgrmJnzgP0"",""'TP# look up'!A:C""),3,0),"""")"),"")</f>
        <v/>
      </c>
      <c r="AH1995" s="49">
        <f>LEFT(J1995,2)</f>
        <v/>
      </c>
    </row>
    <row r="1996" ht="12.75" customHeight="1">
      <c r="H1996" s="43" t="n"/>
      <c r="AG1996" s="49">
        <f>IFERROR(__xludf.DUMMYFUNCTION("IFNA(vlookup(H1996,IMPORTRANGE(""1vUGwO1n0QQGx9kKbO0_M5gmuhXZ6-LaxQxgrmJnzgP0"",""'TP# look up'!A:C""),3,0),"""")"),"")</f>
        <v/>
      </c>
      <c r="AH1996" s="49">
        <f>LEFT(J1996,2)</f>
        <v/>
      </c>
    </row>
    <row r="1997" ht="12.75" customHeight="1">
      <c r="H1997" s="43" t="n"/>
      <c r="AG1997" s="49">
        <f>IFERROR(__xludf.DUMMYFUNCTION("IFNA(vlookup(H1997,IMPORTRANGE(""1vUGwO1n0QQGx9kKbO0_M5gmuhXZ6-LaxQxgrmJnzgP0"",""'TP# look up'!A:C""),3,0),"""")"),"")</f>
        <v/>
      </c>
      <c r="AH1997" s="49">
        <f>LEFT(J1997,2)</f>
        <v/>
      </c>
    </row>
    <row r="1998" ht="12.75" customHeight="1">
      <c r="H1998" s="43" t="n"/>
      <c r="AG1998" s="49">
        <f>IFERROR(__xludf.DUMMYFUNCTION("IFNA(vlookup(H1998,IMPORTRANGE(""1vUGwO1n0QQGx9kKbO0_M5gmuhXZ6-LaxQxgrmJnzgP0"",""'TP# look up'!A:C""),3,0),"""")"),"")</f>
        <v/>
      </c>
      <c r="AH1998" s="49">
        <f>LEFT(J1998,2)</f>
        <v/>
      </c>
    </row>
    <row r="1999" ht="12.75" customHeight="1">
      <c r="H1999" s="43" t="n"/>
      <c r="AG1999" s="49">
        <f>IFERROR(__xludf.DUMMYFUNCTION("IFNA(vlookup(H1999,IMPORTRANGE(""1vUGwO1n0QQGx9kKbO0_M5gmuhXZ6-LaxQxgrmJnzgP0"",""'TP# look up'!A:C""),3,0),"""")"),"")</f>
        <v/>
      </c>
      <c r="AH1999" s="49">
        <f>LEFT(J1999,2)</f>
        <v/>
      </c>
    </row>
    <row r="2000" ht="12.75" customHeight="1">
      <c r="H2000" s="43" t="n"/>
      <c r="AG2000" s="49">
        <f>IFERROR(__xludf.DUMMYFUNCTION("IFNA(vlookup(H2000,IMPORTRANGE(""1vUGwO1n0QQGx9kKbO0_M5gmuhXZ6-LaxQxgrmJnzgP0"",""'TP# look up'!A:C""),3,0),"""")"),"")</f>
        <v/>
      </c>
      <c r="AH2000" s="49">
        <f>LEFT(J2000,2)</f>
        <v/>
      </c>
    </row>
    <row r="2001" ht="12.75" customHeight="1">
      <c r="H2001" s="43" t="n"/>
      <c r="AG2001" s="49">
        <f>IFERROR(__xludf.DUMMYFUNCTION("IFNA(vlookup(H2001,IMPORTRANGE(""1vUGwO1n0QQGx9kKbO0_M5gmuhXZ6-LaxQxgrmJnzgP0"",""'TP# look up'!A:C""),3,0),"""")"),"")</f>
        <v/>
      </c>
      <c r="AH2001" s="49">
        <f>LEFT(J2001,2)</f>
        <v/>
      </c>
    </row>
    <row r="2002" ht="12.75" customHeight="1">
      <c r="H2002" s="43" t="n"/>
      <c r="AG2002" s="49">
        <f>IFERROR(__xludf.DUMMYFUNCTION("IFNA(vlookup(H2002,IMPORTRANGE(""1vUGwO1n0QQGx9kKbO0_M5gmuhXZ6-LaxQxgrmJnzgP0"",""'TP# look up'!A:C""),3,0),"""")"),"")</f>
        <v/>
      </c>
      <c r="AH2002" s="49">
        <f>LEFT(J2002,2)</f>
        <v/>
      </c>
    </row>
    <row r="2003" ht="12.75" customHeight="1">
      <c r="H2003" s="43" t="n"/>
      <c r="AG2003" s="49">
        <f>IFERROR(__xludf.DUMMYFUNCTION("IFNA(vlookup(H2003,IMPORTRANGE(""1vUGwO1n0QQGx9kKbO0_M5gmuhXZ6-LaxQxgrmJnzgP0"",""'TP# look up'!A:C""),3,0),"""")"),"")</f>
        <v/>
      </c>
      <c r="AH2003" s="49">
        <f>LEFT(J2003,2)</f>
        <v/>
      </c>
    </row>
    <row r="2004" ht="12.75" customHeight="1">
      <c r="H2004" s="43" t="n"/>
      <c r="AG2004" s="49">
        <f>IFERROR(__xludf.DUMMYFUNCTION("IFNA(vlookup(H2004,IMPORTRANGE(""1vUGwO1n0QQGx9kKbO0_M5gmuhXZ6-LaxQxgrmJnzgP0"",""'TP# look up'!A:C""),3,0),"""")"),"")</f>
        <v/>
      </c>
      <c r="AH2004" s="49">
        <f>LEFT(J2004,2)</f>
        <v/>
      </c>
    </row>
    <row r="2005" ht="12.75" customHeight="1">
      <c r="H2005" s="43" t="n"/>
      <c r="AG2005" s="49">
        <f>IFERROR(__xludf.DUMMYFUNCTION("IFNA(vlookup(H2005,IMPORTRANGE(""1vUGwO1n0QQGx9kKbO0_M5gmuhXZ6-LaxQxgrmJnzgP0"",""'TP# look up'!A:C""),3,0),"""")"),"")</f>
        <v/>
      </c>
      <c r="AH2005" s="49">
        <f>LEFT(J2005,2)</f>
        <v/>
      </c>
    </row>
    <row r="2006" ht="12.75" customHeight="1">
      <c r="H2006" s="43" t="n"/>
      <c r="AG2006" s="49">
        <f>IFERROR(__xludf.DUMMYFUNCTION("IFNA(vlookup(H2006,IMPORTRANGE(""1vUGwO1n0QQGx9kKbO0_M5gmuhXZ6-LaxQxgrmJnzgP0"",""'TP# look up'!A:C""),3,0),"""")"),"")</f>
        <v/>
      </c>
      <c r="AH2006" s="49">
        <f>LEFT(J2006,2)</f>
        <v/>
      </c>
    </row>
    <row r="2007" ht="12.75" customHeight="1">
      <c r="H2007" s="43" t="n"/>
      <c r="AG2007" s="49">
        <f>IFERROR(__xludf.DUMMYFUNCTION("IFNA(vlookup(H2007,IMPORTRANGE(""1vUGwO1n0QQGx9kKbO0_M5gmuhXZ6-LaxQxgrmJnzgP0"",""'TP# look up'!A:C""),3,0),"""")"),"")</f>
        <v/>
      </c>
      <c r="AH2007" s="49">
        <f>LEFT(J2007,2)</f>
        <v/>
      </c>
    </row>
    <row r="2008" ht="12.75" customHeight="1">
      <c r="H2008" s="43" t="n"/>
      <c r="AG2008" s="49">
        <f>IFERROR(__xludf.DUMMYFUNCTION("IFNA(vlookup(H2008,IMPORTRANGE(""1vUGwO1n0QQGx9kKbO0_M5gmuhXZ6-LaxQxgrmJnzgP0"",""'TP# look up'!A:C""),3,0),"""")"),"")</f>
        <v/>
      </c>
      <c r="AH2008" s="49">
        <f>LEFT(J2008,2)</f>
        <v/>
      </c>
    </row>
    <row r="2009" ht="12.75" customHeight="1">
      <c r="H2009" s="43" t="n"/>
      <c r="AG2009" s="49">
        <f>IFERROR(__xludf.DUMMYFUNCTION("IFNA(vlookup(H2009,IMPORTRANGE(""1vUGwO1n0QQGx9kKbO0_M5gmuhXZ6-LaxQxgrmJnzgP0"",""'TP# look up'!A:C""),3,0),"""")"),"")</f>
        <v/>
      </c>
      <c r="AH2009" s="49">
        <f>LEFT(J2009,2)</f>
        <v/>
      </c>
    </row>
    <row r="2010" ht="12.75" customHeight="1">
      <c r="H2010" s="43" t="n"/>
      <c r="AG2010" s="49">
        <f>IFERROR(__xludf.DUMMYFUNCTION("IFNA(vlookup(H2010,IMPORTRANGE(""1vUGwO1n0QQGx9kKbO0_M5gmuhXZ6-LaxQxgrmJnzgP0"",""'TP# look up'!A:C""),3,0),"""")"),"")</f>
        <v/>
      </c>
      <c r="AH2010" s="49">
        <f>LEFT(J2010,2)</f>
        <v/>
      </c>
    </row>
    <row r="2011" ht="12.75" customHeight="1">
      <c r="H2011" s="43" t="n"/>
      <c r="AG2011" s="49">
        <f>IFERROR(__xludf.DUMMYFUNCTION("IFNA(vlookup(H2011,IMPORTRANGE(""1vUGwO1n0QQGx9kKbO0_M5gmuhXZ6-LaxQxgrmJnzgP0"",""'TP# look up'!A:C""),3,0),"""")"),"")</f>
        <v/>
      </c>
      <c r="AH2011" s="49">
        <f>LEFT(J2011,2)</f>
        <v/>
      </c>
    </row>
    <row r="2012" ht="12.75" customHeight="1">
      <c r="H2012" s="43" t="n"/>
      <c r="AG2012" s="49">
        <f>IFERROR(__xludf.DUMMYFUNCTION("IFNA(vlookup(H2012,IMPORTRANGE(""1vUGwO1n0QQGx9kKbO0_M5gmuhXZ6-LaxQxgrmJnzgP0"",""'TP# look up'!A:C""),3,0),"""")"),"")</f>
        <v/>
      </c>
      <c r="AH2012" s="49">
        <f>LEFT(J2012,2)</f>
        <v/>
      </c>
    </row>
    <row r="2013" ht="12.75" customHeight="1">
      <c r="H2013" s="43" t="n"/>
      <c r="AG2013" s="49">
        <f>IFERROR(__xludf.DUMMYFUNCTION("IFNA(vlookup(H2013,IMPORTRANGE(""1vUGwO1n0QQGx9kKbO0_M5gmuhXZ6-LaxQxgrmJnzgP0"",""'TP# look up'!A:C""),3,0),"""")"),"")</f>
        <v/>
      </c>
      <c r="AH2013" s="49">
        <f>LEFT(J2013,2)</f>
        <v/>
      </c>
    </row>
    <row r="2014" ht="12.75" customHeight="1">
      <c r="H2014" s="43" t="n"/>
      <c r="AG2014" s="49">
        <f>IFERROR(__xludf.DUMMYFUNCTION("IFNA(vlookup(H2014,IMPORTRANGE(""1vUGwO1n0QQGx9kKbO0_M5gmuhXZ6-LaxQxgrmJnzgP0"",""'TP# look up'!A:C""),3,0),"""")"),"")</f>
        <v/>
      </c>
      <c r="AH2014" s="49">
        <f>LEFT(J2014,2)</f>
        <v/>
      </c>
    </row>
    <row r="2015" ht="12.75" customHeight="1">
      <c r="H2015" s="43" t="n"/>
      <c r="AG2015" s="49">
        <f>IFERROR(__xludf.DUMMYFUNCTION("IFNA(vlookup(H2015,IMPORTRANGE(""1vUGwO1n0QQGx9kKbO0_M5gmuhXZ6-LaxQxgrmJnzgP0"",""'TP# look up'!A:C""),3,0),"""")"),"")</f>
        <v/>
      </c>
      <c r="AH2015" s="49">
        <f>LEFT(J2015,2)</f>
        <v/>
      </c>
    </row>
    <row r="2016" ht="12.75" customHeight="1">
      <c r="H2016" s="43" t="n"/>
      <c r="AG2016" s="49">
        <f>IFERROR(__xludf.DUMMYFUNCTION("IFNA(vlookup(H2016,IMPORTRANGE(""1vUGwO1n0QQGx9kKbO0_M5gmuhXZ6-LaxQxgrmJnzgP0"",""'TP# look up'!A:C""),3,0),"""")"),"")</f>
        <v/>
      </c>
      <c r="AH2016" s="49">
        <f>LEFT(J2016,2)</f>
        <v/>
      </c>
    </row>
    <row r="2017" ht="12.75" customHeight="1">
      <c r="H2017" s="43" t="n"/>
      <c r="AG2017" s="49">
        <f>IFERROR(__xludf.DUMMYFUNCTION("IFNA(vlookup(H2017,IMPORTRANGE(""1vUGwO1n0QQGx9kKbO0_M5gmuhXZ6-LaxQxgrmJnzgP0"",""'TP# look up'!A:C""),3,0),"""")"),"")</f>
        <v/>
      </c>
      <c r="AH2017" s="49">
        <f>LEFT(J2017,2)</f>
        <v/>
      </c>
    </row>
    <row r="2018" ht="12.75" customHeight="1">
      <c r="H2018" s="43" t="n"/>
      <c r="AG2018" s="49">
        <f>IFERROR(__xludf.DUMMYFUNCTION("IFNA(vlookup(H2018,IMPORTRANGE(""1vUGwO1n0QQGx9kKbO0_M5gmuhXZ6-LaxQxgrmJnzgP0"",""'TP# look up'!A:C""),3,0),"""")"),"")</f>
        <v/>
      </c>
      <c r="AH2018" s="49">
        <f>LEFT(J2018,2)</f>
        <v/>
      </c>
    </row>
    <row r="2019" ht="12.75" customHeight="1">
      <c r="H2019" s="43" t="n"/>
      <c r="AG2019" s="49">
        <f>IFERROR(__xludf.DUMMYFUNCTION("IFNA(vlookup(H2019,IMPORTRANGE(""1vUGwO1n0QQGx9kKbO0_M5gmuhXZ6-LaxQxgrmJnzgP0"",""'TP# look up'!A:C""),3,0),"""")"),"")</f>
        <v/>
      </c>
      <c r="AH2019" s="49">
        <f>LEFT(J2019,2)</f>
        <v/>
      </c>
    </row>
    <row r="2020" ht="12.75" customHeight="1">
      <c r="H2020" s="43" t="n"/>
      <c r="AG2020" s="49">
        <f>IFERROR(__xludf.DUMMYFUNCTION("IFNA(vlookup(H2020,IMPORTRANGE(""1vUGwO1n0QQGx9kKbO0_M5gmuhXZ6-LaxQxgrmJnzgP0"",""'TP# look up'!A:C""),3,0),"""")"),"")</f>
        <v/>
      </c>
      <c r="AH2020" s="49">
        <f>LEFT(J2020,2)</f>
        <v/>
      </c>
    </row>
    <row r="2021" ht="12.75" customHeight="1">
      <c r="H2021" s="43" t="n"/>
      <c r="AG2021" s="49">
        <f>IFERROR(__xludf.DUMMYFUNCTION("IFNA(vlookup(H2021,IMPORTRANGE(""1vUGwO1n0QQGx9kKbO0_M5gmuhXZ6-LaxQxgrmJnzgP0"",""'TP# look up'!A:C""),3,0),"""")"),"")</f>
        <v/>
      </c>
      <c r="AH2021" s="49">
        <f>LEFT(J2021,2)</f>
        <v/>
      </c>
    </row>
    <row r="2022" ht="12.75" customHeight="1">
      <c r="H2022" s="43" t="n"/>
      <c r="AG2022" s="49">
        <f>IFERROR(__xludf.DUMMYFUNCTION("IFNA(vlookup(H2022,IMPORTRANGE(""1vUGwO1n0QQGx9kKbO0_M5gmuhXZ6-LaxQxgrmJnzgP0"",""'TP# look up'!A:C""),3,0),"""")"),"")</f>
        <v/>
      </c>
      <c r="AH2022" s="49">
        <f>LEFT(J2022,2)</f>
        <v/>
      </c>
    </row>
    <row r="2023" ht="12.75" customHeight="1">
      <c r="H2023" s="43" t="n"/>
      <c r="AG2023" s="49">
        <f>IFERROR(__xludf.DUMMYFUNCTION("IFNA(vlookup(H2023,IMPORTRANGE(""1vUGwO1n0QQGx9kKbO0_M5gmuhXZ6-LaxQxgrmJnzgP0"",""'TP# look up'!A:C""),3,0),"""")"),"")</f>
        <v/>
      </c>
      <c r="AH2023" s="49">
        <f>LEFT(J2023,2)</f>
        <v/>
      </c>
    </row>
    <row r="2024" ht="12.75" customHeight="1">
      <c r="H2024" s="43" t="n"/>
      <c r="AG2024" s="49">
        <f>IFERROR(__xludf.DUMMYFUNCTION("IFNA(vlookup(H2024,IMPORTRANGE(""1vUGwO1n0QQGx9kKbO0_M5gmuhXZ6-LaxQxgrmJnzgP0"",""'TP# look up'!A:C""),3,0),"""")"),"")</f>
        <v/>
      </c>
      <c r="AH2024" s="49">
        <f>LEFT(J2024,2)</f>
        <v/>
      </c>
    </row>
    <row r="2025" ht="12.75" customHeight="1">
      <c r="H2025" s="43" t="n"/>
      <c r="AG2025" s="49">
        <f>IFERROR(__xludf.DUMMYFUNCTION("IFNA(vlookup(H2025,IMPORTRANGE(""1vUGwO1n0QQGx9kKbO0_M5gmuhXZ6-LaxQxgrmJnzgP0"",""'TP# look up'!A:C""),3,0),"""")"),"")</f>
        <v/>
      </c>
      <c r="AH2025" s="49">
        <f>LEFT(J2025,2)</f>
        <v/>
      </c>
    </row>
    <row r="2026" ht="12.75" customHeight="1">
      <c r="H2026" s="43" t="n"/>
      <c r="AG2026" s="49">
        <f>IFERROR(__xludf.DUMMYFUNCTION("IFNA(vlookup(H2026,IMPORTRANGE(""1vUGwO1n0QQGx9kKbO0_M5gmuhXZ6-LaxQxgrmJnzgP0"",""'TP# look up'!A:C""),3,0),"""")"),"")</f>
        <v/>
      </c>
      <c r="AH2026" s="49">
        <f>LEFT(J2026,2)</f>
        <v/>
      </c>
    </row>
    <row r="2027" ht="12.75" customHeight="1">
      <c r="H2027" s="43" t="n"/>
      <c r="AG2027" s="49">
        <f>IFERROR(__xludf.DUMMYFUNCTION("IFNA(vlookup(H2027,IMPORTRANGE(""1vUGwO1n0QQGx9kKbO0_M5gmuhXZ6-LaxQxgrmJnzgP0"",""'TP# look up'!A:C""),3,0),"""")"),"")</f>
        <v/>
      </c>
      <c r="AH2027" s="49">
        <f>LEFT(J2027,2)</f>
        <v/>
      </c>
    </row>
    <row r="2028" ht="12.75" customHeight="1">
      <c r="H2028" s="43" t="n"/>
      <c r="AG2028" s="49">
        <f>IFERROR(__xludf.DUMMYFUNCTION("IFNA(vlookup(H2028,IMPORTRANGE(""1vUGwO1n0QQGx9kKbO0_M5gmuhXZ6-LaxQxgrmJnzgP0"",""'TP# look up'!A:C""),3,0),"""")"),"")</f>
        <v/>
      </c>
      <c r="AH2028" s="49">
        <f>LEFT(J2028,2)</f>
        <v/>
      </c>
    </row>
    <row r="2029" ht="12.75" customHeight="1">
      <c r="H2029" s="43" t="n"/>
      <c r="AG2029" s="49">
        <f>IFERROR(__xludf.DUMMYFUNCTION("IFNA(vlookup(H2029,IMPORTRANGE(""1vUGwO1n0QQGx9kKbO0_M5gmuhXZ6-LaxQxgrmJnzgP0"",""'TP# look up'!A:C""),3,0),"""")"),"")</f>
        <v/>
      </c>
      <c r="AH2029" s="49">
        <f>LEFT(J2029,2)</f>
        <v/>
      </c>
    </row>
    <row r="2030" ht="12.75" customHeight="1">
      <c r="H2030" s="43" t="n"/>
      <c r="AG2030" s="49">
        <f>IFERROR(__xludf.DUMMYFUNCTION("IFNA(vlookup(H2030,IMPORTRANGE(""1vUGwO1n0QQGx9kKbO0_M5gmuhXZ6-LaxQxgrmJnzgP0"",""'TP# look up'!A:C""),3,0),"""")"),"")</f>
        <v/>
      </c>
      <c r="AH2030" s="49">
        <f>LEFT(J2030,2)</f>
        <v/>
      </c>
    </row>
    <row r="2031" ht="12.75" customHeight="1">
      <c r="H2031" s="43" t="n"/>
      <c r="AG2031" s="49">
        <f>IFERROR(__xludf.DUMMYFUNCTION("IFNA(vlookup(H2031,IMPORTRANGE(""1vUGwO1n0QQGx9kKbO0_M5gmuhXZ6-LaxQxgrmJnzgP0"",""'TP# look up'!A:C""),3,0),"""")"),"")</f>
        <v/>
      </c>
      <c r="AH2031" s="49">
        <f>LEFT(J2031,2)</f>
        <v/>
      </c>
    </row>
    <row r="2032" ht="12.75" customHeight="1">
      <c r="H2032" s="43" t="n"/>
      <c r="AG2032" s="49">
        <f>IFERROR(__xludf.DUMMYFUNCTION("IFNA(vlookup(H2032,IMPORTRANGE(""1vUGwO1n0QQGx9kKbO0_M5gmuhXZ6-LaxQxgrmJnzgP0"",""'TP# look up'!A:C""),3,0),"""")"),"")</f>
        <v/>
      </c>
      <c r="AH2032" s="49">
        <f>LEFT(J2032,2)</f>
        <v/>
      </c>
    </row>
    <row r="2033" ht="12.75" customHeight="1">
      <c r="H2033" s="43" t="n"/>
      <c r="AG2033" s="49">
        <f>IFERROR(__xludf.DUMMYFUNCTION("IFNA(vlookup(H2033,IMPORTRANGE(""1vUGwO1n0QQGx9kKbO0_M5gmuhXZ6-LaxQxgrmJnzgP0"",""'TP# look up'!A:C""),3,0),"""")"),"")</f>
        <v/>
      </c>
      <c r="AH2033" s="49">
        <f>LEFT(J2033,2)</f>
        <v/>
      </c>
    </row>
    <row r="2034" ht="12.75" customHeight="1">
      <c r="H2034" s="43" t="n"/>
      <c r="AG2034" s="49">
        <f>IFERROR(__xludf.DUMMYFUNCTION("IFNA(vlookup(H2034,IMPORTRANGE(""1vUGwO1n0QQGx9kKbO0_M5gmuhXZ6-LaxQxgrmJnzgP0"",""'TP# look up'!A:C""),3,0),"""")"),"")</f>
        <v/>
      </c>
      <c r="AH2034" s="49">
        <f>LEFT(J2034,2)</f>
        <v/>
      </c>
    </row>
    <row r="2035" ht="12.75" customHeight="1">
      <c r="H2035" s="43" t="n"/>
      <c r="AG2035" s="49">
        <f>IFERROR(__xludf.DUMMYFUNCTION("IFNA(vlookup(H2035,IMPORTRANGE(""1vUGwO1n0QQGx9kKbO0_M5gmuhXZ6-LaxQxgrmJnzgP0"",""'TP# look up'!A:C""),3,0),"""")"),"")</f>
        <v/>
      </c>
      <c r="AH2035" s="49">
        <f>LEFT(J2035,2)</f>
        <v/>
      </c>
    </row>
    <row r="2036" ht="12.75" customHeight="1">
      <c r="H2036" s="43" t="n"/>
      <c r="AG2036" s="49">
        <f>IFERROR(__xludf.DUMMYFUNCTION("IFNA(vlookup(H2036,IMPORTRANGE(""1vUGwO1n0QQGx9kKbO0_M5gmuhXZ6-LaxQxgrmJnzgP0"",""'TP# look up'!A:C""),3,0),"""")"),"")</f>
        <v/>
      </c>
      <c r="AH2036" s="49">
        <f>LEFT(J2036,2)</f>
        <v/>
      </c>
    </row>
    <row r="2037" ht="12.75" customHeight="1">
      <c r="H2037" s="43" t="n"/>
      <c r="AG2037" s="49">
        <f>IFERROR(__xludf.DUMMYFUNCTION("IFNA(vlookup(H2037,IMPORTRANGE(""1vUGwO1n0QQGx9kKbO0_M5gmuhXZ6-LaxQxgrmJnzgP0"",""'TP# look up'!A:C""),3,0),"""")"),"")</f>
        <v/>
      </c>
      <c r="AH2037" s="49">
        <f>LEFT(J2037,2)</f>
        <v/>
      </c>
    </row>
    <row r="2038" ht="12.75" customHeight="1">
      <c r="H2038" s="43" t="n"/>
      <c r="AG2038" s="49">
        <f>IFERROR(__xludf.DUMMYFUNCTION("IFNA(vlookup(H2038,IMPORTRANGE(""1vUGwO1n0QQGx9kKbO0_M5gmuhXZ6-LaxQxgrmJnzgP0"",""'TP# look up'!A:C""),3,0),"""")"),"")</f>
        <v/>
      </c>
      <c r="AH2038" s="49">
        <f>LEFT(J2038,2)</f>
        <v/>
      </c>
    </row>
    <row r="2039" ht="12.75" customHeight="1">
      <c r="H2039" s="43" t="n"/>
      <c r="AG2039" s="49">
        <f>IFERROR(__xludf.DUMMYFUNCTION("IFNA(vlookup(H2039,IMPORTRANGE(""1vUGwO1n0QQGx9kKbO0_M5gmuhXZ6-LaxQxgrmJnzgP0"",""'TP# look up'!A:C""),3,0),"""")"),"")</f>
        <v/>
      </c>
      <c r="AH2039" s="49">
        <f>LEFT(J2039,2)</f>
        <v/>
      </c>
    </row>
    <row r="2040" ht="12.75" customHeight="1">
      <c r="H2040" s="43" t="n"/>
      <c r="AG2040" s="49">
        <f>IFERROR(__xludf.DUMMYFUNCTION("IFNA(vlookup(H2040,IMPORTRANGE(""1vUGwO1n0QQGx9kKbO0_M5gmuhXZ6-LaxQxgrmJnzgP0"",""'TP# look up'!A:C""),3,0),"""")"),"")</f>
        <v/>
      </c>
      <c r="AH2040" s="49">
        <f>LEFT(J2040,2)</f>
        <v/>
      </c>
    </row>
    <row r="2041" ht="12.75" customHeight="1">
      <c r="H2041" s="43" t="n"/>
      <c r="AG2041" s="49">
        <f>IFERROR(__xludf.DUMMYFUNCTION("IFNA(vlookup(H2041,IMPORTRANGE(""1vUGwO1n0QQGx9kKbO0_M5gmuhXZ6-LaxQxgrmJnzgP0"",""'TP# look up'!A:C""),3,0),"""")"),"")</f>
        <v/>
      </c>
      <c r="AH2041" s="49">
        <f>LEFT(J2041,2)</f>
        <v/>
      </c>
    </row>
    <row r="2042" ht="12.75" customHeight="1">
      <c r="H2042" s="43" t="n"/>
      <c r="AG2042" s="49">
        <f>IFERROR(__xludf.DUMMYFUNCTION("IFNA(vlookup(H2042,IMPORTRANGE(""1vUGwO1n0QQGx9kKbO0_M5gmuhXZ6-LaxQxgrmJnzgP0"",""'TP# look up'!A:C""),3,0),"""")"),"")</f>
        <v/>
      </c>
      <c r="AH2042" s="49">
        <f>LEFT(J2042,2)</f>
        <v/>
      </c>
    </row>
    <row r="2043" ht="12.75" customHeight="1">
      <c r="H2043" s="43" t="n"/>
      <c r="AG2043" s="49">
        <f>IFERROR(__xludf.DUMMYFUNCTION("IFNA(vlookup(H2043,IMPORTRANGE(""1vUGwO1n0QQGx9kKbO0_M5gmuhXZ6-LaxQxgrmJnzgP0"",""'TP# look up'!A:C""),3,0),"""")"),"")</f>
        <v/>
      </c>
      <c r="AH2043" s="49">
        <f>LEFT(J2043,2)</f>
        <v/>
      </c>
    </row>
    <row r="2044" ht="12.75" customHeight="1">
      <c r="H2044" s="43" t="n"/>
      <c r="AG2044" s="49">
        <f>IFERROR(__xludf.DUMMYFUNCTION("IFNA(vlookup(H2044,IMPORTRANGE(""1vUGwO1n0QQGx9kKbO0_M5gmuhXZ6-LaxQxgrmJnzgP0"",""'TP# look up'!A:C""),3,0),"""")"),"")</f>
        <v/>
      </c>
      <c r="AH2044" s="49">
        <f>LEFT(J2044,2)</f>
        <v/>
      </c>
    </row>
    <row r="2045" ht="12.75" customHeight="1">
      <c r="H2045" s="43" t="n"/>
      <c r="AG2045" s="49">
        <f>IFERROR(__xludf.DUMMYFUNCTION("IFNA(vlookup(H2045,IMPORTRANGE(""1vUGwO1n0QQGx9kKbO0_M5gmuhXZ6-LaxQxgrmJnzgP0"",""'TP# look up'!A:C""),3,0),"""")"),"")</f>
        <v/>
      </c>
      <c r="AH2045" s="49">
        <f>LEFT(J2045,2)</f>
        <v/>
      </c>
    </row>
    <row r="2046" ht="12.75" customHeight="1">
      <c r="H2046" s="43" t="n"/>
      <c r="AG2046" s="49">
        <f>IFERROR(__xludf.DUMMYFUNCTION("IFNA(vlookup(H2046,IMPORTRANGE(""1vUGwO1n0QQGx9kKbO0_M5gmuhXZ6-LaxQxgrmJnzgP0"",""'TP# look up'!A:C""),3,0),"""")"),"")</f>
        <v/>
      </c>
      <c r="AH2046" s="49">
        <f>LEFT(J2046,2)</f>
        <v/>
      </c>
    </row>
    <row r="2047" ht="12.75" customHeight="1">
      <c r="H2047" s="43" t="n"/>
      <c r="AG2047" s="49">
        <f>IFERROR(__xludf.DUMMYFUNCTION("IFNA(vlookup(H2047,IMPORTRANGE(""1vUGwO1n0QQGx9kKbO0_M5gmuhXZ6-LaxQxgrmJnzgP0"",""'TP# look up'!A:C""),3,0),"""")"),"")</f>
        <v/>
      </c>
      <c r="AH2047" s="49">
        <f>LEFT(J2047,2)</f>
        <v/>
      </c>
    </row>
    <row r="2048" ht="12.75" customHeight="1">
      <c r="H2048" s="43" t="n"/>
      <c r="AG2048" s="49">
        <f>IFERROR(__xludf.DUMMYFUNCTION("IFNA(vlookup(H2048,IMPORTRANGE(""1vUGwO1n0QQGx9kKbO0_M5gmuhXZ6-LaxQxgrmJnzgP0"",""'TP# look up'!A:C""),3,0),"""")"),"")</f>
        <v/>
      </c>
      <c r="AH2048" s="49">
        <f>LEFT(J2048,2)</f>
        <v/>
      </c>
    </row>
    <row r="2049" ht="12.75" customHeight="1">
      <c r="H2049" s="43" t="n"/>
      <c r="AG2049" s="49">
        <f>IFERROR(__xludf.DUMMYFUNCTION("IFNA(vlookup(H2049,IMPORTRANGE(""1vUGwO1n0QQGx9kKbO0_M5gmuhXZ6-LaxQxgrmJnzgP0"",""'TP# look up'!A:C""),3,0),"""")"),"")</f>
        <v/>
      </c>
      <c r="AH2049" s="49">
        <f>LEFT(J2049,2)</f>
        <v/>
      </c>
    </row>
    <row r="2050" ht="12.75" customHeight="1">
      <c r="H2050" s="43" t="n"/>
      <c r="AG2050" s="49">
        <f>IFERROR(__xludf.DUMMYFUNCTION("IFNA(vlookup(H2050,IMPORTRANGE(""1vUGwO1n0QQGx9kKbO0_M5gmuhXZ6-LaxQxgrmJnzgP0"",""'TP# look up'!A:C""),3,0),"""")"),"")</f>
        <v/>
      </c>
      <c r="AH2050" s="49">
        <f>LEFT(J2050,2)</f>
        <v/>
      </c>
    </row>
    <row r="2051" ht="12.75" customHeight="1">
      <c r="H2051" s="43" t="n"/>
      <c r="AG2051" s="49">
        <f>IFERROR(__xludf.DUMMYFUNCTION("IFNA(vlookup(H2051,IMPORTRANGE(""1vUGwO1n0QQGx9kKbO0_M5gmuhXZ6-LaxQxgrmJnzgP0"",""'TP# look up'!A:C""),3,0),"""")"),"")</f>
        <v/>
      </c>
      <c r="AH2051" s="49">
        <f>LEFT(J2051,2)</f>
        <v/>
      </c>
    </row>
    <row r="2052" ht="12.75" customHeight="1">
      <c r="H2052" s="43" t="n"/>
      <c r="AG2052" s="49">
        <f>IFERROR(__xludf.DUMMYFUNCTION("IFNA(vlookup(H2052,IMPORTRANGE(""1vUGwO1n0QQGx9kKbO0_M5gmuhXZ6-LaxQxgrmJnzgP0"",""'TP# look up'!A:C""),3,0),"""")"),"")</f>
        <v/>
      </c>
      <c r="AH2052" s="49">
        <f>LEFT(J2052,2)</f>
        <v/>
      </c>
    </row>
    <row r="2053" ht="12.75" customHeight="1">
      <c r="H2053" s="43" t="n"/>
      <c r="AG2053" s="49">
        <f>IFERROR(__xludf.DUMMYFUNCTION("IFNA(vlookup(H2053,IMPORTRANGE(""1vUGwO1n0QQGx9kKbO0_M5gmuhXZ6-LaxQxgrmJnzgP0"",""'TP# look up'!A:C""),3,0),"""")"),"")</f>
        <v/>
      </c>
      <c r="AH2053" s="49">
        <f>LEFT(J2053,2)</f>
        <v/>
      </c>
    </row>
    <row r="2054" ht="12.75" customHeight="1">
      <c r="H2054" s="43" t="n"/>
      <c r="AG2054" s="49">
        <f>IFERROR(__xludf.DUMMYFUNCTION("IFNA(vlookup(H2054,IMPORTRANGE(""1vUGwO1n0QQGx9kKbO0_M5gmuhXZ6-LaxQxgrmJnzgP0"",""'TP# look up'!A:C""),3,0),"""")"),"")</f>
        <v/>
      </c>
      <c r="AH2054" s="49">
        <f>LEFT(J2054,2)</f>
        <v/>
      </c>
    </row>
    <row r="2055" ht="12.75" customHeight="1">
      <c r="H2055" s="43" t="n"/>
      <c r="AG2055" s="49">
        <f>IFERROR(__xludf.DUMMYFUNCTION("IFNA(vlookup(H2055,IMPORTRANGE(""1vUGwO1n0QQGx9kKbO0_M5gmuhXZ6-LaxQxgrmJnzgP0"",""'TP# look up'!A:C""),3,0),"""")"),"")</f>
        <v/>
      </c>
      <c r="AH2055" s="49">
        <f>LEFT(J2055,2)</f>
        <v/>
      </c>
    </row>
    <row r="2056" ht="12.75" customHeight="1">
      <c r="H2056" s="43" t="n"/>
      <c r="AG2056" s="49">
        <f>IFERROR(__xludf.DUMMYFUNCTION("IFNA(vlookup(H2056,IMPORTRANGE(""1vUGwO1n0QQGx9kKbO0_M5gmuhXZ6-LaxQxgrmJnzgP0"",""'TP# look up'!A:C""),3,0),"""")"),"")</f>
        <v/>
      </c>
      <c r="AH2056" s="49">
        <f>LEFT(J2056,2)</f>
        <v/>
      </c>
    </row>
    <row r="2057" ht="12.75" customHeight="1">
      <c r="H2057" s="43" t="n"/>
      <c r="AG2057" s="49">
        <f>IFERROR(__xludf.DUMMYFUNCTION("IFNA(vlookup(H2057,IMPORTRANGE(""1vUGwO1n0QQGx9kKbO0_M5gmuhXZ6-LaxQxgrmJnzgP0"",""'TP# look up'!A:C""),3,0),"""")"),"")</f>
        <v/>
      </c>
      <c r="AH2057" s="49">
        <f>LEFT(J2057,2)</f>
        <v/>
      </c>
    </row>
    <row r="2058" ht="12.75" customHeight="1">
      <c r="H2058" s="43" t="n"/>
      <c r="AG2058" s="49">
        <f>IFERROR(__xludf.DUMMYFUNCTION("IFNA(vlookup(H2058,IMPORTRANGE(""1vUGwO1n0QQGx9kKbO0_M5gmuhXZ6-LaxQxgrmJnzgP0"",""'TP# look up'!A:C""),3,0),"""")"),"")</f>
        <v/>
      </c>
      <c r="AH2058" s="49">
        <f>LEFT(J2058,2)</f>
        <v/>
      </c>
    </row>
    <row r="2059" ht="12.75" customHeight="1">
      <c r="H2059" s="43" t="n"/>
      <c r="AG2059" s="49">
        <f>IFERROR(__xludf.DUMMYFUNCTION("IFNA(vlookup(H2059,IMPORTRANGE(""1vUGwO1n0QQGx9kKbO0_M5gmuhXZ6-LaxQxgrmJnzgP0"",""'TP# look up'!A:C""),3,0),"""")"),"")</f>
        <v/>
      </c>
      <c r="AH2059" s="49">
        <f>LEFT(J2059,2)</f>
        <v/>
      </c>
    </row>
    <row r="2060" ht="12.75" customHeight="1">
      <c r="H2060" s="43" t="n"/>
      <c r="AG2060" s="49">
        <f>IFERROR(__xludf.DUMMYFUNCTION("IFNA(vlookup(H2060,IMPORTRANGE(""1vUGwO1n0QQGx9kKbO0_M5gmuhXZ6-LaxQxgrmJnzgP0"",""'TP# look up'!A:C""),3,0),"""")"),"")</f>
        <v/>
      </c>
      <c r="AH2060" s="49">
        <f>LEFT(J2060,2)</f>
        <v/>
      </c>
    </row>
    <row r="2061" ht="12.75" customHeight="1">
      <c r="H2061" s="43" t="n"/>
      <c r="AG2061" s="49">
        <f>IFERROR(__xludf.DUMMYFUNCTION("IFNA(vlookup(H2061,IMPORTRANGE(""1vUGwO1n0QQGx9kKbO0_M5gmuhXZ6-LaxQxgrmJnzgP0"",""'TP# look up'!A:C""),3,0),"""")"),"")</f>
        <v/>
      </c>
      <c r="AH2061" s="49">
        <f>LEFT(J2061,2)</f>
        <v/>
      </c>
    </row>
    <row r="2062" ht="12.75" customHeight="1">
      <c r="H2062" s="43" t="n"/>
      <c r="AG2062" s="49">
        <f>IFERROR(__xludf.DUMMYFUNCTION("IFNA(vlookup(H2062,IMPORTRANGE(""1vUGwO1n0QQGx9kKbO0_M5gmuhXZ6-LaxQxgrmJnzgP0"",""'TP# look up'!A:C""),3,0),"""")"),"")</f>
        <v/>
      </c>
      <c r="AH2062" s="49">
        <f>LEFT(J2062,2)</f>
        <v/>
      </c>
    </row>
    <row r="2063" ht="12.75" customHeight="1">
      <c r="H2063" s="43" t="n"/>
      <c r="AG2063" s="49">
        <f>IFERROR(__xludf.DUMMYFUNCTION("IFNA(vlookup(H2063,IMPORTRANGE(""1vUGwO1n0QQGx9kKbO0_M5gmuhXZ6-LaxQxgrmJnzgP0"",""'TP# look up'!A:C""),3,0),"""")"),"")</f>
        <v/>
      </c>
      <c r="AH2063" s="49">
        <f>LEFT(J2063,2)</f>
        <v/>
      </c>
    </row>
    <row r="2064" ht="12.75" customHeight="1">
      <c r="H2064" s="43" t="n"/>
      <c r="AG2064" s="49">
        <f>IFERROR(__xludf.DUMMYFUNCTION("IFNA(vlookup(H2064,IMPORTRANGE(""1vUGwO1n0QQGx9kKbO0_M5gmuhXZ6-LaxQxgrmJnzgP0"",""'TP# look up'!A:C""),3,0),"""")"),"")</f>
        <v/>
      </c>
      <c r="AH2064" s="49">
        <f>LEFT(J2064,2)</f>
        <v/>
      </c>
    </row>
    <row r="2065" ht="12.75" customHeight="1">
      <c r="H2065" s="43" t="n"/>
      <c r="AG2065" s="49">
        <f>IFERROR(__xludf.DUMMYFUNCTION("IFNA(vlookup(H2065,IMPORTRANGE(""1vUGwO1n0QQGx9kKbO0_M5gmuhXZ6-LaxQxgrmJnzgP0"",""'TP# look up'!A:C""),3,0),"""")"),"")</f>
        <v/>
      </c>
      <c r="AH2065" s="49">
        <f>LEFT(J2065,2)</f>
        <v/>
      </c>
    </row>
    <row r="2066" ht="12.75" customHeight="1">
      <c r="H2066" s="43" t="n"/>
      <c r="AG2066" s="49">
        <f>IFERROR(__xludf.DUMMYFUNCTION("IFNA(vlookup(H2066,IMPORTRANGE(""1vUGwO1n0QQGx9kKbO0_M5gmuhXZ6-LaxQxgrmJnzgP0"",""'TP# look up'!A:C""),3,0),"""")"),"")</f>
        <v/>
      </c>
      <c r="AH2066" s="49">
        <f>LEFT(J2066,2)</f>
        <v/>
      </c>
    </row>
    <row r="2067" ht="12.75" customHeight="1">
      <c r="H2067" s="43" t="n"/>
      <c r="AG2067" s="49">
        <f>IFERROR(__xludf.DUMMYFUNCTION("IFNA(vlookup(H2067,IMPORTRANGE(""1vUGwO1n0QQGx9kKbO0_M5gmuhXZ6-LaxQxgrmJnzgP0"",""'TP# look up'!A:C""),3,0),"""")"),"")</f>
        <v/>
      </c>
      <c r="AH2067" s="49">
        <f>LEFT(J2067,2)</f>
        <v/>
      </c>
    </row>
    <row r="2068" ht="12.75" customHeight="1">
      <c r="H2068" s="43" t="n"/>
      <c r="AG2068" s="49">
        <f>IFERROR(__xludf.DUMMYFUNCTION("IFNA(vlookup(H2068,IMPORTRANGE(""1vUGwO1n0QQGx9kKbO0_M5gmuhXZ6-LaxQxgrmJnzgP0"",""'TP# look up'!A:C""),3,0),"""")"),"")</f>
        <v/>
      </c>
      <c r="AH2068" s="49">
        <f>LEFT(J2068,2)</f>
        <v/>
      </c>
    </row>
    <row r="2069" ht="12.75" customHeight="1">
      <c r="H2069" s="43" t="n"/>
      <c r="AG2069" s="49">
        <f>IFERROR(__xludf.DUMMYFUNCTION("IFNA(vlookup(H2069,IMPORTRANGE(""1vUGwO1n0QQGx9kKbO0_M5gmuhXZ6-LaxQxgrmJnzgP0"",""'TP# look up'!A:C""),3,0),"""")"),"")</f>
        <v/>
      </c>
      <c r="AH2069" s="49">
        <f>LEFT(J2069,2)</f>
        <v/>
      </c>
    </row>
    <row r="2070" ht="12.75" customHeight="1">
      <c r="H2070" s="43" t="n"/>
      <c r="AG2070" s="49">
        <f>IFERROR(__xludf.DUMMYFUNCTION("IFNA(vlookup(H2070,IMPORTRANGE(""1vUGwO1n0QQGx9kKbO0_M5gmuhXZ6-LaxQxgrmJnzgP0"",""'TP# look up'!A:C""),3,0),"""")"),"")</f>
        <v/>
      </c>
      <c r="AH2070" s="49">
        <f>LEFT(J2070,2)</f>
        <v/>
      </c>
    </row>
    <row r="2071" ht="12.75" customHeight="1">
      <c r="H2071" s="43" t="n"/>
      <c r="AG2071" s="49">
        <f>IFERROR(__xludf.DUMMYFUNCTION("IFNA(vlookup(H2071,IMPORTRANGE(""1vUGwO1n0QQGx9kKbO0_M5gmuhXZ6-LaxQxgrmJnzgP0"",""'TP# look up'!A:C""),3,0),"""")"),"")</f>
        <v/>
      </c>
      <c r="AH2071" s="49">
        <f>LEFT(J2071,2)</f>
        <v/>
      </c>
    </row>
    <row r="2072" ht="12.75" customHeight="1">
      <c r="H2072" s="43" t="n"/>
      <c r="AG2072" s="49">
        <f>IFERROR(__xludf.DUMMYFUNCTION("IFNA(vlookup(H2072,IMPORTRANGE(""1vUGwO1n0QQGx9kKbO0_M5gmuhXZ6-LaxQxgrmJnzgP0"",""'TP# look up'!A:C""),3,0),"""")"),"")</f>
        <v/>
      </c>
      <c r="AH2072" s="49">
        <f>LEFT(J2072,2)</f>
        <v/>
      </c>
    </row>
    <row r="2073" ht="12.75" customHeight="1">
      <c r="H2073" s="43" t="n"/>
      <c r="AG2073" s="49">
        <f>IFERROR(__xludf.DUMMYFUNCTION("IFNA(vlookup(H2073,IMPORTRANGE(""1vUGwO1n0QQGx9kKbO0_M5gmuhXZ6-LaxQxgrmJnzgP0"",""'TP# look up'!A:C""),3,0),"""")"),"")</f>
        <v/>
      </c>
      <c r="AH2073" s="49">
        <f>LEFT(J2073,2)</f>
        <v/>
      </c>
    </row>
    <row r="2074" ht="12.75" customHeight="1">
      <c r="H2074" s="43" t="n"/>
      <c r="AG2074" s="49">
        <f>IFERROR(__xludf.DUMMYFUNCTION("IFNA(vlookup(H2074,IMPORTRANGE(""1vUGwO1n0QQGx9kKbO0_M5gmuhXZ6-LaxQxgrmJnzgP0"",""'TP# look up'!A:C""),3,0),"""")"),"")</f>
        <v/>
      </c>
      <c r="AH2074" s="49">
        <f>LEFT(J2074,2)</f>
        <v/>
      </c>
    </row>
    <row r="2075" ht="12.75" customHeight="1">
      <c r="H2075" s="43" t="n"/>
      <c r="AG2075" s="49">
        <f>IFERROR(__xludf.DUMMYFUNCTION("IFNA(vlookup(H2075,IMPORTRANGE(""1vUGwO1n0QQGx9kKbO0_M5gmuhXZ6-LaxQxgrmJnzgP0"",""'TP# look up'!A:C""),3,0),"""")"),"")</f>
        <v/>
      </c>
      <c r="AH2075" s="49">
        <f>LEFT(J2075,2)</f>
        <v/>
      </c>
    </row>
    <row r="2076" ht="12.75" customHeight="1">
      <c r="H2076" s="43" t="n"/>
      <c r="AG2076" s="49">
        <f>IFERROR(__xludf.DUMMYFUNCTION("IFNA(vlookup(H2076,IMPORTRANGE(""1vUGwO1n0QQGx9kKbO0_M5gmuhXZ6-LaxQxgrmJnzgP0"",""'TP# look up'!A:C""),3,0),"""")"),"")</f>
        <v/>
      </c>
      <c r="AH2076" s="49">
        <f>LEFT(J2076,2)</f>
        <v/>
      </c>
    </row>
    <row r="2077" ht="12.75" customHeight="1">
      <c r="H2077" s="43" t="n"/>
      <c r="AG2077" s="49">
        <f>IFERROR(__xludf.DUMMYFUNCTION("IFNA(vlookup(H2077,IMPORTRANGE(""1vUGwO1n0QQGx9kKbO0_M5gmuhXZ6-LaxQxgrmJnzgP0"",""'TP# look up'!A:C""),3,0),"""")"),"")</f>
        <v/>
      </c>
      <c r="AH2077" s="49">
        <f>LEFT(J2077,2)</f>
        <v/>
      </c>
    </row>
    <row r="2078" ht="12.75" customHeight="1">
      <c r="H2078" s="43" t="n"/>
      <c r="AG2078" s="49">
        <f>IFERROR(__xludf.DUMMYFUNCTION("IFNA(vlookup(H2078,IMPORTRANGE(""1vUGwO1n0QQGx9kKbO0_M5gmuhXZ6-LaxQxgrmJnzgP0"",""'TP# look up'!A:C""),3,0),"""")"),"")</f>
        <v/>
      </c>
      <c r="AH2078" s="49">
        <f>LEFT(J2078,2)</f>
        <v/>
      </c>
    </row>
    <row r="2079" ht="12.75" customHeight="1">
      <c r="H2079" s="43" t="n"/>
      <c r="AG2079" s="49">
        <f>IFERROR(__xludf.DUMMYFUNCTION("IFNA(vlookup(H2079,IMPORTRANGE(""1vUGwO1n0QQGx9kKbO0_M5gmuhXZ6-LaxQxgrmJnzgP0"",""'TP# look up'!A:C""),3,0),"""")"),"")</f>
        <v/>
      </c>
      <c r="AH2079" s="49">
        <f>LEFT(J2079,2)</f>
        <v/>
      </c>
    </row>
    <row r="2080" ht="12.75" customHeight="1">
      <c r="H2080" s="43" t="n"/>
      <c r="AG2080" s="49">
        <f>IFERROR(__xludf.DUMMYFUNCTION("IFNA(vlookup(H2080,IMPORTRANGE(""1vUGwO1n0QQGx9kKbO0_M5gmuhXZ6-LaxQxgrmJnzgP0"",""'TP# look up'!A:C""),3,0),"""")"),"")</f>
        <v/>
      </c>
      <c r="AH2080" s="49">
        <f>LEFT(J2080,2)</f>
        <v/>
      </c>
    </row>
    <row r="2081" ht="12.75" customHeight="1">
      <c r="H2081" s="43" t="n"/>
      <c r="AG2081" s="49">
        <f>IFERROR(__xludf.DUMMYFUNCTION("IFNA(vlookup(H2081,IMPORTRANGE(""1vUGwO1n0QQGx9kKbO0_M5gmuhXZ6-LaxQxgrmJnzgP0"",""'TP# look up'!A:C""),3,0),"""")"),"")</f>
        <v/>
      </c>
      <c r="AH2081" s="49">
        <f>LEFT(J2081,2)</f>
        <v/>
      </c>
    </row>
    <row r="2082" ht="12.75" customHeight="1">
      <c r="H2082" s="43" t="n"/>
      <c r="AG2082" s="49">
        <f>IFERROR(__xludf.DUMMYFUNCTION("IFNA(vlookup(H2082,IMPORTRANGE(""1vUGwO1n0QQGx9kKbO0_M5gmuhXZ6-LaxQxgrmJnzgP0"",""'TP# look up'!A:C""),3,0),"""")"),"")</f>
        <v/>
      </c>
      <c r="AH2082" s="49">
        <f>LEFT(J2082,2)</f>
        <v/>
      </c>
    </row>
    <row r="2083" ht="12.75" customHeight="1">
      <c r="H2083" s="43" t="n"/>
      <c r="AG2083" s="49">
        <f>IFERROR(__xludf.DUMMYFUNCTION("IFNA(vlookup(H2083,IMPORTRANGE(""1vUGwO1n0QQGx9kKbO0_M5gmuhXZ6-LaxQxgrmJnzgP0"",""'TP# look up'!A:C""),3,0),"""")"),"")</f>
        <v/>
      </c>
      <c r="AH2083" s="49">
        <f>LEFT(J2083,2)</f>
        <v/>
      </c>
    </row>
    <row r="2084" ht="12.75" customHeight="1">
      <c r="H2084" s="43" t="n"/>
      <c r="AG2084" s="49">
        <f>IFERROR(__xludf.DUMMYFUNCTION("IFNA(vlookup(H2084,IMPORTRANGE(""1vUGwO1n0QQGx9kKbO0_M5gmuhXZ6-LaxQxgrmJnzgP0"",""'TP# look up'!A:C""),3,0),"""")"),"")</f>
        <v/>
      </c>
      <c r="AH2084" s="49">
        <f>LEFT(J2084,2)</f>
        <v/>
      </c>
    </row>
    <row r="2085" ht="12.75" customHeight="1">
      <c r="H2085" s="43" t="n"/>
      <c r="AG2085" s="49">
        <f>IFERROR(__xludf.DUMMYFUNCTION("IFNA(vlookup(H2085,IMPORTRANGE(""1vUGwO1n0QQGx9kKbO0_M5gmuhXZ6-LaxQxgrmJnzgP0"",""'TP# look up'!A:C""),3,0),"""")"),"")</f>
        <v/>
      </c>
      <c r="AH2085" s="49">
        <f>LEFT(J2085,2)</f>
        <v/>
      </c>
    </row>
    <row r="2086" ht="12.75" customHeight="1">
      <c r="H2086" s="43" t="n"/>
      <c r="AG2086" s="49">
        <f>IFERROR(__xludf.DUMMYFUNCTION("IFNA(vlookup(H2086,IMPORTRANGE(""1vUGwO1n0QQGx9kKbO0_M5gmuhXZ6-LaxQxgrmJnzgP0"",""'TP# look up'!A:C""),3,0),"""")"),"")</f>
        <v/>
      </c>
      <c r="AH2086" s="49">
        <f>LEFT(J2086,2)</f>
        <v/>
      </c>
    </row>
    <row r="2087" ht="12.75" customHeight="1">
      <c r="H2087" s="43" t="n"/>
      <c r="AG2087" s="49">
        <f>IFERROR(__xludf.DUMMYFUNCTION("IFNA(vlookup(H2087,IMPORTRANGE(""1vUGwO1n0QQGx9kKbO0_M5gmuhXZ6-LaxQxgrmJnzgP0"",""'TP# look up'!A:C""),3,0),"""")"),"")</f>
        <v/>
      </c>
      <c r="AH2087" s="49">
        <f>LEFT(J2087,2)</f>
        <v/>
      </c>
    </row>
    <row r="2088" ht="12.75" customHeight="1">
      <c r="H2088" s="43" t="n"/>
      <c r="AG2088" s="49">
        <f>IFERROR(__xludf.DUMMYFUNCTION("IFNA(vlookup(H2088,IMPORTRANGE(""1vUGwO1n0QQGx9kKbO0_M5gmuhXZ6-LaxQxgrmJnzgP0"",""'TP# look up'!A:C""),3,0),"""")"),"")</f>
        <v/>
      </c>
      <c r="AH2088" s="49">
        <f>LEFT(J2088,2)</f>
        <v/>
      </c>
    </row>
    <row r="2089" ht="12.75" customHeight="1">
      <c r="H2089" s="43" t="n"/>
      <c r="AG2089" s="49">
        <f>IFERROR(__xludf.DUMMYFUNCTION("IFNA(vlookup(H2089,IMPORTRANGE(""1vUGwO1n0QQGx9kKbO0_M5gmuhXZ6-LaxQxgrmJnzgP0"",""'TP# look up'!A:C""),3,0),"""")"),"")</f>
        <v/>
      </c>
      <c r="AH2089" s="49">
        <f>LEFT(J2089,2)</f>
        <v/>
      </c>
    </row>
    <row r="2090" ht="12.75" customHeight="1">
      <c r="H2090" s="43" t="n"/>
      <c r="AG2090" s="49">
        <f>IFERROR(__xludf.DUMMYFUNCTION("IFNA(vlookup(H2090,IMPORTRANGE(""1vUGwO1n0QQGx9kKbO0_M5gmuhXZ6-LaxQxgrmJnzgP0"",""'TP# look up'!A:C""),3,0),"""")"),"")</f>
        <v/>
      </c>
      <c r="AH2090" s="49">
        <f>LEFT(J2090,2)</f>
        <v/>
      </c>
    </row>
    <row r="2091" ht="12.75" customHeight="1">
      <c r="H2091" s="43" t="n"/>
      <c r="AG2091" s="49">
        <f>IFERROR(__xludf.DUMMYFUNCTION("IFNA(vlookup(H2091,IMPORTRANGE(""1vUGwO1n0QQGx9kKbO0_M5gmuhXZ6-LaxQxgrmJnzgP0"",""'TP# look up'!A:C""),3,0),"""")"),"")</f>
        <v/>
      </c>
      <c r="AH2091" s="49">
        <f>LEFT(J2091,2)</f>
        <v/>
      </c>
    </row>
    <row r="2092" ht="12.75" customHeight="1">
      <c r="H2092" s="43" t="n"/>
      <c r="AG2092" s="49">
        <f>IFERROR(__xludf.DUMMYFUNCTION("IFNA(vlookup(H2092,IMPORTRANGE(""1vUGwO1n0QQGx9kKbO0_M5gmuhXZ6-LaxQxgrmJnzgP0"",""'TP# look up'!A:C""),3,0),"""")"),"")</f>
        <v/>
      </c>
      <c r="AH2092" s="49">
        <f>LEFT(J2092,2)</f>
        <v/>
      </c>
    </row>
    <row r="2093" ht="12.75" customHeight="1">
      <c r="H2093" s="43" t="n"/>
      <c r="AG2093" s="49">
        <f>IFERROR(__xludf.DUMMYFUNCTION("IFNA(vlookup(H2093,IMPORTRANGE(""1vUGwO1n0QQGx9kKbO0_M5gmuhXZ6-LaxQxgrmJnzgP0"",""'TP# look up'!A:C""),3,0),"""")"),"")</f>
        <v/>
      </c>
      <c r="AH2093" s="49">
        <f>LEFT(J2093,2)</f>
        <v/>
      </c>
    </row>
    <row r="2094" ht="12.75" customHeight="1">
      <c r="H2094" s="43" t="n"/>
      <c r="AG2094" s="49">
        <f>IFERROR(__xludf.DUMMYFUNCTION("IFNA(vlookup(H2094,IMPORTRANGE(""1vUGwO1n0QQGx9kKbO0_M5gmuhXZ6-LaxQxgrmJnzgP0"",""'TP# look up'!A:C""),3,0),"""")"),"")</f>
        <v/>
      </c>
      <c r="AH2094" s="49">
        <f>LEFT(J2094,2)</f>
        <v/>
      </c>
    </row>
    <row r="2095" ht="12.75" customHeight="1">
      <c r="H2095" s="43" t="n"/>
      <c r="AG2095" s="49">
        <f>IFERROR(__xludf.DUMMYFUNCTION("IFNA(vlookup(H2095,IMPORTRANGE(""1vUGwO1n0QQGx9kKbO0_M5gmuhXZ6-LaxQxgrmJnzgP0"",""'TP# look up'!A:C""),3,0),"""")"),"")</f>
        <v/>
      </c>
      <c r="AH2095" s="49">
        <f>LEFT(J2095,2)</f>
        <v/>
      </c>
    </row>
    <row r="2096" ht="12.75" customHeight="1">
      <c r="H2096" s="43" t="n"/>
      <c r="AG2096" s="49">
        <f>IFERROR(__xludf.DUMMYFUNCTION("IFNA(vlookup(H2096,IMPORTRANGE(""1vUGwO1n0QQGx9kKbO0_M5gmuhXZ6-LaxQxgrmJnzgP0"",""'TP# look up'!A:C""),3,0),"""")"),"")</f>
        <v/>
      </c>
      <c r="AH2096" s="49">
        <f>LEFT(J2096,2)</f>
        <v/>
      </c>
    </row>
    <row r="2097" ht="12.75" customHeight="1">
      <c r="H2097" s="43" t="n"/>
      <c r="AG2097" s="49">
        <f>IFERROR(__xludf.DUMMYFUNCTION("IFNA(vlookup(H2097,IMPORTRANGE(""1vUGwO1n0QQGx9kKbO0_M5gmuhXZ6-LaxQxgrmJnzgP0"",""'TP# look up'!A:C""),3,0),"""")"),"")</f>
        <v/>
      </c>
      <c r="AH2097" s="49">
        <f>LEFT(J2097,2)</f>
        <v/>
      </c>
    </row>
    <row r="2098" ht="12.75" customHeight="1">
      <c r="H2098" s="43" t="n"/>
      <c r="AG2098" s="49">
        <f>IFERROR(__xludf.DUMMYFUNCTION("IFNA(vlookup(H2098,IMPORTRANGE(""1vUGwO1n0QQGx9kKbO0_M5gmuhXZ6-LaxQxgrmJnzgP0"",""'TP# look up'!A:C""),3,0),"""")"),"")</f>
        <v/>
      </c>
      <c r="AH2098" s="49">
        <f>LEFT(J2098,2)</f>
        <v/>
      </c>
    </row>
    <row r="2099" ht="12.75" customHeight="1">
      <c r="H2099" s="43" t="n"/>
      <c r="AG2099" s="49">
        <f>IFERROR(__xludf.DUMMYFUNCTION("IFNA(vlookup(H2099,IMPORTRANGE(""1vUGwO1n0QQGx9kKbO0_M5gmuhXZ6-LaxQxgrmJnzgP0"",""'TP# look up'!A:C""),3,0),"""")"),"")</f>
        <v/>
      </c>
      <c r="AH2099" s="49">
        <f>LEFT(J2099,2)</f>
        <v/>
      </c>
    </row>
    <row r="2100" ht="12.75" customHeight="1">
      <c r="H2100" s="43" t="n"/>
      <c r="AG2100" s="49">
        <f>IFERROR(__xludf.DUMMYFUNCTION("IFNA(vlookup(H2100,IMPORTRANGE(""1vUGwO1n0QQGx9kKbO0_M5gmuhXZ6-LaxQxgrmJnzgP0"",""'TP# look up'!A:C""),3,0),"""")"),"")</f>
        <v/>
      </c>
      <c r="AH2100" s="49">
        <f>LEFT(J2100,2)</f>
        <v/>
      </c>
    </row>
    <row r="2101" ht="12.75" customHeight="1">
      <c r="H2101" s="43" t="n"/>
      <c r="AG2101" s="49">
        <f>IFERROR(__xludf.DUMMYFUNCTION("IFNA(vlookup(H2101,IMPORTRANGE(""1vUGwO1n0QQGx9kKbO0_M5gmuhXZ6-LaxQxgrmJnzgP0"",""'TP# look up'!A:C""),3,0),"""")"),"")</f>
        <v/>
      </c>
      <c r="AH2101" s="49">
        <f>LEFT(J2101,2)</f>
        <v/>
      </c>
    </row>
    <row r="2102" ht="12.75" customHeight="1">
      <c r="H2102" s="43" t="n"/>
      <c r="AG2102" s="49">
        <f>IFERROR(__xludf.DUMMYFUNCTION("IFNA(vlookup(H2102,IMPORTRANGE(""1vUGwO1n0QQGx9kKbO0_M5gmuhXZ6-LaxQxgrmJnzgP0"",""'TP# look up'!A:C""),3,0),"""")"),"")</f>
        <v/>
      </c>
      <c r="AH2102" s="49">
        <f>LEFT(J2102,2)</f>
        <v/>
      </c>
    </row>
    <row r="2103" ht="12.75" customHeight="1">
      <c r="H2103" s="43" t="n"/>
      <c r="AG2103" s="49">
        <f>IFERROR(__xludf.DUMMYFUNCTION("IFNA(vlookup(H2103,IMPORTRANGE(""1vUGwO1n0QQGx9kKbO0_M5gmuhXZ6-LaxQxgrmJnzgP0"",""'TP# look up'!A:C""),3,0),"""")"),"")</f>
        <v/>
      </c>
      <c r="AH2103" s="49">
        <f>LEFT(J2103,2)</f>
        <v/>
      </c>
    </row>
    <row r="2104" ht="12.75" customHeight="1">
      <c r="H2104" s="43" t="n"/>
      <c r="AG2104" s="49">
        <f>IFERROR(__xludf.DUMMYFUNCTION("IFNA(vlookup(H2104,IMPORTRANGE(""1vUGwO1n0QQGx9kKbO0_M5gmuhXZ6-LaxQxgrmJnzgP0"",""'TP# look up'!A:C""),3,0),"""")"),"")</f>
        <v/>
      </c>
      <c r="AH2104" s="49">
        <f>LEFT(J2104,2)</f>
        <v/>
      </c>
    </row>
    <row r="2105" ht="12.75" customHeight="1">
      <c r="H2105" s="43" t="n"/>
      <c r="AG2105" s="49">
        <f>IFERROR(__xludf.DUMMYFUNCTION("IFNA(vlookup(H2105,IMPORTRANGE(""1vUGwO1n0QQGx9kKbO0_M5gmuhXZ6-LaxQxgrmJnzgP0"",""'TP# look up'!A:C""),3,0),"""")"),"")</f>
        <v/>
      </c>
      <c r="AH2105" s="49">
        <f>LEFT(J2105,2)</f>
        <v/>
      </c>
    </row>
    <row r="2106" ht="12.75" customHeight="1">
      <c r="H2106" s="43" t="n"/>
      <c r="AG2106" s="49">
        <f>IFERROR(__xludf.DUMMYFUNCTION("IFNA(vlookup(H2106,IMPORTRANGE(""1vUGwO1n0QQGx9kKbO0_M5gmuhXZ6-LaxQxgrmJnzgP0"",""'TP# look up'!A:C""),3,0),"""")"),"")</f>
        <v/>
      </c>
      <c r="AH2106" s="49">
        <f>LEFT(J2106,2)</f>
        <v/>
      </c>
    </row>
    <row r="2107" ht="12.75" customHeight="1">
      <c r="H2107" s="43" t="n"/>
      <c r="AG2107" s="49">
        <f>IFERROR(__xludf.DUMMYFUNCTION("IFNA(vlookup(H2107,IMPORTRANGE(""1vUGwO1n0QQGx9kKbO0_M5gmuhXZ6-LaxQxgrmJnzgP0"",""'TP# look up'!A:C""),3,0),"""")"),"")</f>
        <v/>
      </c>
      <c r="AH2107" s="49">
        <f>LEFT(J2107,2)</f>
        <v/>
      </c>
    </row>
    <row r="2108" ht="12.75" customHeight="1">
      <c r="H2108" s="43" t="n"/>
      <c r="AG2108" s="49">
        <f>IFERROR(__xludf.DUMMYFUNCTION("IFNA(vlookup(H2108,IMPORTRANGE(""1vUGwO1n0QQGx9kKbO0_M5gmuhXZ6-LaxQxgrmJnzgP0"",""'TP# look up'!A:C""),3,0),"""")"),"")</f>
        <v/>
      </c>
      <c r="AH2108" s="49">
        <f>LEFT(J2108,2)</f>
        <v/>
      </c>
    </row>
    <row r="2109" ht="12.75" customHeight="1">
      <c r="H2109" s="43" t="n"/>
      <c r="AG2109" s="49">
        <f>IFERROR(__xludf.DUMMYFUNCTION("IFNA(vlookup(H2109,IMPORTRANGE(""1vUGwO1n0QQGx9kKbO0_M5gmuhXZ6-LaxQxgrmJnzgP0"",""'TP# look up'!A:C""),3,0),"""")"),"")</f>
        <v/>
      </c>
      <c r="AH2109" s="49">
        <f>LEFT(J2109,2)</f>
        <v/>
      </c>
    </row>
    <row r="2110" ht="12.75" customHeight="1">
      <c r="H2110" s="43" t="n"/>
      <c r="AG2110" s="49">
        <f>IFERROR(__xludf.DUMMYFUNCTION("IFNA(vlookup(H2110,IMPORTRANGE(""1vUGwO1n0QQGx9kKbO0_M5gmuhXZ6-LaxQxgrmJnzgP0"",""'TP# look up'!A:C""),3,0),"""")"),"")</f>
        <v/>
      </c>
      <c r="AH2110" s="49">
        <f>LEFT(J2110,2)</f>
        <v/>
      </c>
    </row>
    <row r="2111" ht="12.75" customHeight="1">
      <c r="H2111" s="43" t="n"/>
      <c r="AG2111" s="49">
        <f>IFERROR(__xludf.DUMMYFUNCTION("IFNA(vlookup(H2111,IMPORTRANGE(""1vUGwO1n0QQGx9kKbO0_M5gmuhXZ6-LaxQxgrmJnzgP0"",""'TP# look up'!A:C""),3,0),"""")"),"")</f>
        <v/>
      </c>
      <c r="AH2111" s="49">
        <f>LEFT(J2111,2)</f>
        <v/>
      </c>
    </row>
    <row r="2112" ht="12.75" customHeight="1">
      <c r="H2112" s="43" t="n"/>
      <c r="AG2112" s="49">
        <f>IFERROR(__xludf.DUMMYFUNCTION("IFNA(vlookup(H2112,IMPORTRANGE(""1vUGwO1n0QQGx9kKbO0_M5gmuhXZ6-LaxQxgrmJnzgP0"",""'TP# look up'!A:C""),3,0),"""")"),"")</f>
        <v/>
      </c>
      <c r="AH2112" s="49">
        <f>LEFT(J2112,2)</f>
        <v/>
      </c>
    </row>
    <row r="2113" ht="12.75" customHeight="1">
      <c r="H2113" s="43" t="n"/>
      <c r="AG2113" s="49">
        <f>IFERROR(__xludf.DUMMYFUNCTION("IFNA(vlookup(H2113,IMPORTRANGE(""1vUGwO1n0QQGx9kKbO0_M5gmuhXZ6-LaxQxgrmJnzgP0"",""'TP# look up'!A:C""),3,0),"""")"),"")</f>
        <v/>
      </c>
      <c r="AH2113" s="49">
        <f>LEFT(J2113,2)</f>
        <v/>
      </c>
    </row>
    <row r="2114" ht="12.75" customHeight="1">
      <c r="H2114" s="43" t="n"/>
      <c r="AG2114" s="49">
        <f>IFERROR(__xludf.DUMMYFUNCTION("IFNA(vlookup(H2114,IMPORTRANGE(""1vUGwO1n0QQGx9kKbO0_M5gmuhXZ6-LaxQxgrmJnzgP0"",""'TP# look up'!A:C""),3,0),"""")"),"")</f>
        <v/>
      </c>
      <c r="AH2114" s="49">
        <f>LEFT(J2114,2)</f>
        <v/>
      </c>
    </row>
    <row r="2115" ht="12.75" customHeight="1">
      <c r="H2115" s="43" t="n"/>
      <c r="AG2115" s="49">
        <f>IFERROR(__xludf.DUMMYFUNCTION("IFNA(vlookup(H2115,IMPORTRANGE(""1vUGwO1n0QQGx9kKbO0_M5gmuhXZ6-LaxQxgrmJnzgP0"",""'TP# look up'!A:C""),3,0),"""")"),"")</f>
        <v/>
      </c>
      <c r="AH2115" s="49">
        <f>LEFT(J2115,2)</f>
        <v/>
      </c>
    </row>
    <row r="2116" ht="12.75" customHeight="1">
      <c r="H2116" s="43" t="n"/>
      <c r="AG2116" s="49">
        <f>IFERROR(__xludf.DUMMYFUNCTION("IFNA(vlookup(H2116,IMPORTRANGE(""1vUGwO1n0QQGx9kKbO0_M5gmuhXZ6-LaxQxgrmJnzgP0"",""'TP# look up'!A:C""),3,0),"""")"),"")</f>
        <v/>
      </c>
      <c r="AH2116" s="49">
        <f>LEFT(J2116,2)</f>
        <v/>
      </c>
    </row>
    <row r="2117" ht="12.75" customHeight="1">
      <c r="H2117" s="43" t="n"/>
      <c r="AG2117" s="49">
        <f>IFERROR(__xludf.DUMMYFUNCTION("IFNA(vlookup(H2117,IMPORTRANGE(""1vUGwO1n0QQGx9kKbO0_M5gmuhXZ6-LaxQxgrmJnzgP0"",""'TP# look up'!A:C""),3,0),"""")"),"")</f>
        <v/>
      </c>
      <c r="AH2117" s="49">
        <f>LEFT(J2117,2)</f>
        <v/>
      </c>
    </row>
    <row r="2118" ht="12.75" customHeight="1">
      <c r="H2118" s="43" t="n"/>
      <c r="AG2118" s="49">
        <f>IFERROR(__xludf.DUMMYFUNCTION("IFNA(vlookup(H2118,IMPORTRANGE(""1vUGwO1n0QQGx9kKbO0_M5gmuhXZ6-LaxQxgrmJnzgP0"",""'TP# look up'!A:C""),3,0),"""")"),"")</f>
        <v/>
      </c>
      <c r="AH2118" s="49">
        <f>LEFT(J2118,2)</f>
        <v/>
      </c>
    </row>
    <row r="2119" ht="12.75" customHeight="1">
      <c r="H2119" s="43" t="n"/>
      <c r="AG2119" s="49">
        <f>IFERROR(__xludf.DUMMYFUNCTION("IFNA(vlookup(H2119,IMPORTRANGE(""1vUGwO1n0QQGx9kKbO0_M5gmuhXZ6-LaxQxgrmJnzgP0"",""'TP# look up'!A:C""),3,0),"""")"),"")</f>
        <v/>
      </c>
      <c r="AH2119" s="49">
        <f>LEFT(J2119,2)</f>
        <v/>
      </c>
    </row>
    <row r="2120" ht="12.75" customHeight="1">
      <c r="H2120" s="43" t="n"/>
      <c r="AG2120" s="49">
        <f>IFERROR(__xludf.DUMMYFUNCTION("IFNA(vlookup(H2120,IMPORTRANGE(""1vUGwO1n0QQGx9kKbO0_M5gmuhXZ6-LaxQxgrmJnzgP0"",""'TP# look up'!A:C""),3,0),"""")"),"")</f>
        <v/>
      </c>
      <c r="AH2120" s="49">
        <f>LEFT(J2120,2)</f>
        <v/>
      </c>
    </row>
    <row r="2121" ht="12.75" customHeight="1">
      <c r="H2121" s="43" t="n"/>
      <c r="AG2121" s="49">
        <f>IFERROR(__xludf.DUMMYFUNCTION("IFNA(vlookup(H2121,IMPORTRANGE(""1vUGwO1n0QQGx9kKbO0_M5gmuhXZ6-LaxQxgrmJnzgP0"",""'TP# look up'!A:C""),3,0),"""")"),"")</f>
        <v/>
      </c>
      <c r="AH2121" s="49">
        <f>LEFT(J2121,2)</f>
        <v/>
      </c>
    </row>
    <row r="2122" ht="12.75" customHeight="1">
      <c r="H2122" s="43" t="n"/>
      <c r="AG2122" s="49">
        <f>IFERROR(__xludf.DUMMYFUNCTION("IFNA(vlookup(H2122,IMPORTRANGE(""1vUGwO1n0QQGx9kKbO0_M5gmuhXZ6-LaxQxgrmJnzgP0"",""'TP# look up'!A:C""),3,0),"""")"),"")</f>
        <v/>
      </c>
      <c r="AH2122" s="49">
        <f>LEFT(J2122,2)</f>
        <v/>
      </c>
    </row>
    <row r="2123" ht="12.75" customHeight="1">
      <c r="H2123" s="43" t="n"/>
      <c r="AG2123" s="49">
        <f>IFERROR(__xludf.DUMMYFUNCTION("IFNA(vlookup(H2123,IMPORTRANGE(""1vUGwO1n0QQGx9kKbO0_M5gmuhXZ6-LaxQxgrmJnzgP0"",""'TP# look up'!A:C""),3,0),"""")"),"")</f>
        <v/>
      </c>
      <c r="AH2123" s="49">
        <f>LEFT(J2123,2)</f>
        <v/>
      </c>
    </row>
    <row r="2124" ht="12.75" customHeight="1">
      <c r="H2124" s="43" t="n"/>
      <c r="AG2124" s="49">
        <f>IFERROR(__xludf.DUMMYFUNCTION("IFNA(vlookup(H2124,IMPORTRANGE(""1vUGwO1n0QQGx9kKbO0_M5gmuhXZ6-LaxQxgrmJnzgP0"",""'TP# look up'!A:C""),3,0),"""")"),"")</f>
        <v/>
      </c>
      <c r="AH2124" s="49">
        <f>LEFT(J2124,2)</f>
        <v/>
      </c>
    </row>
    <row r="2125" ht="12.75" customHeight="1">
      <c r="H2125" s="43" t="n"/>
      <c r="AG2125" s="49">
        <f>IFERROR(__xludf.DUMMYFUNCTION("IFNA(vlookup(H2125,IMPORTRANGE(""1vUGwO1n0QQGx9kKbO0_M5gmuhXZ6-LaxQxgrmJnzgP0"",""'TP# look up'!A:C""),3,0),"""")"),"")</f>
        <v/>
      </c>
      <c r="AH2125" s="49">
        <f>LEFT(J2125,2)</f>
        <v/>
      </c>
    </row>
    <row r="2126" ht="12.75" customHeight="1">
      <c r="H2126" s="43" t="n"/>
      <c r="AG2126" s="49">
        <f>IFERROR(__xludf.DUMMYFUNCTION("IFNA(vlookup(H2126,IMPORTRANGE(""1vUGwO1n0QQGx9kKbO0_M5gmuhXZ6-LaxQxgrmJnzgP0"",""'TP# look up'!A:C""),3,0),"""")"),"")</f>
        <v/>
      </c>
      <c r="AH2126" s="49">
        <f>LEFT(J2126,2)</f>
        <v/>
      </c>
    </row>
    <row r="2127" ht="12.75" customHeight="1">
      <c r="H2127" s="43" t="n"/>
      <c r="AG2127" s="49">
        <f>IFERROR(__xludf.DUMMYFUNCTION("IFNA(vlookup(H2127,IMPORTRANGE(""1vUGwO1n0QQGx9kKbO0_M5gmuhXZ6-LaxQxgrmJnzgP0"",""'TP# look up'!A:C""),3,0),"""")"),"")</f>
        <v/>
      </c>
      <c r="AH2127" s="49">
        <f>LEFT(J2127,2)</f>
        <v/>
      </c>
    </row>
    <row r="2128" ht="12.75" customHeight="1">
      <c r="H2128" s="43" t="n"/>
      <c r="AG2128" s="49">
        <f>IFERROR(__xludf.DUMMYFUNCTION("IFNA(vlookup(H2128,IMPORTRANGE(""1vUGwO1n0QQGx9kKbO0_M5gmuhXZ6-LaxQxgrmJnzgP0"",""'TP# look up'!A:C""),3,0),"""")"),"")</f>
        <v/>
      </c>
      <c r="AH2128" s="49">
        <f>LEFT(J2128,2)</f>
        <v/>
      </c>
    </row>
    <row r="2129" ht="12.75" customHeight="1">
      <c r="H2129" s="43" t="n"/>
      <c r="AG2129" s="49">
        <f>IFERROR(__xludf.DUMMYFUNCTION("IFNA(vlookup(H2129,IMPORTRANGE(""1vUGwO1n0QQGx9kKbO0_M5gmuhXZ6-LaxQxgrmJnzgP0"",""'TP# look up'!A:C""),3,0),"""")"),"")</f>
        <v/>
      </c>
      <c r="AH2129" s="49">
        <f>LEFT(J2129,2)</f>
        <v/>
      </c>
    </row>
    <row r="2130" ht="12.75" customHeight="1">
      <c r="H2130" s="43" t="n"/>
      <c r="AG2130" s="49">
        <f>IFERROR(__xludf.DUMMYFUNCTION("IFNA(vlookup(H2130,IMPORTRANGE(""1vUGwO1n0QQGx9kKbO0_M5gmuhXZ6-LaxQxgrmJnzgP0"",""'TP# look up'!A:C""),3,0),"""")"),"")</f>
        <v/>
      </c>
      <c r="AH2130" s="49">
        <f>LEFT(J2130,2)</f>
        <v/>
      </c>
    </row>
    <row r="2131" ht="12.75" customHeight="1">
      <c r="H2131" s="43" t="n"/>
      <c r="AG2131" s="49">
        <f>IFERROR(__xludf.DUMMYFUNCTION("IFNA(vlookup(H2131,IMPORTRANGE(""1vUGwO1n0QQGx9kKbO0_M5gmuhXZ6-LaxQxgrmJnzgP0"",""'TP# look up'!A:C""),3,0),"""")"),"")</f>
        <v/>
      </c>
      <c r="AH2131" s="49">
        <f>LEFT(J2131,2)</f>
        <v/>
      </c>
    </row>
    <row r="2132" ht="12.75" customHeight="1">
      <c r="H2132" s="43" t="n"/>
      <c r="AG2132" s="49">
        <f>IFERROR(__xludf.DUMMYFUNCTION("IFNA(vlookup(H2132,IMPORTRANGE(""1vUGwO1n0QQGx9kKbO0_M5gmuhXZ6-LaxQxgrmJnzgP0"",""'TP# look up'!A:C""),3,0),"""")"),"")</f>
        <v/>
      </c>
      <c r="AH2132" s="49">
        <f>LEFT(J2132,2)</f>
        <v/>
      </c>
    </row>
    <row r="2133" ht="12.75" customHeight="1">
      <c r="H2133" s="43" t="n"/>
      <c r="AG2133" s="49">
        <f>IFERROR(__xludf.DUMMYFUNCTION("IFNA(vlookup(H2133,IMPORTRANGE(""1vUGwO1n0QQGx9kKbO0_M5gmuhXZ6-LaxQxgrmJnzgP0"",""'TP# look up'!A:C""),3,0),"""")"),"")</f>
        <v/>
      </c>
      <c r="AH2133" s="49">
        <f>LEFT(J2133,2)</f>
        <v/>
      </c>
    </row>
    <row r="2134" ht="12.75" customHeight="1">
      <c r="H2134" s="43" t="n"/>
      <c r="AG2134" s="49">
        <f>IFERROR(__xludf.DUMMYFUNCTION("IFNA(vlookup(H2134,IMPORTRANGE(""1vUGwO1n0QQGx9kKbO0_M5gmuhXZ6-LaxQxgrmJnzgP0"",""'TP# look up'!A:C""),3,0),"""")"),"")</f>
        <v/>
      </c>
      <c r="AH2134" s="49">
        <f>LEFT(J2134,2)</f>
        <v/>
      </c>
    </row>
    <row r="2135" ht="12.75" customHeight="1">
      <c r="H2135" s="43" t="n"/>
      <c r="AG2135" s="49">
        <f>IFERROR(__xludf.DUMMYFUNCTION("IFNA(vlookup(H2135,IMPORTRANGE(""1vUGwO1n0QQGx9kKbO0_M5gmuhXZ6-LaxQxgrmJnzgP0"",""'TP# look up'!A:C""),3,0),"""")"),"")</f>
        <v/>
      </c>
      <c r="AH2135" s="49">
        <f>LEFT(J2135,2)</f>
        <v/>
      </c>
    </row>
    <row r="2136" ht="12.75" customHeight="1">
      <c r="H2136" s="43" t="n"/>
      <c r="AG2136" s="49">
        <f>IFERROR(__xludf.DUMMYFUNCTION("IFNA(vlookup(H2136,IMPORTRANGE(""1vUGwO1n0QQGx9kKbO0_M5gmuhXZ6-LaxQxgrmJnzgP0"",""'TP# look up'!A:C""),3,0),"""")"),"")</f>
        <v/>
      </c>
      <c r="AH2136" s="49">
        <f>LEFT(J2136,2)</f>
        <v/>
      </c>
    </row>
    <row r="2137" ht="12.75" customHeight="1">
      <c r="H2137" s="43" t="n"/>
      <c r="AG2137" s="49">
        <f>IFERROR(__xludf.DUMMYFUNCTION("IFNA(vlookup(H2137,IMPORTRANGE(""1vUGwO1n0QQGx9kKbO0_M5gmuhXZ6-LaxQxgrmJnzgP0"",""'TP# look up'!A:C""),3,0),"""")"),"")</f>
        <v/>
      </c>
      <c r="AH2137" s="49">
        <f>LEFT(J2137,2)</f>
        <v/>
      </c>
    </row>
    <row r="2138" ht="12.75" customHeight="1">
      <c r="H2138" s="43" t="n"/>
      <c r="AG2138" s="49">
        <f>IFERROR(__xludf.DUMMYFUNCTION("IFNA(vlookup(H2138,IMPORTRANGE(""1vUGwO1n0QQGx9kKbO0_M5gmuhXZ6-LaxQxgrmJnzgP0"",""'TP# look up'!A:C""),3,0),"""")"),"")</f>
        <v/>
      </c>
      <c r="AH2138" s="49">
        <f>LEFT(J2138,2)</f>
        <v/>
      </c>
    </row>
    <row r="2139" ht="12.75" customHeight="1">
      <c r="H2139" s="43" t="n"/>
      <c r="AG2139" s="49">
        <f>IFERROR(__xludf.DUMMYFUNCTION("IFNA(vlookup(H2139,IMPORTRANGE(""1vUGwO1n0QQGx9kKbO0_M5gmuhXZ6-LaxQxgrmJnzgP0"",""'TP# look up'!A:C""),3,0),"""")"),"")</f>
        <v/>
      </c>
      <c r="AH2139" s="49">
        <f>LEFT(J2139,2)</f>
        <v/>
      </c>
    </row>
    <row r="2140" ht="12.75" customHeight="1">
      <c r="H2140" s="43" t="n"/>
      <c r="AG2140" s="49">
        <f>IFERROR(__xludf.DUMMYFUNCTION("IFNA(vlookup(H2140,IMPORTRANGE(""1vUGwO1n0QQGx9kKbO0_M5gmuhXZ6-LaxQxgrmJnzgP0"",""'TP# look up'!A:C""),3,0),"""")"),"")</f>
        <v/>
      </c>
      <c r="AH2140" s="49">
        <f>LEFT(J2140,2)</f>
        <v/>
      </c>
    </row>
    <row r="2141" ht="12.75" customHeight="1">
      <c r="H2141" s="43" t="n"/>
      <c r="AG2141" s="49">
        <f>IFERROR(__xludf.DUMMYFUNCTION("IFNA(vlookup(H2141,IMPORTRANGE(""1vUGwO1n0QQGx9kKbO0_M5gmuhXZ6-LaxQxgrmJnzgP0"",""'TP# look up'!A:C""),3,0),"""")"),"")</f>
        <v/>
      </c>
      <c r="AH2141" s="49">
        <f>LEFT(J2141,2)</f>
        <v/>
      </c>
    </row>
    <row r="2142" ht="12.75" customHeight="1">
      <c r="H2142" s="43" t="n"/>
      <c r="AG2142" s="49">
        <f>IFERROR(__xludf.DUMMYFUNCTION("IFNA(vlookup(H2142,IMPORTRANGE(""1vUGwO1n0QQGx9kKbO0_M5gmuhXZ6-LaxQxgrmJnzgP0"",""'TP# look up'!A:C""),3,0),"""")"),"")</f>
        <v/>
      </c>
      <c r="AH2142" s="49">
        <f>LEFT(J2142,2)</f>
        <v/>
      </c>
    </row>
    <row r="2143" ht="12.75" customHeight="1">
      <c r="H2143" s="43" t="n"/>
      <c r="AG2143" s="49">
        <f>IFERROR(__xludf.DUMMYFUNCTION("IFNA(vlookup(H2143,IMPORTRANGE(""1vUGwO1n0QQGx9kKbO0_M5gmuhXZ6-LaxQxgrmJnzgP0"",""'TP# look up'!A:C""),3,0),"""")"),"")</f>
        <v/>
      </c>
      <c r="AH2143" s="49">
        <f>LEFT(J2143,2)</f>
        <v/>
      </c>
    </row>
    <row r="2144" ht="12.75" customHeight="1">
      <c r="H2144" s="43" t="n"/>
      <c r="AG2144" s="49">
        <f>IFERROR(__xludf.DUMMYFUNCTION("IFNA(vlookup(H2144,IMPORTRANGE(""1vUGwO1n0QQGx9kKbO0_M5gmuhXZ6-LaxQxgrmJnzgP0"",""'TP# look up'!A:C""),3,0),"""")"),"")</f>
        <v/>
      </c>
      <c r="AH2144" s="49">
        <f>LEFT(J2144,2)</f>
        <v/>
      </c>
    </row>
    <row r="2145" ht="12.75" customHeight="1">
      <c r="H2145" s="43" t="n"/>
      <c r="AG2145" s="49">
        <f>IFERROR(__xludf.DUMMYFUNCTION("IFNA(vlookup(H2145,IMPORTRANGE(""1vUGwO1n0QQGx9kKbO0_M5gmuhXZ6-LaxQxgrmJnzgP0"",""'TP# look up'!A:C""),3,0),"""")"),"")</f>
        <v/>
      </c>
      <c r="AH2145" s="49">
        <f>LEFT(J2145,2)</f>
        <v/>
      </c>
    </row>
    <row r="2146" ht="12.75" customHeight="1">
      <c r="H2146" s="43" t="n"/>
      <c r="AG2146" s="49">
        <f>IFERROR(__xludf.DUMMYFUNCTION("IFNA(vlookup(H2146,IMPORTRANGE(""1vUGwO1n0QQGx9kKbO0_M5gmuhXZ6-LaxQxgrmJnzgP0"",""'TP# look up'!A:C""),3,0),"""")"),"")</f>
        <v/>
      </c>
      <c r="AH2146" s="49">
        <f>LEFT(J2146,2)</f>
        <v/>
      </c>
    </row>
    <row r="2147" ht="12.75" customHeight="1">
      <c r="H2147" s="43" t="n"/>
      <c r="AG2147" s="49">
        <f>IFERROR(__xludf.DUMMYFUNCTION("IFNA(vlookup(H2147,IMPORTRANGE(""1vUGwO1n0QQGx9kKbO0_M5gmuhXZ6-LaxQxgrmJnzgP0"",""'TP# look up'!A:C""),3,0),"""")"),"")</f>
        <v/>
      </c>
      <c r="AH2147" s="49">
        <f>LEFT(J2147,2)</f>
        <v/>
      </c>
    </row>
    <row r="2148" ht="12.75" customHeight="1">
      <c r="H2148" s="43" t="n"/>
      <c r="AG2148" s="49">
        <f>IFERROR(__xludf.DUMMYFUNCTION("IFNA(vlookup(H2148,IMPORTRANGE(""1vUGwO1n0QQGx9kKbO0_M5gmuhXZ6-LaxQxgrmJnzgP0"",""'TP# look up'!A:C""),3,0),"""")"),"")</f>
        <v/>
      </c>
      <c r="AH2148" s="49">
        <f>LEFT(J2148,2)</f>
        <v/>
      </c>
    </row>
    <row r="2149" ht="12.75" customHeight="1">
      <c r="H2149" s="43" t="n"/>
      <c r="AG2149" s="49">
        <f>IFERROR(__xludf.DUMMYFUNCTION("IFNA(vlookup(H2149,IMPORTRANGE(""1vUGwO1n0QQGx9kKbO0_M5gmuhXZ6-LaxQxgrmJnzgP0"",""'TP# look up'!A:C""),3,0),"""")"),"")</f>
        <v/>
      </c>
      <c r="AH2149" s="49">
        <f>LEFT(J2149,2)</f>
        <v/>
      </c>
    </row>
    <row r="2150" ht="12.75" customHeight="1">
      <c r="H2150" s="43" t="n"/>
      <c r="AG2150" s="49">
        <f>IFERROR(__xludf.DUMMYFUNCTION("IFNA(vlookup(H2150,IMPORTRANGE(""1vUGwO1n0QQGx9kKbO0_M5gmuhXZ6-LaxQxgrmJnzgP0"",""'TP# look up'!A:C""),3,0),"""")"),"")</f>
        <v/>
      </c>
      <c r="AH2150" s="49">
        <f>LEFT(J2150,2)</f>
        <v/>
      </c>
    </row>
    <row r="2151" ht="12.75" customHeight="1">
      <c r="H2151" s="43" t="n"/>
      <c r="AG2151" s="49">
        <f>IFERROR(__xludf.DUMMYFUNCTION("IFNA(vlookup(H2151,IMPORTRANGE(""1vUGwO1n0QQGx9kKbO0_M5gmuhXZ6-LaxQxgrmJnzgP0"",""'TP# look up'!A:C""),3,0),"""")"),"")</f>
        <v/>
      </c>
      <c r="AH2151" s="49">
        <f>LEFT(J2151,2)</f>
        <v/>
      </c>
    </row>
    <row r="2152" ht="12.75" customHeight="1">
      <c r="H2152" s="43" t="n"/>
      <c r="AG2152" s="49">
        <f>IFERROR(__xludf.DUMMYFUNCTION("IFNA(vlookup(H2152,IMPORTRANGE(""1vUGwO1n0QQGx9kKbO0_M5gmuhXZ6-LaxQxgrmJnzgP0"",""'TP# look up'!A:C""),3,0),"""")"),"")</f>
        <v/>
      </c>
      <c r="AH2152" s="49">
        <f>LEFT(J2152,2)</f>
        <v/>
      </c>
    </row>
    <row r="2153" ht="12.75" customHeight="1">
      <c r="H2153" s="43" t="n"/>
      <c r="AG2153" s="49">
        <f>IFERROR(__xludf.DUMMYFUNCTION("IFNA(vlookup(H2153,IMPORTRANGE(""1vUGwO1n0QQGx9kKbO0_M5gmuhXZ6-LaxQxgrmJnzgP0"",""'TP# look up'!A:C""),3,0),"""")"),"")</f>
        <v/>
      </c>
      <c r="AH2153" s="49">
        <f>LEFT(J2153,2)</f>
        <v/>
      </c>
    </row>
    <row r="2154" ht="12.75" customHeight="1">
      <c r="H2154" s="43" t="n"/>
      <c r="AG2154" s="49">
        <f>IFERROR(__xludf.DUMMYFUNCTION("IFNA(vlookup(H2154,IMPORTRANGE(""1vUGwO1n0QQGx9kKbO0_M5gmuhXZ6-LaxQxgrmJnzgP0"",""'TP# look up'!A:C""),3,0),"""")"),"")</f>
        <v/>
      </c>
      <c r="AH2154" s="49">
        <f>LEFT(J2154,2)</f>
        <v/>
      </c>
    </row>
    <row r="2155" ht="12.75" customHeight="1">
      <c r="H2155" s="43" t="n"/>
      <c r="AG2155" s="49">
        <f>IFERROR(__xludf.DUMMYFUNCTION("IFNA(vlookup(H2155,IMPORTRANGE(""1vUGwO1n0QQGx9kKbO0_M5gmuhXZ6-LaxQxgrmJnzgP0"",""'TP# look up'!A:C""),3,0),"""")"),"")</f>
        <v/>
      </c>
      <c r="AH2155" s="49">
        <f>LEFT(J2155,2)</f>
        <v/>
      </c>
    </row>
    <row r="2156" ht="12.75" customHeight="1">
      <c r="H2156" s="43" t="n"/>
      <c r="AG2156" s="49">
        <f>IFERROR(__xludf.DUMMYFUNCTION("IFNA(vlookup(H2156,IMPORTRANGE(""1vUGwO1n0QQGx9kKbO0_M5gmuhXZ6-LaxQxgrmJnzgP0"",""'TP# look up'!A:C""),3,0),"""")"),"")</f>
        <v/>
      </c>
      <c r="AH2156" s="49">
        <f>LEFT(J2156,2)</f>
        <v/>
      </c>
    </row>
    <row r="2157" ht="12.75" customHeight="1">
      <c r="H2157" s="43" t="n"/>
      <c r="AG2157" s="49">
        <f>IFERROR(__xludf.DUMMYFUNCTION("IFNA(vlookup(H2157,IMPORTRANGE(""1vUGwO1n0QQGx9kKbO0_M5gmuhXZ6-LaxQxgrmJnzgP0"",""'TP# look up'!A:C""),3,0),"""")"),"")</f>
        <v/>
      </c>
      <c r="AH2157" s="49">
        <f>LEFT(J2157,2)</f>
        <v/>
      </c>
    </row>
    <row r="2158" ht="12.75" customHeight="1">
      <c r="H2158" s="43" t="n"/>
      <c r="AG2158" s="49">
        <f>IFERROR(__xludf.DUMMYFUNCTION("IFNA(vlookup(H2158,IMPORTRANGE(""1vUGwO1n0QQGx9kKbO0_M5gmuhXZ6-LaxQxgrmJnzgP0"",""'TP# look up'!A:C""),3,0),"""")"),"")</f>
        <v/>
      </c>
      <c r="AH2158" s="49">
        <f>LEFT(J2158,2)</f>
        <v/>
      </c>
    </row>
    <row r="2159" ht="12.75" customHeight="1">
      <c r="H2159" s="43" t="n"/>
      <c r="AG2159" s="49">
        <f>IFERROR(__xludf.DUMMYFUNCTION("IFNA(vlookup(H2159,IMPORTRANGE(""1vUGwO1n0QQGx9kKbO0_M5gmuhXZ6-LaxQxgrmJnzgP0"",""'TP# look up'!A:C""),3,0),"""")"),"")</f>
        <v/>
      </c>
      <c r="AH2159" s="49">
        <f>LEFT(J2159,2)</f>
        <v/>
      </c>
    </row>
    <row r="2160" ht="12.75" customHeight="1">
      <c r="H2160" s="43" t="n"/>
      <c r="AG2160" s="49">
        <f>IFERROR(__xludf.DUMMYFUNCTION("IFNA(vlookup(H2160,IMPORTRANGE(""1vUGwO1n0QQGx9kKbO0_M5gmuhXZ6-LaxQxgrmJnzgP0"",""'TP# look up'!A:C""),3,0),"""")"),"")</f>
        <v/>
      </c>
      <c r="AH2160" s="49">
        <f>LEFT(J2160,2)</f>
        <v/>
      </c>
    </row>
    <row r="2161" ht="12.75" customHeight="1">
      <c r="H2161" s="43" t="n"/>
      <c r="AG2161" s="49">
        <f>IFERROR(__xludf.DUMMYFUNCTION("IFNA(vlookup(H2161,IMPORTRANGE(""1vUGwO1n0QQGx9kKbO0_M5gmuhXZ6-LaxQxgrmJnzgP0"",""'TP# look up'!A:C""),3,0),"""")"),"")</f>
        <v/>
      </c>
      <c r="AH2161" s="49">
        <f>LEFT(J2161,2)</f>
        <v/>
      </c>
    </row>
    <row r="2162" ht="12.75" customHeight="1">
      <c r="H2162" s="43" t="n"/>
      <c r="AG2162" s="49">
        <f>IFERROR(__xludf.DUMMYFUNCTION("IFNA(vlookup(H2162,IMPORTRANGE(""1vUGwO1n0QQGx9kKbO0_M5gmuhXZ6-LaxQxgrmJnzgP0"",""'TP# look up'!A:C""),3,0),"""")"),"")</f>
        <v/>
      </c>
      <c r="AH2162" s="49">
        <f>LEFT(J2162,2)</f>
        <v/>
      </c>
    </row>
    <row r="2163" ht="12.75" customHeight="1">
      <c r="H2163" s="43" t="n"/>
      <c r="AG2163" s="49">
        <f>IFERROR(__xludf.DUMMYFUNCTION("IFNA(vlookup(H2163,IMPORTRANGE(""1vUGwO1n0QQGx9kKbO0_M5gmuhXZ6-LaxQxgrmJnzgP0"",""'TP# look up'!A:C""),3,0),"""")"),"")</f>
        <v/>
      </c>
      <c r="AH2163" s="49">
        <f>LEFT(J2163,2)</f>
        <v/>
      </c>
    </row>
    <row r="2164" ht="12.75" customHeight="1">
      <c r="H2164" s="43" t="n"/>
      <c r="AG2164" s="49">
        <f>IFERROR(__xludf.DUMMYFUNCTION("IFNA(vlookup(H2164,IMPORTRANGE(""1vUGwO1n0QQGx9kKbO0_M5gmuhXZ6-LaxQxgrmJnzgP0"",""'TP# look up'!A:C""),3,0),"""")"),"")</f>
        <v/>
      </c>
      <c r="AH2164" s="49">
        <f>LEFT(J2164,2)</f>
        <v/>
      </c>
    </row>
    <row r="2165" ht="12.75" customHeight="1">
      <c r="H2165" s="43" t="n"/>
      <c r="AG2165" s="49">
        <f>IFERROR(__xludf.DUMMYFUNCTION("IFNA(vlookup(H2165,IMPORTRANGE(""1vUGwO1n0QQGx9kKbO0_M5gmuhXZ6-LaxQxgrmJnzgP0"",""'TP# look up'!A:C""),3,0),"""")"),"")</f>
        <v/>
      </c>
      <c r="AH2165" s="49">
        <f>LEFT(J2165,2)</f>
        <v/>
      </c>
    </row>
    <row r="2166" ht="12.75" customHeight="1">
      <c r="H2166" s="43" t="n"/>
      <c r="AG2166" s="49">
        <f>IFERROR(__xludf.DUMMYFUNCTION("IFNA(vlookup(H2166,IMPORTRANGE(""1vUGwO1n0QQGx9kKbO0_M5gmuhXZ6-LaxQxgrmJnzgP0"",""'TP# look up'!A:C""),3,0),"""")"),"")</f>
        <v/>
      </c>
      <c r="AH2166" s="49">
        <f>LEFT(J2166,2)</f>
        <v/>
      </c>
    </row>
    <row r="2167" ht="12.75" customHeight="1">
      <c r="H2167" s="43" t="n"/>
      <c r="AG2167" s="49">
        <f>IFERROR(__xludf.DUMMYFUNCTION("IFNA(vlookup(H2167,IMPORTRANGE(""1vUGwO1n0QQGx9kKbO0_M5gmuhXZ6-LaxQxgrmJnzgP0"",""'TP# look up'!A:C""),3,0),"""")"),"")</f>
        <v/>
      </c>
      <c r="AH2167" s="49">
        <f>LEFT(J2167,2)</f>
        <v/>
      </c>
    </row>
    <row r="2168" ht="12.75" customHeight="1">
      <c r="H2168" s="43" t="n"/>
      <c r="AG2168" s="49">
        <f>IFERROR(__xludf.DUMMYFUNCTION("IFNA(vlookup(H2168,IMPORTRANGE(""1vUGwO1n0QQGx9kKbO0_M5gmuhXZ6-LaxQxgrmJnzgP0"",""'TP# look up'!A:C""),3,0),"""")"),"")</f>
        <v/>
      </c>
      <c r="AH2168" s="49">
        <f>LEFT(J2168,2)</f>
        <v/>
      </c>
    </row>
    <row r="2169" ht="12.75" customHeight="1">
      <c r="H2169" s="43" t="n"/>
      <c r="AG2169" s="49">
        <f>IFERROR(__xludf.DUMMYFUNCTION("IFNA(vlookup(H2169,IMPORTRANGE(""1vUGwO1n0QQGx9kKbO0_M5gmuhXZ6-LaxQxgrmJnzgP0"",""'TP# look up'!A:C""),3,0),"""")"),"")</f>
        <v/>
      </c>
      <c r="AH2169" s="49">
        <f>LEFT(J2169,2)</f>
        <v/>
      </c>
    </row>
    <row r="2170" ht="12.75" customHeight="1">
      <c r="H2170" s="43" t="n"/>
      <c r="AG2170" s="49">
        <f>IFERROR(__xludf.DUMMYFUNCTION("IFNA(vlookup(H2170,IMPORTRANGE(""1vUGwO1n0QQGx9kKbO0_M5gmuhXZ6-LaxQxgrmJnzgP0"",""'TP# look up'!A:C""),3,0),"""")"),"")</f>
        <v/>
      </c>
      <c r="AH2170" s="49">
        <f>LEFT(J2170,2)</f>
        <v/>
      </c>
    </row>
    <row r="2171" ht="12.75" customHeight="1">
      <c r="H2171" s="43" t="n"/>
      <c r="AG2171" s="49">
        <f>IFERROR(__xludf.DUMMYFUNCTION("IFNA(vlookup(H2171,IMPORTRANGE(""1vUGwO1n0QQGx9kKbO0_M5gmuhXZ6-LaxQxgrmJnzgP0"",""'TP# look up'!A:C""),3,0),"""")"),"")</f>
        <v/>
      </c>
      <c r="AH2171" s="49">
        <f>LEFT(J2171,2)</f>
        <v/>
      </c>
    </row>
    <row r="2172" ht="12.75" customHeight="1">
      <c r="H2172" s="43" t="n"/>
      <c r="AG2172" s="49">
        <f>IFERROR(__xludf.DUMMYFUNCTION("IFNA(vlookup(H2172,IMPORTRANGE(""1vUGwO1n0QQGx9kKbO0_M5gmuhXZ6-LaxQxgrmJnzgP0"",""'TP# look up'!A:C""),3,0),"""")"),"")</f>
        <v/>
      </c>
      <c r="AH2172" s="49">
        <f>LEFT(J2172,2)</f>
        <v/>
      </c>
    </row>
    <row r="2173" ht="12.75" customHeight="1">
      <c r="H2173" s="43" t="n"/>
      <c r="AG2173" s="49">
        <f>IFERROR(__xludf.DUMMYFUNCTION("IFNA(vlookup(H2173,IMPORTRANGE(""1vUGwO1n0QQGx9kKbO0_M5gmuhXZ6-LaxQxgrmJnzgP0"",""'TP# look up'!A:C""),3,0),"""")"),"")</f>
        <v/>
      </c>
      <c r="AH2173" s="49">
        <f>LEFT(J2173,2)</f>
        <v/>
      </c>
    </row>
    <row r="2174" ht="12.75" customHeight="1">
      <c r="H2174" s="43" t="n"/>
      <c r="AG2174" s="49">
        <f>IFERROR(__xludf.DUMMYFUNCTION("IFNA(vlookup(H2174,IMPORTRANGE(""1vUGwO1n0QQGx9kKbO0_M5gmuhXZ6-LaxQxgrmJnzgP0"",""'TP# look up'!A:C""),3,0),"""")"),"")</f>
        <v/>
      </c>
      <c r="AH2174" s="49">
        <f>LEFT(J2174,2)</f>
        <v/>
      </c>
    </row>
    <row r="2175" ht="12.75" customHeight="1">
      <c r="H2175" s="43" t="n"/>
      <c r="AG2175" s="49">
        <f>IFERROR(__xludf.DUMMYFUNCTION("IFNA(vlookup(H2175,IMPORTRANGE(""1vUGwO1n0QQGx9kKbO0_M5gmuhXZ6-LaxQxgrmJnzgP0"",""'TP# look up'!A:C""),3,0),"""")"),"")</f>
        <v/>
      </c>
      <c r="AH2175" s="49">
        <f>LEFT(J2175,2)</f>
        <v/>
      </c>
    </row>
    <row r="2176" ht="12.75" customHeight="1">
      <c r="H2176" s="43" t="n"/>
      <c r="AG2176" s="49">
        <f>IFERROR(__xludf.DUMMYFUNCTION("IFNA(vlookup(H2176,IMPORTRANGE(""1vUGwO1n0QQGx9kKbO0_M5gmuhXZ6-LaxQxgrmJnzgP0"",""'TP# look up'!A:C""),3,0),"""")"),"")</f>
        <v/>
      </c>
      <c r="AH2176" s="49">
        <f>LEFT(J2176,2)</f>
        <v/>
      </c>
    </row>
    <row r="2177" ht="12.75" customHeight="1">
      <c r="H2177" s="43" t="n"/>
      <c r="AG2177" s="49">
        <f>IFERROR(__xludf.DUMMYFUNCTION("IFNA(vlookup(H2177,IMPORTRANGE(""1vUGwO1n0QQGx9kKbO0_M5gmuhXZ6-LaxQxgrmJnzgP0"",""'TP# look up'!A:C""),3,0),"""")"),"")</f>
        <v/>
      </c>
      <c r="AH2177" s="49">
        <f>LEFT(J2177,2)</f>
        <v/>
      </c>
    </row>
    <row r="2178" ht="12.75" customHeight="1">
      <c r="H2178" s="43" t="n"/>
      <c r="AG2178" s="49">
        <f>IFERROR(__xludf.DUMMYFUNCTION("IFNA(vlookup(H2178,IMPORTRANGE(""1vUGwO1n0QQGx9kKbO0_M5gmuhXZ6-LaxQxgrmJnzgP0"",""'TP# look up'!A:C""),3,0),"""")"),"")</f>
        <v/>
      </c>
      <c r="AH2178" s="49">
        <f>LEFT(J2178,2)</f>
        <v/>
      </c>
    </row>
    <row r="2179" ht="12.75" customHeight="1">
      <c r="H2179" s="43" t="n"/>
      <c r="AG2179" s="49">
        <f>IFERROR(__xludf.DUMMYFUNCTION("IFNA(vlookup(H2179,IMPORTRANGE(""1vUGwO1n0QQGx9kKbO0_M5gmuhXZ6-LaxQxgrmJnzgP0"",""'TP# look up'!A:C""),3,0),"""")"),"")</f>
        <v/>
      </c>
      <c r="AH2179" s="49">
        <f>LEFT(J2179,2)</f>
        <v/>
      </c>
    </row>
    <row r="2180" ht="12.75" customHeight="1">
      <c r="H2180" s="43" t="n"/>
      <c r="AG2180" s="49">
        <f>IFERROR(__xludf.DUMMYFUNCTION("IFNA(vlookup(H2180,IMPORTRANGE(""1vUGwO1n0QQGx9kKbO0_M5gmuhXZ6-LaxQxgrmJnzgP0"",""'TP# look up'!A:C""),3,0),"""")"),"")</f>
        <v/>
      </c>
      <c r="AH2180" s="49">
        <f>LEFT(J2180,2)</f>
        <v/>
      </c>
    </row>
    <row r="2181" ht="12.75" customHeight="1">
      <c r="H2181" s="43" t="n"/>
      <c r="AG2181" s="49">
        <f>IFERROR(__xludf.DUMMYFUNCTION("IFNA(vlookup(H2181,IMPORTRANGE(""1vUGwO1n0QQGx9kKbO0_M5gmuhXZ6-LaxQxgrmJnzgP0"",""'TP# look up'!A:C""),3,0),"""")"),"")</f>
        <v/>
      </c>
      <c r="AH2181" s="49">
        <f>LEFT(J2181,2)</f>
        <v/>
      </c>
    </row>
    <row r="2182" ht="12.75" customHeight="1">
      <c r="H2182" s="43" t="n"/>
      <c r="AG2182" s="49">
        <f>IFERROR(__xludf.DUMMYFUNCTION("IFNA(vlookup(H2182,IMPORTRANGE(""1vUGwO1n0QQGx9kKbO0_M5gmuhXZ6-LaxQxgrmJnzgP0"",""'TP# look up'!A:C""),3,0),"""")"),"")</f>
        <v/>
      </c>
      <c r="AH2182" s="49">
        <f>LEFT(J2182,2)</f>
        <v/>
      </c>
    </row>
    <row r="2183" ht="12.75" customHeight="1">
      <c r="H2183" s="43" t="n"/>
      <c r="AG2183" s="49">
        <f>IFERROR(__xludf.DUMMYFUNCTION("IFNA(vlookup(H2183,IMPORTRANGE(""1vUGwO1n0QQGx9kKbO0_M5gmuhXZ6-LaxQxgrmJnzgP0"",""'TP# look up'!A:C""),3,0),"""")"),"")</f>
        <v/>
      </c>
      <c r="AH2183" s="49">
        <f>LEFT(J2183,2)</f>
        <v/>
      </c>
    </row>
    <row r="2184" ht="12.75" customHeight="1">
      <c r="H2184" s="43" t="n"/>
      <c r="AG2184" s="49">
        <f>IFERROR(__xludf.DUMMYFUNCTION("IFNA(vlookup(H2184,IMPORTRANGE(""1vUGwO1n0QQGx9kKbO0_M5gmuhXZ6-LaxQxgrmJnzgP0"",""'TP# look up'!A:C""),3,0),"""")"),"")</f>
        <v/>
      </c>
      <c r="AH2184" s="49">
        <f>LEFT(J2184,2)</f>
        <v/>
      </c>
    </row>
    <row r="2185" ht="12.75" customHeight="1">
      <c r="H2185" s="43" t="n"/>
      <c r="AG2185" s="49">
        <f>IFERROR(__xludf.DUMMYFUNCTION("IFNA(vlookup(H2185,IMPORTRANGE(""1vUGwO1n0QQGx9kKbO0_M5gmuhXZ6-LaxQxgrmJnzgP0"",""'TP# look up'!A:C""),3,0),"""")"),"")</f>
        <v/>
      </c>
      <c r="AH2185" s="49">
        <f>LEFT(J2185,2)</f>
        <v/>
      </c>
    </row>
    <row r="2186" ht="12.75" customHeight="1">
      <c r="H2186" s="43" t="n"/>
      <c r="AG2186" s="49">
        <f>IFERROR(__xludf.DUMMYFUNCTION("IFNA(vlookup(H2186,IMPORTRANGE(""1vUGwO1n0QQGx9kKbO0_M5gmuhXZ6-LaxQxgrmJnzgP0"",""'TP# look up'!A:C""),3,0),"""")"),"")</f>
        <v/>
      </c>
      <c r="AH2186" s="49">
        <f>LEFT(J2186,2)</f>
        <v/>
      </c>
    </row>
    <row r="2187" ht="12.75" customHeight="1">
      <c r="H2187" s="43" t="n"/>
      <c r="AG2187" s="49">
        <f>IFERROR(__xludf.DUMMYFUNCTION("IFNA(vlookup(H2187,IMPORTRANGE(""1vUGwO1n0QQGx9kKbO0_M5gmuhXZ6-LaxQxgrmJnzgP0"",""'TP# look up'!A:C""),3,0),"""")"),"")</f>
        <v/>
      </c>
      <c r="AH2187" s="49">
        <f>LEFT(J2187,2)</f>
        <v/>
      </c>
    </row>
    <row r="2188" ht="12.75" customHeight="1">
      <c r="H2188" s="43" t="n"/>
      <c r="AG2188" s="49">
        <f>IFERROR(__xludf.DUMMYFUNCTION("IFNA(vlookup(H2188,IMPORTRANGE(""1vUGwO1n0QQGx9kKbO0_M5gmuhXZ6-LaxQxgrmJnzgP0"",""'TP# look up'!A:C""),3,0),"""")"),"")</f>
        <v/>
      </c>
      <c r="AH2188" s="49">
        <f>LEFT(J2188,2)</f>
        <v/>
      </c>
    </row>
    <row r="2189" ht="12.75" customHeight="1">
      <c r="H2189" s="43" t="n"/>
      <c r="AG2189" s="49">
        <f>IFERROR(__xludf.DUMMYFUNCTION("IFNA(vlookup(H2189,IMPORTRANGE(""1vUGwO1n0QQGx9kKbO0_M5gmuhXZ6-LaxQxgrmJnzgP0"",""'TP# look up'!A:C""),3,0),"""")"),"")</f>
        <v/>
      </c>
      <c r="AH2189" s="49">
        <f>LEFT(J2189,2)</f>
        <v/>
      </c>
    </row>
    <row r="2190" ht="12.75" customHeight="1">
      <c r="H2190" s="43" t="n"/>
      <c r="AG2190" s="49">
        <f>IFERROR(__xludf.DUMMYFUNCTION("IFNA(vlookup(H2190,IMPORTRANGE(""1vUGwO1n0QQGx9kKbO0_M5gmuhXZ6-LaxQxgrmJnzgP0"",""'TP# look up'!A:C""),3,0),"""")"),"")</f>
        <v/>
      </c>
      <c r="AH2190" s="49">
        <f>LEFT(J2190,2)</f>
        <v/>
      </c>
    </row>
    <row r="2191" ht="12.75" customHeight="1">
      <c r="H2191" s="43" t="n"/>
      <c r="AG2191" s="49">
        <f>IFERROR(__xludf.DUMMYFUNCTION("IFNA(vlookup(H2191,IMPORTRANGE(""1vUGwO1n0QQGx9kKbO0_M5gmuhXZ6-LaxQxgrmJnzgP0"",""'TP# look up'!A:C""),3,0),"""")"),"")</f>
        <v/>
      </c>
      <c r="AH2191" s="49">
        <f>LEFT(J2191,2)</f>
        <v/>
      </c>
    </row>
    <row r="2192" ht="12.75" customHeight="1">
      <c r="H2192" s="43" t="n"/>
      <c r="AG2192" s="49">
        <f>IFERROR(__xludf.DUMMYFUNCTION("IFNA(vlookup(H2192,IMPORTRANGE(""1vUGwO1n0QQGx9kKbO0_M5gmuhXZ6-LaxQxgrmJnzgP0"",""'TP# look up'!A:C""),3,0),"""")"),"")</f>
        <v/>
      </c>
      <c r="AH2192" s="49">
        <f>LEFT(J2192,2)</f>
        <v/>
      </c>
    </row>
    <row r="2193" ht="12.75" customHeight="1">
      <c r="H2193" s="43" t="n"/>
      <c r="AG2193" s="49">
        <f>IFERROR(__xludf.DUMMYFUNCTION("IFNA(vlookup(H2193,IMPORTRANGE(""1vUGwO1n0QQGx9kKbO0_M5gmuhXZ6-LaxQxgrmJnzgP0"",""'TP# look up'!A:C""),3,0),"""")"),"")</f>
        <v/>
      </c>
      <c r="AH2193" s="49">
        <f>LEFT(J2193,2)</f>
        <v/>
      </c>
    </row>
    <row r="2194" ht="12.75" customHeight="1">
      <c r="H2194" s="43" t="n"/>
      <c r="AG2194" s="49">
        <f>IFERROR(__xludf.DUMMYFUNCTION("IFNA(vlookup(H2194,IMPORTRANGE(""1vUGwO1n0QQGx9kKbO0_M5gmuhXZ6-LaxQxgrmJnzgP0"",""'TP# look up'!A:C""),3,0),"""")"),"")</f>
        <v/>
      </c>
      <c r="AH2194" s="49">
        <f>LEFT(J2194,2)</f>
        <v/>
      </c>
    </row>
    <row r="2195" ht="12.75" customHeight="1">
      <c r="H2195" s="43" t="n"/>
      <c r="AG2195" s="49">
        <f>IFERROR(__xludf.DUMMYFUNCTION("IFNA(vlookup(H2195,IMPORTRANGE(""1vUGwO1n0QQGx9kKbO0_M5gmuhXZ6-LaxQxgrmJnzgP0"",""'TP# look up'!A:C""),3,0),"""")"),"")</f>
        <v/>
      </c>
      <c r="AH2195" s="49">
        <f>LEFT(J2195,2)</f>
        <v/>
      </c>
    </row>
    <row r="2196" ht="12.75" customHeight="1">
      <c r="H2196" s="43" t="n"/>
      <c r="AG2196" s="49">
        <f>IFERROR(__xludf.DUMMYFUNCTION("IFNA(vlookup(H2196,IMPORTRANGE(""1vUGwO1n0QQGx9kKbO0_M5gmuhXZ6-LaxQxgrmJnzgP0"",""'TP# look up'!A:C""),3,0),"""")"),"")</f>
        <v/>
      </c>
      <c r="AH2196" s="49">
        <f>LEFT(J2196,2)</f>
        <v/>
      </c>
    </row>
    <row r="2197" ht="12.75" customHeight="1">
      <c r="H2197" s="43" t="n"/>
      <c r="AG2197" s="49">
        <f>IFERROR(__xludf.DUMMYFUNCTION("IFNA(vlookup(H2197,IMPORTRANGE(""1vUGwO1n0QQGx9kKbO0_M5gmuhXZ6-LaxQxgrmJnzgP0"",""'TP# look up'!A:C""),3,0),"""")"),"")</f>
        <v/>
      </c>
      <c r="AH2197" s="49">
        <f>LEFT(J2197,2)</f>
        <v/>
      </c>
    </row>
    <row r="2198" ht="12.75" customHeight="1">
      <c r="H2198" s="43" t="n"/>
      <c r="AG2198" s="49">
        <f>IFERROR(__xludf.DUMMYFUNCTION("IFNA(vlookup(H2198,IMPORTRANGE(""1vUGwO1n0QQGx9kKbO0_M5gmuhXZ6-LaxQxgrmJnzgP0"",""'TP# look up'!A:C""),3,0),"""")"),"")</f>
        <v/>
      </c>
      <c r="AH2198" s="49">
        <f>LEFT(J2198,2)</f>
        <v/>
      </c>
    </row>
    <row r="2199" ht="12.75" customHeight="1">
      <c r="H2199" s="43" t="n"/>
      <c r="AG2199" s="49">
        <f>IFERROR(__xludf.DUMMYFUNCTION("IFNA(vlookup(H2199,IMPORTRANGE(""1vUGwO1n0QQGx9kKbO0_M5gmuhXZ6-LaxQxgrmJnzgP0"",""'TP# look up'!A:C""),3,0),"""")"),"")</f>
        <v/>
      </c>
      <c r="AH2199" s="49">
        <f>LEFT(J2199,2)</f>
        <v/>
      </c>
    </row>
    <row r="2200" ht="12.75" customHeight="1">
      <c r="H2200" s="43" t="n"/>
      <c r="AG2200" s="49">
        <f>IFERROR(__xludf.DUMMYFUNCTION("IFNA(vlookup(H2200,IMPORTRANGE(""1vUGwO1n0QQGx9kKbO0_M5gmuhXZ6-LaxQxgrmJnzgP0"",""'TP# look up'!A:C""),3,0),"""")"),"")</f>
        <v/>
      </c>
      <c r="AH2200" s="49">
        <f>LEFT(J2200,2)</f>
        <v/>
      </c>
    </row>
    <row r="2201" ht="12.75" customHeight="1">
      <c r="H2201" s="43" t="n"/>
      <c r="AG2201" s="49">
        <f>IFERROR(__xludf.DUMMYFUNCTION("IFNA(vlookup(H2201,IMPORTRANGE(""1vUGwO1n0QQGx9kKbO0_M5gmuhXZ6-LaxQxgrmJnzgP0"",""'TP# look up'!A:C""),3,0),"""")"),"")</f>
        <v/>
      </c>
      <c r="AH2201" s="49">
        <f>LEFT(J2201,2)</f>
        <v/>
      </c>
    </row>
    <row r="2202" ht="12.75" customHeight="1">
      <c r="H2202" s="43" t="n"/>
      <c r="AG2202" s="49">
        <f>IFERROR(__xludf.DUMMYFUNCTION("IFNA(vlookup(H2202,IMPORTRANGE(""1vUGwO1n0QQGx9kKbO0_M5gmuhXZ6-LaxQxgrmJnzgP0"",""'TP# look up'!A:C""),3,0),"""")"),"")</f>
        <v/>
      </c>
      <c r="AH2202" s="49">
        <f>LEFT(J2202,2)</f>
        <v/>
      </c>
    </row>
    <row r="2203" ht="12.75" customHeight="1">
      <c r="H2203" s="43" t="n"/>
      <c r="AG2203" s="49">
        <f>IFERROR(__xludf.DUMMYFUNCTION("IFNA(vlookup(H2203,IMPORTRANGE(""1vUGwO1n0QQGx9kKbO0_M5gmuhXZ6-LaxQxgrmJnzgP0"",""'TP# look up'!A:C""),3,0),"""")"),"")</f>
        <v/>
      </c>
      <c r="AH2203" s="49">
        <f>LEFT(J2203,2)</f>
        <v/>
      </c>
    </row>
    <row r="2204" ht="12.75" customHeight="1">
      <c r="H2204" s="43" t="n"/>
      <c r="AG2204" s="49">
        <f>IFERROR(__xludf.DUMMYFUNCTION("IFNA(vlookup(H2204,IMPORTRANGE(""1vUGwO1n0QQGx9kKbO0_M5gmuhXZ6-LaxQxgrmJnzgP0"",""'TP# look up'!A:C""),3,0),"""")"),"")</f>
        <v/>
      </c>
      <c r="AH2204" s="49">
        <f>LEFT(J2204,2)</f>
        <v/>
      </c>
    </row>
    <row r="2205" ht="12.75" customHeight="1">
      <c r="H2205" s="43" t="n"/>
      <c r="AG2205" s="49">
        <f>IFERROR(__xludf.DUMMYFUNCTION("IFNA(vlookup(H2205,IMPORTRANGE(""1vUGwO1n0QQGx9kKbO0_M5gmuhXZ6-LaxQxgrmJnzgP0"",""'TP# look up'!A:C""),3,0),"""")"),"")</f>
        <v/>
      </c>
      <c r="AH2205" s="49">
        <f>LEFT(J2205,2)</f>
        <v/>
      </c>
    </row>
    <row r="2206" ht="12.75" customHeight="1">
      <c r="H2206" s="43" t="n"/>
      <c r="AG2206" s="49">
        <f>IFERROR(__xludf.DUMMYFUNCTION("IFNA(vlookup(H2206,IMPORTRANGE(""1vUGwO1n0QQGx9kKbO0_M5gmuhXZ6-LaxQxgrmJnzgP0"",""'TP# look up'!A:C""),3,0),"""")"),"")</f>
        <v/>
      </c>
      <c r="AH2206" s="49">
        <f>LEFT(J2206,2)</f>
        <v/>
      </c>
    </row>
    <row r="2207" ht="12.75" customHeight="1">
      <c r="H2207" s="43" t="n"/>
      <c r="AG2207" s="49">
        <f>IFERROR(__xludf.DUMMYFUNCTION("IFNA(vlookup(H2207,IMPORTRANGE(""1vUGwO1n0QQGx9kKbO0_M5gmuhXZ6-LaxQxgrmJnzgP0"",""'TP# look up'!A:C""),3,0),"""")"),"")</f>
        <v/>
      </c>
      <c r="AH2207" s="49">
        <f>LEFT(J2207,2)</f>
        <v/>
      </c>
    </row>
    <row r="2208" ht="12.75" customHeight="1">
      <c r="H2208" s="43" t="n"/>
      <c r="AG2208" s="49">
        <f>IFERROR(__xludf.DUMMYFUNCTION("IFNA(vlookup(H2208,IMPORTRANGE(""1vUGwO1n0QQGx9kKbO0_M5gmuhXZ6-LaxQxgrmJnzgP0"",""'TP# look up'!A:C""),3,0),"""")"),"")</f>
        <v/>
      </c>
      <c r="AH2208" s="49">
        <f>LEFT(J2208,2)</f>
        <v/>
      </c>
    </row>
    <row r="2209" ht="12.75" customHeight="1">
      <c r="H2209" s="43" t="n"/>
      <c r="AG2209" s="49">
        <f>IFERROR(__xludf.DUMMYFUNCTION("IFNA(vlookup(H2209,IMPORTRANGE(""1vUGwO1n0QQGx9kKbO0_M5gmuhXZ6-LaxQxgrmJnzgP0"",""'TP# look up'!A:C""),3,0),"""")"),"")</f>
        <v/>
      </c>
      <c r="AH2209" s="49">
        <f>LEFT(J2209,2)</f>
        <v/>
      </c>
    </row>
    <row r="2210" ht="12.75" customHeight="1">
      <c r="H2210" s="43" t="n"/>
      <c r="AG2210" s="49">
        <f>IFERROR(__xludf.DUMMYFUNCTION("IFNA(vlookup(H2210,IMPORTRANGE(""1vUGwO1n0QQGx9kKbO0_M5gmuhXZ6-LaxQxgrmJnzgP0"",""'TP# look up'!A:C""),3,0),"""")"),"")</f>
        <v/>
      </c>
      <c r="AH2210" s="49">
        <f>LEFT(J2210,2)</f>
        <v/>
      </c>
    </row>
    <row r="2211" ht="12.75" customHeight="1">
      <c r="H2211" s="43" t="n"/>
      <c r="AG2211" s="49">
        <f>IFERROR(__xludf.DUMMYFUNCTION("IFNA(vlookup(H2211,IMPORTRANGE(""1vUGwO1n0QQGx9kKbO0_M5gmuhXZ6-LaxQxgrmJnzgP0"",""'TP# look up'!A:C""),3,0),"""")"),"")</f>
        <v/>
      </c>
      <c r="AH2211" s="49">
        <f>LEFT(J2211,2)</f>
        <v/>
      </c>
    </row>
    <row r="2212" ht="12.75" customHeight="1">
      <c r="H2212" s="43" t="n"/>
      <c r="AG2212" s="49">
        <f>IFERROR(__xludf.DUMMYFUNCTION("IFNA(vlookup(H2212,IMPORTRANGE(""1vUGwO1n0QQGx9kKbO0_M5gmuhXZ6-LaxQxgrmJnzgP0"",""'TP# look up'!A:C""),3,0),"""")"),"")</f>
        <v/>
      </c>
      <c r="AH2212" s="49">
        <f>LEFT(J2212,2)</f>
        <v/>
      </c>
    </row>
    <row r="2213" ht="12.75" customHeight="1">
      <c r="H2213" s="43" t="n"/>
      <c r="AG2213" s="49">
        <f>IFERROR(__xludf.DUMMYFUNCTION("IFNA(vlookup(H2213,IMPORTRANGE(""1vUGwO1n0QQGx9kKbO0_M5gmuhXZ6-LaxQxgrmJnzgP0"",""'TP# look up'!A:C""),3,0),"""")"),"")</f>
        <v/>
      </c>
      <c r="AH2213" s="49">
        <f>LEFT(J2213,2)</f>
        <v/>
      </c>
    </row>
    <row r="2214" ht="12.75" customHeight="1">
      <c r="H2214" s="43" t="n"/>
      <c r="AG2214" s="49">
        <f>IFERROR(__xludf.DUMMYFUNCTION("IFNA(vlookup(H2214,IMPORTRANGE(""1vUGwO1n0QQGx9kKbO0_M5gmuhXZ6-LaxQxgrmJnzgP0"",""'TP# look up'!A:C""),3,0),"""")"),"")</f>
        <v/>
      </c>
      <c r="AH2214" s="49">
        <f>LEFT(J2214,2)</f>
        <v/>
      </c>
    </row>
    <row r="2215" ht="12.75" customHeight="1">
      <c r="H2215" s="43" t="n"/>
      <c r="AG2215" s="49">
        <f>IFERROR(__xludf.DUMMYFUNCTION("IFNA(vlookup(H2215,IMPORTRANGE(""1vUGwO1n0QQGx9kKbO0_M5gmuhXZ6-LaxQxgrmJnzgP0"",""'TP# look up'!A:C""),3,0),"""")"),"")</f>
        <v/>
      </c>
      <c r="AH2215" s="49">
        <f>LEFT(J2215,2)</f>
        <v/>
      </c>
    </row>
    <row r="2216" ht="12.75" customHeight="1">
      <c r="H2216" s="43" t="n"/>
      <c r="AG2216" s="49">
        <f>IFERROR(__xludf.DUMMYFUNCTION("IFNA(vlookup(H2216,IMPORTRANGE(""1vUGwO1n0QQGx9kKbO0_M5gmuhXZ6-LaxQxgrmJnzgP0"",""'TP# look up'!A:C""),3,0),"""")"),"")</f>
        <v/>
      </c>
      <c r="AH2216" s="49">
        <f>LEFT(J2216,2)</f>
        <v/>
      </c>
    </row>
    <row r="2217" ht="12.75" customHeight="1">
      <c r="H2217" s="43" t="n"/>
      <c r="AG2217" s="49">
        <f>IFERROR(__xludf.DUMMYFUNCTION("IFNA(vlookup(H2217,IMPORTRANGE(""1vUGwO1n0QQGx9kKbO0_M5gmuhXZ6-LaxQxgrmJnzgP0"",""'TP# look up'!A:C""),3,0),"""")"),"")</f>
        <v/>
      </c>
      <c r="AH2217" s="49">
        <f>LEFT(J2217,2)</f>
        <v/>
      </c>
    </row>
    <row r="2218" ht="12.75" customHeight="1">
      <c r="H2218" s="43" t="n"/>
      <c r="AG2218" s="49">
        <f>IFERROR(__xludf.DUMMYFUNCTION("IFNA(vlookup(H2218,IMPORTRANGE(""1vUGwO1n0QQGx9kKbO0_M5gmuhXZ6-LaxQxgrmJnzgP0"",""'TP# look up'!A:C""),3,0),"""")"),"")</f>
        <v/>
      </c>
      <c r="AH2218" s="49">
        <f>LEFT(J2218,2)</f>
        <v/>
      </c>
    </row>
    <row r="2219" ht="12.75" customHeight="1">
      <c r="H2219" s="43" t="n"/>
      <c r="AG2219" s="49">
        <f>IFERROR(__xludf.DUMMYFUNCTION("IFNA(vlookup(H2219,IMPORTRANGE(""1vUGwO1n0QQGx9kKbO0_M5gmuhXZ6-LaxQxgrmJnzgP0"",""'TP# look up'!A:C""),3,0),"""")"),"")</f>
        <v/>
      </c>
      <c r="AH2219" s="49">
        <f>LEFT(J2219,2)</f>
        <v/>
      </c>
    </row>
    <row r="2220" ht="12.75" customHeight="1">
      <c r="H2220" s="43" t="n"/>
      <c r="AG2220" s="49">
        <f>IFERROR(__xludf.DUMMYFUNCTION("IFNA(vlookup(H2220,IMPORTRANGE(""1vUGwO1n0QQGx9kKbO0_M5gmuhXZ6-LaxQxgrmJnzgP0"",""'TP# look up'!A:C""),3,0),"""")"),"")</f>
        <v/>
      </c>
      <c r="AH2220" s="49">
        <f>LEFT(J2220,2)</f>
        <v/>
      </c>
    </row>
    <row r="2221" ht="12.75" customHeight="1">
      <c r="H2221" s="43" t="n"/>
      <c r="AG2221" s="49">
        <f>IFERROR(__xludf.DUMMYFUNCTION("IFNA(vlookup(H2221,IMPORTRANGE(""1vUGwO1n0QQGx9kKbO0_M5gmuhXZ6-LaxQxgrmJnzgP0"",""'TP# look up'!A:C""),3,0),"""")"),"")</f>
        <v/>
      </c>
      <c r="AH2221" s="49">
        <f>LEFT(J2221,2)</f>
        <v/>
      </c>
    </row>
    <row r="2222" ht="12.75" customHeight="1">
      <c r="H2222" s="43" t="n"/>
      <c r="AG2222" s="49">
        <f>IFERROR(__xludf.DUMMYFUNCTION("IFNA(vlookup(H2222,IMPORTRANGE(""1vUGwO1n0QQGx9kKbO0_M5gmuhXZ6-LaxQxgrmJnzgP0"",""'TP# look up'!A:C""),3,0),"""")"),"")</f>
        <v/>
      </c>
      <c r="AH2222" s="49">
        <f>LEFT(J2222,2)</f>
        <v/>
      </c>
    </row>
    <row r="2223" ht="12.75" customHeight="1">
      <c r="H2223" s="43" t="n"/>
      <c r="AG2223" s="49">
        <f>IFERROR(__xludf.DUMMYFUNCTION("IFNA(vlookup(H2223,IMPORTRANGE(""1vUGwO1n0QQGx9kKbO0_M5gmuhXZ6-LaxQxgrmJnzgP0"",""'TP# look up'!A:C""),3,0),"""")"),"")</f>
        <v/>
      </c>
      <c r="AH2223" s="49">
        <f>LEFT(J2223,2)</f>
        <v/>
      </c>
    </row>
    <row r="2224" ht="12.75" customHeight="1">
      <c r="H2224" s="43" t="n"/>
      <c r="AG2224" s="49">
        <f>IFERROR(__xludf.DUMMYFUNCTION("IFNA(vlookup(H2224,IMPORTRANGE(""1vUGwO1n0QQGx9kKbO0_M5gmuhXZ6-LaxQxgrmJnzgP0"",""'TP# look up'!A:C""),3,0),"""")"),"")</f>
        <v/>
      </c>
      <c r="AH2224" s="49">
        <f>LEFT(J2224,2)</f>
        <v/>
      </c>
    </row>
    <row r="2225" ht="12.75" customHeight="1">
      <c r="H2225" s="43" t="n"/>
      <c r="AG2225" s="49">
        <f>IFERROR(__xludf.DUMMYFUNCTION("IFNA(vlookup(H2225,IMPORTRANGE(""1vUGwO1n0QQGx9kKbO0_M5gmuhXZ6-LaxQxgrmJnzgP0"",""'TP# look up'!A:C""),3,0),"""")"),"")</f>
        <v/>
      </c>
      <c r="AH2225" s="49">
        <f>LEFT(J2225,2)</f>
        <v/>
      </c>
    </row>
    <row r="2226" ht="12.75" customHeight="1">
      <c r="H2226" s="43" t="n"/>
      <c r="AG2226" s="49">
        <f>IFERROR(__xludf.DUMMYFUNCTION("IFNA(vlookup(H2226,IMPORTRANGE(""1vUGwO1n0QQGx9kKbO0_M5gmuhXZ6-LaxQxgrmJnzgP0"",""'TP# look up'!A:C""),3,0),"""")"),"")</f>
        <v/>
      </c>
      <c r="AH2226" s="49">
        <f>LEFT(J2226,2)</f>
        <v/>
      </c>
    </row>
    <row r="2227" ht="12.75" customHeight="1">
      <c r="H2227" s="43" t="n"/>
      <c r="AG2227" s="49">
        <f>IFERROR(__xludf.DUMMYFUNCTION("IFNA(vlookup(H2227,IMPORTRANGE(""1vUGwO1n0QQGx9kKbO0_M5gmuhXZ6-LaxQxgrmJnzgP0"",""'TP# look up'!A:C""),3,0),"""")"),"")</f>
        <v/>
      </c>
      <c r="AH2227" s="49">
        <f>LEFT(J2227,2)</f>
        <v/>
      </c>
    </row>
    <row r="2228" ht="12.75" customHeight="1">
      <c r="H2228" s="43" t="n"/>
      <c r="AG2228" s="49">
        <f>IFERROR(__xludf.DUMMYFUNCTION("IFNA(vlookup(H2228,IMPORTRANGE(""1vUGwO1n0QQGx9kKbO0_M5gmuhXZ6-LaxQxgrmJnzgP0"",""'TP# look up'!A:C""),3,0),"""")"),"")</f>
        <v/>
      </c>
      <c r="AH2228" s="49">
        <f>LEFT(J2228,2)</f>
        <v/>
      </c>
    </row>
    <row r="2229" ht="12.75" customHeight="1">
      <c r="H2229" s="43" t="n"/>
      <c r="AG2229" s="49">
        <f>IFERROR(__xludf.DUMMYFUNCTION("IFNA(vlookup(H2229,IMPORTRANGE(""1vUGwO1n0QQGx9kKbO0_M5gmuhXZ6-LaxQxgrmJnzgP0"",""'TP# look up'!A:C""),3,0),"""")"),"")</f>
        <v/>
      </c>
      <c r="AH2229" s="49">
        <f>LEFT(J2229,2)</f>
        <v/>
      </c>
    </row>
    <row r="2230" ht="12.75" customHeight="1">
      <c r="H2230" s="43" t="n"/>
      <c r="AG2230" s="49">
        <f>IFERROR(__xludf.DUMMYFUNCTION("IFNA(vlookup(H2230,IMPORTRANGE(""1vUGwO1n0QQGx9kKbO0_M5gmuhXZ6-LaxQxgrmJnzgP0"",""'TP# look up'!A:C""),3,0),"""")"),"")</f>
        <v/>
      </c>
      <c r="AH2230" s="49">
        <f>LEFT(J2230,2)</f>
        <v/>
      </c>
    </row>
    <row r="2231" ht="12.75" customHeight="1">
      <c r="H2231" s="43" t="n"/>
      <c r="AG2231" s="49">
        <f>IFERROR(__xludf.DUMMYFUNCTION("IFNA(vlookup(H2231,IMPORTRANGE(""1vUGwO1n0QQGx9kKbO0_M5gmuhXZ6-LaxQxgrmJnzgP0"",""'TP# look up'!A:C""),3,0),"""")"),"")</f>
        <v/>
      </c>
      <c r="AH2231" s="49">
        <f>LEFT(J2231,2)</f>
        <v/>
      </c>
    </row>
    <row r="2232" ht="12.75" customHeight="1">
      <c r="H2232" s="43" t="n"/>
      <c r="AG2232" s="49">
        <f>IFERROR(__xludf.DUMMYFUNCTION("IFNA(vlookup(H2232,IMPORTRANGE(""1vUGwO1n0QQGx9kKbO0_M5gmuhXZ6-LaxQxgrmJnzgP0"",""'TP# look up'!A:C""),3,0),"""")"),"")</f>
        <v/>
      </c>
      <c r="AH2232" s="49">
        <f>LEFT(J2232,2)</f>
        <v/>
      </c>
    </row>
    <row r="2233" ht="12.75" customHeight="1">
      <c r="H2233" s="43" t="n"/>
      <c r="AG2233" s="49">
        <f>IFERROR(__xludf.DUMMYFUNCTION("IFNA(vlookup(H2233,IMPORTRANGE(""1vUGwO1n0QQGx9kKbO0_M5gmuhXZ6-LaxQxgrmJnzgP0"",""'TP# look up'!A:C""),3,0),"""")"),"")</f>
        <v/>
      </c>
      <c r="AH2233" s="49">
        <f>LEFT(J2233,2)</f>
        <v/>
      </c>
    </row>
    <row r="2234" ht="12.75" customHeight="1">
      <c r="H2234" s="43" t="n"/>
      <c r="AG2234" s="49">
        <f>IFERROR(__xludf.DUMMYFUNCTION("IFNA(vlookup(H2234,IMPORTRANGE(""1vUGwO1n0QQGx9kKbO0_M5gmuhXZ6-LaxQxgrmJnzgP0"",""'TP# look up'!A:C""),3,0),"""")"),"")</f>
        <v/>
      </c>
      <c r="AH2234" s="49">
        <f>LEFT(J2234,2)</f>
        <v/>
      </c>
    </row>
    <row r="2235" ht="12.75" customHeight="1">
      <c r="H2235" s="43" t="n"/>
      <c r="AG2235" s="49">
        <f>IFERROR(__xludf.DUMMYFUNCTION("IFNA(vlookup(H2235,IMPORTRANGE(""1vUGwO1n0QQGx9kKbO0_M5gmuhXZ6-LaxQxgrmJnzgP0"",""'TP# look up'!A:C""),3,0),"""")"),"")</f>
        <v/>
      </c>
      <c r="AH2235" s="49">
        <f>LEFT(J2235,2)</f>
        <v/>
      </c>
    </row>
    <row r="2236" ht="12.75" customHeight="1">
      <c r="H2236" s="43" t="n"/>
      <c r="AG2236" s="49">
        <f>IFERROR(__xludf.DUMMYFUNCTION("IFNA(vlookup(H2236,IMPORTRANGE(""1vUGwO1n0QQGx9kKbO0_M5gmuhXZ6-LaxQxgrmJnzgP0"",""'TP# look up'!A:C""),3,0),"""")"),"")</f>
        <v/>
      </c>
      <c r="AH2236" s="49">
        <f>LEFT(J2236,2)</f>
        <v/>
      </c>
    </row>
    <row r="2237" ht="12.75" customHeight="1">
      <c r="H2237" s="43" t="n"/>
      <c r="AG2237" s="49">
        <f>IFERROR(__xludf.DUMMYFUNCTION("IFNA(vlookup(H2237,IMPORTRANGE(""1vUGwO1n0QQGx9kKbO0_M5gmuhXZ6-LaxQxgrmJnzgP0"",""'TP# look up'!A:C""),3,0),"""")"),"")</f>
        <v/>
      </c>
      <c r="AH2237" s="49">
        <f>LEFT(J2237,2)</f>
        <v/>
      </c>
    </row>
    <row r="2238" ht="12.75" customHeight="1">
      <c r="H2238" s="43" t="n"/>
      <c r="AG2238" s="49">
        <f>IFERROR(__xludf.DUMMYFUNCTION("IFNA(vlookup(H2238,IMPORTRANGE(""1vUGwO1n0QQGx9kKbO0_M5gmuhXZ6-LaxQxgrmJnzgP0"",""'TP# look up'!A:C""),3,0),"""")"),"")</f>
        <v/>
      </c>
      <c r="AH2238" s="49">
        <f>LEFT(J2238,2)</f>
        <v/>
      </c>
    </row>
    <row r="2239" ht="12.75" customHeight="1">
      <c r="H2239" s="43" t="n"/>
      <c r="AG2239" s="49">
        <f>IFERROR(__xludf.DUMMYFUNCTION("IFNA(vlookup(H2239,IMPORTRANGE(""1vUGwO1n0QQGx9kKbO0_M5gmuhXZ6-LaxQxgrmJnzgP0"",""'TP# look up'!A:C""),3,0),"""")"),"")</f>
        <v/>
      </c>
      <c r="AH2239" s="49">
        <f>LEFT(J2239,2)</f>
        <v/>
      </c>
    </row>
    <row r="2240" ht="12.75" customHeight="1">
      <c r="H2240" s="43" t="n"/>
      <c r="AG2240" s="49">
        <f>IFERROR(__xludf.DUMMYFUNCTION("IFNA(vlookup(H2240,IMPORTRANGE(""1vUGwO1n0QQGx9kKbO0_M5gmuhXZ6-LaxQxgrmJnzgP0"",""'TP# look up'!A:C""),3,0),"""")"),"")</f>
        <v/>
      </c>
      <c r="AH2240" s="49">
        <f>LEFT(J2240,2)</f>
        <v/>
      </c>
    </row>
    <row r="2241" ht="12.75" customHeight="1">
      <c r="H2241" s="43" t="n"/>
      <c r="AG2241" s="49">
        <f>IFERROR(__xludf.DUMMYFUNCTION("IFNA(vlookup(H2241,IMPORTRANGE(""1vUGwO1n0QQGx9kKbO0_M5gmuhXZ6-LaxQxgrmJnzgP0"",""'TP# look up'!A:C""),3,0),"""")"),"")</f>
        <v/>
      </c>
      <c r="AH2241" s="49">
        <f>LEFT(J2241,2)</f>
        <v/>
      </c>
    </row>
    <row r="2242" ht="12.75" customHeight="1">
      <c r="H2242" s="43" t="n"/>
      <c r="AG2242" s="49">
        <f>IFERROR(__xludf.DUMMYFUNCTION("IFNA(vlookup(H2242,IMPORTRANGE(""1vUGwO1n0QQGx9kKbO0_M5gmuhXZ6-LaxQxgrmJnzgP0"",""'TP# look up'!A:C""),3,0),"""")"),"")</f>
        <v/>
      </c>
      <c r="AH2242" s="49">
        <f>LEFT(J2242,2)</f>
        <v/>
      </c>
    </row>
    <row r="2243" ht="12.75" customHeight="1">
      <c r="H2243" s="43" t="n"/>
      <c r="AG2243" s="49">
        <f>IFERROR(__xludf.DUMMYFUNCTION("IFNA(vlookup(H2243,IMPORTRANGE(""1vUGwO1n0QQGx9kKbO0_M5gmuhXZ6-LaxQxgrmJnzgP0"",""'TP# look up'!A:C""),3,0),"""")"),"")</f>
        <v/>
      </c>
      <c r="AH2243" s="49">
        <f>LEFT(J2243,2)</f>
        <v/>
      </c>
    </row>
    <row r="2244" ht="12.75" customHeight="1">
      <c r="H2244" s="43" t="n"/>
      <c r="AG2244" s="49">
        <f>IFERROR(__xludf.DUMMYFUNCTION("IFNA(vlookup(H2244,IMPORTRANGE(""1vUGwO1n0QQGx9kKbO0_M5gmuhXZ6-LaxQxgrmJnzgP0"",""'TP# look up'!A:C""),3,0),"""")"),"")</f>
        <v/>
      </c>
      <c r="AH2244" s="49">
        <f>LEFT(J2244,2)</f>
        <v/>
      </c>
    </row>
    <row r="2245" ht="12.75" customHeight="1">
      <c r="H2245" s="43" t="n"/>
      <c r="AG2245" s="49">
        <f>IFERROR(__xludf.DUMMYFUNCTION("IFNA(vlookup(H2245,IMPORTRANGE(""1vUGwO1n0QQGx9kKbO0_M5gmuhXZ6-LaxQxgrmJnzgP0"",""'TP# look up'!A:C""),3,0),"""")"),"")</f>
        <v/>
      </c>
      <c r="AH2245" s="49">
        <f>LEFT(J2245,2)</f>
        <v/>
      </c>
    </row>
    <row r="2246" ht="12.75" customHeight="1">
      <c r="H2246" s="43" t="n"/>
      <c r="AG2246" s="49">
        <f>IFERROR(__xludf.DUMMYFUNCTION("IFNA(vlookup(H2246,IMPORTRANGE(""1vUGwO1n0QQGx9kKbO0_M5gmuhXZ6-LaxQxgrmJnzgP0"",""'TP# look up'!A:C""),3,0),"""")"),"")</f>
        <v/>
      </c>
      <c r="AH2246" s="49">
        <f>LEFT(J2246,2)</f>
        <v/>
      </c>
    </row>
    <row r="2247" ht="12.75" customHeight="1">
      <c r="H2247" s="43" t="n"/>
      <c r="AG2247" s="49">
        <f>IFERROR(__xludf.DUMMYFUNCTION("IFNA(vlookup(H2247,IMPORTRANGE(""1vUGwO1n0QQGx9kKbO0_M5gmuhXZ6-LaxQxgrmJnzgP0"",""'TP# look up'!A:C""),3,0),"""")"),"")</f>
        <v/>
      </c>
      <c r="AH2247" s="49">
        <f>LEFT(J2247,2)</f>
        <v/>
      </c>
    </row>
    <row r="2248" ht="12.75" customHeight="1">
      <c r="H2248" s="43" t="n"/>
      <c r="AG2248" s="49">
        <f>IFERROR(__xludf.DUMMYFUNCTION("IFNA(vlookup(H2248,IMPORTRANGE(""1vUGwO1n0QQGx9kKbO0_M5gmuhXZ6-LaxQxgrmJnzgP0"",""'TP# look up'!A:C""),3,0),"""")"),"")</f>
        <v/>
      </c>
      <c r="AH2248" s="49">
        <f>LEFT(J2248,2)</f>
        <v/>
      </c>
    </row>
    <row r="2249" ht="12.75" customHeight="1">
      <c r="H2249" s="43" t="n"/>
      <c r="AG2249" s="49">
        <f>IFERROR(__xludf.DUMMYFUNCTION("IFNA(vlookup(H2249,IMPORTRANGE(""1vUGwO1n0QQGx9kKbO0_M5gmuhXZ6-LaxQxgrmJnzgP0"",""'TP# look up'!A:C""),3,0),"""")"),"")</f>
        <v/>
      </c>
      <c r="AH2249" s="49">
        <f>LEFT(J2249,2)</f>
        <v/>
      </c>
    </row>
    <row r="2250" ht="12.75" customHeight="1">
      <c r="H2250" s="43" t="n"/>
      <c r="AG2250" s="49">
        <f>IFERROR(__xludf.DUMMYFUNCTION("IFNA(vlookup(H2250,IMPORTRANGE(""1vUGwO1n0QQGx9kKbO0_M5gmuhXZ6-LaxQxgrmJnzgP0"",""'TP# look up'!A:C""),3,0),"""")"),"")</f>
        <v/>
      </c>
      <c r="AH2250" s="49">
        <f>LEFT(J2250,2)</f>
        <v/>
      </c>
    </row>
    <row r="2251" ht="12.75" customHeight="1">
      <c r="H2251" s="43" t="n"/>
      <c r="AG2251" s="49">
        <f>IFERROR(__xludf.DUMMYFUNCTION("IFNA(vlookup(H2251,IMPORTRANGE(""1vUGwO1n0QQGx9kKbO0_M5gmuhXZ6-LaxQxgrmJnzgP0"",""'TP# look up'!A:C""),3,0),"""")"),"")</f>
        <v/>
      </c>
      <c r="AH2251" s="49">
        <f>LEFT(J2251,2)</f>
        <v/>
      </c>
    </row>
    <row r="2252" ht="12.75" customHeight="1">
      <c r="H2252" s="43" t="n"/>
      <c r="AG2252" s="49">
        <f>IFERROR(__xludf.DUMMYFUNCTION("IFNA(vlookup(H2252,IMPORTRANGE(""1vUGwO1n0QQGx9kKbO0_M5gmuhXZ6-LaxQxgrmJnzgP0"",""'TP# look up'!A:C""),3,0),"""")"),"")</f>
        <v/>
      </c>
      <c r="AH2252" s="49">
        <f>LEFT(J2252,2)</f>
        <v/>
      </c>
    </row>
    <row r="2253" ht="12.75" customHeight="1">
      <c r="H2253" s="43" t="n"/>
      <c r="AG2253" s="49">
        <f>IFERROR(__xludf.DUMMYFUNCTION("IFNA(vlookup(H2253,IMPORTRANGE(""1vUGwO1n0QQGx9kKbO0_M5gmuhXZ6-LaxQxgrmJnzgP0"",""'TP# look up'!A:C""),3,0),"""")"),"")</f>
        <v/>
      </c>
      <c r="AH2253" s="49">
        <f>LEFT(J2253,2)</f>
        <v/>
      </c>
    </row>
    <row r="2254" ht="12.75" customHeight="1">
      <c r="H2254" s="43" t="n"/>
      <c r="AG2254" s="49">
        <f>IFERROR(__xludf.DUMMYFUNCTION("IFNA(vlookup(H2254,IMPORTRANGE(""1vUGwO1n0QQGx9kKbO0_M5gmuhXZ6-LaxQxgrmJnzgP0"",""'TP# look up'!A:C""),3,0),"""")"),"")</f>
        <v/>
      </c>
      <c r="AH2254" s="49">
        <f>LEFT(J2254,2)</f>
        <v/>
      </c>
    </row>
    <row r="2255" ht="12.75" customHeight="1">
      <c r="H2255" s="43" t="n"/>
      <c r="AG2255" s="49">
        <f>IFERROR(__xludf.DUMMYFUNCTION("IFNA(vlookup(H2255,IMPORTRANGE(""1vUGwO1n0QQGx9kKbO0_M5gmuhXZ6-LaxQxgrmJnzgP0"",""'TP# look up'!A:C""),3,0),"""")"),"")</f>
        <v/>
      </c>
      <c r="AH2255" s="49">
        <f>LEFT(J2255,2)</f>
        <v/>
      </c>
    </row>
    <row r="2256" ht="12.75" customHeight="1">
      <c r="H2256" s="43" t="n"/>
      <c r="AG2256" s="49">
        <f>IFERROR(__xludf.DUMMYFUNCTION("IFNA(vlookup(H2256,IMPORTRANGE(""1vUGwO1n0QQGx9kKbO0_M5gmuhXZ6-LaxQxgrmJnzgP0"",""'TP# look up'!A:C""),3,0),"""")"),"")</f>
        <v/>
      </c>
      <c r="AH2256" s="49">
        <f>LEFT(J2256,2)</f>
        <v/>
      </c>
    </row>
    <row r="2257" ht="12.75" customHeight="1">
      <c r="H2257" s="43" t="n"/>
      <c r="AG2257" s="49">
        <f>IFERROR(__xludf.DUMMYFUNCTION("IFNA(vlookup(H2257,IMPORTRANGE(""1vUGwO1n0QQGx9kKbO0_M5gmuhXZ6-LaxQxgrmJnzgP0"",""'TP# look up'!A:C""),3,0),"""")"),"")</f>
        <v/>
      </c>
      <c r="AH2257" s="49">
        <f>LEFT(J2257,2)</f>
        <v/>
      </c>
    </row>
    <row r="2258" ht="12.75" customHeight="1">
      <c r="H2258" s="43" t="n"/>
      <c r="AG2258" s="49">
        <f>IFERROR(__xludf.DUMMYFUNCTION("IFNA(vlookup(H2258,IMPORTRANGE(""1vUGwO1n0QQGx9kKbO0_M5gmuhXZ6-LaxQxgrmJnzgP0"",""'TP# look up'!A:C""),3,0),"""")"),"")</f>
        <v/>
      </c>
      <c r="AH2258" s="49">
        <f>LEFT(J2258,2)</f>
        <v/>
      </c>
    </row>
    <row r="2259" ht="12.75" customHeight="1">
      <c r="H2259" s="43" t="n"/>
      <c r="AG2259" s="49">
        <f>IFERROR(__xludf.DUMMYFUNCTION("IFNA(vlookup(H2259,IMPORTRANGE(""1vUGwO1n0QQGx9kKbO0_M5gmuhXZ6-LaxQxgrmJnzgP0"",""'TP# look up'!A:C""),3,0),"""")"),"")</f>
        <v/>
      </c>
      <c r="AH2259" s="49">
        <f>LEFT(J2259,2)</f>
        <v/>
      </c>
    </row>
    <row r="2260" ht="12.75" customHeight="1">
      <c r="H2260" s="43" t="n"/>
      <c r="AG2260" s="49">
        <f>IFERROR(__xludf.DUMMYFUNCTION("IFNA(vlookup(H2260,IMPORTRANGE(""1vUGwO1n0QQGx9kKbO0_M5gmuhXZ6-LaxQxgrmJnzgP0"",""'TP# look up'!A:C""),3,0),"""")"),"")</f>
        <v/>
      </c>
      <c r="AH2260" s="49">
        <f>LEFT(J2260,2)</f>
        <v/>
      </c>
    </row>
    <row r="2261" ht="12.75" customHeight="1">
      <c r="H2261" s="43" t="n"/>
      <c r="AG2261" s="49">
        <f>IFERROR(__xludf.DUMMYFUNCTION("IFNA(vlookup(H2261,IMPORTRANGE(""1vUGwO1n0QQGx9kKbO0_M5gmuhXZ6-LaxQxgrmJnzgP0"",""'TP# look up'!A:C""),3,0),"""")"),"")</f>
        <v/>
      </c>
      <c r="AH2261" s="49">
        <f>LEFT(J2261,2)</f>
        <v/>
      </c>
    </row>
    <row r="2262" ht="12.75" customHeight="1">
      <c r="H2262" s="43" t="n"/>
      <c r="AG2262" s="49">
        <f>IFERROR(__xludf.DUMMYFUNCTION("IFNA(vlookup(H2262,IMPORTRANGE(""1vUGwO1n0QQGx9kKbO0_M5gmuhXZ6-LaxQxgrmJnzgP0"",""'TP# look up'!A:C""),3,0),"""")"),"")</f>
        <v/>
      </c>
      <c r="AH2262" s="49">
        <f>LEFT(J2262,2)</f>
        <v/>
      </c>
    </row>
    <row r="2263" ht="12.75" customHeight="1">
      <c r="H2263" s="43" t="n"/>
      <c r="AG2263" s="49">
        <f>IFERROR(__xludf.DUMMYFUNCTION("IFNA(vlookup(H2263,IMPORTRANGE(""1vUGwO1n0QQGx9kKbO0_M5gmuhXZ6-LaxQxgrmJnzgP0"",""'TP# look up'!A:C""),3,0),"""")"),"")</f>
        <v/>
      </c>
      <c r="AH2263" s="49">
        <f>LEFT(J2263,2)</f>
        <v/>
      </c>
    </row>
    <row r="2264" ht="12.75" customHeight="1">
      <c r="H2264" s="43" t="n"/>
      <c r="AG2264" s="49">
        <f>IFERROR(__xludf.DUMMYFUNCTION("IFNA(vlookup(H2264,IMPORTRANGE(""1vUGwO1n0QQGx9kKbO0_M5gmuhXZ6-LaxQxgrmJnzgP0"",""'TP# look up'!A:C""),3,0),"""")"),"")</f>
        <v/>
      </c>
      <c r="AH2264" s="49">
        <f>LEFT(J2264,2)</f>
        <v/>
      </c>
    </row>
    <row r="2265" ht="12.75" customHeight="1">
      <c r="H2265" s="43" t="n"/>
      <c r="AG2265" s="49">
        <f>IFERROR(__xludf.DUMMYFUNCTION("IFNA(vlookup(H2265,IMPORTRANGE(""1vUGwO1n0QQGx9kKbO0_M5gmuhXZ6-LaxQxgrmJnzgP0"",""'TP# look up'!A:C""),3,0),"""")"),"")</f>
        <v/>
      </c>
      <c r="AH2265" s="49">
        <f>LEFT(J2265,2)</f>
        <v/>
      </c>
    </row>
    <row r="2266" ht="12.75" customHeight="1">
      <c r="H2266" s="43" t="n"/>
      <c r="AG2266" s="49">
        <f>IFERROR(__xludf.DUMMYFUNCTION("IFNA(vlookup(H2266,IMPORTRANGE(""1vUGwO1n0QQGx9kKbO0_M5gmuhXZ6-LaxQxgrmJnzgP0"",""'TP# look up'!A:C""),3,0),"""")"),"")</f>
        <v/>
      </c>
      <c r="AH2266" s="49">
        <f>LEFT(J2266,2)</f>
        <v/>
      </c>
    </row>
    <row r="2267" ht="12.75" customHeight="1">
      <c r="H2267" s="43" t="n"/>
      <c r="AG2267" s="49">
        <f>IFERROR(__xludf.DUMMYFUNCTION("IFNA(vlookup(H2267,IMPORTRANGE(""1vUGwO1n0QQGx9kKbO0_M5gmuhXZ6-LaxQxgrmJnzgP0"",""'TP# look up'!A:C""),3,0),"""")"),"")</f>
        <v/>
      </c>
      <c r="AH2267" s="49">
        <f>LEFT(J2267,2)</f>
        <v/>
      </c>
    </row>
    <row r="2268" ht="12.75" customHeight="1">
      <c r="H2268" s="43" t="n"/>
      <c r="AG2268" s="49">
        <f>IFERROR(__xludf.DUMMYFUNCTION("IFNA(vlookup(H2268,IMPORTRANGE(""1vUGwO1n0QQGx9kKbO0_M5gmuhXZ6-LaxQxgrmJnzgP0"",""'TP# look up'!A:C""),3,0),"""")"),"")</f>
        <v/>
      </c>
      <c r="AH2268" s="49">
        <f>LEFT(J2268,2)</f>
        <v/>
      </c>
    </row>
    <row r="2269" ht="12.75" customHeight="1">
      <c r="H2269" s="43" t="n"/>
      <c r="AG2269" s="49">
        <f>IFERROR(__xludf.DUMMYFUNCTION("IFNA(vlookup(H2269,IMPORTRANGE(""1vUGwO1n0QQGx9kKbO0_M5gmuhXZ6-LaxQxgrmJnzgP0"",""'TP# look up'!A:C""),3,0),"""")"),"")</f>
        <v/>
      </c>
      <c r="AH2269" s="49">
        <f>LEFT(J2269,2)</f>
        <v/>
      </c>
    </row>
    <row r="2270" ht="12.75" customHeight="1">
      <c r="H2270" s="43" t="n"/>
      <c r="AG2270" s="49">
        <f>IFERROR(__xludf.DUMMYFUNCTION("IFNA(vlookup(H2270,IMPORTRANGE(""1vUGwO1n0QQGx9kKbO0_M5gmuhXZ6-LaxQxgrmJnzgP0"",""'TP# look up'!A:C""),3,0),"""")"),"")</f>
        <v/>
      </c>
      <c r="AH2270" s="49">
        <f>LEFT(J2270,2)</f>
        <v/>
      </c>
    </row>
    <row r="2271" ht="12.75" customHeight="1">
      <c r="H2271" s="43" t="n"/>
      <c r="AG2271" s="49">
        <f>IFERROR(__xludf.DUMMYFUNCTION("IFNA(vlookup(H2271,IMPORTRANGE(""1vUGwO1n0QQGx9kKbO0_M5gmuhXZ6-LaxQxgrmJnzgP0"",""'TP# look up'!A:C""),3,0),"""")"),"")</f>
        <v/>
      </c>
      <c r="AH2271" s="49">
        <f>LEFT(J2271,2)</f>
        <v/>
      </c>
    </row>
    <row r="2272" ht="12.75" customHeight="1">
      <c r="H2272" s="43" t="n"/>
      <c r="AG2272" s="49">
        <f>IFERROR(__xludf.DUMMYFUNCTION("IFNA(vlookup(H2272,IMPORTRANGE(""1vUGwO1n0QQGx9kKbO0_M5gmuhXZ6-LaxQxgrmJnzgP0"",""'TP# look up'!A:C""),3,0),"""")"),"")</f>
        <v/>
      </c>
      <c r="AH2272" s="49">
        <f>LEFT(J2272,2)</f>
        <v/>
      </c>
    </row>
    <row r="2273" ht="12.75" customHeight="1">
      <c r="H2273" s="43" t="n"/>
      <c r="AG2273" s="49">
        <f>IFERROR(__xludf.DUMMYFUNCTION("IFNA(vlookup(H2273,IMPORTRANGE(""1vUGwO1n0QQGx9kKbO0_M5gmuhXZ6-LaxQxgrmJnzgP0"",""'TP# look up'!A:C""),3,0),"""")"),"")</f>
        <v/>
      </c>
      <c r="AH2273" s="49">
        <f>LEFT(J2273,2)</f>
        <v/>
      </c>
    </row>
    <row r="2274" ht="12.75" customHeight="1">
      <c r="H2274" s="43" t="n"/>
      <c r="AG2274" s="49">
        <f>IFERROR(__xludf.DUMMYFUNCTION("IFNA(vlookup(H2274,IMPORTRANGE(""1vUGwO1n0QQGx9kKbO0_M5gmuhXZ6-LaxQxgrmJnzgP0"",""'TP# look up'!A:C""),3,0),"""")"),"")</f>
        <v/>
      </c>
      <c r="AH2274" s="49">
        <f>LEFT(J2274,2)</f>
        <v/>
      </c>
    </row>
    <row r="2275" ht="12.75" customHeight="1">
      <c r="H2275" s="43" t="n"/>
      <c r="AG2275" s="49">
        <f>IFERROR(__xludf.DUMMYFUNCTION("IFNA(vlookup(H2275,IMPORTRANGE(""1vUGwO1n0QQGx9kKbO0_M5gmuhXZ6-LaxQxgrmJnzgP0"",""'TP# look up'!A:C""),3,0),"""")"),"")</f>
        <v/>
      </c>
      <c r="AH2275" s="49">
        <f>LEFT(J2275,2)</f>
        <v/>
      </c>
    </row>
    <row r="2276" ht="12.75" customHeight="1">
      <c r="H2276" s="43" t="n"/>
      <c r="AG2276" s="49">
        <f>IFERROR(__xludf.DUMMYFUNCTION("IFNA(vlookup(H2276,IMPORTRANGE(""1vUGwO1n0QQGx9kKbO0_M5gmuhXZ6-LaxQxgrmJnzgP0"",""'TP# look up'!A:C""),3,0),"""")"),"")</f>
        <v/>
      </c>
      <c r="AH2276" s="49">
        <f>LEFT(J2276,2)</f>
        <v/>
      </c>
    </row>
    <row r="2277" ht="12.75" customHeight="1">
      <c r="H2277" s="43" t="n"/>
      <c r="AG2277" s="49">
        <f>IFERROR(__xludf.DUMMYFUNCTION("IFNA(vlookup(H2277,IMPORTRANGE(""1vUGwO1n0QQGx9kKbO0_M5gmuhXZ6-LaxQxgrmJnzgP0"",""'TP# look up'!A:C""),3,0),"""")"),"")</f>
        <v/>
      </c>
      <c r="AH2277" s="49">
        <f>LEFT(J2277,2)</f>
        <v/>
      </c>
    </row>
    <row r="2278" ht="12.75" customHeight="1">
      <c r="H2278" s="43" t="n"/>
      <c r="AG2278" s="49">
        <f>IFERROR(__xludf.DUMMYFUNCTION("IFNA(vlookup(H2278,IMPORTRANGE(""1vUGwO1n0QQGx9kKbO0_M5gmuhXZ6-LaxQxgrmJnzgP0"",""'TP# look up'!A:C""),3,0),"""")"),"")</f>
        <v/>
      </c>
      <c r="AH2278" s="49">
        <f>LEFT(J2278,2)</f>
        <v/>
      </c>
    </row>
    <row r="2279" ht="12.75" customHeight="1">
      <c r="H2279" s="43" t="n"/>
      <c r="AG2279" s="49">
        <f>IFERROR(__xludf.DUMMYFUNCTION("IFNA(vlookup(H2279,IMPORTRANGE(""1vUGwO1n0QQGx9kKbO0_M5gmuhXZ6-LaxQxgrmJnzgP0"",""'TP# look up'!A:C""),3,0),"""")"),"")</f>
        <v/>
      </c>
      <c r="AH2279" s="49">
        <f>LEFT(J2279,2)</f>
        <v/>
      </c>
    </row>
    <row r="2280" ht="12.75" customHeight="1">
      <c r="H2280" s="43" t="n"/>
      <c r="AG2280" s="49">
        <f>IFERROR(__xludf.DUMMYFUNCTION("IFNA(vlookup(H2280,IMPORTRANGE(""1vUGwO1n0QQGx9kKbO0_M5gmuhXZ6-LaxQxgrmJnzgP0"",""'TP# look up'!A:C""),3,0),"""")"),"")</f>
        <v/>
      </c>
      <c r="AH2280" s="49">
        <f>LEFT(J2280,2)</f>
        <v/>
      </c>
    </row>
    <row r="2281" ht="12.75" customHeight="1">
      <c r="H2281" s="43" t="n"/>
      <c r="AG2281" s="49">
        <f>IFERROR(__xludf.DUMMYFUNCTION("IFNA(vlookup(H2281,IMPORTRANGE(""1vUGwO1n0QQGx9kKbO0_M5gmuhXZ6-LaxQxgrmJnzgP0"",""'TP# look up'!A:C""),3,0),"""")"),"")</f>
        <v/>
      </c>
      <c r="AH2281" s="49">
        <f>LEFT(J2281,2)</f>
        <v/>
      </c>
    </row>
    <row r="2282" ht="12.75" customHeight="1">
      <c r="H2282" s="43" t="n"/>
      <c r="AG2282" s="49">
        <f>IFERROR(__xludf.DUMMYFUNCTION("IFNA(vlookup(H2282,IMPORTRANGE(""1vUGwO1n0QQGx9kKbO0_M5gmuhXZ6-LaxQxgrmJnzgP0"",""'TP# look up'!A:C""),3,0),"""")"),"")</f>
        <v/>
      </c>
      <c r="AH2282" s="49">
        <f>LEFT(J2282,2)</f>
        <v/>
      </c>
    </row>
    <row r="2283" ht="12.75" customHeight="1">
      <c r="H2283" s="43" t="n"/>
      <c r="AG2283" s="49">
        <f>IFERROR(__xludf.DUMMYFUNCTION("IFNA(vlookup(H2283,IMPORTRANGE(""1vUGwO1n0QQGx9kKbO0_M5gmuhXZ6-LaxQxgrmJnzgP0"",""'TP# look up'!A:C""),3,0),"""")"),"")</f>
        <v/>
      </c>
      <c r="AH2283" s="49">
        <f>LEFT(J2283,2)</f>
        <v/>
      </c>
    </row>
    <row r="2284" ht="12.75" customHeight="1">
      <c r="H2284" s="43" t="n"/>
      <c r="AG2284" s="49">
        <f>IFERROR(__xludf.DUMMYFUNCTION("IFNA(vlookup(H2284,IMPORTRANGE(""1vUGwO1n0QQGx9kKbO0_M5gmuhXZ6-LaxQxgrmJnzgP0"",""'TP# look up'!A:C""),3,0),"""")"),"")</f>
        <v/>
      </c>
      <c r="AH2284" s="49">
        <f>LEFT(J2284,2)</f>
        <v/>
      </c>
    </row>
    <row r="2285" ht="12.75" customHeight="1">
      <c r="H2285" s="43" t="n"/>
      <c r="AG2285" s="49">
        <f>IFERROR(__xludf.DUMMYFUNCTION("IFNA(vlookup(H2285,IMPORTRANGE(""1vUGwO1n0QQGx9kKbO0_M5gmuhXZ6-LaxQxgrmJnzgP0"",""'TP# look up'!A:C""),3,0),"""")"),"")</f>
        <v/>
      </c>
      <c r="AH2285" s="49">
        <f>LEFT(J2285,2)</f>
        <v/>
      </c>
    </row>
    <row r="2286" ht="12.75" customHeight="1">
      <c r="H2286" s="43" t="n"/>
      <c r="AG2286" s="49">
        <f>IFERROR(__xludf.DUMMYFUNCTION("IFNA(vlookup(H2286,IMPORTRANGE(""1vUGwO1n0QQGx9kKbO0_M5gmuhXZ6-LaxQxgrmJnzgP0"",""'TP# look up'!A:C""),3,0),"""")"),"")</f>
        <v/>
      </c>
      <c r="AH2286" s="49">
        <f>LEFT(J2286,2)</f>
        <v/>
      </c>
    </row>
    <row r="2287" ht="12.75" customHeight="1">
      <c r="H2287" s="43" t="n"/>
      <c r="AG2287" s="49">
        <f>IFERROR(__xludf.DUMMYFUNCTION("IFNA(vlookup(H2287,IMPORTRANGE(""1vUGwO1n0QQGx9kKbO0_M5gmuhXZ6-LaxQxgrmJnzgP0"",""'TP# look up'!A:C""),3,0),"""")"),"")</f>
        <v/>
      </c>
      <c r="AH2287" s="49">
        <f>LEFT(J2287,2)</f>
        <v/>
      </c>
    </row>
    <row r="2288" ht="12.75" customHeight="1">
      <c r="H2288" s="43" t="n"/>
      <c r="AG2288" s="49">
        <f>IFERROR(__xludf.DUMMYFUNCTION("IFNA(vlookup(H2288,IMPORTRANGE(""1vUGwO1n0QQGx9kKbO0_M5gmuhXZ6-LaxQxgrmJnzgP0"",""'TP# look up'!A:C""),3,0),"""")"),"")</f>
        <v/>
      </c>
      <c r="AH2288" s="49">
        <f>LEFT(J2288,2)</f>
        <v/>
      </c>
    </row>
    <row r="2289" ht="12.75" customHeight="1">
      <c r="H2289" s="43" t="n"/>
      <c r="AG2289" s="49">
        <f>IFERROR(__xludf.DUMMYFUNCTION("IFNA(vlookup(H2289,IMPORTRANGE(""1vUGwO1n0QQGx9kKbO0_M5gmuhXZ6-LaxQxgrmJnzgP0"",""'TP# look up'!A:C""),3,0),"""")"),"")</f>
        <v/>
      </c>
      <c r="AH2289" s="49">
        <f>LEFT(J2289,2)</f>
        <v/>
      </c>
    </row>
    <row r="2290" ht="12.75" customHeight="1">
      <c r="H2290" s="43" t="n"/>
      <c r="AG2290" s="49">
        <f>IFERROR(__xludf.DUMMYFUNCTION("IFNA(vlookup(H2290,IMPORTRANGE(""1vUGwO1n0QQGx9kKbO0_M5gmuhXZ6-LaxQxgrmJnzgP0"",""'TP# look up'!A:C""),3,0),"""")"),"")</f>
        <v/>
      </c>
      <c r="AH2290" s="49">
        <f>LEFT(J2290,2)</f>
        <v/>
      </c>
    </row>
    <row r="2291" ht="12.75" customHeight="1">
      <c r="H2291" s="43" t="n"/>
      <c r="AG2291" s="49">
        <f>IFERROR(__xludf.DUMMYFUNCTION("IFNA(vlookup(H2291,IMPORTRANGE(""1vUGwO1n0QQGx9kKbO0_M5gmuhXZ6-LaxQxgrmJnzgP0"",""'TP# look up'!A:C""),3,0),"""")"),"")</f>
        <v/>
      </c>
      <c r="AH2291" s="49">
        <f>LEFT(J2291,2)</f>
        <v/>
      </c>
    </row>
    <row r="2292" ht="12.75" customHeight="1">
      <c r="H2292" s="43" t="n"/>
      <c r="AG2292" s="49">
        <f>IFERROR(__xludf.DUMMYFUNCTION("IFNA(vlookup(H2292,IMPORTRANGE(""1vUGwO1n0QQGx9kKbO0_M5gmuhXZ6-LaxQxgrmJnzgP0"",""'TP# look up'!A:C""),3,0),"""")"),"")</f>
        <v/>
      </c>
      <c r="AH2292" s="49">
        <f>LEFT(J2292,2)</f>
        <v/>
      </c>
    </row>
    <row r="2293" ht="12.75" customHeight="1">
      <c r="H2293" s="43" t="n"/>
      <c r="AG2293" s="49">
        <f>IFERROR(__xludf.DUMMYFUNCTION("IFNA(vlookup(H2293,IMPORTRANGE(""1vUGwO1n0QQGx9kKbO0_M5gmuhXZ6-LaxQxgrmJnzgP0"",""'TP# look up'!A:C""),3,0),"""")"),"")</f>
        <v/>
      </c>
      <c r="AH2293" s="49">
        <f>LEFT(J2293,2)</f>
        <v/>
      </c>
    </row>
    <row r="2294" ht="12.75" customHeight="1">
      <c r="H2294" s="43" t="n"/>
      <c r="AG2294" s="49">
        <f>IFERROR(__xludf.DUMMYFUNCTION("IFNA(vlookup(H2294,IMPORTRANGE(""1vUGwO1n0QQGx9kKbO0_M5gmuhXZ6-LaxQxgrmJnzgP0"",""'TP# look up'!A:C""),3,0),"""")"),"")</f>
        <v/>
      </c>
      <c r="AH2294" s="49">
        <f>LEFT(J2294,2)</f>
        <v/>
      </c>
    </row>
    <row r="2295" ht="12.75" customHeight="1">
      <c r="H2295" s="43" t="n"/>
      <c r="AG2295" s="49">
        <f>IFERROR(__xludf.DUMMYFUNCTION("IFNA(vlookup(H2295,IMPORTRANGE(""1vUGwO1n0QQGx9kKbO0_M5gmuhXZ6-LaxQxgrmJnzgP0"",""'TP# look up'!A:C""),3,0),"""")"),"")</f>
        <v/>
      </c>
      <c r="AH2295" s="49">
        <f>LEFT(J2295,2)</f>
        <v/>
      </c>
    </row>
    <row r="2296" ht="12.75" customHeight="1">
      <c r="H2296" s="43" t="n"/>
      <c r="AG2296" s="49">
        <f>IFERROR(__xludf.DUMMYFUNCTION("IFNA(vlookup(H2296,IMPORTRANGE(""1vUGwO1n0QQGx9kKbO0_M5gmuhXZ6-LaxQxgrmJnzgP0"",""'TP# look up'!A:C""),3,0),"""")"),"")</f>
        <v/>
      </c>
      <c r="AH2296" s="49">
        <f>LEFT(J2296,2)</f>
        <v/>
      </c>
    </row>
    <row r="2297" ht="12.75" customHeight="1">
      <c r="H2297" s="43" t="n"/>
      <c r="AG2297" s="49">
        <f>IFERROR(__xludf.DUMMYFUNCTION("IFNA(vlookup(H2297,IMPORTRANGE(""1vUGwO1n0QQGx9kKbO0_M5gmuhXZ6-LaxQxgrmJnzgP0"",""'TP# look up'!A:C""),3,0),"""")"),"")</f>
        <v/>
      </c>
      <c r="AH2297" s="49">
        <f>LEFT(J2297,2)</f>
        <v/>
      </c>
    </row>
    <row r="2298" ht="12.75" customHeight="1">
      <c r="H2298" s="43" t="n"/>
      <c r="AG2298" s="49">
        <f>IFERROR(__xludf.DUMMYFUNCTION("IFNA(vlookup(H2298,IMPORTRANGE(""1vUGwO1n0QQGx9kKbO0_M5gmuhXZ6-LaxQxgrmJnzgP0"",""'TP# look up'!A:C""),3,0),"""")"),"")</f>
        <v/>
      </c>
      <c r="AH2298" s="49">
        <f>LEFT(J2298,2)</f>
        <v/>
      </c>
    </row>
    <row r="2299" ht="12.75" customHeight="1">
      <c r="H2299" s="43" t="n"/>
      <c r="AG2299" s="49">
        <f>IFERROR(__xludf.DUMMYFUNCTION("IFNA(vlookup(H2299,IMPORTRANGE(""1vUGwO1n0QQGx9kKbO0_M5gmuhXZ6-LaxQxgrmJnzgP0"",""'TP# look up'!A:C""),3,0),"""")"),"")</f>
        <v/>
      </c>
      <c r="AH2299" s="49">
        <f>LEFT(J2299,2)</f>
        <v/>
      </c>
    </row>
    <row r="2300" ht="12.75" customHeight="1">
      <c r="H2300" s="43" t="n"/>
      <c r="AG2300" s="49">
        <f>IFERROR(__xludf.DUMMYFUNCTION("IFNA(vlookup(H2300,IMPORTRANGE(""1vUGwO1n0QQGx9kKbO0_M5gmuhXZ6-LaxQxgrmJnzgP0"",""'TP# look up'!A:C""),3,0),"""")"),"")</f>
        <v/>
      </c>
      <c r="AH2300" s="49">
        <f>LEFT(J2300,2)</f>
        <v/>
      </c>
    </row>
    <row r="2301" ht="12.75" customHeight="1">
      <c r="H2301" s="43" t="n"/>
      <c r="AG2301" s="49">
        <f>IFERROR(__xludf.DUMMYFUNCTION("IFNA(vlookup(H2301,IMPORTRANGE(""1vUGwO1n0QQGx9kKbO0_M5gmuhXZ6-LaxQxgrmJnzgP0"",""'TP# look up'!A:C""),3,0),"""")"),"")</f>
        <v/>
      </c>
      <c r="AH2301" s="49">
        <f>LEFT(J2301,2)</f>
        <v/>
      </c>
    </row>
    <row r="2302" ht="12.75" customHeight="1">
      <c r="H2302" s="43" t="n"/>
      <c r="AG2302" s="49">
        <f>IFERROR(__xludf.DUMMYFUNCTION("IFNA(vlookup(H2302,IMPORTRANGE(""1vUGwO1n0QQGx9kKbO0_M5gmuhXZ6-LaxQxgrmJnzgP0"",""'TP# look up'!A:C""),3,0),"""")"),"")</f>
        <v/>
      </c>
      <c r="AH2302" s="49">
        <f>LEFT(J2302,2)</f>
        <v/>
      </c>
    </row>
    <row r="2303" ht="12.75" customHeight="1">
      <c r="H2303" s="43" t="n"/>
      <c r="AG2303" s="49">
        <f>IFERROR(__xludf.DUMMYFUNCTION("IFNA(vlookup(H2303,IMPORTRANGE(""1vUGwO1n0QQGx9kKbO0_M5gmuhXZ6-LaxQxgrmJnzgP0"",""'TP# look up'!A:C""),3,0),"""")"),"")</f>
        <v/>
      </c>
      <c r="AH2303" s="49">
        <f>LEFT(J2303,2)</f>
        <v/>
      </c>
    </row>
    <row r="2304" ht="12.75" customHeight="1">
      <c r="H2304" s="43" t="n"/>
      <c r="AG2304" s="49">
        <f>IFERROR(__xludf.DUMMYFUNCTION("IFNA(vlookup(H2304,IMPORTRANGE(""1vUGwO1n0QQGx9kKbO0_M5gmuhXZ6-LaxQxgrmJnzgP0"",""'TP# look up'!A:C""),3,0),"""")"),"")</f>
        <v/>
      </c>
      <c r="AH2304" s="49">
        <f>LEFT(J2304,2)</f>
        <v/>
      </c>
    </row>
    <row r="2305" ht="12.75" customHeight="1">
      <c r="H2305" s="43" t="n"/>
      <c r="AG2305" s="49">
        <f>IFERROR(__xludf.DUMMYFUNCTION("IFNA(vlookup(H2305,IMPORTRANGE(""1vUGwO1n0QQGx9kKbO0_M5gmuhXZ6-LaxQxgrmJnzgP0"",""'TP# look up'!A:C""),3,0),"""")"),"")</f>
        <v/>
      </c>
      <c r="AH2305" s="49">
        <f>LEFT(J2305,2)</f>
        <v/>
      </c>
    </row>
    <row r="2306" ht="12.75" customHeight="1">
      <c r="H2306" s="43" t="n"/>
      <c r="AG2306" s="49">
        <f>IFERROR(__xludf.DUMMYFUNCTION("IFNA(vlookup(H2306,IMPORTRANGE(""1vUGwO1n0QQGx9kKbO0_M5gmuhXZ6-LaxQxgrmJnzgP0"",""'TP# look up'!A:C""),3,0),"""")"),"")</f>
        <v/>
      </c>
      <c r="AH2306" s="49">
        <f>LEFT(J2306,2)</f>
        <v/>
      </c>
    </row>
    <row r="2307" ht="12.75" customHeight="1">
      <c r="H2307" s="43" t="n"/>
      <c r="AG2307" s="49">
        <f>IFERROR(__xludf.DUMMYFUNCTION("IFNA(vlookup(H2307,IMPORTRANGE(""1vUGwO1n0QQGx9kKbO0_M5gmuhXZ6-LaxQxgrmJnzgP0"",""'TP# look up'!A:C""),3,0),"""")"),"")</f>
        <v/>
      </c>
      <c r="AH2307" s="49">
        <f>LEFT(J2307,2)</f>
        <v/>
      </c>
    </row>
    <row r="2308" ht="12.75" customHeight="1">
      <c r="H2308" s="43" t="n"/>
      <c r="AG2308" s="49">
        <f>IFERROR(__xludf.DUMMYFUNCTION("IFNA(vlookup(H2308,IMPORTRANGE(""1vUGwO1n0QQGx9kKbO0_M5gmuhXZ6-LaxQxgrmJnzgP0"",""'TP# look up'!A:C""),3,0),"""")"),"")</f>
        <v/>
      </c>
      <c r="AH2308" s="49">
        <f>LEFT(J2308,2)</f>
        <v/>
      </c>
    </row>
    <row r="2309" ht="12.75" customHeight="1">
      <c r="H2309" s="43" t="n"/>
      <c r="AG2309" s="49">
        <f>IFERROR(__xludf.DUMMYFUNCTION("IFNA(vlookup(H2309,IMPORTRANGE(""1vUGwO1n0QQGx9kKbO0_M5gmuhXZ6-LaxQxgrmJnzgP0"",""'TP# look up'!A:C""),3,0),"""")"),"")</f>
        <v/>
      </c>
      <c r="AH2309" s="49">
        <f>LEFT(J2309,2)</f>
        <v/>
      </c>
    </row>
    <row r="2310" ht="12.75" customHeight="1">
      <c r="H2310" s="43" t="n"/>
      <c r="AG2310" s="49">
        <f>IFERROR(__xludf.DUMMYFUNCTION("IFNA(vlookup(H2310,IMPORTRANGE(""1vUGwO1n0QQGx9kKbO0_M5gmuhXZ6-LaxQxgrmJnzgP0"",""'TP# look up'!A:C""),3,0),"""")"),"")</f>
        <v/>
      </c>
      <c r="AH2310" s="49">
        <f>LEFT(J2310,2)</f>
        <v/>
      </c>
    </row>
    <row r="2311" ht="12.75" customHeight="1">
      <c r="H2311" s="43" t="n"/>
      <c r="AG2311" s="49">
        <f>IFERROR(__xludf.DUMMYFUNCTION("IFNA(vlookup(H2311,IMPORTRANGE(""1vUGwO1n0QQGx9kKbO0_M5gmuhXZ6-LaxQxgrmJnzgP0"",""'TP# look up'!A:C""),3,0),"""")"),"")</f>
        <v/>
      </c>
      <c r="AH2311" s="49">
        <f>LEFT(J2311,2)</f>
        <v/>
      </c>
    </row>
    <row r="2312" ht="12.75" customHeight="1">
      <c r="H2312" s="43" t="n"/>
      <c r="AG2312" s="49">
        <f>IFERROR(__xludf.DUMMYFUNCTION("IFNA(vlookup(H2312,IMPORTRANGE(""1vUGwO1n0QQGx9kKbO0_M5gmuhXZ6-LaxQxgrmJnzgP0"",""'TP# look up'!A:C""),3,0),"""")"),"")</f>
        <v/>
      </c>
      <c r="AH2312" s="49">
        <f>LEFT(J2312,2)</f>
        <v/>
      </c>
    </row>
    <row r="2313" ht="12.75" customHeight="1">
      <c r="H2313" s="43" t="n"/>
      <c r="AG2313" s="49">
        <f>IFERROR(__xludf.DUMMYFUNCTION("IFNA(vlookup(H2313,IMPORTRANGE(""1vUGwO1n0QQGx9kKbO0_M5gmuhXZ6-LaxQxgrmJnzgP0"",""'TP# look up'!A:C""),3,0),"""")"),"")</f>
        <v/>
      </c>
      <c r="AH2313" s="49">
        <f>LEFT(J2313,2)</f>
        <v/>
      </c>
    </row>
    <row r="2314" ht="12.75" customHeight="1">
      <c r="H2314" s="43" t="n"/>
      <c r="AG2314" s="49">
        <f>IFERROR(__xludf.DUMMYFUNCTION("IFNA(vlookup(H2314,IMPORTRANGE(""1vUGwO1n0QQGx9kKbO0_M5gmuhXZ6-LaxQxgrmJnzgP0"",""'TP# look up'!A:C""),3,0),"""")"),"")</f>
        <v/>
      </c>
      <c r="AH2314" s="49">
        <f>LEFT(J2314,2)</f>
        <v/>
      </c>
    </row>
    <row r="2315" ht="12.75" customHeight="1">
      <c r="H2315" s="43" t="n"/>
      <c r="AG2315" s="49">
        <f>IFERROR(__xludf.DUMMYFUNCTION("IFNA(vlookup(H2315,IMPORTRANGE(""1vUGwO1n0QQGx9kKbO0_M5gmuhXZ6-LaxQxgrmJnzgP0"",""'TP# look up'!A:C""),3,0),"""")"),"")</f>
        <v/>
      </c>
      <c r="AH2315" s="49">
        <f>LEFT(J2315,2)</f>
        <v/>
      </c>
    </row>
    <row r="2316" ht="12.75" customHeight="1">
      <c r="H2316" s="43" t="n"/>
      <c r="AG2316" s="49">
        <f>IFERROR(__xludf.DUMMYFUNCTION("IFNA(vlookup(H2316,IMPORTRANGE(""1vUGwO1n0QQGx9kKbO0_M5gmuhXZ6-LaxQxgrmJnzgP0"",""'TP# look up'!A:C""),3,0),"""")"),"")</f>
        <v/>
      </c>
      <c r="AH2316" s="49">
        <f>LEFT(J2316,2)</f>
        <v/>
      </c>
    </row>
    <row r="2317" ht="12.75" customHeight="1">
      <c r="H2317" s="43" t="n"/>
      <c r="AG2317" s="49">
        <f>IFERROR(__xludf.DUMMYFUNCTION("IFNA(vlookup(H2317,IMPORTRANGE(""1vUGwO1n0QQGx9kKbO0_M5gmuhXZ6-LaxQxgrmJnzgP0"",""'TP# look up'!A:C""),3,0),"""")"),"")</f>
        <v/>
      </c>
      <c r="AH2317" s="49">
        <f>LEFT(J2317,2)</f>
        <v/>
      </c>
    </row>
    <row r="2318" ht="12.75" customHeight="1">
      <c r="H2318" s="43" t="n"/>
      <c r="AG2318" s="49">
        <f>IFERROR(__xludf.DUMMYFUNCTION("IFNA(vlookup(H2318,IMPORTRANGE(""1vUGwO1n0QQGx9kKbO0_M5gmuhXZ6-LaxQxgrmJnzgP0"",""'TP# look up'!A:C""),3,0),"""")"),"")</f>
        <v/>
      </c>
      <c r="AH2318" s="49">
        <f>LEFT(J2318,2)</f>
        <v/>
      </c>
    </row>
    <row r="2319" ht="12.75" customHeight="1">
      <c r="H2319" s="43" t="n"/>
      <c r="AG2319" s="49">
        <f>IFERROR(__xludf.DUMMYFUNCTION("IFNA(vlookup(H2319,IMPORTRANGE(""1vUGwO1n0QQGx9kKbO0_M5gmuhXZ6-LaxQxgrmJnzgP0"",""'TP# look up'!A:C""),3,0),"""")"),"")</f>
        <v/>
      </c>
      <c r="AH2319" s="49">
        <f>LEFT(J2319,2)</f>
        <v/>
      </c>
    </row>
    <row r="2320" ht="12.75" customHeight="1">
      <c r="H2320" s="43" t="n"/>
      <c r="AG2320" s="49">
        <f>IFERROR(__xludf.DUMMYFUNCTION("IFNA(vlookup(H2320,IMPORTRANGE(""1vUGwO1n0QQGx9kKbO0_M5gmuhXZ6-LaxQxgrmJnzgP0"",""'TP# look up'!A:C""),3,0),"""")"),"")</f>
        <v/>
      </c>
      <c r="AH2320" s="49">
        <f>LEFT(J2320,2)</f>
        <v/>
      </c>
    </row>
    <row r="2321" ht="12.75" customHeight="1">
      <c r="H2321" s="43" t="n"/>
      <c r="AG2321" s="49">
        <f>IFERROR(__xludf.DUMMYFUNCTION("IFNA(vlookup(H2321,IMPORTRANGE(""1vUGwO1n0QQGx9kKbO0_M5gmuhXZ6-LaxQxgrmJnzgP0"",""'TP# look up'!A:C""),3,0),"""")"),"")</f>
        <v/>
      </c>
      <c r="AH2321" s="49">
        <f>LEFT(J2321,2)</f>
        <v/>
      </c>
    </row>
    <row r="2322" ht="12.75" customHeight="1">
      <c r="H2322" s="43" t="n"/>
      <c r="AG2322" s="49">
        <f>IFERROR(__xludf.DUMMYFUNCTION("IFNA(vlookup(H2322,IMPORTRANGE(""1vUGwO1n0QQGx9kKbO0_M5gmuhXZ6-LaxQxgrmJnzgP0"",""'TP# look up'!A:C""),3,0),"""")"),"")</f>
        <v/>
      </c>
      <c r="AH2322" s="49">
        <f>LEFT(J2322,2)</f>
        <v/>
      </c>
    </row>
    <row r="2323" ht="12.75" customHeight="1">
      <c r="H2323" s="43" t="n"/>
      <c r="AG2323" s="49">
        <f>IFERROR(__xludf.DUMMYFUNCTION("IFNA(vlookup(H2323,IMPORTRANGE(""1vUGwO1n0QQGx9kKbO0_M5gmuhXZ6-LaxQxgrmJnzgP0"",""'TP# look up'!A:C""),3,0),"""")"),"")</f>
        <v/>
      </c>
      <c r="AH2323" s="49">
        <f>LEFT(J2323,2)</f>
        <v/>
      </c>
    </row>
    <row r="2324" ht="12.75" customHeight="1">
      <c r="H2324" s="43" t="n"/>
      <c r="AG2324" s="49">
        <f>IFERROR(__xludf.DUMMYFUNCTION("IFNA(vlookup(H2324,IMPORTRANGE(""1vUGwO1n0QQGx9kKbO0_M5gmuhXZ6-LaxQxgrmJnzgP0"",""'TP# look up'!A:C""),3,0),"""")"),"")</f>
        <v/>
      </c>
      <c r="AH2324" s="49">
        <f>LEFT(J2324,2)</f>
        <v/>
      </c>
    </row>
    <row r="2325" ht="12.75" customHeight="1">
      <c r="H2325" s="43" t="n"/>
      <c r="AG2325" s="49">
        <f>IFERROR(__xludf.DUMMYFUNCTION("IFNA(vlookup(H2325,IMPORTRANGE(""1vUGwO1n0QQGx9kKbO0_M5gmuhXZ6-LaxQxgrmJnzgP0"",""'TP# look up'!A:C""),3,0),"""")"),"")</f>
        <v/>
      </c>
      <c r="AH2325" s="49">
        <f>LEFT(J2325,2)</f>
        <v/>
      </c>
    </row>
    <row r="2326" ht="12.75" customHeight="1">
      <c r="H2326" s="43" t="n"/>
      <c r="AG2326" s="49">
        <f>IFERROR(__xludf.DUMMYFUNCTION("IFNA(vlookup(H2326,IMPORTRANGE(""1vUGwO1n0QQGx9kKbO0_M5gmuhXZ6-LaxQxgrmJnzgP0"",""'TP# look up'!A:C""),3,0),"""")"),"")</f>
        <v/>
      </c>
      <c r="AH2326" s="49">
        <f>LEFT(J2326,2)</f>
        <v/>
      </c>
    </row>
    <row r="2327" ht="12.75" customHeight="1">
      <c r="H2327" s="43" t="n"/>
      <c r="AG2327" s="49">
        <f>IFERROR(__xludf.DUMMYFUNCTION("IFNA(vlookup(H2327,IMPORTRANGE(""1vUGwO1n0QQGx9kKbO0_M5gmuhXZ6-LaxQxgrmJnzgP0"",""'TP# look up'!A:C""),3,0),"""")"),"")</f>
        <v/>
      </c>
      <c r="AH2327" s="49">
        <f>LEFT(J2327,2)</f>
        <v/>
      </c>
    </row>
    <row r="2328" ht="12.75" customHeight="1">
      <c r="H2328" s="43" t="n"/>
      <c r="AG2328" s="49">
        <f>IFERROR(__xludf.DUMMYFUNCTION("IFNA(vlookup(H2328,IMPORTRANGE(""1vUGwO1n0QQGx9kKbO0_M5gmuhXZ6-LaxQxgrmJnzgP0"",""'TP# look up'!A:C""),3,0),"""")"),"")</f>
        <v/>
      </c>
      <c r="AH2328" s="49">
        <f>LEFT(J2328,2)</f>
        <v/>
      </c>
    </row>
    <row r="2329" ht="12.75" customHeight="1">
      <c r="H2329" s="43" t="n"/>
      <c r="AG2329" s="49">
        <f>IFERROR(__xludf.DUMMYFUNCTION("IFNA(vlookup(H2329,IMPORTRANGE(""1vUGwO1n0QQGx9kKbO0_M5gmuhXZ6-LaxQxgrmJnzgP0"",""'TP# look up'!A:C""),3,0),"""")"),"")</f>
        <v/>
      </c>
      <c r="AH2329" s="49">
        <f>LEFT(J2329,2)</f>
        <v/>
      </c>
    </row>
    <row r="2330" ht="12.75" customHeight="1">
      <c r="H2330" s="43" t="n"/>
      <c r="AG2330" s="49">
        <f>IFERROR(__xludf.DUMMYFUNCTION("IFNA(vlookup(H2330,IMPORTRANGE(""1vUGwO1n0QQGx9kKbO0_M5gmuhXZ6-LaxQxgrmJnzgP0"",""'TP# look up'!A:C""),3,0),"""")"),"")</f>
        <v/>
      </c>
      <c r="AH2330" s="49">
        <f>LEFT(J2330,2)</f>
        <v/>
      </c>
    </row>
    <row r="2331" ht="12.75" customHeight="1">
      <c r="H2331" s="43" t="n"/>
      <c r="AG2331" s="49">
        <f>IFERROR(__xludf.DUMMYFUNCTION("IFNA(vlookup(H2331,IMPORTRANGE(""1vUGwO1n0QQGx9kKbO0_M5gmuhXZ6-LaxQxgrmJnzgP0"",""'TP# look up'!A:C""),3,0),"""")"),"")</f>
        <v/>
      </c>
      <c r="AH2331" s="49">
        <f>LEFT(J2331,2)</f>
        <v/>
      </c>
    </row>
    <row r="2332" ht="12.75" customHeight="1">
      <c r="H2332" s="43" t="n"/>
      <c r="AG2332" s="49">
        <f>IFERROR(__xludf.DUMMYFUNCTION("IFNA(vlookup(H2332,IMPORTRANGE(""1vUGwO1n0QQGx9kKbO0_M5gmuhXZ6-LaxQxgrmJnzgP0"",""'TP# look up'!A:C""),3,0),"""")"),"")</f>
        <v/>
      </c>
      <c r="AH2332" s="49">
        <f>LEFT(J2332,2)</f>
        <v/>
      </c>
    </row>
    <row r="2333" ht="12.75" customHeight="1">
      <c r="H2333" s="43" t="n"/>
      <c r="AG2333" s="49">
        <f>IFERROR(__xludf.DUMMYFUNCTION("IFNA(vlookup(H2333,IMPORTRANGE(""1vUGwO1n0QQGx9kKbO0_M5gmuhXZ6-LaxQxgrmJnzgP0"",""'TP# look up'!A:C""),3,0),"""")"),"")</f>
        <v/>
      </c>
      <c r="AH2333" s="49">
        <f>LEFT(J2333,2)</f>
        <v/>
      </c>
    </row>
    <row r="2334" ht="12.75" customHeight="1">
      <c r="H2334" s="43" t="n"/>
      <c r="AG2334" s="49">
        <f>IFERROR(__xludf.DUMMYFUNCTION("IFNA(vlookup(H2334,IMPORTRANGE(""1vUGwO1n0QQGx9kKbO0_M5gmuhXZ6-LaxQxgrmJnzgP0"",""'TP# look up'!A:C""),3,0),"""")"),"")</f>
        <v/>
      </c>
      <c r="AH2334" s="49">
        <f>LEFT(J2334,2)</f>
        <v/>
      </c>
    </row>
    <row r="2335" ht="12.75" customHeight="1">
      <c r="H2335" s="43" t="n"/>
      <c r="AG2335" s="49">
        <f>IFERROR(__xludf.DUMMYFUNCTION("IFNA(vlookup(H2335,IMPORTRANGE(""1vUGwO1n0QQGx9kKbO0_M5gmuhXZ6-LaxQxgrmJnzgP0"",""'TP# look up'!A:C""),3,0),"""")"),"")</f>
        <v/>
      </c>
      <c r="AH2335" s="49">
        <f>LEFT(J2335,2)</f>
        <v/>
      </c>
    </row>
    <row r="2336" ht="12.75" customHeight="1">
      <c r="H2336" s="43" t="n"/>
      <c r="AG2336" s="49">
        <f>IFERROR(__xludf.DUMMYFUNCTION("IFNA(vlookup(H2336,IMPORTRANGE(""1vUGwO1n0QQGx9kKbO0_M5gmuhXZ6-LaxQxgrmJnzgP0"",""'TP# look up'!A:C""),3,0),"""")"),"")</f>
        <v/>
      </c>
      <c r="AH2336" s="49">
        <f>LEFT(J2336,2)</f>
        <v/>
      </c>
    </row>
    <row r="2337" ht="12.75" customHeight="1">
      <c r="H2337" s="43" t="n"/>
      <c r="AG2337" s="49">
        <f>IFERROR(__xludf.DUMMYFUNCTION("IFNA(vlookup(H2337,IMPORTRANGE(""1vUGwO1n0QQGx9kKbO0_M5gmuhXZ6-LaxQxgrmJnzgP0"",""'TP# look up'!A:C""),3,0),"""")"),"")</f>
        <v/>
      </c>
      <c r="AH2337" s="49">
        <f>LEFT(J2337,2)</f>
        <v/>
      </c>
    </row>
    <row r="2338" ht="12.75" customHeight="1">
      <c r="H2338" s="43" t="n"/>
      <c r="AG2338" s="49">
        <f>IFERROR(__xludf.DUMMYFUNCTION("IFNA(vlookup(H2338,IMPORTRANGE(""1vUGwO1n0QQGx9kKbO0_M5gmuhXZ6-LaxQxgrmJnzgP0"",""'TP# look up'!A:C""),3,0),"""")"),"")</f>
        <v/>
      </c>
      <c r="AH2338" s="49">
        <f>LEFT(J2338,2)</f>
        <v/>
      </c>
    </row>
    <row r="2339" ht="12.75" customHeight="1">
      <c r="H2339" s="43" t="n"/>
      <c r="AG2339" s="49">
        <f>IFERROR(__xludf.DUMMYFUNCTION("IFNA(vlookup(H2339,IMPORTRANGE(""1vUGwO1n0QQGx9kKbO0_M5gmuhXZ6-LaxQxgrmJnzgP0"",""'TP# look up'!A:C""),3,0),"""")"),"")</f>
        <v/>
      </c>
      <c r="AH2339" s="49">
        <f>LEFT(J2339,2)</f>
        <v/>
      </c>
    </row>
    <row r="2340" ht="12.75" customHeight="1">
      <c r="H2340" s="43" t="n"/>
      <c r="AG2340" s="49">
        <f>IFERROR(__xludf.DUMMYFUNCTION("IFNA(vlookup(H2340,IMPORTRANGE(""1vUGwO1n0QQGx9kKbO0_M5gmuhXZ6-LaxQxgrmJnzgP0"",""'TP# look up'!A:C""),3,0),"""")"),"")</f>
        <v/>
      </c>
      <c r="AH2340" s="49">
        <f>LEFT(J2340,2)</f>
        <v/>
      </c>
    </row>
    <row r="2341" ht="12.75" customHeight="1">
      <c r="H2341" s="43" t="n"/>
      <c r="AG2341" s="49">
        <f>IFERROR(__xludf.DUMMYFUNCTION("IFNA(vlookup(H2341,IMPORTRANGE(""1vUGwO1n0QQGx9kKbO0_M5gmuhXZ6-LaxQxgrmJnzgP0"",""'TP# look up'!A:C""),3,0),"""")"),"")</f>
        <v/>
      </c>
      <c r="AH2341" s="49">
        <f>LEFT(J2341,2)</f>
        <v/>
      </c>
    </row>
    <row r="2342" ht="12.75" customHeight="1">
      <c r="H2342" s="43" t="n"/>
      <c r="AG2342" s="49">
        <f>IFERROR(__xludf.DUMMYFUNCTION("IFNA(vlookup(H2342,IMPORTRANGE(""1vUGwO1n0QQGx9kKbO0_M5gmuhXZ6-LaxQxgrmJnzgP0"",""'TP# look up'!A:C""),3,0),"""")"),"")</f>
        <v/>
      </c>
      <c r="AH2342" s="49">
        <f>LEFT(J2342,2)</f>
        <v/>
      </c>
    </row>
    <row r="2343" ht="12.75" customHeight="1">
      <c r="H2343" s="43" t="n"/>
      <c r="AG2343" s="49">
        <f>IFERROR(__xludf.DUMMYFUNCTION("IFNA(vlookup(H2343,IMPORTRANGE(""1vUGwO1n0QQGx9kKbO0_M5gmuhXZ6-LaxQxgrmJnzgP0"",""'TP# look up'!A:C""),3,0),"""")"),"")</f>
        <v/>
      </c>
      <c r="AH2343" s="49">
        <f>LEFT(J2343,2)</f>
        <v/>
      </c>
    </row>
    <row r="2344" ht="12.75" customHeight="1">
      <c r="H2344" s="43" t="n"/>
      <c r="AG2344" s="49">
        <f>IFERROR(__xludf.DUMMYFUNCTION("IFNA(vlookup(H2344,IMPORTRANGE(""1vUGwO1n0QQGx9kKbO0_M5gmuhXZ6-LaxQxgrmJnzgP0"",""'TP# look up'!A:C""),3,0),"""")"),"")</f>
        <v/>
      </c>
      <c r="AH2344" s="49">
        <f>LEFT(J2344,2)</f>
        <v/>
      </c>
    </row>
    <row r="2345" ht="12.75" customHeight="1">
      <c r="H2345" s="43" t="n"/>
      <c r="AG2345" s="49">
        <f>IFERROR(__xludf.DUMMYFUNCTION("IFNA(vlookup(H2345,IMPORTRANGE(""1vUGwO1n0QQGx9kKbO0_M5gmuhXZ6-LaxQxgrmJnzgP0"",""'TP# look up'!A:C""),3,0),"""")"),"")</f>
        <v/>
      </c>
      <c r="AH2345" s="49">
        <f>LEFT(J2345,2)</f>
        <v/>
      </c>
    </row>
    <row r="2346" ht="12.75" customHeight="1">
      <c r="H2346" s="43" t="n"/>
      <c r="AG2346" s="49">
        <f>IFERROR(__xludf.DUMMYFUNCTION("IFNA(vlookup(H2346,IMPORTRANGE(""1vUGwO1n0QQGx9kKbO0_M5gmuhXZ6-LaxQxgrmJnzgP0"",""'TP# look up'!A:C""),3,0),"""")"),"")</f>
        <v/>
      </c>
      <c r="AH2346" s="49">
        <f>LEFT(J2346,2)</f>
        <v/>
      </c>
    </row>
    <row r="2347" ht="12.75" customHeight="1">
      <c r="H2347" s="43" t="n"/>
      <c r="AG2347" s="49">
        <f>IFERROR(__xludf.DUMMYFUNCTION("IFNA(vlookup(H2347,IMPORTRANGE(""1vUGwO1n0QQGx9kKbO0_M5gmuhXZ6-LaxQxgrmJnzgP0"",""'TP# look up'!A:C""),3,0),"""")"),"")</f>
        <v/>
      </c>
      <c r="AH2347" s="49">
        <f>LEFT(J2347,2)</f>
        <v/>
      </c>
    </row>
    <row r="2348" ht="12.75" customHeight="1">
      <c r="H2348" s="43" t="n"/>
      <c r="AG2348" s="49">
        <f>IFERROR(__xludf.DUMMYFUNCTION("IFNA(vlookup(H2348,IMPORTRANGE(""1vUGwO1n0QQGx9kKbO0_M5gmuhXZ6-LaxQxgrmJnzgP0"",""'TP# look up'!A:C""),3,0),"""")"),"")</f>
        <v/>
      </c>
      <c r="AH2348" s="49">
        <f>LEFT(J2348,2)</f>
        <v/>
      </c>
    </row>
    <row r="2349" ht="12.75" customHeight="1">
      <c r="H2349" s="43" t="n"/>
      <c r="AG2349" s="49">
        <f>IFERROR(__xludf.DUMMYFUNCTION("IFNA(vlookup(H2349,IMPORTRANGE(""1vUGwO1n0QQGx9kKbO0_M5gmuhXZ6-LaxQxgrmJnzgP0"",""'TP# look up'!A:C""),3,0),"""")"),"")</f>
        <v/>
      </c>
      <c r="AH2349" s="49">
        <f>LEFT(J2349,2)</f>
        <v/>
      </c>
    </row>
    <row r="2350" ht="12.75" customHeight="1">
      <c r="H2350" s="43" t="n"/>
      <c r="AG2350" s="49">
        <f>IFERROR(__xludf.DUMMYFUNCTION("IFNA(vlookup(H2350,IMPORTRANGE(""1vUGwO1n0QQGx9kKbO0_M5gmuhXZ6-LaxQxgrmJnzgP0"",""'TP# look up'!A:C""),3,0),"""")"),"")</f>
        <v/>
      </c>
      <c r="AH2350" s="49">
        <f>LEFT(J2350,2)</f>
        <v/>
      </c>
    </row>
    <row r="2351" ht="12.75" customHeight="1">
      <c r="H2351" s="43" t="n"/>
      <c r="AG2351" s="49">
        <f>IFERROR(__xludf.DUMMYFUNCTION("IFNA(vlookup(H2351,IMPORTRANGE(""1vUGwO1n0QQGx9kKbO0_M5gmuhXZ6-LaxQxgrmJnzgP0"",""'TP# look up'!A:C""),3,0),"""")"),"")</f>
        <v/>
      </c>
      <c r="AH2351" s="49">
        <f>LEFT(J2351,2)</f>
        <v/>
      </c>
    </row>
    <row r="2352" ht="12.75" customHeight="1">
      <c r="H2352" s="43" t="n"/>
      <c r="AG2352" s="49">
        <f>IFERROR(__xludf.DUMMYFUNCTION("IFNA(vlookup(H2352,IMPORTRANGE(""1vUGwO1n0QQGx9kKbO0_M5gmuhXZ6-LaxQxgrmJnzgP0"",""'TP# look up'!A:C""),3,0),"""")"),"")</f>
        <v/>
      </c>
      <c r="AH2352" s="49">
        <f>LEFT(J2352,2)</f>
        <v/>
      </c>
    </row>
    <row r="2353" ht="12.75" customHeight="1">
      <c r="H2353" s="43" t="n"/>
      <c r="AG2353" s="49">
        <f>IFERROR(__xludf.DUMMYFUNCTION("IFNA(vlookup(H2353,IMPORTRANGE(""1vUGwO1n0QQGx9kKbO0_M5gmuhXZ6-LaxQxgrmJnzgP0"",""'TP# look up'!A:C""),3,0),"""")"),"")</f>
        <v/>
      </c>
      <c r="AH2353" s="49">
        <f>LEFT(J2353,2)</f>
        <v/>
      </c>
    </row>
    <row r="2354" ht="12.75" customHeight="1">
      <c r="H2354" s="43" t="n"/>
      <c r="AG2354" s="49">
        <f>IFERROR(__xludf.DUMMYFUNCTION("IFNA(vlookup(H2354,IMPORTRANGE(""1vUGwO1n0QQGx9kKbO0_M5gmuhXZ6-LaxQxgrmJnzgP0"",""'TP# look up'!A:C""),3,0),"""")"),"")</f>
        <v/>
      </c>
      <c r="AH2354" s="49">
        <f>LEFT(J2354,2)</f>
        <v/>
      </c>
    </row>
    <row r="2355" ht="12.75" customHeight="1">
      <c r="H2355" s="43" t="n"/>
      <c r="AG2355" s="49">
        <f>IFERROR(__xludf.DUMMYFUNCTION("IFNA(vlookup(H2355,IMPORTRANGE(""1vUGwO1n0QQGx9kKbO0_M5gmuhXZ6-LaxQxgrmJnzgP0"",""'TP# look up'!A:C""),3,0),"""")"),"")</f>
        <v/>
      </c>
      <c r="AH2355" s="49">
        <f>LEFT(J2355,2)</f>
        <v/>
      </c>
    </row>
    <row r="2356" ht="12.75" customHeight="1">
      <c r="H2356" s="43" t="n"/>
      <c r="AG2356" s="49">
        <f>IFERROR(__xludf.DUMMYFUNCTION("IFNA(vlookup(H2356,IMPORTRANGE(""1vUGwO1n0QQGx9kKbO0_M5gmuhXZ6-LaxQxgrmJnzgP0"",""'TP# look up'!A:C""),3,0),"""")"),"")</f>
        <v/>
      </c>
      <c r="AH2356" s="49">
        <f>LEFT(J2356,2)</f>
        <v/>
      </c>
    </row>
    <row r="2357" ht="12.75" customHeight="1">
      <c r="H2357" s="43" t="n"/>
      <c r="AG2357" s="49">
        <f>IFERROR(__xludf.DUMMYFUNCTION("IFNA(vlookup(H2357,IMPORTRANGE(""1vUGwO1n0QQGx9kKbO0_M5gmuhXZ6-LaxQxgrmJnzgP0"",""'TP# look up'!A:C""),3,0),"""")"),"")</f>
        <v/>
      </c>
      <c r="AH2357" s="49">
        <f>LEFT(J2357,2)</f>
        <v/>
      </c>
    </row>
    <row r="2358" ht="12.75" customHeight="1">
      <c r="H2358" s="43" t="n"/>
      <c r="AG2358" s="49">
        <f>IFERROR(__xludf.DUMMYFUNCTION("IFNA(vlookup(H2358,IMPORTRANGE(""1vUGwO1n0QQGx9kKbO0_M5gmuhXZ6-LaxQxgrmJnzgP0"",""'TP# look up'!A:C""),3,0),"""")"),"")</f>
        <v/>
      </c>
      <c r="AH2358" s="49">
        <f>LEFT(J2358,2)</f>
        <v/>
      </c>
    </row>
    <row r="2359" ht="12.75" customHeight="1">
      <c r="H2359" s="43" t="n"/>
      <c r="AG2359" s="49">
        <f>IFERROR(__xludf.DUMMYFUNCTION("IFNA(vlookup(H2359,IMPORTRANGE(""1vUGwO1n0QQGx9kKbO0_M5gmuhXZ6-LaxQxgrmJnzgP0"",""'TP# look up'!A:C""),3,0),"""")"),"")</f>
        <v/>
      </c>
      <c r="AH2359" s="49">
        <f>LEFT(J2359,2)</f>
        <v/>
      </c>
    </row>
    <row r="2360" ht="12.75" customHeight="1">
      <c r="H2360" s="43" t="n"/>
      <c r="AG2360" s="49">
        <f>IFERROR(__xludf.DUMMYFUNCTION("IFNA(vlookup(H2360,IMPORTRANGE(""1vUGwO1n0QQGx9kKbO0_M5gmuhXZ6-LaxQxgrmJnzgP0"",""'TP# look up'!A:C""),3,0),"""")"),"")</f>
        <v/>
      </c>
      <c r="AH2360" s="49">
        <f>LEFT(J2360,2)</f>
        <v/>
      </c>
    </row>
    <row r="2361" ht="12.75" customHeight="1">
      <c r="H2361" s="43" t="n"/>
      <c r="AG2361" s="49">
        <f>IFERROR(__xludf.DUMMYFUNCTION("IFNA(vlookup(H2361,IMPORTRANGE(""1vUGwO1n0QQGx9kKbO0_M5gmuhXZ6-LaxQxgrmJnzgP0"",""'TP# look up'!A:C""),3,0),"""")"),"")</f>
        <v/>
      </c>
      <c r="AH2361" s="49">
        <f>LEFT(J2361,2)</f>
        <v/>
      </c>
    </row>
    <row r="2362" ht="12.75" customHeight="1">
      <c r="H2362" s="43" t="n"/>
      <c r="AG2362" s="49">
        <f>IFERROR(__xludf.DUMMYFUNCTION("IFNA(vlookup(H2362,IMPORTRANGE(""1vUGwO1n0QQGx9kKbO0_M5gmuhXZ6-LaxQxgrmJnzgP0"",""'TP# look up'!A:C""),3,0),"""")"),"")</f>
        <v/>
      </c>
      <c r="AH2362" s="49">
        <f>LEFT(J2362,2)</f>
        <v/>
      </c>
    </row>
    <row r="2363" ht="12.75" customHeight="1">
      <c r="H2363" s="43" t="n"/>
      <c r="AG2363" s="49">
        <f>IFERROR(__xludf.DUMMYFUNCTION("IFNA(vlookup(H2363,IMPORTRANGE(""1vUGwO1n0QQGx9kKbO0_M5gmuhXZ6-LaxQxgrmJnzgP0"",""'TP# look up'!A:C""),3,0),"""")"),"")</f>
        <v/>
      </c>
      <c r="AH2363" s="49">
        <f>LEFT(J2363,2)</f>
        <v/>
      </c>
    </row>
    <row r="2364" ht="12.75" customHeight="1">
      <c r="H2364" s="43" t="n"/>
      <c r="AG2364" s="49">
        <f>IFERROR(__xludf.DUMMYFUNCTION("IFNA(vlookup(H2364,IMPORTRANGE(""1vUGwO1n0QQGx9kKbO0_M5gmuhXZ6-LaxQxgrmJnzgP0"",""'TP# look up'!A:C""),3,0),"""")"),"")</f>
        <v/>
      </c>
      <c r="AH2364" s="49">
        <f>LEFT(J2364,2)</f>
        <v/>
      </c>
    </row>
    <row r="2365" ht="12.75" customHeight="1">
      <c r="H2365" s="43" t="n"/>
      <c r="AG2365" s="49">
        <f>IFERROR(__xludf.DUMMYFUNCTION("IFNA(vlookup(H2365,IMPORTRANGE(""1vUGwO1n0QQGx9kKbO0_M5gmuhXZ6-LaxQxgrmJnzgP0"",""'TP# look up'!A:C""),3,0),"""")"),"")</f>
        <v/>
      </c>
      <c r="AH2365" s="49">
        <f>LEFT(J2365,2)</f>
        <v/>
      </c>
    </row>
    <row r="2366" ht="12.75" customHeight="1">
      <c r="H2366" s="43" t="n"/>
      <c r="AG2366" s="49">
        <f>IFERROR(__xludf.DUMMYFUNCTION("IFNA(vlookup(H2366,IMPORTRANGE(""1vUGwO1n0QQGx9kKbO0_M5gmuhXZ6-LaxQxgrmJnzgP0"",""'TP# look up'!A:C""),3,0),"""")"),"")</f>
        <v/>
      </c>
      <c r="AH2366" s="49">
        <f>LEFT(J2366,2)</f>
        <v/>
      </c>
    </row>
    <row r="2367" ht="12.75" customHeight="1">
      <c r="H2367" s="43" t="n"/>
      <c r="AG2367" s="49">
        <f>IFERROR(__xludf.DUMMYFUNCTION("IFNA(vlookup(H2367,IMPORTRANGE(""1vUGwO1n0QQGx9kKbO0_M5gmuhXZ6-LaxQxgrmJnzgP0"",""'TP# look up'!A:C""),3,0),"""")"),"")</f>
        <v/>
      </c>
      <c r="AH2367" s="49">
        <f>LEFT(J2367,2)</f>
        <v/>
      </c>
    </row>
    <row r="2368" ht="12.75" customHeight="1">
      <c r="H2368" s="43" t="n"/>
      <c r="AG2368" s="49">
        <f>IFERROR(__xludf.DUMMYFUNCTION("IFNA(vlookup(H2368,IMPORTRANGE(""1vUGwO1n0QQGx9kKbO0_M5gmuhXZ6-LaxQxgrmJnzgP0"",""'TP# look up'!A:C""),3,0),"""")"),"")</f>
        <v/>
      </c>
      <c r="AH2368" s="49">
        <f>LEFT(J2368,2)</f>
        <v/>
      </c>
    </row>
    <row r="2369" ht="12.75" customHeight="1">
      <c r="H2369" s="43" t="n"/>
      <c r="AG2369" s="49">
        <f>IFERROR(__xludf.DUMMYFUNCTION("IFNA(vlookup(H2369,IMPORTRANGE(""1vUGwO1n0QQGx9kKbO0_M5gmuhXZ6-LaxQxgrmJnzgP0"",""'TP# look up'!A:C""),3,0),"""")"),"")</f>
        <v/>
      </c>
      <c r="AH2369" s="49">
        <f>LEFT(J2369,2)</f>
        <v/>
      </c>
    </row>
    <row r="2370" ht="12.75" customHeight="1">
      <c r="H2370" s="43" t="n"/>
      <c r="AG2370" s="49">
        <f>IFERROR(__xludf.DUMMYFUNCTION("IFNA(vlookup(H2370,IMPORTRANGE(""1vUGwO1n0QQGx9kKbO0_M5gmuhXZ6-LaxQxgrmJnzgP0"",""'TP# look up'!A:C""),3,0),"""")"),"")</f>
        <v/>
      </c>
      <c r="AH2370" s="49">
        <f>LEFT(J2370,2)</f>
        <v/>
      </c>
    </row>
    <row r="2371" ht="12.75" customHeight="1">
      <c r="H2371" s="43" t="n"/>
      <c r="AG2371" s="49">
        <f>IFERROR(__xludf.DUMMYFUNCTION("IFNA(vlookup(H2371,IMPORTRANGE(""1vUGwO1n0QQGx9kKbO0_M5gmuhXZ6-LaxQxgrmJnzgP0"",""'TP# look up'!A:C""),3,0),"""")"),"")</f>
        <v/>
      </c>
      <c r="AH2371" s="49">
        <f>LEFT(J2371,2)</f>
        <v/>
      </c>
    </row>
    <row r="2372" ht="12.75" customHeight="1">
      <c r="H2372" s="43" t="n"/>
      <c r="AG2372" s="49">
        <f>IFERROR(__xludf.DUMMYFUNCTION("IFNA(vlookup(H2372,IMPORTRANGE(""1vUGwO1n0QQGx9kKbO0_M5gmuhXZ6-LaxQxgrmJnzgP0"",""'TP# look up'!A:C""),3,0),"""")"),"")</f>
        <v/>
      </c>
      <c r="AH2372" s="49">
        <f>LEFT(J2372,2)</f>
        <v/>
      </c>
    </row>
    <row r="2373" ht="12.75" customHeight="1">
      <c r="H2373" s="43" t="n"/>
      <c r="AG2373" s="49">
        <f>IFERROR(__xludf.DUMMYFUNCTION("IFNA(vlookup(H2373,IMPORTRANGE(""1vUGwO1n0QQGx9kKbO0_M5gmuhXZ6-LaxQxgrmJnzgP0"",""'TP# look up'!A:C""),3,0),"""")"),"")</f>
        <v/>
      </c>
      <c r="AH2373" s="49">
        <f>LEFT(J2373,2)</f>
        <v/>
      </c>
    </row>
    <row r="2374" ht="12.75" customHeight="1">
      <c r="H2374" s="43" t="n"/>
      <c r="AG2374" s="49">
        <f>IFERROR(__xludf.DUMMYFUNCTION("IFNA(vlookup(H2374,IMPORTRANGE(""1vUGwO1n0QQGx9kKbO0_M5gmuhXZ6-LaxQxgrmJnzgP0"",""'TP# look up'!A:C""),3,0),"""")"),"")</f>
        <v/>
      </c>
      <c r="AH2374" s="49">
        <f>LEFT(J2374,2)</f>
        <v/>
      </c>
    </row>
    <row r="2375" ht="12.75" customHeight="1">
      <c r="H2375" s="43" t="n"/>
      <c r="AG2375" s="49">
        <f>IFERROR(__xludf.DUMMYFUNCTION("IFNA(vlookup(H2375,IMPORTRANGE(""1vUGwO1n0QQGx9kKbO0_M5gmuhXZ6-LaxQxgrmJnzgP0"",""'TP# look up'!A:C""),3,0),"""")"),"")</f>
        <v/>
      </c>
      <c r="AH2375" s="49">
        <f>LEFT(J2375,2)</f>
        <v/>
      </c>
    </row>
    <row r="2376" ht="12.75" customHeight="1">
      <c r="H2376" s="43" t="n"/>
      <c r="AG2376" s="49">
        <f>IFERROR(__xludf.DUMMYFUNCTION("IFNA(vlookup(H2376,IMPORTRANGE(""1vUGwO1n0QQGx9kKbO0_M5gmuhXZ6-LaxQxgrmJnzgP0"",""'TP# look up'!A:C""),3,0),"""")"),"")</f>
        <v/>
      </c>
      <c r="AH2376" s="49">
        <f>LEFT(J2376,2)</f>
        <v/>
      </c>
    </row>
    <row r="2377" ht="12.75" customHeight="1">
      <c r="H2377" s="43" t="n"/>
      <c r="AG2377" s="49">
        <f>IFERROR(__xludf.DUMMYFUNCTION("IFNA(vlookup(H2377,IMPORTRANGE(""1vUGwO1n0QQGx9kKbO0_M5gmuhXZ6-LaxQxgrmJnzgP0"",""'TP# look up'!A:C""),3,0),"""")"),"")</f>
        <v/>
      </c>
      <c r="AH2377" s="49">
        <f>LEFT(J2377,2)</f>
        <v/>
      </c>
    </row>
    <row r="2378" ht="12.75" customHeight="1">
      <c r="H2378" s="43" t="n"/>
      <c r="AG2378" s="49">
        <f>IFERROR(__xludf.DUMMYFUNCTION("IFNA(vlookup(H2378,IMPORTRANGE(""1vUGwO1n0QQGx9kKbO0_M5gmuhXZ6-LaxQxgrmJnzgP0"",""'TP# look up'!A:C""),3,0),"""")"),"")</f>
        <v/>
      </c>
      <c r="AH2378" s="49">
        <f>LEFT(J2378,2)</f>
        <v/>
      </c>
    </row>
    <row r="2379" ht="12.75" customHeight="1">
      <c r="H2379" s="43" t="n"/>
      <c r="AG2379" s="49">
        <f>IFERROR(__xludf.DUMMYFUNCTION("IFNA(vlookup(H2379,IMPORTRANGE(""1vUGwO1n0QQGx9kKbO0_M5gmuhXZ6-LaxQxgrmJnzgP0"",""'TP# look up'!A:C""),3,0),"""")"),"")</f>
        <v/>
      </c>
      <c r="AH2379" s="49">
        <f>LEFT(J2379,2)</f>
        <v/>
      </c>
    </row>
    <row r="2380" ht="12.75" customHeight="1">
      <c r="H2380" s="43" t="n"/>
      <c r="AG2380" s="49">
        <f>IFERROR(__xludf.DUMMYFUNCTION("IFNA(vlookup(H2380,IMPORTRANGE(""1vUGwO1n0QQGx9kKbO0_M5gmuhXZ6-LaxQxgrmJnzgP0"",""'TP# look up'!A:C""),3,0),"""")"),"")</f>
        <v/>
      </c>
      <c r="AH2380" s="49">
        <f>LEFT(J2380,2)</f>
        <v/>
      </c>
    </row>
    <row r="2381" ht="12.75" customHeight="1">
      <c r="H2381" s="43" t="n"/>
      <c r="AG2381" s="49">
        <f>IFERROR(__xludf.DUMMYFUNCTION("IFNA(vlookup(H2381,IMPORTRANGE(""1vUGwO1n0QQGx9kKbO0_M5gmuhXZ6-LaxQxgrmJnzgP0"",""'TP# look up'!A:C""),3,0),"""")"),"")</f>
        <v/>
      </c>
      <c r="AH2381" s="49">
        <f>LEFT(J2381,2)</f>
        <v/>
      </c>
    </row>
    <row r="2382" ht="12.75" customHeight="1">
      <c r="H2382" s="43" t="n"/>
      <c r="AG2382" s="49">
        <f>IFERROR(__xludf.DUMMYFUNCTION("IFNA(vlookup(H2382,IMPORTRANGE(""1vUGwO1n0QQGx9kKbO0_M5gmuhXZ6-LaxQxgrmJnzgP0"",""'TP# look up'!A:C""),3,0),"""")"),"")</f>
        <v/>
      </c>
      <c r="AH2382" s="49">
        <f>LEFT(J2382,2)</f>
        <v/>
      </c>
    </row>
    <row r="2383" ht="12.75" customHeight="1">
      <c r="H2383" s="43" t="n"/>
      <c r="AG2383" s="49">
        <f>IFERROR(__xludf.DUMMYFUNCTION("IFNA(vlookup(H2383,IMPORTRANGE(""1vUGwO1n0QQGx9kKbO0_M5gmuhXZ6-LaxQxgrmJnzgP0"",""'TP# look up'!A:C""),3,0),"""")"),"")</f>
        <v/>
      </c>
      <c r="AH2383" s="49">
        <f>LEFT(J2383,2)</f>
        <v/>
      </c>
    </row>
    <row r="2384" ht="12.75" customHeight="1">
      <c r="H2384" s="43" t="n"/>
      <c r="AG2384" s="49">
        <f>IFERROR(__xludf.DUMMYFUNCTION("IFNA(vlookup(H2384,IMPORTRANGE(""1vUGwO1n0QQGx9kKbO0_M5gmuhXZ6-LaxQxgrmJnzgP0"",""'TP# look up'!A:C""),3,0),"""")"),"")</f>
        <v/>
      </c>
      <c r="AH2384" s="49">
        <f>LEFT(J2384,2)</f>
        <v/>
      </c>
    </row>
    <row r="2385" ht="12.75" customHeight="1">
      <c r="H2385" s="43" t="n"/>
      <c r="AG2385" s="49">
        <f>IFERROR(__xludf.DUMMYFUNCTION("IFNA(vlookup(H2385,IMPORTRANGE(""1vUGwO1n0QQGx9kKbO0_M5gmuhXZ6-LaxQxgrmJnzgP0"",""'TP# look up'!A:C""),3,0),"""")"),"")</f>
        <v/>
      </c>
      <c r="AH2385" s="49">
        <f>LEFT(J2385,2)</f>
        <v/>
      </c>
    </row>
    <row r="2386" ht="12.75" customHeight="1">
      <c r="H2386" s="43" t="n"/>
      <c r="AG2386" s="49">
        <f>IFERROR(__xludf.DUMMYFUNCTION("IFNA(vlookup(H2386,IMPORTRANGE(""1vUGwO1n0QQGx9kKbO0_M5gmuhXZ6-LaxQxgrmJnzgP0"",""'TP# look up'!A:C""),3,0),"""")"),"")</f>
        <v/>
      </c>
      <c r="AH2386" s="49">
        <f>LEFT(J2386,2)</f>
        <v/>
      </c>
    </row>
    <row r="2387" ht="12.75" customHeight="1">
      <c r="H2387" s="43" t="n"/>
      <c r="AG2387" s="49">
        <f>IFERROR(__xludf.DUMMYFUNCTION("IFNA(vlookup(H2387,IMPORTRANGE(""1vUGwO1n0QQGx9kKbO0_M5gmuhXZ6-LaxQxgrmJnzgP0"",""'TP# look up'!A:C""),3,0),"""")"),"")</f>
        <v/>
      </c>
      <c r="AH2387" s="49">
        <f>LEFT(J2387,2)</f>
        <v/>
      </c>
    </row>
    <row r="2388" ht="12.75" customHeight="1">
      <c r="H2388" s="43" t="n"/>
      <c r="AG2388" s="49">
        <f>IFERROR(__xludf.DUMMYFUNCTION("IFNA(vlookup(H2388,IMPORTRANGE(""1vUGwO1n0QQGx9kKbO0_M5gmuhXZ6-LaxQxgrmJnzgP0"",""'TP# look up'!A:C""),3,0),"""")"),"")</f>
        <v/>
      </c>
      <c r="AH2388" s="49">
        <f>LEFT(J2388,2)</f>
        <v/>
      </c>
    </row>
    <row r="2389" ht="12.75" customHeight="1">
      <c r="H2389" s="43" t="n"/>
      <c r="AG2389" s="49">
        <f>IFERROR(__xludf.DUMMYFUNCTION("IFNA(vlookup(H2389,IMPORTRANGE(""1vUGwO1n0QQGx9kKbO0_M5gmuhXZ6-LaxQxgrmJnzgP0"",""'TP# look up'!A:C""),3,0),"""")"),"")</f>
        <v/>
      </c>
      <c r="AH2389" s="49">
        <f>LEFT(J2389,2)</f>
        <v/>
      </c>
    </row>
    <row r="2390" ht="12.75" customHeight="1">
      <c r="H2390" s="43" t="n"/>
      <c r="AG2390" s="49">
        <f>IFERROR(__xludf.DUMMYFUNCTION("IFNA(vlookup(H2390,IMPORTRANGE(""1vUGwO1n0QQGx9kKbO0_M5gmuhXZ6-LaxQxgrmJnzgP0"",""'TP# look up'!A:C""),3,0),"""")"),"")</f>
        <v/>
      </c>
      <c r="AH2390" s="49">
        <f>LEFT(J2390,2)</f>
        <v/>
      </c>
    </row>
    <row r="2391" ht="12.75" customHeight="1">
      <c r="H2391" s="43" t="n"/>
      <c r="AG2391" s="49">
        <f>IFERROR(__xludf.DUMMYFUNCTION("IFNA(vlookup(H2391,IMPORTRANGE(""1vUGwO1n0QQGx9kKbO0_M5gmuhXZ6-LaxQxgrmJnzgP0"",""'TP# look up'!A:C""),3,0),"""")"),"")</f>
        <v/>
      </c>
      <c r="AH2391" s="49">
        <f>LEFT(J2391,2)</f>
        <v/>
      </c>
    </row>
    <row r="2392" ht="12.75" customHeight="1">
      <c r="H2392" s="43" t="n"/>
      <c r="AG2392" s="49">
        <f>IFERROR(__xludf.DUMMYFUNCTION("IFNA(vlookup(H2392,IMPORTRANGE(""1vUGwO1n0QQGx9kKbO0_M5gmuhXZ6-LaxQxgrmJnzgP0"",""'TP# look up'!A:C""),3,0),"""")"),"")</f>
        <v/>
      </c>
      <c r="AH2392" s="49">
        <f>LEFT(J2392,2)</f>
        <v/>
      </c>
    </row>
    <row r="2393" ht="12.75" customHeight="1">
      <c r="H2393" s="43" t="n"/>
      <c r="AG2393" s="49">
        <f>IFERROR(__xludf.DUMMYFUNCTION("IFNA(vlookup(H2393,IMPORTRANGE(""1vUGwO1n0QQGx9kKbO0_M5gmuhXZ6-LaxQxgrmJnzgP0"",""'TP# look up'!A:C""),3,0),"""")"),"")</f>
        <v/>
      </c>
      <c r="AH2393" s="49">
        <f>LEFT(J2393,2)</f>
        <v/>
      </c>
    </row>
    <row r="2394" ht="12.75" customHeight="1">
      <c r="H2394" s="43" t="n"/>
      <c r="AG2394" s="49">
        <f>IFERROR(__xludf.DUMMYFUNCTION("IFNA(vlookup(H2394,IMPORTRANGE(""1vUGwO1n0QQGx9kKbO0_M5gmuhXZ6-LaxQxgrmJnzgP0"",""'TP# look up'!A:C""),3,0),"""")"),"")</f>
        <v/>
      </c>
      <c r="AH2394" s="49">
        <f>LEFT(J2394,2)</f>
        <v/>
      </c>
    </row>
    <row r="2395" ht="12.75" customHeight="1">
      <c r="H2395" s="43" t="n"/>
      <c r="AG2395" s="49">
        <f>IFERROR(__xludf.DUMMYFUNCTION("IFNA(vlookup(H2395,IMPORTRANGE(""1vUGwO1n0QQGx9kKbO0_M5gmuhXZ6-LaxQxgrmJnzgP0"",""'TP# look up'!A:C""),3,0),"""")"),"")</f>
        <v/>
      </c>
      <c r="AH2395" s="49">
        <f>LEFT(J2395,2)</f>
        <v/>
      </c>
    </row>
    <row r="2396" ht="12.75" customHeight="1">
      <c r="H2396" s="43" t="n"/>
      <c r="AG2396" s="49">
        <f>IFERROR(__xludf.DUMMYFUNCTION("IFNA(vlookup(H2396,IMPORTRANGE(""1vUGwO1n0QQGx9kKbO0_M5gmuhXZ6-LaxQxgrmJnzgP0"",""'TP# look up'!A:C""),3,0),"""")"),"")</f>
        <v/>
      </c>
      <c r="AH2396" s="49">
        <f>LEFT(J2396,2)</f>
        <v/>
      </c>
    </row>
    <row r="2397" ht="12.75" customHeight="1">
      <c r="H2397" s="43" t="n"/>
      <c r="AG2397" s="49">
        <f>IFERROR(__xludf.DUMMYFUNCTION("IFNA(vlookup(H2397,IMPORTRANGE(""1vUGwO1n0QQGx9kKbO0_M5gmuhXZ6-LaxQxgrmJnzgP0"",""'TP# look up'!A:C""),3,0),"""")"),"")</f>
        <v/>
      </c>
      <c r="AH2397" s="49">
        <f>LEFT(J2397,2)</f>
        <v/>
      </c>
    </row>
    <row r="2398" ht="12.75" customHeight="1">
      <c r="H2398" s="43" t="n"/>
      <c r="AG2398" s="49">
        <f>IFERROR(__xludf.DUMMYFUNCTION("IFNA(vlookup(H2398,IMPORTRANGE(""1vUGwO1n0QQGx9kKbO0_M5gmuhXZ6-LaxQxgrmJnzgP0"",""'TP# look up'!A:C""),3,0),"""")"),"")</f>
        <v/>
      </c>
      <c r="AH2398" s="49">
        <f>LEFT(J2398,2)</f>
        <v/>
      </c>
    </row>
    <row r="2399" ht="12.75" customHeight="1">
      <c r="H2399" s="43" t="n"/>
      <c r="AG2399" s="49">
        <f>IFERROR(__xludf.DUMMYFUNCTION("IFNA(vlookup(H2399,IMPORTRANGE(""1vUGwO1n0QQGx9kKbO0_M5gmuhXZ6-LaxQxgrmJnzgP0"",""'TP# look up'!A:C""),3,0),"""")"),"")</f>
        <v/>
      </c>
      <c r="AH2399" s="49">
        <f>LEFT(J2399,2)</f>
        <v/>
      </c>
    </row>
    <row r="2400" ht="12.75" customHeight="1">
      <c r="H2400" s="43" t="n"/>
      <c r="AG2400" s="49">
        <f>IFERROR(__xludf.DUMMYFUNCTION("IFNA(vlookup(H2400,IMPORTRANGE(""1vUGwO1n0QQGx9kKbO0_M5gmuhXZ6-LaxQxgrmJnzgP0"",""'TP# look up'!A:C""),3,0),"""")"),"")</f>
        <v/>
      </c>
      <c r="AH2400" s="49">
        <f>LEFT(J2400,2)</f>
        <v/>
      </c>
    </row>
    <row r="2401" ht="12.75" customHeight="1">
      <c r="H2401" s="43" t="n"/>
      <c r="AG2401" s="49">
        <f>IFERROR(__xludf.DUMMYFUNCTION("IFNA(vlookup(H2401,IMPORTRANGE(""1vUGwO1n0QQGx9kKbO0_M5gmuhXZ6-LaxQxgrmJnzgP0"",""'TP# look up'!A:C""),3,0),"""")"),"")</f>
        <v/>
      </c>
      <c r="AH2401" s="49">
        <f>LEFT(J2401,2)</f>
        <v/>
      </c>
    </row>
    <row r="2402" ht="12.75" customHeight="1">
      <c r="H2402" s="43" t="n"/>
      <c r="AG2402" s="49">
        <f>IFERROR(__xludf.DUMMYFUNCTION("IFNA(vlookup(H2402,IMPORTRANGE(""1vUGwO1n0QQGx9kKbO0_M5gmuhXZ6-LaxQxgrmJnzgP0"",""'TP# look up'!A:C""),3,0),"""")"),"")</f>
        <v/>
      </c>
      <c r="AH2402" s="49">
        <f>LEFT(J2402,2)</f>
        <v/>
      </c>
    </row>
    <row r="2403" ht="12.75" customHeight="1">
      <c r="H2403" s="43" t="n"/>
      <c r="AG2403" s="49">
        <f>IFERROR(__xludf.DUMMYFUNCTION("IFNA(vlookup(H2403,IMPORTRANGE(""1vUGwO1n0QQGx9kKbO0_M5gmuhXZ6-LaxQxgrmJnzgP0"",""'TP# look up'!A:C""),3,0),"""")"),"")</f>
        <v/>
      </c>
      <c r="AH2403" s="49">
        <f>LEFT(J2403,2)</f>
        <v/>
      </c>
    </row>
    <row r="2404" ht="12.75" customHeight="1">
      <c r="H2404" s="43" t="n"/>
      <c r="AG2404" s="49">
        <f>IFERROR(__xludf.DUMMYFUNCTION("IFNA(vlookup(H2404,IMPORTRANGE(""1vUGwO1n0QQGx9kKbO0_M5gmuhXZ6-LaxQxgrmJnzgP0"",""'TP# look up'!A:C""),3,0),"""")"),"")</f>
        <v/>
      </c>
      <c r="AH2404" s="49">
        <f>LEFT(J2404,2)</f>
        <v/>
      </c>
    </row>
    <row r="2405" ht="12.75" customHeight="1">
      <c r="H2405" s="43" t="n"/>
      <c r="AG2405" s="49">
        <f>IFERROR(__xludf.DUMMYFUNCTION("IFNA(vlookup(H2405,IMPORTRANGE(""1vUGwO1n0QQGx9kKbO0_M5gmuhXZ6-LaxQxgrmJnzgP0"",""'TP# look up'!A:C""),3,0),"""")"),"")</f>
        <v/>
      </c>
      <c r="AH2405" s="49">
        <f>LEFT(J2405,2)</f>
        <v/>
      </c>
    </row>
    <row r="2406" ht="12.75" customHeight="1">
      <c r="H2406" s="43" t="n"/>
      <c r="AG2406" s="49">
        <f>IFERROR(__xludf.DUMMYFUNCTION("IFNA(vlookup(H2406,IMPORTRANGE(""1vUGwO1n0QQGx9kKbO0_M5gmuhXZ6-LaxQxgrmJnzgP0"",""'TP# look up'!A:C""),3,0),"""")"),"")</f>
        <v/>
      </c>
      <c r="AH2406" s="49">
        <f>LEFT(J2406,2)</f>
        <v/>
      </c>
    </row>
    <row r="2407" ht="12.75" customHeight="1">
      <c r="H2407" s="43" t="n"/>
      <c r="AG2407" s="49">
        <f>IFERROR(__xludf.DUMMYFUNCTION("IFNA(vlookup(H2407,IMPORTRANGE(""1vUGwO1n0QQGx9kKbO0_M5gmuhXZ6-LaxQxgrmJnzgP0"",""'TP# look up'!A:C""),3,0),"""")"),"")</f>
        <v/>
      </c>
      <c r="AH2407" s="49">
        <f>LEFT(J2407,2)</f>
        <v/>
      </c>
    </row>
    <row r="2408" ht="12.75" customHeight="1">
      <c r="H2408" s="43" t="n"/>
      <c r="AG2408" s="49">
        <f>IFERROR(__xludf.DUMMYFUNCTION("IFNA(vlookup(H2408,IMPORTRANGE(""1vUGwO1n0QQGx9kKbO0_M5gmuhXZ6-LaxQxgrmJnzgP0"",""'TP# look up'!A:C""),3,0),"""")"),"")</f>
        <v/>
      </c>
      <c r="AH2408" s="49">
        <f>LEFT(J2408,2)</f>
        <v/>
      </c>
    </row>
    <row r="2409" ht="12.75" customHeight="1">
      <c r="H2409" s="43" t="n"/>
      <c r="AG2409" s="49">
        <f>IFERROR(__xludf.DUMMYFUNCTION("IFNA(vlookup(H2409,IMPORTRANGE(""1vUGwO1n0QQGx9kKbO0_M5gmuhXZ6-LaxQxgrmJnzgP0"",""'TP# look up'!A:C""),3,0),"""")"),"")</f>
        <v/>
      </c>
      <c r="AH2409" s="49">
        <f>LEFT(J2409,2)</f>
        <v/>
      </c>
    </row>
    <row r="2410" ht="12.75" customHeight="1">
      <c r="H2410" s="43" t="n"/>
      <c r="AG2410" s="49">
        <f>IFERROR(__xludf.DUMMYFUNCTION("IFNA(vlookup(H2410,IMPORTRANGE(""1vUGwO1n0QQGx9kKbO0_M5gmuhXZ6-LaxQxgrmJnzgP0"",""'TP# look up'!A:C""),3,0),"""")"),"")</f>
        <v/>
      </c>
      <c r="AH2410" s="49">
        <f>LEFT(J2410,2)</f>
        <v/>
      </c>
    </row>
    <row r="2411" ht="12.75" customHeight="1">
      <c r="H2411" s="43" t="n"/>
      <c r="AG2411" s="49">
        <f>IFERROR(__xludf.DUMMYFUNCTION("IFNA(vlookup(H2411,IMPORTRANGE(""1vUGwO1n0QQGx9kKbO0_M5gmuhXZ6-LaxQxgrmJnzgP0"",""'TP# look up'!A:C""),3,0),"""")"),"")</f>
        <v/>
      </c>
      <c r="AH2411" s="49">
        <f>LEFT(J2411,2)</f>
        <v/>
      </c>
    </row>
    <row r="2412" ht="12.75" customHeight="1">
      <c r="H2412" s="43" t="n"/>
      <c r="AG2412" s="49">
        <f>IFERROR(__xludf.DUMMYFUNCTION("IFNA(vlookup(H2412,IMPORTRANGE(""1vUGwO1n0QQGx9kKbO0_M5gmuhXZ6-LaxQxgrmJnzgP0"",""'TP# look up'!A:C""),3,0),"""")"),"")</f>
        <v/>
      </c>
      <c r="AH2412" s="49">
        <f>LEFT(J2412,2)</f>
        <v/>
      </c>
    </row>
    <row r="2413" ht="12.75" customHeight="1">
      <c r="H2413" s="43" t="n"/>
      <c r="AG2413" s="49">
        <f>IFERROR(__xludf.DUMMYFUNCTION("IFNA(vlookup(H2413,IMPORTRANGE(""1vUGwO1n0QQGx9kKbO0_M5gmuhXZ6-LaxQxgrmJnzgP0"",""'TP# look up'!A:C""),3,0),"""")"),"")</f>
        <v/>
      </c>
      <c r="AH2413" s="49">
        <f>LEFT(J2413,2)</f>
        <v/>
      </c>
    </row>
    <row r="2414" ht="12.75" customHeight="1">
      <c r="H2414" s="43" t="n"/>
      <c r="AG2414" s="49">
        <f>IFERROR(__xludf.DUMMYFUNCTION("IFNA(vlookup(H2414,IMPORTRANGE(""1vUGwO1n0QQGx9kKbO0_M5gmuhXZ6-LaxQxgrmJnzgP0"",""'TP# look up'!A:C""),3,0),"""")"),"")</f>
        <v/>
      </c>
      <c r="AH2414" s="49">
        <f>LEFT(J2414,2)</f>
        <v/>
      </c>
    </row>
    <row r="2415" ht="12.75" customHeight="1">
      <c r="H2415" s="43" t="n"/>
      <c r="AG2415" s="49">
        <f>IFERROR(__xludf.DUMMYFUNCTION("IFNA(vlookup(H2415,IMPORTRANGE(""1vUGwO1n0QQGx9kKbO0_M5gmuhXZ6-LaxQxgrmJnzgP0"",""'TP# look up'!A:C""),3,0),"""")"),"")</f>
        <v/>
      </c>
      <c r="AH2415" s="49">
        <f>LEFT(J2415,2)</f>
        <v/>
      </c>
    </row>
    <row r="2416" ht="12.75" customHeight="1">
      <c r="H2416" s="43" t="n"/>
      <c r="AG2416" s="49">
        <f>IFERROR(__xludf.DUMMYFUNCTION("IFNA(vlookup(H2416,IMPORTRANGE(""1vUGwO1n0QQGx9kKbO0_M5gmuhXZ6-LaxQxgrmJnzgP0"",""'TP# look up'!A:C""),3,0),"""")"),"")</f>
        <v/>
      </c>
      <c r="AH2416" s="49">
        <f>LEFT(J2416,2)</f>
        <v/>
      </c>
    </row>
    <row r="2417" ht="12.75" customHeight="1">
      <c r="H2417" s="43" t="n"/>
      <c r="AG2417" s="49">
        <f>IFERROR(__xludf.DUMMYFUNCTION("IFNA(vlookup(H2417,IMPORTRANGE(""1vUGwO1n0QQGx9kKbO0_M5gmuhXZ6-LaxQxgrmJnzgP0"",""'TP# look up'!A:C""),3,0),"""")"),"")</f>
        <v/>
      </c>
      <c r="AH2417" s="49">
        <f>LEFT(J2417,2)</f>
        <v/>
      </c>
    </row>
    <row r="2418" ht="12.75" customHeight="1">
      <c r="H2418" s="43" t="n"/>
      <c r="AG2418" s="49">
        <f>IFERROR(__xludf.DUMMYFUNCTION("IFNA(vlookup(H2418,IMPORTRANGE(""1vUGwO1n0QQGx9kKbO0_M5gmuhXZ6-LaxQxgrmJnzgP0"",""'TP# look up'!A:C""),3,0),"""")"),"")</f>
        <v/>
      </c>
      <c r="AH2418" s="49">
        <f>LEFT(J2418,2)</f>
        <v/>
      </c>
    </row>
    <row r="2419" ht="12.75" customHeight="1">
      <c r="H2419" s="43" t="n"/>
      <c r="AG2419" s="49">
        <f>IFERROR(__xludf.DUMMYFUNCTION("IFNA(vlookup(H2419,IMPORTRANGE(""1vUGwO1n0QQGx9kKbO0_M5gmuhXZ6-LaxQxgrmJnzgP0"",""'TP# look up'!A:C""),3,0),"""")"),"")</f>
        <v/>
      </c>
      <c r="AH2419" s="49">
        <f>LEFT(J2419,2)</f>
        <v/>
      </c>
    </row>
    <row r="2420" ht="12.75" customHeight="1">
      <c r="H2420" s="43" t="n"/>
      <c r="AG2420" s="49">
        <f>IFERROR(__xludf.DUMMYFUNCTION("IFNA(vlookup(H2420,IMPORTRANGE(""1vUGwO1n0QQGx9kKbO0_M5gmuhXZ6-LaxQxgrmJnzgP0"",""'TP# look up'!A:C""),3,0),"""")"),"")</f>
        <v/>
      </c>
      <c r="AH2420" s="49">
        <f>LEFT(J2420,2)</f>
        <v/>
      </c>
    </row>
    <row r="2421" ht="12.75" customHeight="1">
      <c r="H2421" s="43" t="n"/>
      <c r="AG2421" s="49">
        <f>IFERROR(__xludf.DUMMYFUNCTION("IFNA(vlookup(H2421,IMPORTRANGE(""1vUGwO1n0QQGx9kKbO0_M5gmuhXZ6-LaxQxgrmJnzgP0"",""'TP# look up'!A:C""),3,0),"""")"),"")</f>
        <v/>
      </c>
      <c r="AH2421" s="49">
        <f>LEFT(J2421,2)</f>
        <v/>
      </c>
    </row>
    <row r="2422" ht="12.75" customHeight="1">
      <c r="H2422" s="43" t="n"/>
      <c r="AG2422" s="49">
        <f>IFERROR(__xludf.DUMMYFUNCTION("IFNA(vlookup(H2422,IMPORTRANGE(""1vUGwO1n0QQGx9kKbO0_M5gmuhXZ6-LaxQxgrmJnzgP0"",""'TP# look up'!A:C""),3,0),"""")"),"")</f>
        <v/>
      </c>
      <c r="AH2422" s="49">
        <f>LEFT(J2422,2)</f>
        <v/>
      </c>
    </row>
    <row r="2423" ht="12.75" customHeight="1">
      <c r="H2423" s="43" t="n"/>
      <c r="AG2423" s="49">
        <f>IFERROR(__xludf.DUMMYFUNCTION("IFNA(vlookup(H2423,IMPORTRANGE(""1vUGwO1n0QQGx9kKbO0_M5gmuhXZ6-LaxQxgrmJnzgP0"",""'TP# look up'!A:C""),3,0),"""")"),"")</f>
        <v/>
      </c>
      <c r="AH2423" s="49">
        <f>LEFT(J2423,2)</f>
        <v/>
      </c>
    </row>
    <row r="2424" ht="12.75" customHeight="1">
      <c r="H2424" s="43" t="n"/>
      <c r="AG2424" s="49">
        <f>IFERROR(__xludf.DUMMYFUNCTION("IFNA(vlookup(H2424,IMPORTRANGE(""1vUGwO1n0QQGx9kKbO0_M5gmuhXZ6-LaxQxgrmJnzgP0"",""'TP# look up'!A:C""),3,0),"""")"),"")</f>
        <v/>
      </c>
      <c r="AH2424" s="49">
        <f>LEFT(J2424,2)</f>
        <v/>
      </c>
    </row>
    <row r="2425" ht="12.75" customHeight="1">
      <c r="H2425" s="43" t="n"/>
      <c r="AG2425" s="49">
        <f>IFERROR(__xludf.DUMMYFUNCTION("IFNA(vlookup(H2425,IMPORTRANGE(""1vUGwO1n0QQGx9kKbO0_M5gmuhXZ6-LaxQxgrmJnzgP0"",""'TP# look up'!A:C""),3,0),"""")"),"")</f>
        <v/>
      </c>
      <c r="AH2425" s="49">
        <f>LEFT(J2425,2)</f>
        <v/>
      </c>
    </row>
    <row r="2426" ht="12.75" customHeight="1">
      <c r="H2426" s="43" t="n"/>
      <c r="AG2426" s="49">
        <f>IFERROR(__xludf.DUMMYFUNCTION("IFNA(vlookup(H2426,IMPORTRANGE(""1vUGwO1n0QQGx9kKbO0_M5gmuhXZ6-LaxQxgrmJnzgP0"",""'TP# look up'!A:C""),3,0),"""")"),"")</f>
        <v/>
      </c>
      <c r="AH2426" s="49">
        <f>LEFT(J2426,2)</f>
        <v/>
      </c>
    </row>
    <row r="2427" ht="12.75" customHeight="1">
      <c r="H2427" s="43" t="n"/>
      <c r="AG2427" s="49">
        <f>IFERROR(__xludf.DUMMYFUNCTION("IFNA(vlookup(H2427,IMPORTRANGE(""1vUGwO1n0QQGx9kKbO0_M5gmuhXZ6-LaxQxgrmJnzgP0"",""'TP# look up'!A:C""),3,0),"""")"),"")</f>
        <v/>
      </c>
      <c r="AH2427" s="49">
        <f>LEFT(J2427,2)</f>
        <v/>
      </c>
    </row>
    <row r="2428" ht="12.75" customHeight="1">
      <c r="H2428" s="43" t="n"/>
      <c r="AG2428" s="49">
        <f>IFERROR(__xludf.DUMMYFUNCTION("IFNA(vlookup(H2428,IMPORTRANGE(""1vUGwO1n0QQGx9kKbO0_M5gmuhXZ6-LaxQxgrmJnzgP0"",""'TP# look up'!A:C""),3,0),"""")"),"")</f>
        <v/>
      </c>
      <c r="AH2428" s="49">
        <f>LEFT(J2428,2)</f>
        <v/>
      </c>
    </row>
    <row r="2429" ht="12.75" customHeight="1">
      <c r="H2429" s="43" t="n"/>
      <c r="AG2429" s="49">
        <f>IFERROR(__xludf.DUMMYFUNCTION("IFNA(vlookup(H2429,IMPORTRANGE(""1vUGwO1n0QQGx9kKbO0_M5gmuhXZ6-LaxQxgrmJnzgP0"",""'TP# look up'!A:C""),3,0),"""")"),"")</f>
        <v/>
      </c>
      <c r="AH2429" s="49">
        <f>LEFT(J2429,2)</f>
        <v/>
      </c>
    </row>
    <row r="2430" ht="12.75" customHeight="1">
      <c r="H2430" s="43" t="n"/>
      <c r="AG2430" s="49">
        <f>IFERROR(__xludf.DUMMYFUNCTION("IFNA(vlookup(H2430,IMPORTRANGE(""1vUGwO1n0QQGx9kKbO0_M5gmuhXZ6-LaxQxgrmJnzgP0"",""'TP# look up'!A:C""),3,0),"""")"),"")</f>
        <v/>
      </c>
      <c r="AH2430" s="49">
        <f>LEFT(J2430,2)</f>
        <v/>
      </c>
    </row>
    <row r="2431" ht="12.75" customHeight="1">
      <c r="H2431" s="43" t="n"/>
      <c r="AG2431" s="49">
        <f>IFERROR(__xludf.DUMMYFUNCTION("IFNA(vlookup(H2431,IMPORTRANGE(""1vUGwO1n0QQGx9kKbO0_M5gmuhXZ6-LaxQxgrmJnzgP0"",""'TP# look up'!A:C""),3,0),"""")"),"")</f>
        <v/>
      </c>
      <c r="AH2431" s="49">
        <f>LEFT(J2431,2)</f>
        <v/>
      </c>
    </row>
    <row r="2432" ht="12.75" customHeight="1">
      <c r="H2432" s="43" t="n"/>
      <c r="AG2432" s="49">
        <f>IFERROR(__xludf.DUMMYFUNCTION("IFNA(vlookup(H2432,IMPORTRANGE(""1vUGwO1n0QQGx9kKbO0_M5gmuhXZ6-LaxQxgrmJnzgP0"",""'TP# look up'!A:C""),3,0),"""")"),"")</f>
        <v/>
      </c>
      <c r="AH2432" s="49">
        <f>LEFT(J2432,2)</f>
        <v/>
      </c>
    </row>
    <row r="2433" ht="12.75" customHeight="1">
      <c r="H2433" s="43" t="n"/>
      <c r="AG2433" s="49">
        <f>IFERROR(__xludf.DUMMYFUNCTION("IFNA(vlookup(H2433,IMPORTRANGE(""1vUGwO1n0QQGx9kKbO0_M5gmuhXZ6-LaxQxgrmJnzgP0"",""'TP# look up'!A:C""),3,0),"""")"),"")</f>
        <v/>
      </c>
      <c r="AH2433" s="49">
        <f>LEFT(J2433,2)</f>
        <v/>
      </c>
    </row>
    <row r="2434" ht="12.75" customHeight="1">
      <c r="H2434" s="43" t="n"/>
      <c r="AG2434" s="49">
        <f>IFERROR(__xludf.DUMMYFUNCTION("IFNA(vlookup(H2434,IMPORTRANGE(""1vUGwO1n0QQGx9kKbO0_M5gmuhXZ6-LaxQxgrmJnzgP0"",""'TP# look up'!A:C""),3,0),"""")"),"")</f>
        <v/>
      </c>
      <c r="AH2434" s="49">
        <f>LEFT(J2434,2)</f>
        <v/>
      </c>
    </row>
    <row r="2435" ht="12.75" customHeight="1">
      <c r="H2435" s="43" t="n"/>
      <c r="AG2435" s="49">
        <f>IFERROR(__xludf.DUMMYFUNCTION("IFNA(vlookup(H2435,IMPORTRANGE(""1vUGwO1n0QQGx9kKbO0_M5gmuhXZ6-LaxQxgrmJnzgP0"",""'TP# look up'!A:C""),3,0),"""")"),"")</f>
        <v/>
      </c>
      <c r="AH2435" s="49">
        <f>LEFT(J2435,2)</f>
        <v/>
      </c>
    </row>
    <row r="2436" ht="12.75" customHeight="1">
      <c r="H2436" s="43" t="n"/>
      <c r="AG2436" s="49">
        <f>IFERROR(__xludf.DUMMYFUNCTION("IFNA(vlookup(H2436,IMPORTRANGE(""1vUGwO1n0QQGx9kKbO0_M5gmuhXZ6-LaxQxgrmJnzgP0"",""'TP# look up'!A:C""),3,0),"""")"),"")</f>
        <v/>
      </c>
      <c r="AH2436" s="49">
        <f>LEFT(J2436,2)</f>
        <v/>
      </c>
    </row>
    <row r="2437" ht="12.75" customHeight="1">
      <c r="H2437" s="43" t="n"/>
      <c r="AG2437" s="49">
        <f>IFERROR(__xludf.DUMMYFUNCTION("IFNA(vlookup(H2437,IMPORTRANGE(""1vUGwO1n0QQGx9kKbO0_M5gmuhXZ6-LaxQxgrmJnzgP0"",""'TP# look up'!A:C""),3,0),"""")"),"")</f>
        <v/>
      </c>
      <c r="AH2437" s="49">
        <f>LEFT(J2437,2)</f>
        <v/>
      </c>
    </row>
    <row r="2438" ht="12.75" customHeight="1">
      <c r="H2438" s="43" t="n"/>
      <c r="AG2438" s="49">
        <f>IFERROR(__xludf.DUMMYFUNCTION("IFNA(vlookup(H2438,IMPORTRANGE(""1vUGwO1n0QQGx9kKbO0_M5gmuhXZ6-LaxQxgrmJnzgP0"",""'TP# look up'!A:C""),3,0),"""")"),"")</f>
        <v/>
      </c>
      <c r="AH2438" s="49">
        <f>LEFT(J2438,2)</f>
        <v/>
      </c>
    </row>
    <row r="2439" ht="12.75" customHeight="1">
      <c r="H2439" s="43" t="n"/>
      <c r="AG2439" s="49">
        <f>IFERROR(__xludf.DUMMYFUNCTION("IFNA(vlookup(H2439,IMPORTRANGE(""1vUGwO1n0QQGx9kKbO0_M5gmuhXZ6-LaxQxgrmJnzgP0"",""'TP# look up'!A:C""),3,0),"""")"),"")</f>
        <v/>
      </c>
      <c r="AH2439" s="49">
        <f>LEFT(J2439,2)</f>
        <v/>
      </c>
    </row>
    <row r="2440" ht="12.75" customHeight="1">
      <c r="H2440" s="43" t="n"/>
      <c r="AG2440" s="49">
        <f>IFERROR(__xludf.DUMMYFUNCTION("IFNA(vlookup(H2440,IMPORTRANGE(""1vUGwO1n0QQGx9kKbO0_M5gmuhXZ6-LaxQxgrmJnzgP0"",""'TP# look up'!A:C""),3,0),"""")"),"")</f>
        <v/>
      </c>
      <c r="AH2440" s="49">
        <f>LEFT(J2440,2)</f>
        <v/>
      </c>
    </row>
    <row r="2441" ht="12.75" customHeight="1">
      <c r="H2441" s="43" t="n"/>
      <c r="AG2441" s="49">
        <f>IFERROR(__xludf.DUMMYFUNCTION("IFNA(vlookup(H2441,IMPORTRANGE(""1vUGwO1n0QQGx9kKbO0_M5gmuhXZ6-LaxQxgrmJnzgP0"",""'TP# look up'!A:C""),3,0),"""")"),"")</f>
        <v/>
      </c>
      <c r="AH2441" s="49">
        <f>LEFT(J2441,2)</f>
        <v/>
      </c>
    </row>
    <row r="2442" ht="12.75" customHeight="1">
      <c r="H2442" s="43" t="n"/>
      <c r="AG2442" s="49">
        <f>IFERROR(__xludf.DUMMYFUNCTION("IFNA(vlookup(H2442,IMPORTRANGE(""1vUGwO1n0QQGx9kKbO0_M5gmuhXZ6-LaxQxgrmJnzgP0"",""'TP# look up'!A:C""),3,0),"""")"),"")</f>
        <v/>
      </c>
      <c r="AH2442" s="49">
        <f>LEFT(J2442,2)</f>
        <v/>
      </c>
    </row>
    <row r="2443" ht="12.75" customHeight="1">
      <c r="H2443" s="43" t="n"/>
      <c r="AG2443" s="49">
        <f>IFERROR(__xludf.DUMMYFUNCTION("IFNA(vlookup(H2443,IMPORTRANGE(""1vUGwO1n0QQGx9kKbO0_M5gmuhXZ6-LaxQxgrmJnzgP0"",""'TP# look up'!A:C""),3,0),"""")"),"")</f>
        <v/>
      </c>
      <c r="AH2443" s="49">
        <f>LEFT(J2443,2)</f>
        <v/>
      </c>
    </row>
    <row r="2444" ht="12.75" customHeight="1">
      <c r="H2444" s="43" t="n"/>
      <c r="AG2444" s="49">
        <f>IFERROR(__xludf.DUMMYFUNCTION("IFNA(vlookup(H2444,IMPORTRANGE(""1vUGwO1n0QQGx9kKbO0_M5gmuhXZ6-LaxQxgrmJnzgP0"",""'TP# look up'!A:C""),3,0),"""")"),"")</f>
        <v/>
      </c>
      <c r="AH2444" s="49">
        <f>LEFT(J2444,2)</f>
        <v/>
      </c>
    </row>
    <row r="2445" ht="12.75" customHeight="1">
      <c r="H2445" s="43" t="n"/>
      <c r="AG2445" s="49">
        <f>IFERROR(__xludf.DUMMYFUNCTION("IFNA(vlookup(H2445,IMPORTRANGE(""1vUGwO1n0QQGx9kKbO0_M5gmuhXZ6-LaxQxgrmJnzgP0"",""'TP# look up'!A:C""),3,0),"""")"),"")</f>
        <v/>
      </c>
      <c r="AH2445" s="49">
        <f>LEFT(J2445,2)</f>
        <v/>
      </c>
    </row>
    <row r="2446" ht="12.75" customHeight="1">
      <c r="H2446" s="43" t="n"/>
      <c r="AG2446" s="49">
        <f>IFERROR(__xludf.DUMMYFUNCTION("IFNA(vlookup(H2446,IMPORTRANGE(""1vUGwO1n0QQGx9kKbO0_M5gmuhXZ6-LaxQxgrmJnzgP0"",""'TP# look up'!A:C""),3,0),"""")"),"")</f>
        <v/>
      </c>
      <c r="AH2446" s="49">
        <f>LEFT(J2446,2)</f>
        <v/>
      </c>
    </row>
    <row r="2447" ht="12.75" customHeight="1">
      <c r="H2447" s="43" t="n"/>
      <c r="AG2447" s="49">
        <f>IFERROR(__xludf.DUMMYFUNCTION("IFNA(vlookup(H2447,IMPORTRANGE(""1vUGwO1n0QQGx9kKbO0_M5gmuhXZ6-LaxQxgrmJnzgP0"",""'TP# look up'!A:C""),3,0),"""")"),"")</f>
        <v/>
      </c>
      <c r="AH2447" s="49">
        <f>LEFT(J2447,2)</f>
        <v/>
      </c>
    </row>
    <row r="2448" ht="12.75" customHeight="1">
      <c r="H2448" s="43" t="n"/>
      <c r="AG2448" s="49">
        <f>IFERROR(__xludf.DUMMYFUNCTION("IFNA(vlookup(H2448,IMPORTRANGE(""1vUGwO1n0QQGx9kKbO0_M5gmuhXZ6-LaxQxgrmJnzgP0"",""'TP# look up'!A:C""),3,0),"""")"),"")</f>
        <v/>
      </c>
      <c r="AH2448" s="49">
        <f>LEFT(J2448,2)</f>
        <v/>
      </c>
    </row>
    <row r="2449" ht="12.75" customHeight="1">
      <c r="H2449" s="43" t="n"/>
      <c r="AG2449" s="49">
        <f>IFERROR(__xludf.DUMMYFUNCTION("IFNA(vlookup(H2449,IMPORTRANGE(""1vUGwO1n0QQGx9kKbO0_M5gmuhXZ6-LaxQxgrmJnzgP0"",""'TP# look up'!A:C""),3,0),"""")"),"")</f>
        <v/>
      </c>
      <c r="AH2449" s="49">
        <f>LEFT(J2449,2)</f>
        <v/>
      </c>
    </row>
    <row r="2450" ht="12.75" customHeight="1">
      <c r="H2450" s="43" t="n"/>
      <c r="AG2450" s="49">
        <f>IFERROR(__xludf.DUMMYFUNCTION("IFNA(vlookup(H2450,IMPORTRANGE(""1vUGwO1n0QQGx9kKbO0_M5gmuhXZ6-LaxQxgrmJnzgP0"",""'TP# look up'!A:C""),3,0),"""")"),"")</f>
        <v/>
      </c>
      <c r="AH2450" s="49">
        <f>LEFT(J2450,2)</f>
        <v/>
      </c>
    </row>
    <row r="2451" ht="12.75" customHeight="1">
      <c r="H2451" s="43" t="n"/>
      <c r="AG2451" s="49">
        <f>IFERROR(__xludf.DUMMYFUNCTION("IFNA(vlookup(H2451,IMPORTRANGE(""1vUGwO1n0QQGx9kKbO0_M5gmuhXZ6-LaxQxgrmJnzgP0"",""'TP# look up'!A:C""),3,0),"""")"),"")</f>
        <v/>
      </c>
      <c r="AH2451" s="49">
        <f>LEFT(J2451,2)</f>
        <v/>
      </c>
    </row>
    <row r="2452" ht="12.75" customHeight="1">
      <c r="H2452" s="43" t="n"/>
      <c r="AG2452" s="49">
        <f>IFERROR(__xludf.DUMMYFUNCTION("IFNA(vlookup(H2452,IMPORTRANGE(""1vUGwO1n0QQGx9kKbO0_M5gmuhXZ6-LaxQxgrmJnzgP0"",""'TP# look up'!A:C""),3,0),"""")"),"")</f>
        <v/>
      </c>
      <c r="AH2452" s="49">
        <f>LEFT(J2452,2)</f>
        <v/>
      </c>
    </row>
    <row r="2453" ht="12.75" customHeight="1">
      <c r="H2453" s="43" t="n"/>
      <c r="AG2453" s="49">
        <f>IFERROR(__xludf.DUMMYFUNCTION("IFNA(vlookup(H2453,IMPORTRANGE(""1vUGwO1n0QQGx9kKbO0_M5gmuhXZ6-LaxQxgrmJnzgP0"",""'TP# look up'!A:C""),3,0),"""")"),"")</f>
        <v/>
      </c>
      <c r="AH2453" s="49">
        <f>LEFT(J2453,2)</f>
        <v/>
      </c>
    </row>
    <row r="2454" ht="12.75" customHeight="1">
      <c r="H2454" s="43" t="n"/>
      <c r="AG2454" s="49">
        <f>IFERROR(__xludf.DUMMYFUNCTION("IFNA(vlookup(H2454,IMPORTRANGE(""1vUGwO1n0QQGx9kKbO0_M5gmuhXZ6-LaxQxgrmJnzgP0"",""'TP# look up'!A:C""),3,0),"""")"),"")</f>
        <v/>
      </c>
      <c r="AH2454" s="49">
        <f>LEFT(J2454,2)</f>
        <v/>
      </c>
    </row>
    <row r="2455" ht="12.75" customHeight="1">
      <c r="H2455" s="43" t="n"/>
      <c r="AG2455" s="49">
        <f>IFERROR(__xludf.DUMMYFUNCTION("IFNA(vlookup(H2455,IMPORTRANGE(""1vUGwO1n0QQGx9kKbO0_M5gmuhXZ6-LaxQxgrmJnzgP0"",""'TP# look up'!A:C""),3,0),"""")"),"")</f>
        <v/>
      </c>
      <c r="AH2455" s="49">
        <f>LEFT(J2455,2)</f>
        <v/>
      </c>
    </row>
    <row r="2456" ht="12.75" customHeight="1">
      <c r="H2456" s="43" t="n"/>
      <c r="AG2456" s="49">
        <f>IFERROR(__xludf.DUMMYFUNCTION("IFNA(vlookup(H2456,IMPORTRANGE(""1vUGwO1n0QQGx9kKbO0_M5gmuhXZ6-LaxQxgrmJnzgP0"",""'TP# look up'!A:C""),3,0),"""")"),"")</f>
        <v/>
      </c>
      <c r="AH2456" s="49">
        <f>LEFT(J2456,2)</f>
        <v/>
      </c>
    </row>
    <row r="2457" ht="12.75" customHeight="1">
      <c r="H2457" s="43" t="n"/>
      <c r="AG2457" s="49">
        <f>IFERROR(__xludf.DUMMYFUNCTION("IFNA(vlookup(H2457,IMPORTRANGE(""1vUGwO1n0QQGx9kKbO0_M5gmuhXZ6-LaxQxgrmJnzgP0"",""'TP# look up'!A:C""),3,0),"""")"),"")</f>
        <v/>
      </c>
      <c r="AH2457" s="49">
        <f>LEFT(J2457,2)</f>
        <v/>
      </c>
    </row>
    <row r="2458" ht="12.75" customHeight="1">
      <c r="H2458" s="43" t="n"/>
      <c r="AG2458" s="49">
        <f>IFERROR(__xludf.DUMMYFUNCTION("IFNA(vlookup(H2458,IMPORTRANGE(""1vUGwO1n0QQGx9kKbO0_M5gmuhXZ6-LaxQxgrmJnzgP0"",""'TP# look up'!A:C""),3,0),"""")"),"")</f>
        <v/>
      </c>
      <c r="AH2458" s="49">
        <f>LEFT(J2458,2)</f>
        <v/>
      </c>
    </row>
    <row r="2459" ht="12.75" customHeight="1">
      <c r="H2459" s="43" t="n"/>
      <c r="AG2459" s="49">
        <f>IFERROR(__xludf.DUMMYFUNCTION("IFNA(vlookup(H2459,IMPORTRANGE(""1vUGwO1n0QQGx9kKbO0_M5gmuhXZ6-LaxQxgrmJnzgP0"",""'TP# look up'!A:C""),3,0),"""")"),"")</f>
        <v/>
      </c>
      <c r="AH2459" s="49">
        <f>LEFT(J2459,2)</f>
        <v/>
      </c>
    </row>
    <row r="2460" ht="12.75" customHeight="1">
      <c r="H2460" s="43" t="n"/>
      <c r="AG2460" s="49">
        <f>IFERROR(__xludf.DUMMYFUNCTION("IFNA(vlookup(H2460,IMPORTRANGE(""1vUGwO1n0QQGx9kKbO0_M5gmuhXZ6-LaxQxgrmJnzgP0"",""'TP# look up'!A:C""),3,0),"""")"),"")</f>
        <v/>
      </c>
      <c r="AH2460" s="49">
        <f>LEFT(J2460,2)</f>
        <v/>
      </c>
    </row>
    <row r="2461" ht="12.75" customHeight="1">
      <c r="H2461" s="43" t="n"/>
      <c r="AG2461" s="49">
        <f>IFERROR(__xludf.DUMMYFUNCTION("IFNA(vlookup(H2461,IMPORTRANGE(""1vUGwO1n0QQGx9kKbO0_M5gmuhXZ6-LaxQxgrmJnzgP0"",""'TP# look up'!A:C""),3,0),"""")"),"")</f>
        <v/>
      </c>
      <c r="AH2461" s="49">
        <f>LEFT(J2461,2)</f>
        <v/>
      </c>
    </row>
    <row r="2462" ht="12.75" customHeight="1">
      <c r="H2462" s="43" t="n"/>
      <c r="AG2462" s="49">
        <f>IFERROR(__xludf.DUMMYFUNCTION("IFNA(vlookup(H2462,IMPORTRANGE(""1vUGwO1n0QQGx9kKbO0_M5gmuhXZ6-LaxQxgrmJnzgP0"",""'TP# look up'!A:C""),3,0),"""")"),"")</f>
        <v/>
      </c>
      <c r="AH2462" s="49">
        <f>LEFT(J2462,2)</f>
        <v/>
      </c>
    </row>
    <row r="2463" ht="12.75" customHeight="1">
      <c r="H2463" s="43" t="n"/>
      <c r="AG2463" s="49">
        <f>IFERROR(__xludf.DUMMYFUNCTION("IFNA(vlookup(H2463,IMPORTRANGE(""1vUGwO1n0QQGx9kKbO0_M5gmuhXZ6-LaxQxgrmJnzgP0"",""'TP# look up'!A:C""),3,0),"""")"),"")</f>
        <v/>
      </c>
      <c r="AH2463" s="49">
        <f>LEFT(J2463,2)</f>
        <v/>
      </c>
    </row>
    <row r="2464" ht="12.75" customHeight="1">
      <c r="H2464" s="43" t="n"/>
      <c r="AG2464" s="49">
        <f>IFERROR(__xludf.DUMMYFUNCTION("IFNA(vlookup(H2464,IMPORTRANGE(""1vUGwO1n0QQGx9kKbO0_M5gmuhXZ6-LaxQxgrmJnzgP0"",""'TP# look up'!A:C""),3,0),"""")"),"")</f>
        <v/>
      </c>
      <c r="AH2464" s="49">
        <f>LEFT(J2464,2)</f>
        <v/>
      </c>
    </row>
    <row r="2465" ht="12.75" customHeight="1">
      <c r="H2465" s="43" t="n"/>
      <c r="AG2465" s="49">
        <f>IFERROR(__xludf.DUMMYFUNCTION("IFNA(vlookup(H2465,IMPORTRANGE(""1vUGwO1n0QQGx9kKbO0_M5gmuhXZ6-LaxQxgrmJnzgP0"",""'TP# look up'!A:C""),3,0),"""")"),"")</f>
        <v/>
      </c>
      <c r="AH2465" s="49">
        <f>LEFT(J2465,2)</f>
        <v/>
      </c>
    </row>
    <row r="2466" ht="12.75" customHeight="1">
      <c r="H2466" s="43" t="n"/>
      <c r="AG2466" s="49">
        <f>IFERROR(__xludf.DUMMYFUNCTION("IFNA(vlookup(H2466,IMPORTRANGE(""1vUGwO1n0QQGx9kKbO0_M5gmuhXZ6-LaxQxgrmJnzgP0"",""'TP# look up'!A:C""),3,0),"""")"),"")</f>
        <v/>
      </c>
      <c r="AH2466" s="49">
        <f>LEFT(J2466,2)</f>
        <v/>
      </c>
    </row>
    <row r="2467" ht="12.75" customHeight="1">
      <c r="H2467" s="43" t="n"/>
      <c r="AG2467" s="49">
        <f>IFERROR(__xludf.DUMMYFUNCTION("IFNA(vlookup(H2467,IMPORTRANGE(""1vUGwO1n0QQGx9kKbO0_M5gmuhXZ6-LaxQxgrmJnzgP0"",""'TP# look up'!A:C""),3,0),"""")"),"")</f>
        <v/>
      </c>
      <c r="AH2467" s="49">
        <f>LEFT(J2467,2)</f>
        <v/>
      </c>
    </row>
    <row r="2468" ht="12.75" customHeight="1">
      <c r="H2468" s="43" t="n"/>
      <c r="AG2468" s="49">
        <f>IFERROR(__xludf.DUMMYFUNCTION("IFNA(vlookup(H2468,IMPORTRANGE(""1vUGwO1n0QQGx9kKbO0_M5gmuhXZ6-LaxQxgrmJnzgP0"",""'TP# look up'!A:C""),3,0),"""")"),"")</f>
        <v/>
      </c>
      <c r="AH2468" s="49">
        <f>LEFT(J2468,2)</f>
        <v/>
      </c>
    </row>
    <row r="2469" ht="12.75" customHeight="1">
      <c r="H2469" s="43" t="n"/>
      <c r="AG2469" s="49">
        <f>IFERROR(__xludf.DUMMYFUNCTION("IFNA(vlookup(H2469,IMPORTRANGE(""1vUGwO1n0QQGx9kKbO0_M5gmuhXZ6-LaxQxgrmJnzgP0"",""'TP# look up'!A:C""),3,0),"""")"),"")</f>
        <v/>
      </c>
      <c r="AH2469" s="49">
        <f>LEFT(J2469,2)</f>
        <v/>
      </c>
    </row>
    <row r="2470" ht="12.75" customHeight="1">
      <c r="H2470" s="43" t="n"/>
      <c r="AG2470" s="49">
        <f>IFERROR(__xludf.DUMMYFUNCTION("IFNA(vlookup(H2470,IMPORTRANGE(""1vUGwO1n0QQGx9kKbO0_M5gmuhXZ6-LaxQxgrmJnzgP0"",""'TP# look up'!A:C""),3,0),"""")"),"")</f>
        <v/>
      </c>
      <c r="AH2470" s="49">
        <f>LEFT(J2470,2)</f>
        <v/>
      </c>
    </row>
    <row r="2471" ht="12.75" customHeight="1">
      <c r="H2471" s="43" t="n"/>
      <c r="AG2471" s="49">
        <f>IFERROR(__xludf.DUMMYFUNCTION("IFNA(vlookup(H2471,IMPORTRANGE(""1vUGwO1n0QQGx9kKbO0_M5gmuhXZ6-LaxQxgrmJnzgP0"",""'TP# look up'!A:C""),3,0),"""")"),"")</f>
        <v/>
      </c>
      <c r="AH2471" s="49">
        <f>LEFT(J2471,2)</f>
        <v/>
      </c>
    </row>
    <row r="2472" ht="12.75" customHeight="1">
      <c r="H2472" s="43" t="n"/>
      <c r="AG2472" s="49">
        <f>IFERROR(__xludf.DUMMYFUNCTION("IFNA(vlookup(H2472,IMPORTRANGE(""1vUGwO1n0QQGx9kKbO0_M5gmuhXZ6-LaxQxgrmJnzgP0"",""'TP# look up'!A:C""),3,0),"""")"),"")</f>
        <v/>
      </c>
      <c r="AH2472" s="49">
        <f>LEFT(J2472,2)</f>
        <v/>
      </c>
    </row>
    <row r="2473" ht="12.75" customHeight="1">
      <c r="H2473" s="43" t="n"/>
      <c r="AG2473" s="49">
        <f>IFERROR(__xludf.DUMMYFUNCTION("IFNA(vlookup(H2473,IMPORTRANGE(""1vUGwO1n0QQGx9kKbO0_M5gmuhXZ6-LaxQxgrmJnzgP0"",""'TP# look up'!A:C""),3,0),"""")"),"")</f>
        <v/>
      </c>
      <c r="AH2473" s="49">
        <f>LEFT(J2473,2)</f>
        <v/>
      </c>
    </row>
    <row r="2474" ht="12.75" customHeight="1">
      <c r="H2474" s="43" t="n"/>
      <c r="AG2474" s="49">
        <f>IFERROR(__xludf.DUMMYFUNCTION("IFNA(vlookup(H2474,IMPORTRANGE(""1vUGwO1n0QQGx9kKbO0_M5gmuhXZ6-LaxQxgrmJnzgP0"",""'TP# look up'!A:C""),3,0),"""")"),"")</f>
        <v/>
      </c>
      <c r="AH2474" s="49">
        <f>LEFT(J2474,2)</f>
        <v/>
      </c>
    </row>
    <row r="2475" ht="12.75" customHeight="1">
      <c r="H2475" s="43" t="n"/>
      <c r="AG2475" s="49">
        <f>IFERROR(__xludf.DUMMYFUNCTION("IFNA(vlookup(H2475,IMPORTRANGE(""1vUGwO1n0QQGx9kKbO0_M5gmuhXZ6-LaxQxgrmJnzgP0"",""'TP# look up'!A:C""),3,0),"""")"),"")</f>
        <v/>
      </c>
      <c r="AH2475" s="49">
        <f>LEFT(J2475,2)</f>
        <v/>
      </c>
    </row>
    <row r="2476" ht="12.75" customHeight="1">
      <c r="H2476" s="43" t="n"/>
      <c r="AG2476" s="49">
        <f>IFERROR(__xludf.DUMMYFUNCTION("IFNA(vlookup(H2476,IMPORTRANGE(""1vUGwO1n0QQGx9kKbO0_M5gmuhXZ6-LaxQxgrmJnzgP0"",""'TP# look up'!A:C""),3,0),"""")"),"")</f>
        <v/>
      </c>
      <c r="AH2476" s="49">
        <f>LEFT(J2476,2)</f>
        <v/>
      </c>
    </row>
    <row r="2477" ht="12.75" customHeight="1">
      <c r="H2477" s="43" t="n"/>
      <c r="AG2477" s="49">
        <f>IFERROR(__xludf.DUMMYFUNCTION("IFNA(vlookup(H2477,IMPORTRANGE(""1vUGwO1n0QQGx9kKbO0_M5gmuhXZ6-LaxQxgrmJnzgP0"",""'TP# look up'!A:C""),3,0),"""")"),"")</f>
        <v/>
      </c>
      <c r="AH2477" s="49">
        <f>LEFT(J2477,2)</f>
        <v/>
      </c>
    </row>
    <row r="2478" ht="12.75" customHeight="1">
      <c r="H2478" s="43" t="n"/>
      <c r="AG2478" s="49">
        <f>IFERROR(__xludf.DUMMYFUNCTION("IFNA(vlookup(H2478,IMPORTRANGE(""1vUGwO1n0QQGx9kKbO0_M5gmuhXZ6-LaxQxgrmJnzgP0"",""'TP# look up'!A:C""),3,0),"""")"),"")</f>
        <v/>
      </c>
      <c r="AH2478" s="49">
        <f>LEFT(J2478,2)</f>
        <v/>
      </c>
    </row>
    <row r="2479" ht="12.75" customHeight="1">
      <c r="H2479" s="43" t="n"/>
      <c r="AG2479" s="49">
        <f>IFERROR(__xludf.DUMMYFUNCTION("IFNA(vlookup(H2479,IMPORTRANGE(""1vUGwO1n0QQGx9kKbO0_M5gmuhXZ6-LaxQxgrmJnzgP0"",""'TP# look up'!A:C""),3,0),"""")"),"")</f>
        <v/>
      </c>
      <c r="AH2479" s="49">
        <f>LEFT(J2479,2)</f>
        <v/>
      </c>
    </row>
    <row r="2480" ht="12.75" customHeight="1">
      <c r="H2480" s="43" t="n"/>
      <c r="AG2480" s="49">
        <f>IFERROR(__xludf.DUMMYFUNCTION("IFNA(vlookup(H2480,IMPORTRANGE(""1vUGwO1n0QQGx9kKbO0_M5gmuhXZ6-LaxQxgrmJnzgP0"",""'TP# look up'!A:C""),3,0),"""")"),"")</f>
        <v/>
      </c>
      <c r="AH2480" s="49">
        <f>LEFT(J2480,2)</f>
        <v/>
      </c>
    </row>
    <row r="2481" ht="12.75" customHeight="1">
      <c r="H2481" s="43" t="n"/>
      <c r="AG2481" s="49">
        <f>IFERROR(__xludf.DUMMYFUNCTION("IFNA(vlookup(H2481,IMPORTRANGE(""1vUGwO1n0QQGx9kKbO0_M5gmuhXZ6-LaxQxgrmJnzgP0"",""'TP# look up'!A:C""),3,0),"""")"),"")</f>
        <v/>
      </c>
      <c r="AH2481" s="49">
        <f>LEFT(J2481,2)</f>
        <v/>
      </c>
    </row>
    <row r="2482" ht="12.75" customHeight="1">
      <c r="H2482" s="43" t="n"/>
      <c r="AG2482" s="49">
        <f>IFERROR(__xludf.DUMMYFUNCTION("IFNA(vlookup(H2482,IMPORTRANGE(""1vUGwO1n0QQGx9kKbO0_M5gmuhXZ6-LaxQxgrmJnzgP0"",""'TP# look up'!A:C""),3,0),"""")"),"")</f>
        <v/>
      </c>
      <c r="AH2482" s="49">
        <f>LEFT(J2482,2)</f>
        <v/>
      </c>
    </row>
    <row r="2483" ht="12.75" customHeight="1">
      <c r="H2483" s="43" t="n"/>
      <c r="AG2483" s="49">
        <f>IFERROR(__xludf.DUMMYFUNCTION("IFNA(vlookup(H2483,IMPORTRANGE(""1vUGwO1n0QQGx9kKbO0_M5gmuhXZ6-LaxQxgrmJnzgP0"",""'TP# look up'!A:C""),3,0),"""")"),"")</f>
        <v/>
      </c>
      <c r="AH2483" s="49">
        <f>LEFT(J2483,2)</f>
        <v/>
      </c>
    </row>
    <row r="2484" ht="12.75" customHeight="1">
      <c r="H2484" s="43" t="n"/>
      <c r="AG2484" s="49">
        <f>IFERROR(__xludf.DUMMYFUNCTION("IFNA(vlookup(H2484,IMPORTRANGE(""1vUGwO1n0QQGx9kKbO0_M5gmuhXZ6-LaxQxgrmJnzgP0"",""'TP# look up'!A:C""),3,0),"""")"),"")</f>
        <v/>
      </c>
      <c r="AH2484" s="49">
        <f>LEFT(J2484,2)</f>
        <v/>
      </c>
    </row>
    <row r="2485" ht="12.75" customHeight="1">
      <c r="H2485" s="43" t="n"/>
      <c r="AG2485" s="49">
        <f>IFERROR(__xludf.DUMMYFUNCTION("IFNA(vlookup(H2485,IMPORTRANGE(""1vUGwO1n0QQGx9kKbO0_M5gmuhXZ6-LaxQxgrmJnzgP0"",""'TP# look up'!A:C""),3,0),"""")"),"")</f>
        <v/>
      </c>
      <c r="AH2485" s="49">
        <f>LEFT(J2485,2)</f>
        <v/>
      </c>
    </row>
    <row r="2486" ht="12.75" customHeight="1">
      <c r="H2486" s="43" t="n"/>
      <c r="AG2486" s="49">
        <f>IFERROR(__xludf.DUMMYFUNCTION("IFNA(vlookup(H2486,IMPORTRANGE(""1vUGwO1n0QQGx9kKbO0_M5gmuhXZ6-LaxQxgrmJnzgP0"",""'TP# look up'!A:C""),3,0),"""")"),"")</f>
        <v/>
      </c>
      <c r="AH2486" s="49">
        <f>LEFT(J2486,2)</f>
        <v/>
      </c>
    </row>
    <row r="2487" ht="12.75" customHeight="1">
      <c r="H2487" s="43" t="n"/>
      <c r="AG2487" s="49">
        <f>IFERROR(__xludf.DUMMYFUNCTION("IFNA(vlookup(H2487,IMPORTRANGE(""1vUGwO1n0QQGx9kKbO0_M5gmuhXZ6-LaxQxgrmJnzgP0"",""'TP# look up'!A:C""),3,0),"""")"),"")</f>
        <v/>
      </c>
      <c r="AH2487" s="49">
        <f>LEFT(J2487,2)</f>
        <v/>
      </c>
    </row>
    <row r="2488" ht="12.75" customHeight="1">
      <c r="H2488" s="43" t="n"/>
      <c r="AG2488" s="49">
        <f>IFERROR(__xludf.DUMMYFUNCTION("IFNA(vlookup(H2488,IMPORTRANGE(""1vUGwO1n0QQGx9kKbO0_M5gmuhXZ6-LaxQxgrmJnzgP0"",""'TP# look up'!A:C""),3,0),"""")"),"")</f>
        <v/>
      </c>
      <c r="AH2488" s="49">
        <f>LEFT(J2488,2)</f>
        <v/>
      </c>
    </row>
    <row r="2489" ht="12.75" customHeight="1">
      <c r="H2489" s="43" t="n"/>
      <c r="AG2489" s="49">
        <f>IFERROR(__xludf.DUMMYFUNCTION("IFNA(vlookup(H2489,IMPORTRANGE(""1vUGwO1n0QQGx9kKbO0_M5gmuhXZ6-LaxQxgrmJnzgP0"",""'TP# look up'!A:C""),3,0),"""")"),"")</f>
        <v/>
      </c>
      <c r="AH2489" s="49">
        <f>LEFT(J2489,2)</f>
        <v/>
      </c>
    </row>
    <row r="2490" ht="12.75" customHeight="1">
      <c r="H2490" s="43" t="n"/>
      <c r="AG2490" s="49">
        <f>IFERROR(__xludf.DUMMYFUNCTION("IFNA(vlookup(H2490,IMPORTRANGE(""1vUGwO1n0QQGx9kKbO0_M5gmuhXZ6-LaxQxgrmJnzgP0"",""'TP# look up'!A:C""),3,0),"""")"),"")</f>
        <v/>
      </c>
      <c r="AH2490" s="49">
        <f>LEFT(J2490,2)</f>
        <v/>
      </c>
    </row>
    <row r="2491" ht="12.75" customHeight="1">
      <c r="H2491" s="43" t="n"/>
      <c r="AG2491" s="49">
        <f>IFERROR(__xludf.DUMMYFUNCTION("IFNA(vlookup(H2491,IMPORTRANGE(""1vUGwO1n0QQGx9kKbO0_M5gmuhXZ6-LaxQxgrmJnzgP0"",""'TP# look up'!A:C""),3,0),"""")"),"")</f>
        <v/>
      </c>
      <c r="AH2491" s="49">
        <f>LEFT(J2491,2)</f>
        <v/>
      </c>
    </row>
    <row r="2492" ht="12.75" customHeight="1">
      <c r="H2492" s="43" t="n"/>
      <c r="AG2492" s="49">
        <f>IFERROR(__xludf.DUMMYFUNCTION("IFNA(vlookup(H2492,IMPORTRANGE(""1vUGwO1n0QQGx9kKbO0_M5gmuhXZ6-LaxQxgrmJnzgP0"",""'TP# look up'!A:C""),3,0),"""")"),"")</f>
        <v/>
      </c>
      <c r="AH2492" s="49">
        <f>LEFT(J2492,2)</f>
        <v/>
      </c>
    </row>
    <row r="2493" ht="12.75" customHeight="1">
      <c r="H2493" s="43" t="n"/>
      <c r="AG2493" s="49">
        <f>IFERROR(__xludf.DUMMYFUNCTION("IFNA(vlookup(H2493,IMPORTRANGE(""1vUGwO1n0QQGx9kKbO0_M5gmuhXZ6-LaxQxgrmJnzgP0"",""'TP# look up'!A:C""),3,0),"""")"),"")</f>
        <v/>
      </c>
      <c r="AH2493" s="49">
        <f>LEFT(J2493,2)</f>
        <v/>
      </c>
    </row>
    <row r="2494" ht="12.75" customHeight="1">
      <c r="H2494" s="43" t="n"/>
      <c r="AG2494" s="49">
        <f>IFERROR(__xludf.DUMMYFUNCTION("IFNA(vlookup(H2494,IMPORTRANGE(""1vUGwO1n0QQGx9kKbO0_M5gmuhXZ6-LaxQxgrmJnzgP0"",""'TP# look up'!A:C""),3,0),"""")"),"")</f>
        <v/>
      </c>
      <c r="AH2494" s="49">
        <f>LEFT(J2494,2)</f>
        <v/>
      </c>
    </row>
    <row r="2495" ht="12.75" customHeight="1">
      <c r="H2495" s="43" t="n"/>
      <c r="AG2495" s="49">
        <f>IFERROR(__xludf.DUMMYFUNCTION("IFNA(vlookup(H2495,IMPORTRANGE(""1vUGwO1n0QQGx9kKbO0_M5gmuhXZ6-LaxQxgrmJnzgP0"",""'TP# look up'!A:C""),3,0),"""")"),"")</f>
        <v/>
      </c>
      <c r="AH2495" s="49">
        <f>LEFT(J2495,2)</f>
        <v/>
      </c>
    </row>
    <row r="2496" ht="12.75" customHeight="1">
      <c r="H2496" s="43" t="n"/>
      <c r="AG2496" s="49">
        <f>IFERROR(__xludf.DUMMYFUNCTION("IFNA(vlookup(H2496,IMPORTRANGE(""1vUGwO1n0QQGx9kKbO0_M5gmuhXZ6-LaxQxgrmJnzgP0"",""'TP# look up'!A:C""),3,0),"""")"),"")</f>
        <v/>
      </c>
      <c r="AH2496" s="49">
        <f>LEFT(J2496,2)</f>
        <v/>
      </c>
    </row>
    <row r="2497" ht="12.75" customHeight="1">
      <c r="H2497" s="43" t="n"/>
      <c r="AG2497" s="49">
        <f>IFERROR(__xludf.DUMMYFUNCTION("IFNA(vlookup(H2497,IMPORTRANGE(""1vUGwO1n0QQGx9kKbO0_M5gmuhXZ6-LaxQxgrmJnzgP0"",""'TP# look up'!A:C""),3,0),"""")"),"")</f>
        <v/>
      </c>
      <c r="AH2497" s="49">
        <f>LEFT(J2497,2)</f>
        <v/>
      </c>
    </row>
    <row r="2498" ht="12.75" customHeight="1">
      <c r="H2498" s="43" t="n"/>
      <c r="AG2498" s="49">
        <f>IFERROR(__xludf.DUMMYFUNCTION("IFNA(vlookup(H2498,IMPORTRANGE(""1vUGwO1n0QQGx9kKbO0_M5gmuhXZ6-LaxQxgrmJnzgP0"",""'TP# look up'!A:C""),3,0),"""")"),"")</f>
        <v/>
      </c>
      <c r="AH2498" s="49">
        <f>LEFT(J2498,2)</f>
        <v/>
      </c>
    </row>
    <row r="2499" ht="12.75" customHeight="1">
      <c r="H2499" s="43" t="n"/>
      <c r="AG2499" s="49">
        <f>IFERROR(__xludf.DUMMYFUNCTION("IFNA(vlookup(H2499,IMPORTRANGE(""1vUGwO1n0QQGx9kKbO0_M5gmuhXZ6-LaxQxgrmJnzgP0"",""'TP# look up'!A:C""),3,0),"""")"),"")</f>
        <v/>
      </c>
      <c r="AH2499" s="49">
        <f>LEFT(J2499,2)</f>
        <v/>
      </c>
    </row>
    <row r="2500" ht="12.75" customHeight="1">
      <c r="H2500" s="43" t="n"/>
      <c r="AG2500" s="49">
        <f>IFERROR(__xludf.DUMMYFUNCTION("IFNA(vlookup(H2500,IMPORTRANGE(""1vUGwO1n0QQGx9kKbO0_M5gmuhXZ6-LaxQxgrmJnzgP0"",""'TP# look up'!A:C""),3,0),"""")"),"")</f>
        <v/>
      </c>
      <c r="AH2500" s="49">
        <f>LEFT(J2500,2)</f>
        <v/>
      </c>
    </row>
    <row r="2501" ht="12.75" customHeight="1">
      <c r="H2501" s="43" t="n"/>
      <c r="AG2501" s="49">
        <f>IFERROR(__xludf.DUMMYFUNCTION("IFNA(vlookup(H2501,IMPORTRANGE(""1vUGwO1n0QQGx9kKbO0_M5gmuhXZ6-LaxQxgrmJnzgP0"",""'TP# look up'!A:C""),3,0),"""")"),"")</f>
        <v/>
      </c>
      <c r="AH2501" s="49">
        <f>LEFT(J2501,2)</f>
        <v/>
      </c>
    </row>
    <row r="2502" ht="12.75" customHeight="1">
      <c r="H2502" s="43" t="n"/>
      <c r="AG2502" s="49">
        <f>IFERROR(__xludf.DUMMYFUNCTION("IFNA(vlookup(H2502,IMPORTRANGE(""1vUGwO1n0QQGx9kKbO0_M5gmuhXZ6-LaxQxgrmJnzgP0"",""'TP# look up'!A:C""),3,0),"""")"),"")</f>
        <v/>
      </c>
      <c r="AH2502" s="49">
        <f>LEFT(J2502,2)</f>
        <v/>
      </c>
    </row>
    <row r="2503" ht="12.75" customHeight="1">
      <c r="H2503" s="43" t="n"/>
      <c r="AG2503" s="49">
        <f>IFERROR(__xludf.DUMMYFUNCTION("IFNA(vlookup(H2503,IMPORTRANGE(""1vUGwO1n0QQGx9kKbO0_M5gmuhXZ6-LaxQxgrmJnzgP0"",""'TP# look up'!A:C""),3,0),"""")"),"")</f>
        <v/>
      </c>
      <c r="AH2503" s="49">
        <f>LEFT(J2503,2)</f>
        <v/>
      </c>
    </row>
    <row r="2504" ht="12.75" customHeight="1">
      <c r="H2504" s="43" t="n"/>
      <c r="AG2504" s="49">
        <f>IFERROR(__xludf.DUMMYFUNCTION("IFNA(vlookup(H2504,IMPORTRANGE(""1vUGwO1n0QQGx9kKbO0_M5gmuhXZ6-LaxQxgrmJnzgP0"",""'TP# look up'!A:C""),3,0),"""")"),"")</f>
        <v/>
      </c>
      <c r="AH2504" s="49">
        <f>LEFT(J2504,2)</f>
        <v/>
      </c>
    </row>
    <row r="2505" ht="12.75" customHeight="1">
      <c r="H2505" s="43" t="n"/>
      <c r="AG2505" s="49">
        <f>IFERROR(__xludf.DUMMYFUNCTION("IFNA(vlookup(H2505,IMPORTRANGE(""1vUGwO1n0QQGx9kKbO0_M5gmuhXZ6-LaxQxgrmJnzgP0"",""'TP# look up'!A:C""),3,0),"""")"),"")</f>
        <v/>
      </c>
      <c r="AH2505" s="49">
        <f>LEFT(J2505,2)</f>
        <v/>
      </c>
    </row>
    <row r="2506" ht="12.75" customHeight="1">
      <c r="H2506" s="43" t="n"/>
      <c r="AG2506" s="49">
        <f>IFERROR(__xludf.DUMMYFUNCTION("IFNA(vlookup(H2506,IMPORTRANGE(""1vUGwO1n0QQGx9kKbO0_M5gmuhXZ6-LaxQxgrmJnzgP0"",""'TP# look up'!A:C""),3,0),"""")"),"")</f>
        <v/>
      </c>
      <c r="AH2506" s="49">
        <f>LEFT(J2506,2)</f>
        <v/>
      </c>
    </row>
    <row r="2507" ht="12.75" customHeight="1">
      <c r="H2507" s="43" t="n"/>
      <c r="AG2507" s="49">
        <f>IFERROR(__xludf.DUMMYFUNCTION("IFNA(vlookup(H2507,IMPORTRANGE(""1vUGwO1n0QQGx9kKbO0_M5gmuhXZ6-LaxQxgrmJnzgP0"",""'TP# look up'!A:C""),3,0),"""")"),"")</f>
        <v/>
      </c>
      <c r="AH2507" s="49">
        <f>LEFT(J2507,2)</f>
        <v/>
      </c>
    </row>
    <row r="2508" ht="12.75" customHeight="1">
      <c r="H2508" s="43" t="n"/>
      <c r="AG2508" s="49">
        <f>IFERROR(__xludf.DUMMYFUNCTION("IFNA(vlookup(H2508,IMPORTRANGE(""1vUGwO1n0QQGx9kKbO0_M5gmuhXZ6-LaxQxgrmJnzgP0"",""'TP# look up'!A:C""),3,0),"""")"),"")</f>
        <v/>
      </c>
      <c r="AH2508" s="49">
        <f>LEFT(J2508,2)</f>
        <v/>
      </c>
    </row>
    <row r="2509" ht="12.75" customHeight="1">
      <c r="H2509" s="43" t="n"/>
      <c r="AG2509" s="49">
        <f>IFERROR(__xludf.DUMMYFUNCTION("IFNA(vlookup(H2509,IMPORTRANGE(""1vUGwO1n0QQGx9kKbO0_M5gmuhXZ6-LaxQxgrmJnzgP0"",""'TP# look up'!A:C""),3,0),"""")"),"")</f>
        <v/>
      </c>
      <c r="AH2509" s="49">
        <f>LEFT(J2509,2)</f>
        <v/>
      </c>
    </row>
    <row r="2510" ht="12.75" customHeight="1">
      <c r="H2510" s="43" t="n"/>
      <c r="AG2510" s="49">
        <f>IFERROR(__xludf.DUMMYFUNCTION("IFNA(vlookup(H2510,IMPORTRANGE(""1vUGwO1n0QQGx9kKbO0_M5gmuhXZ6-LaxQxgrmJnzgP0"",""'TP# look up'!A:C""),3,0),"""")"),"")</f>
        <v/>
      </c>
      <c r="AH2510" s="49">
        <f>LEFT(J2510,2)</f>
        <v/>
      </c>
    </row>
    <row r="2511" ht="12.75" customHeight="1">
      <c r="H2511" s="43" t="n"/>
      <c r="AG2511" s="49">
        <f>IFERROR(__xludf.DUMMYFUNCTION("IFNA(vlookup(H2511,IMPORTRANGE(""1vUGwO1n0QQGx9kKbO0_M5gmuhXZ6-LaxQxgrmJnzgP0"",""'TP# look up'!A:C""),3,0),"""")"),"")</f>
        <v/>
      </c>
      <c r="AH2511" s="49">
        <f>LEFT(J2511,2)</f>
        <v/>
      </c>
    </row>
    <row r="2512" ht="12.75" customHeight="1">
      <c r="H2512" s="43" t="n"/>
      <c r="AG2512" s="49">
        <f>IFERROR(__xludf.DUMMYFUNCTION("IFNA(vlookup(H2512,IMPORTRANGE(""1vUGwO1n0QQGx9kKbO0_M5gmuhXZ6-LaxQxgrmJnzgP0"",""'TP# look up'!A:C""),3,0),"""")"),"")</f>
        <v/>
      </c>
      <c r="AH2512" s="49">
        <f>LEFT(J2512,2)</f>
        <v/>
      </c>
    </row>
    <row r="2513" ht="12.75" customHeight="1">
      <c r="H2513" s="43" t="n"/>
      <c r="AG2513" s="49">
        <f>IFERROR(__xludf.DUMMYFUNCTION("IFNA(vlookup(H2513,IMPORTRANGE(""1vUGwO1n0QQGx9kKbO0_M5gmuhXZ6-LaxQxgrmJnzgP0"",""'TP# look up'!A:C""),3,0),"""")"),"")</f>
        <v/>
      </c>
      <c r="AH2513" s="49">
        <f>LEFT(J2513,2)</f>
        <v/>
      </c>
    </row>
    <row r="2514" ht="12.75" customHeight="1">
      <c r="H2514" s="43" t="n"/>
      <c r="AG2514" s="49">
        <f>IFERROR(__xludf.DUMMYFUNCTION("IFNA(vlookup(H2514,IMPORTRANGE(""1vUGwO1n0QQGx9kKbO0_M5gmuhXZ6-LaxQxgrmJnzgP0"",""'TP# look up'!A:C""),3,0),"""")"),"")</f>
        <v/>
      </c>
      <c r="AH2514" s="49">
        <f>LEFT(J2514,2)</f>
        <v/>
      </c>
    </row>
    <row r="2515" ht="12.75" customHeight="1">
      <c r="H2515" s="43" t="n"/>
      <c r="AG2515" s="49">
        <f>IFERROR(__xludf.DUMMYFUNCTION("IFNA(vlookup(H2515,IMPORTRANGE(""1vUGwO1n0QQGx9kKbO0_M5gmuhXZ6-LaxQxgrmJnzgP0"",""'TP# look up'!A:C""),3,0),"""")"),"")</f>
        <v/>
      </c>
      <c r="AH2515" s="49">
        <f>LEFT(J2515,2)</f>
        <v/>
      </c>
    </row>
    <row r="2516" ht="12.75" customHeight="1">
      <c r="H2516" s="43" t="n"/>
      <c r="AG2516" s="49">
        <f>IFERROR(__xludf.DUMMYFUNCTION("IFNA(vlookup(H2516,IMPORTRANGE(""1vUGwO1n0QQGx9kKbO0_M5gmuhXZ6-LaxQxgrmJnzgP0"",""'TP# look up'!A:C""),3,0),"""")"),"")</f>
        <v/>
      </c>
      <c r="AH2516" s="49">
        <f>LEFT(J2516,2)</f>
        <v/>
      </c>
    </row>
    <row r="2517" ht="12.75" customHeight="1">
      <c r="H2517" s="43" t="n"/>
      <c r="AG2517" s="49">
        <f>IFERROR(__xludf.DUMMYFUNCTION("IFNA(vlookup(H2517,IMPORTRANGE(""1vUGwO1n0QQGx9kKbO0_M5gmuhXZ6-LaxQxgrmJnzgP0"",""'TP# look up'!A:C""),3,0),"""")"),"")</f>
        <v/>
      </c>
      <c r="AH2517" s="49">
        <f>LEFT(J2517,2)</f>
        <v/>
      </c>
    </row>
    <row r="2518" ht="12.75" customHeight="1">
      <c r="H2518" s="43" t="n"/>
      <c r="AG2518" s="49">
        <f>IFERROR(__xludf.DUMMYFUNCTION("IFNA(vlookup(H2518,IMPORTRANGE(""1vUGwO1n0QQGx9kKbO0_M5gmuhXZ6-LaxQxgrmJnzgP0"",""'TP# look up'!A:C""),3,0),"""")"),"")</f>
        <v/>
      </c>
      <c r="AH2518" s="49">
        <f>LEFT(J2518,2)</f>
        <v/>
      </c>
    </row>
    <row r="2519" ht="12.75" customHeight="1">
      <c r="H2519" s="43" t="n"/>
      <c r="AG2519" s="49">
        <f>IFERROR(__xludf.DUMMYFUNCTION("IFNA(vlookup(H2519,IMPORTRANGE(""1vUGwO1n0QQGx9kKbO0_M5gmuhXZ6-LaxQxgrmJnzgP0"",""'TP# look up'!A:C""),3,0),"""")"),"")</f>
        <v/>
      </c>
      <c r="AH2519" s="49">
        <f>LEFT(J2519,2)</f>
        <v/>
      </c>
    </row>
    <row r="2520" ht="12.75" customHeight="1">
      <c r="H2520" s="43" t="n"/>
      <c r="AG2520" s="49">
        <f>IFERROR(__xludf.DUMMYFUNCTION("IFNA(vlookup(H2520,IMPORTRANGE(""1vUGwO1n0QQGx9kKbO0_M5gmuhXZ6-LaxQxgrmJnzgP0"",""'TP# look up'!A:C""),3,0),"""")"),"")</f>
        <v/>
      </c>
      <c r="AH2520" s="49">
        <f>LEFT(J2520,2)</f>
        <v/>
      </c>
    </row>
    <row r="2521" ht="12.75" customHeight="1">
      <c r="H2521" s="43" t="n"/>
      <c r="AG2521" s="49">
        <f>IFERROR(__xludf.DUMMYFUNCTION("IFNA(vlookup(H2521,IMPORTRANGE(""1vUGwO1n0QQGx9kKbO0_M5gmuhXZ6-LaxQxgrmJnzgP0"",""'TP# look up'!A:C""),3,0),"""")"),"")</f>
        <v/>
      </c>
      <c r="AH2521" s="49">
        <f>LEFT(J2521,2)</f>
        <v/>
      </c>
    </row>
    <row r="2522" ht="12.75" customHeight="1">
      <c r="H2522" s="43" t="n"/>
      <c r="AG2522" s="49">
        <f>IFERROR(__xludf.DUMMYFUNCTION("IFNA(vlookup(H2522,IMPORTRANGE(""1vUGwO1n0QQGx9kKbO0_M5gmuhXZ6-LaxQxgrmJnzgP0"",""'TP# look up'!A:C""),3,0),"""")"),"")</f>
        <v/>
      </c>
      <c r="AH2522" s="49">
        <f>LEFT(J2522,2)</f>
        <v/>
      </c>
    </row>
    <row r="2523" ht="12.75" customHeight="1">
      <c r="H2523" s="43" t="n"/>
      <c r="AG2523" s="49">
        <f>IFERROR(__xludf.DUMMYFUNCTION("IFNA(vlookup(H2523,IMPORTRANGE(""1vUGwO1n0QQGx9kKbO0_M5gmuhXZ6-LaxQxgrmJnzgP0"",""'TP# look up'!A:C""),3,0),"""")"),"")</f>
        <v/>
      </c>
      <c r="AH2523" s="49">
        <f>LEFT(J2523,2)</f>
        <v/>
      </c>
    </row>
    <row r="2524" ht="12.75" customHeight="1">
      <c r="H2524" s="43" t="n"/>
      <c r="AG2524" s="49">
        <f>IFERROR(__xludf.DUMMYFUNCTION("IFNA(vlookup(H2524,IMPORTRANGE(""1vUGwO1n0QQGx9kKbO0_M5gmuhXZ6-LaxQxgrmJnzgP0"",""'TP# look up'!A:C""),3,0),"""")"),"")</f>
        <v/>
      </c>
      <c r="AH2524" s="49">
        <f>LEFT(J2524,2)</f>
        <v/>
      </c>
    </row>
    <row r="2525" ht="12.75" customHeight="1">
      <c r="H2525" s="43" t="n"/>
      <c r="AG2525" s="49">
        <f>IFERROR(__xludf.DUMMYFUNCTION("IFNA(vlookup(H2525,IMPORTRANGE(""1vUGwO1n0QQGx9kKbO0_M5gmuhXZ6-LaxQxgrmJnzgP0"",""'TP# look up'!A:C""),3,0),"""")"),"")</f>
        <v/>
      </c>
      <c r="AH2525" s="49">
        <f>LEFT(J2525,2)</f>
        <v/>
      </c>
    </row>
    <row r="2526" ht="12.75" customHeight="1">
      <c r="H2526" s="43" t="n"/>
      <c r="AG2526" s="49">
        <f>IFERROR(__xludf.DUMMYFUNCTION("IFNA(vlookup(H2526,IMPORTRANGE(""1vUGwO1n0QQGx9kKbO0_M5gmuhXZ6-LaxQxgrmJnzgP0"",""'TP# look up'!A:C""),3,0),"""")"),"")</f>
        <v/>
      </c>
      <c r="AH2526" s="49">
        <f>LEFT(J2526,2)</f>
        <v/>
      </c>
    </row>
    <row r="2527" ht="12.75" customHeight="1">
      <c r="H2527" s="43" t="n"/>
      <c r="AG2527" s="49">
        <f>IFERROR(__xludf.DUMMYFUNCTION("IFNA(vlookup(H2527,IMPORTRANGE(""1vUGwO1n0QQGx9kKbO0_M5gmuhXZ6-LaxQxgrmJnzgP0"",""'TP# look up'!A:C""),3,0),"""")"),"")</f>
        <v/>
      </c>
      <c r="AH2527" s="49">
        <f>LEFT(J2527,2)</f>
        <v/>
      </c>
    </row>
    <row r="2528" ht="12.75" customHeight="1">
      <c r="H2528" s="43" t="n"/>
      <c r="AG2528" s="49">
        <f>IFERROR(__xludf.DUMMYFUNCTION("IFNA(vlookup(H2528,IMPORTRANGE(""1vUGwO1n0QQGx9kKbO0_M5gmuhXZ6-LaxQxgrmJnzgP0"",""'TP# look up'!A:C""),3,0),"""")"),"")</f>
        <v/>
      </c>
      <c r="AH2528" s="49">
        <f>LEFT(J2528,2)</f>
        <v/>
      </c>
    </row>
    <row r="2529" ht="12.75" customHeight="1">
      <c r="H2529" s="43" t="n"/>
      <c r="AG2529" s="49">
        <f>IFERROR(__xludf.DUMMYFUNCTION("IFNA(vlookup(H2529,IMPORTRANGE(""1vUGwO1n0QQGx9kKbO0_M5gmuhXZ6-LaxQxgrmJnzgP0"",""'TP# look up'!A:C""),3,0),"""")"),"")</f>
        <v/>
      </c>
      <c r="AH2529" s="49">
        <f>LEFT(J2529,2)</f>
        <v/>
      </c>
    </row>
    <row r="2530" ht="12.75" customHeight="1">
      <c r="H2530" s="43" t="n"/>
      <c r="AG2530" s="49">
        <f>IFERROR(__xludf.DUMMYFUNCTION("IFNA(vlookup(H2530,IMPORTRANGE(""1vUGwO1n0QQGx9kKbO0_M5gmuhXZ6-LaxQxgrmJnzgP0"",""'TP# look up'!A:C""),3,0),"""")"),"")</f>
        <v/>
      </c>
      <c r="AH2530" s="49">
        <f>LEFT(J2530,2)</f>
        <v/>
      </c>
    </row>
    <row r="2531" ht="12.75" customHeight="1">
      <c r="H2531" s="43" t="n"/>
      <c r="AG2531" s="49">
        <f>IFERROR(__xludf.DUMMYFUNCTION("IFNA(vlookup(H2531,IMPORTRANGE(""1vUGwO1n0QQGx9kKbO0_M5gmuhXZ6-LaxQxgrmJnzgP0"",""'TP# look up'!A:C""),3,0),"""")"),"")</f>
        <v/>
      </c>
      <c r="AH2531" s="49">
        <f>LEFT(J2531,2)</f>
        <v/>
      </c>
    </row>
    <row r="2532" ht="12.75" customHeight="1">
      <c r="H2532" s="43" t="n"/>
      <c r="AG2532" s="49">
        <f>IFERROR(__xludf.DUMMYFUNCTION("IFNA(vlookup(H2532,IMPORTRANGE(""1vUGwO1n0QQGx9kKbO0_M5gmuhXZ6-LaxQxgrmJnzgP0"",""'TP# look up'!A:C""),3,0),"""")"),"")</f>
        <v/>
      </c>
      <c r="AH2532" s="49">
        <f>LEFT(J2532,2)</f>
        <v/>
      </c>
    </row>
    <row r="2533" ht="12.75" customHeight="1">
      <c r="H2533" s="43" t="n"/>
      <c r="AG2533" s="49">
        <f>IFERROR(__xludf.DUMMYFUNCTION("IFNA(vlookup(H2533,IMPORTRANGE(""1vUGwO1n0QQGx9kKbO0_M5gmuhXZ6-LaxQxgrmJnzgP0"",""'TP# look up'!A:C""),3,0),"""")"),"")</f>
        <v/>
      </c>
      <c r="AH2533" s="49">
        <f>LEFT(J2533,2)</f>
        <v/>
      </c>
    </row>
    <row r="2534" ht="12.75" customHeight="1">
      <c r="H2534" s="43" t="n"/>
      <c r="AG2534" s="49">
        <f>IFERROR(__xludf.DUMMYFUNCTION("IFNA(vlookup(H2534,IMPORTRANGE(""1vUGwO1n0QQGx9kKbO0_M5gmuhXZ6-LaxQxgrmJnzgP0"",""'TP# look up'!A:C""),3,0),"""")"),"")</f>
        <v/>
      </c>
      <c r="AH2534" s="49">
        <f>LEFT(J2534,2)</f>
        <v/>
      </c>
    </row>
    <row r="2535" ht="12.75" customHeight="1">
      <c r="H2535" s="43" t="n"/>
      <c r="AG2535" s="49">
        <f>IFERROR(__xludf.DUMMYFUNCTION("IFNA(vlookup(H2535,IMPORTRANGE(""1vUGwO1n0QQGx9kKbO0_M5gmuhXZ6-LaxQxgrmJnzgP0"",""'TP# look up'!A:C""),3,0),"""")"),"")</f>
        <v/>
      </c>
      <c r="AH2535" s="49">
        <f>LEFT(J2535,2)</f>
        <v/>
      </c>
    </row>
    <row r="2536" ht="12.75" customHeight="1">
      <c r="H2536" s="43" t="n"/>
      <c r="AG2536" s="49">
        <f>IFERROR(__xludf.DUMMYFUNCTION("IFNA(vlookup(H2536,IMPORTRANGE(""1vUGwO1n0QQGx9kKbO0_M5gmuhXZ6-LaxQxgrmJnzgP0"",""'TP# look up'!A:C""),3,0),"""")"),"")</f>
        <v/>
      </c>
      <c r="AH2536" s="49">
        <f>LEFT(J2536,2)</f>
        <v/>
      </c>
    </row>
    <row r="2537" ht="12.75" customHeight="1">
      <c r="H2537" s="43" t="n"/>
      <c r="AG2537" s="49">
        <f>IFERROR(__xludf.DUMMYFUNCTION("IFNA(vlookup(H2537,IMPORTRANGE(""1vUGwO1n0QQGx9kKbO0_M5gmuhXZ6-LaxQxgrmJnzgP0"",""'TP# look up'!A:C""),3,0),"""")"),"")</f>
        <v/>
      </c>
      <c r="AH2537" s="49">
        <f>LEFT(J2537,2)</f>
        <v/>
      </c>
    </row>
    <row r="2538" ht="12.75" customHeight="1">
      <c r="H2538" s="43" t="n"/>
      <c r="AG2538" s="49">
        <f>IFERROR(__xludf.DUMMYFUNCTION("IFNA(vlookup(H2538,IMPORTRANGE(""1vUGwO1n0QQGx9kKbO0_M5gmuhXZ6-LaxQxgrmJnzgP0"",""'TP# look up'!A:C""),3,0),"""")"),"")</f>
        <v/>
      </c>
      <c r="AH2538" s="49">
        <f>LEFT(J2538,2)</f>
        <v/>
      </c>
    </row>
    <row r="2539" ht="12.75" customHeight="1">
      <c r="H2539" s="43" t="n"/>
      <c r="AG2539" s="49">
        <f>IFERROR(__xludf.DUMMYFUNCTION("IFNA(vlookup(H2539,IMPORTRANGE(""1vUGwO1n0QQGx9kKbO0_M5gmuhXZ6-LaxQxgrmJnzgP0"",""'TP# look up'!A:C""),3,0),"""")"),"")</f>
        <v/>
      </c>
      <c r="AH2539" s="49">
        <f>LEFT(J2539,2)</f>
        <v/>
      </c>
    </row>
    <row r="2540" ht="12.75" customHeight="1">
      <c r="H2540" s="43" t="n"/>
      <c r="AG2540" s="49">
        <f>IFERROR(__xludf.DUMMYFUNCTION("IFNA(vlookup(H2540,IMPORTRANGE(""1vUGwO1n0QQGx9kKbO0_M5gmuhXZ6-LaxQxgrmJnzgP0"",""'TP# look up'!A:C""),3,0),"""")"),"")</f>
        <v/>
      </c>
      <c r="AH2540" s="49">
        <f>LEFT(J2540,2)</f>
        <v/>
      </c>
    </row>
    <row r="2541" ht="12.75" customHeight="1">
      <c r="H2541" s="43" t="n"/>
      <c r="AG2541" s="49">
        <f>IFERROR(__xludf.DUMMYFUNCTION("IFNA(vlookup(H2541,IMPORTRANGE(""1vUGwO1n0QQGx9kKbO0_M5gmuhXZ6-LaxQxgrmJnzgP0"",""'TP# look up'!A:C""),3,0),"""")"),"")</f>
        <v/>
      </c>
      <c r="AH2541" s="49">
        <f>LEFT(J2541,2)</f>
        <v/>
      </c>
    </row>
    <row r="2542" ht="12.75" customHeight="1">
      <c r="H2542" s="43" t="n"/>
      <c r="AG2542" s="49">
        <f>IFERROR(__xludf.DUMMYFUNCTION("IFNA(vlookup(H2542,IMPORTRANGE(""1vUGwO1n0QQGx9kKbO0_M5gmuhXZ6-LaxQxgrmJnzgP0"",""'TP# look up'!A:C""),3,0),"""")"),"")</f>
        <v/>
      </c>
      <c r="AH2542" s="49">
        <f>LEFT(J2542,2)</f>
        <v/>
      </c>
    </row>
    <row r="2543" ht="12.75" customHeight="1">
      <c r="H2543" s="43" t="n"/>
      <c r="AG2543" s="49">
        <f>IFERROR(__xludf.DUMMYFUNCTION("IFNA(vlookup(H2543,IMPORTRANGE(""1vUGwO1n0QQGx9kKbO0_M5gmuhXZ6-LaxQxgrmJnzgP0"",""'TP# look up'!A:C""),3,0),"""")"),"")</f>
        <v/>
      </c>
      <c r="AH2543" s="49">
        <f>LEFT(J2543,2)</f>
        <v/>
      </c>
    </row>
    <row r="2544" ht="12.75" customHeight="1">
      <c r="H2544" s="43" t="n"/>
      <c r="AG2544" s="49">
        <f>IFERROR(__xludf.DUMMYFUNCTION("IFNA(vlookup(H2544,IMPORTRANGE(""1vUGwO1n0QQGx9kKbO0_M5gmuhXZ6-LaxQxgrmJnzgP0"",""'TP# look up'!A:C""),3,0),"""")"),"")</f>
        <v/>
      </c>
      <c r="AH2544" s="49">
        <f>LEFT(J2544,2)</f>
        <v/>
      </c>
    </row>
    <row r="2545" ht="12.75" customHeight="1">
      <c r="H2545" s="43" t="n"/>
      <c r="AG2545" s="49">
        <f>IFERROR(__xludf.DUMMYFUNCTION("IFNA(vlookup(H2545,IMPORTRANGE(""1vUGwO1n0QQGx9kKbO0_M5gmuhXZ6-LaxQxgrmJnzgP0"",""'TP# look up'!A:C""),3,0),"""")"),"")</f>
        <v/>
      </c>
      <c r="AH2545" s="49">
        <f>LEFT(J2545,2)</f>
        <v/>
      </c>
    </row>
    <row r="2546" ht="12.75" customHeight="1">
      <c r="H2546" s="43" t="n"/>
      <c r="AG2546" s="49">
        <f>IFERROR(__xludf.DUMMYFUNCTION("IFNA(vlookup(H2546,IMPORTRANGE(""1vUGwO1n0QQGx9kKbO0_M5gmuhXZ6-LaxQxgrmJnzgP0"",""'TP# look up'!A:C""),3,0),"""")"),"")</f>
        <v/>
      </c>
      <c r="AH2546" s="49">
        <f>LEFT(J2546,2)</f>
        <v/>
      </c>
    </row>
    <row r="2547" ht="12.75" customHeight="1">
      <c r="H2547" s="43" t="n"/>
      <c r="AG2547" s="49">
        <f>IFERROR(__xludf.DUMMYFUNCTION("IFNA(vlookup(H2547,IMPORTRANGE(""1vUGwO1n0QQGx9kKbO0_M5gmuhXZ6-LaxQxgrmJnzgP0"",""'TP# look up'!A:C""),3,0),"""")"),"")</f>
        <v/>
      </c>
      <c r="AH2547" s="49">
        <f>LEFT(J2547,2)</f>
        <v/>
      </c>
    </row>
    <row r="2548" ht="12.75" customHeight="1">
      <c r="H2548" s="43" t="n"/>
      <c r="AG2548" s="49">
        <f>IFERROR(__xludf.DUMMYFUNCTION("IFNA(vlookup(H2548,IMPORTRANGE(""1vUGwO1n0QQGx9kKbO0_M5gmuhXZ6-LaxQxgrmJnzgP0"",""'TP# look up'!A:C""),3,0),"""")"),"")</f>
        <v/>
      </c>
      <c r="AH2548" s="49">
        <f>LEFT(J2548,2)</f>
        <v/>
      </c>
    </row>
    <row r="2549" ht="12.75" customHeight="1">
      <c r="H2549" s="43" t="n"/>
      <c r="AG2549" s="49">
        <f>IFERROR(__xludf.DUMMYFUNCTION("IFNA(vlookup(H2549,IMPORTRANGE(""1vUGwO1n0QQGx9kKbO0_M5gmuhXZ6-LaxQxgrmJnzgP0"",""'TP# look up'!A:C""),3,0),"""")"),"")</f>
        <v/>
      </c>
      <c r="AH2549" s="49">
        <f>LEFT(J2549,2)</f>
        <v/>
      </c>
    </row>
    <row r="2550" ht="12.75" customHeight="1">
      <c r="H2550" s="43" t="n"/>
      <c r="AG2550" s="49">
        <f>IFERROR(__xludf.DUMMYFUNCTION("IFNA(vlookup(H2550,IMPORTRANGE(""1vUGwO1n0QQGx9kKbO0_M5gmuhXZ6-LaxQxgrmJnzgP0"",""'TP# look up'!A:C""),3,0),"""")"),"")</f>
        <v/>
      </c>
      <c r="AH2550" s="49">
        <f>LEFT(J2550,2)</f>
        <v/>
      </c>
    </row>
    <row r="2551" ht="12.75" customHeight="1">
      <c r="H2551" s="43" t="n"/>
      <c r="AG2551" s="49">
        <f>IFERROR(__xludf.DUMMYFUNCTION("IFNA(vlookup(H2551,IMPORTRANGE(""1vUGwO1n0QQGx9kKbO0_M5gmuhXZ6-LaxQxgrmJnzgP0"",""'TP# look up'!A:C""),3,0),"""")"),"")</f>
        <v/>
      </c>
      <c r="AH2551" s="49">
        <f>LEFT(J2551,2)</f>
        <v/>
      </c>
    </row>
    <row r="2552" ht="12.75" customHeight="1">
      <c r="H2552" s="43" t="n"/>
      <c r="AG2552" s="49">
        <f>IFERROR(__xludf.DUMMYFUNCTION("IFNA(vlookup(H2552,IMPORTRANGE(""1vUGwO1n0QQGx9kKbO0_M5gmuhXZ6-LaxQxgrmJnzgP0"",""'TP# look up'!A:C""),3,0),"""")"),"")</f>
        <v/>
      </c>
      <c r="AH2552" s="49">
        <f>LEFT(J2552,2)</f>
        <v/>
      </c>
    </row>
    <row r="2553" ht="12.75" customHeight="1">
      <c r="H2553" s="43" t="n"/>
      <c r="AG2553" s="49">
        <f>IFERROR(__xludf.DUMMYFUNCTION("IFNA(vlookup(H2553,IMPORTRANGE(""1vUGwO1n0QQGx9kKbO0_M5gmuhXZ6-LaxQxgrmJnzgP0"",""'TP# look up'!A:C""),3,0),"""")"),"")</f>
        <v/>
      </c>
      <c r="AH2553" s="49">
        <f>LEFT(J2553,2)</f>
        <v/>
      </c>
    </row>
    <row r="2554" ht="12.75" customHeight="1">
      <c r="H2554" s="43" t="n"/>
      <c r="AG2554" s="49">
        <f>IFERROR(__xludf.DUMMYFUNCTION("IFNA(vlookup(H2554,IMPORTRANGE(""1vUGwO1n0QQGx9kKbO0_M5gmuhXZ6-LaxQxgrmJnzgP0"",""'TP# look up'!A:C""),3,0),"""")"),"")</f>
        <v/>
      </c>
      <c r="AH2554" s="49">
        <f>LEFT(J2554,2)</f>
        <v/>
      </c>
    </row>
    <row r="2555" ht="12.75" customHeight="1">
      <c r="H2555" s="43" t="n"/>
      <c r="AG2555" s="49">
        <f>IFERROR(__xludf.DUMMYFUNCTION("IFNA(vlookup(H2555,IMPORTRANGE(""1vUGwO1n0QQGx9kKbO0_M5gmuhXZ6-LaxQxgrmJnzgP0"",""'TP# look up'!A:C""),3,0),"""")"),"")</f>
        <v/>
      </c>
      <c r="AH2555" s="49">
        <f>LEFT(J2555,2)</f>
        <v/>
      </c>
    </row>
    <row r="2556" ht="12.75" customHeight="1">
      <c r="H2556" s="43" t="n"/>
      <c r="AG2556" s="49">
        <f>IFERROR(__xludf.DUMMYFUNCTION("IFNA(vlookup(H2556,IMPORTRANGE(""1vUGwO1n0QQGx9kKbO0_M5gmuhXZ6-LaxQxgrmJnzgP0"",""'TP# look up'!A:C""),3,0),"""")"),"")</f>
        <v/>
      </c>
      <c r="AH2556" s="49">
        <f>LEFT(J2556,2)</f>
        <v/>
      </c>
    </row>
    <row r="2557" ht="12.75" customHeight="1">
      <c r="H2557" s="43" t="n"/>
      <c r="AG2557" s="49">
        <f>IFERROR(__xludf.DUMMYFUNCTION("IFNA(vlookup(H2557,IMPORTRANGE(""1vUGwO1n0QQGx9kKbO0_M5gmuhXZ6-LaxQxgrmJnzgP0"",""'TP# look up'!A:C""),3,0),"""")"),"")</f>
        <v/>
      </c>
      <c r="AH2557" s="49">
        <f>LEFT(J2557,2)</f>
        <v/>
      </c>
    </row>
    <row r="2558" ht="12.75" customHeight="1">
      <c r="H2558" s="43" t="n"/>
      <c r="AG2558" s="49">
        <f>IFERROR(__xludf.DUMMYFUNCTION("IFNA(vlookup(H2558,IMPORTRANGE(""1vUGwO1n0QQGx9kKbO0_M5gmuhXZ6-LaxQxgrmJnzgP0"",""'TP# look up'!A:C""),3,0),"""")"),"")</f>
        <v/>
      </c>
      <c r="AH2558" s="49">
        <f>LEFT(J2558,2)</f>
        <v/>
      </c>
    </row>
    <row r="2559" ht="12.75" customHeight="1">
      <c r="H2559" s="43" t="n"/>
      <c r="AG2559" s="49">
        <f>IFERROR(__xludf.DUMMYFUNCTION("IFNA(vlookup(H2559,IMPORTRANGE(""1vUGwO1n0QQGx9kKbO0_M5gmuhXZ6-LaxQxgrmJnzgP0"",""'TP# look up'!A:C""),3,0),"""")"),"")</f>
        <v/>
      </c>
      <c r="AH2559" s="49">
        <f>LEFT(J2559,2)</f>
        <v/>
      </c>
    </row>
    <row r="2560" ht="12.75" customHeight="1">
      <c r="H2560" s="43" t="n"/>
      <c r="AG2560" s="49">
        <f>IFERROR(__xludf.DUMMYFUNCTION("IFNA(vlookup(H2560,IMPORTRANGE(""1vUGwO1n0QQGx9kKbO0_M5gmuhXZ6-LaxQxgrmJnzgP0"",""'TP# look up'!A:C""),3,0),"""")"),"")</f>
        <v/>
      </c>
      <c r="AH2560" s="49">
        <f>LEFT(J2560,2)</f>
        <v/>
      </c>
    </row>
    <row r="2561" ht="12.75" customHeight="1">
      <c r="H2561" s="43" t="n"/>
      <c r="AG2561" s="49">
        <f>IFERROR(__xludf.DUMMYFUNCTION("IFNA(vlookup(H2561,IMPORTRANGE(""1vUGwO1n0QQGx9kKbO0_M5gmuhXZ6-LaxQxgrmJnzgP0"",""'TP# look up'!A:C""),3,0),"""")"),"")</f>
        <v/>
      </c>
      <c r="AH2561" s="49">
        <f>LEFT(J2561,2)</f>
        <v/>
      </c>
    </row>
    <row r="2562" ht="12.75" customHeight="1">
      <c r="H2562" s="43" t="n"/>
      <c r="AG2562" s="49">
        <f>IFERROR(__xludf.DUMMYFUNCTION("IFNA(vlookup(H2562,IMPORTRANGE(""1vUGwO1n0QQGx9kKbO0_M5gmuhXZ6-LaxQxgrmJnzgP0"",""'TP# look up'!A:C""),3,0),"""")"),"")</f>
        <v/>
      </c>
      <c r="AH2562" s="49">
        <f>LEFT(J2562,2)</f>
        <v/>
      </c>
    </row>
    <row r="2563" ht="12.75" customHeight="1">
      <c r="H2563" s="43" t="n"/>
      <c r="AG2563" s="49">
        <f>IFERROR(__xludf.DUMMYFUNCTION("IFNA(vlookup(H2563,IMPORTRANGE(""1vUGwO1n0QQGx9kKbO0_M5gmuhXZ6-LaxQxgrmJnzgP0"",""'TP# look up'!A:C""),3,0),"""")"),"")</f>
        <v/>
      </c>
      <c r="AH2563" s="49">
        <f>LEFT(J2563,2)</f>
        <v/>
      </c>
    </row>
    <row r="2564" ht="12.75" customHeight="1">
      <c r="H2564" s="43" t="n"/>
      <c r="AG2564" s="49">
        <f>IFERROR(__xludf.DUMMYFUNCTION("IFNA(vlookup(H2564,IMPORTRANGE(""1vUGwO1n0QQGx9kKbO0_M5gmuhXZ6-LaxQxgrmJnzgP0"",""'TP# look up'!A:C""),3,0),"""")"),"")</f>
        <v/>
      </c>
      <c r="AH2564" s="49">
        <f>LEFT(J2564,2)</f>
        <v/>
      </c>
    </row>
    <row r="2565" ht="12.75" customHeight="1">
      <c r="H2565" s="43" t="n"/>
      <c r="AG2565" s="49">
        <f>IFERROR(__xludf.DUMMYFUNCTION("IFNA(vlookup(H2565,IMPORTRANGE(""1vUGwO1n0QQGx9kKbO0_M5gmuhXZ6-LaxQxgrmJnzgP0"",""'TP# look up'!A:C""),3,0),"""")"),"")</f>
        <v/>
      </c>
      <c r="AH2565" s="49">
        <f>LEFT(J2565,2)</f>
        <v/>
      </c>
    </row>
    <row r="2566" ht="12.75" customHeight="1">
      <c r="H2566" s="43" t="n"/>
      <c r="AG2566" s="49">
        <f>IFERROR(__xludf.DUMMYFUNCTION("IFNA(vlookup(H2566,IMPORTRANGE(""1vUGwO1n0QQGx9kKbO0_M5gmuhXZ6-LaxQxgrmJnzgP0"",""'TP# look up'!A:C""),3,0),"""")"),"")</f>
        <v/>
      </c>
      <c r="AH2566" s="49">
        <f>LEFT(J2566,2)</f>
        <v/>
      </c>
    </row>
    <row r="2567" ht="12.75" customHeight="1">
      <c r="H2567" s="43" t="n"/>
      <c r="AG2567" s="49">
        <f>IFERROR(__xludf.DUMMYFUNCTION("IFNA(vlookup(H2567,IMPORTRANGE(""1vUGwO1n0QQGx9kKbO0_M5gmuhXZ6-LaxQxgrmJnzgP0"",""'TP# look up'!A:C""),3,0),"""")"),"")</f>
        <v/>
      </c>
      <c r="AH2567" s="49">
        <f>LEFT(J2567,2)</f>
        <v/>
      </c>
    </row>
    <row r="2568" ht="12.75" customHeight="1">
      <c r="H2568" s="43" t="n"/>
      <c r="AG2568" s="49">
        <f>IFERROR(__xludf.DUMMYFUNCTION("IFNA(vlookup(H2568,IMPORTRANGE(""1vUGwO1n0QQGx9kKbO0_M5gmuhXZ6-LaxQxgrmJnzgP0"",""'TP# look up'!A:C""),3,0),"""")"),"")</f>
        <v/>
      </c>
      <c r="AH2568" s="49">
        <f>LEFT(J2568,2)</f>
        <v/>
      </c>
    </row>
    <row r="2569" ht="12.75" customHeight="1">
      <c r="H2569" s="43" t="n"/>
      <c r="AG2569" s="49">
        <f>IFERROR(__xludf.DUMMYFUNCTION("IFNA(vlookup(H2569,IMPORTRANGE(""1vUGwO1n0QQGx9kKbO0_M5gmuhXZ6-LaxQxgrmJnzgP0"",""'TP# look up'!A:C""),3,0),"""")"),"")</f>
        <v/>
      </c>
      <c r="AH2569" s="49">
        <f>LEFT(J2569,2)</f>
        <v/>
      </c>
    </row>
    <row r="2570" ht="12.75" customHeight="1">
      <c r="H2570" s="43" t="n"/>
      <c r="AG2570" s="49">
        <f>IFERROR(__xludf.DUMMYFUNCTION("IFNA(vlookup(H2570,IMPORTRANGE(""1vUGwO1n0QQGx9kKbO0_M5gmuhXZ6-LaxQxgrmJnzgP0"",""'TP# look up'!A:C""),3,0),"""")"),"")</f>
        <v/>
      </c>
      <c r="AH2570" s="49">
        <f>LEFT(J2570,2)</f>
        <v/>
      </c>
    </row>
    <row r="2571" ht="12.75" customHeight="1">
      <c r="H2571" s="43" t="n"/>
      <c r="AG2571" s="49">
        <f>IFERROR(__xludf.DUMMYFUNCTION("IFNA(vlookup(H2571,IMPORTRANGE(""1vUGwO1n0QQGx9kKbO0_M5gmuhXZ6-LaxQxgrmJnzgP0"",""'TP# look up'!A:C""),3,0),"""")"),"")</f>
        <v/>
      </c>
      <c r="AH2571" s="49">
        <f>LEFT(J2571,2)</f>
        <v/>
      </c>
    </row>
    <row r="2572" ht="12.75" customHeight="1">
      <c r="H2572" s="43" t="n"/>
      <c r="AG2572" s="49">
        <f>IFERROR(__xludf.DUMMYFUNCTION("IFNA(vlookup(H2572,IMPORTRANGE(""1vUGwO1n0QQGx9kKbO0_M5gmuhXZ6-LaxQxgrmJnzgP0"",""'TP# look up'!A:C""),3,0),"""")"),"")</f>
        <v/>
      </c>
      <c r="AH2572" s="49">
        <f>LEFT(J2572,2)</f>
        <v/>
      </c>
    </row>
    <row r="2573" ht="12.75" customHeight="1">
      <c r="H2573" s="43" t="n"/>
      <c r="AG2573" s="49">
        <f>IFERROR(__xludf.DUMMYFUNCTION("IFNA(vlookup(H2573,IMPORTRANGE(""1vUGwO1n0QQGx9kKbO0_M5gmuhXZ6-LaxQxgrmJnzgP0"",""'TP# look up'!A:C""),3,0),"""")"),"")</f>
        <v/>
      </c>
      <c r="AH2573" s="49">
        <f>LEFT(J2573,2)</f>
        <v/>
      </c>
    </row>
    <row r="2574" ht="12.75" customHeight="1">
      <c r="H2574" s="43" t="n"/>
      <c r="AG2574" s="49">
        <f>IFERROR(__xludf.DUMMYFUNCTION("IFNA(vlookup(H2574,IMPORTRANGE(""1vUGwO1n0QQGx9kKbO0_M5gmuhXZ6-LaxQxgrmJnzgP0"",""'TP# look up'!A:C""),3,0),"""")"),"")</f>
        <v/>
      </c>
      <c r="AH2574" s="49">
        <f>LEFT(J2574,2)</f>
        <v/>
      </c>
    </row>
    <row r="2575" ht="12.75" customHeight="1">
      <c r="H2575" s="43" t="n"/>
      <c r="AG2575" s="49">
        <f>IFERROR(__xludf.DUMMYFUNCTION("IFNA(vlookup(H2575,IMPORTRANGE(""1vUGwO1n0QQGx9kKbO0_M5gmuhXZ6-LaxQxgrmJnzgP0"",""'TP# look up'!A:C""),3,0),"""")"),"")</f>
        <v/>
      </c>
      <c r="AH2575" s="49">
        <f>LEFT(J2575,2)</f>
        <v/>
      </c>
    </row>
    <row r="2576" ht="12.75" customHeight="1">
      <c r="H2576" s="43" t="n"/>
      <c r="AG2576" s="49">
        <f>IFERROR(__xludf.DUMMYFUNCTION("IFNA(vlookup(H2576,IMPORTRANGE(""1vUGwO1n0QQGx9kKbO0_M5gmuhXZ6-LaxQxgrmJnzgP0"",""'TP# look up'!A:C""),3,0),"""")"),"")</f>
        <v/>
      </c>
      <c r="AH2576" s="49">
        <f>LEFT(J2576,2)</f>
        <v/>
      </c>
    </row>
    <row r="2577" ht="12.75" customHeight="1">
      <c r="H2577" s="43" t="n"/>
      <c r="AG2577" s="49">
        <f>IFERROR(__xludf.DUMMYFUNCTION("IFNA(vlookup(H2577,IMPORTRANGE(""1vUGwO1n0QQGx9kKbO0_M5gmuhXZ6-LaxQxgrmJnzgP0"",""'TP# look up'!A:C""),3,0),"""")"),"")</f>
        <v/>
      </c>
      <c r="AH2577" s="49">
        <f>LEFT(J2577,2)</f>
        <v/>
      </c>
    </row>
    <row r="2578" ht="12.75" customHeight="1">
      <c r="H2578" s="43" t="n"/>
      <c r="AG2578" s="49">
        <f>IFERROR(__xludf.DUMMYFUNCTION("IFNA(vlookup(H2578,IMPORTRANGE(""1vUGwO1n0QQGx9kKbO0_M5gmuhXZ6-LaxQxgrmJnzgP0"",""'TP# look up'!A:C""),3,0),"""")"),"")</f>
        <v/>
      </c>
      <c r="AH2578" s="49">
        <f>LEFT(J2578,2)</f>
        <v/>
      </c>
    </row>
    <row r="2579" ht="12.75" customHeight="1">
      <c r="H2579" s="43" t="n"/>
      <c r="AG2579" s="49">
        <f>IFERROR(__xludf.DUMMYFUNCTION("IFNA(vlookup(H2579,IMPORTRANGE(""1vUGwO1n0QQGx9kKbO0_M5gmuhXZ6-LaxQxgrmJnzgP0"",""'TP# look up'!A:C""),3,0),"""")"),"")</f>
        <v/>
      </c>
      <c r="AH2579" s="49">
        <f>LEFT(J2579,2)</f>
        <v/>
      </c>
    </row>
    <row r="2580" ht="12.75" customHeight="1">
      <c r="H2580" s="43" t="n"/>
      <c r="AG2580" s="49">
        <f>IFERROR(__xludf.DUMMYFUNCTION("IFNA(vlookup(H2580,IMPORTRANGE(""1vUGwO1n0QQGx9kKbO0_M5gmuhXZ6-LaxQxgrmJnzgP0"",""'TP# look up'!A:C""),3,0),"""")"),"")</f>
        <v/>
      </c>
      <c r="AH2580" s="49">
        <f>LEFT(J2580,2)</f>
        <v/>
      </c>
    </row>
    <row r="2581" ht="12.75" customHeight="1">
      <c r="H2581" s="43" t="n"/>
      <c r="AG2581" s="49">
        <f>IFERROR(__xludf.DUMMYFUNCTION("IFNA(vlookup(H2581,IMPORTRANGE(""1vUGwO1n0QQGx9kKbO0_M5gmuhXZ6-LaxQxgrmJnzgP0"",""'TP# look up'!A:C""),3,0),"""")"),"")</f>
        <v/>
      </c>
      <c r="AH2581" s="49">
        <f>LEFT(J2581,2)</f>
        <v/>
      </c>
    </row>
    <row r="2582" ht="12.75" customHeight="1">
      <c r="H2582" s="43" t="n"/>
      <c r="AG2582" s="49">
        <f>IFERROR(__xludf.DUMMYFUNCTION("IFNA(vlookup(H2582,IMPORTRANGE(""1vUGwO1n0QQGx9kKbO0_M5gmuhXZ6-LaxQxgrmJnzgP0"",""'TP# look up'!A:C""),3,0),"""")"),"")</f>
        <v/>
      </c>
      <c r="AH2582" s="49">
        <f>LEFT(J2582,2)</f>
        <v/>
      </c>
    </row>
    <row r="2583" ht="12.75" customHeight="1">
      <c r="H2583" s="43" t="n"/>
      <c r="AG2583" s="49">
        <f>IFERROR(__xludf.DUMMYFUNCTION("IFNA(vlookup(H2583,IMPORTRANGE(""1vUGwO1n0QQGx9kKbO0_M5gmuhXZ6-LaxQxgrmJnzgP0"",""'TP# look up'!A:C""),3,0),"""")"),"")</f>
        <v/>
      </c>
      <c r="AH2583" s="49">
        <f>LEFT(J2583,2)</f>
        <v/>
      </c>
    </row>
    <row r="2584" ht="12.75" customHeight="1">
      <c r="H2584" s="43" t="n"/>
      <c r="AG2584" s="49">
        <f>IFERROR(__xludf.DUMMYFUNCTION("IFNA(vlookup(H2584,IMPORTRANGE(""1vUGwO1n0QQGx9kKbO0_M5gmuhXZ6-LaxQxgrmJnzgP0"",""'TP# look up'!A:C""),3,0),"""")"),"")</f>
        <v/>
      </c>
      <c r="AH2584" s="49">
        <f>LEFT(J2584,2)</f>
        <v/>
      </c>
    </row>
    <row r="2585" ht="12.75" customHeight="1">
      <c r="H2585" s="43" t="n"/>
      <c r="AG2585" s="49">
        <f>IFERROR(__xludf.DUMMYFUNCTION("IFNA(vlookup(H2585,IMPORTRANGE(""1vUGwO1n0QQGx9kKbO0_M5gmuhXZ6-LaxQxgrmJnzgP0"",""'TP# look up'!A:C""),3,0),"""")"),"")</f>
        <v/>
      </c>
      <c r="AH2585" s="49">
        <f>LEFT(J2585,2)</f>
        <v/>
      </c>
    </row>
    <row r="2586" ht="12.75" customHeight="1">
      <c r="H2586" s="43" t="n"/>
      <c r="AG2586" s="49">
        <f>IFERROR(__xludf.DUMMYFUNCTION("IFNA(vlookup(H2586,IMPORTRANGE(""1vUGwO1n0QQGx9kKbO0_M5gmuhXZ6-LaxQxgrmJnzgP0"",""'TP# look up'!A:C""),3,0),"""")"),"")</f>
        <v/>
      </c>
      <c r="AH2586" s="49">
        <f>LEFT(J2586,2)</f>
        <v/>
      </c>
    </row>
    <row r="2587" ht="12.75" customHeight="1">
      <c r="H2587" s="43" t="n"/>
      <c r="AG2587" s="49">
        <f>IFERROR(__xludf.DUMMYFUNCTION("IFNA(vlookup(H2587,IMPORTRANGE(""1vUGwO1n0QQGx9kKbO0_M5gmuhXZ6-LaxQxgrmJnzgP0"",""'TP# look up'!A:C""),3,0),"""")"),"")</f>
        <v/>
      </c>
      <c r="AH2587" s="49">
        <f>LEFT(J2587,2)</f>
        <v/>
      </c>
    </row>
    <row r="2588" ht="12.75" customHeight="1">
      <c r="H2588" s="43" t="n"/>
      <c r="AG2588" s="49">
        <f>IFERROR(__xludf.DUMMYFUNCTION("IFNA(vlookup(H2588,IMPORTRANGE(""1vUGwO1n0QQGx9kKbO0_M5gmuhXZ6-LaxQxgrmJnzgP0"",""'TP# look up'!A:C""),3,0),"""")"),"")</f>
        <v/>
      </c>
      <c r="AH2588" s="49">
        <f>LEFT(J2588,2)</f>
        <v/>
      </c>
    </row>
    <row r="2589" ht="12.75" customHeight="1">
      <c r="H2589" s="43" t="n"/>
      <c r="AG2589" s="49">
        <f>IFERROR(__xludf.DUMMYFUNCTION("IFNA(vlookup(H2589,IMPORTRANGE(""1vUGwO1n0QQGx9kKbO0_M5gmuhXZ6-LaxQxgrmJnzgP0"",""'TP# look up'!A:C""),3,0),"""")"),"")</f>
        <v/>
      </c>
      <c r="AH2589" s="49">
        <f>LEFT(J2589,2)</f>
        <v/>
      </c>
    </row>
    <row r="2590" ht="12.75" customHeight="1">
      <c r="H2590" s="43" t="n"/>
      <c r="AG2590" s="49">
        <f>IFERROR(__xludf.DUMMYFUNCTION("IFNA(vlookup(H2590,IMPORTRANGE(""1vUGwO1n0QQGx9kKbO0_M5gmuhXZ6-LaxQxgrmJnzgP0"",""'TP# look up'!A:C""),3,0),"""")"),"")</f>
        <v/>
      </c>
      <c r="AH2590" s="49">
        <f>LEFT(J2590,2)</f>
        <v/>
      </c>
    </row>
    <row r="2591" ht="12.75" customHeight="1">
      <c r="H2591" s="43" t="n"/>
      <c r="AG2591" s="49">
        <f>IFERROR(__xludf.DUMMYFUNCTION("IFNA(vlookup(H2591,IMPORTRANGE(""1vUGwO1n0QQGx9kKbO0_M5gmuhXZ6-LaxQxgrmJnzgP0"",""'TP# look up'!A:C""),3,0),"""")"),"")</f>
        <v/>
      </c>
      <c r="AH2591" s="49">
        <f>LEFT(J2591,2)</f>
        <v/>
      </c>
    </row>
    <row r="2592" ht="12.75" customHeight="1">
      <c r="H2592" s="43" t="n"/>
      <c r="AG2592" s="49">
        <f>IFERROR(__xludf.DUMMYFUNCTION("IFNA(vlookup(H2592,IMPORTRANGE(""1vUGwO1n0QQGx9kKbO0_M5gmuhXZ6-LaxQxgrmJnzgP0"",""'TP# look up'!A:C""),3,0),"""")"),"")</f>
        <v/>
      </c>
      <c r="AH2592" s="49">
        <f>LEFT(J2592,2)</f>
        <v/>
      </c>
    </row>
    <row r="2593" ht="12.75" customHeight="1">
      <c r="H2593" s="43" t="n"/>
      <c r="AG2593" s="49">
        <f>IFERROR(__xludf.DUMMYFUNCTION("IFNA(vlookup(H2593,IMPORTRANGE(""1vUGwO1n0QQGx9kKbO0_M5gmuhXZ6-LaxQxgrmJnzgP0"",""'TP# look up'!A:C""),3,0),"""")"),"")</f>
        <v/>
      </c>
      <c r="AH2593" s="49">
        <f>LEFT(J2593,2)</f>
        <v/>
      </c>
    </row>
    <row r="2594" ht="12.75" customHeight="1">
      <c r="H2594" s="43" t="n"/>
      <c r="AG2594" s="49">
        <f>IFERROR(__xludf.DUMMYFUNCTION("IFNA(vlookup(H2594,IMPORTRANGE(""1vUGwO1n0QQGx9kKbO0_M5gmuhXZ6-LaxQxgrmJnzgP0"",""'TP# look up'!A:C""),3,0),"""")"),"")</f>
        <v/>
      </c>
      <c r="AH2594" s="49">
        <f>LEFT(J2594,2)</f>
        <v/>
      </c>
    </row>
    <row r="2595" ht="12.75" customHeight="1">
      <c r="H2595" s="43" t="n"/>
      <c r="AG2595" s="49">
        <f>IFERROR(__xludf.DUMMYFUNCTION("IFNA(vlookup(H2595,IMPORTRANGE(""1vUGwO1n0QQGx9kKbO0_M5gmuhXZ6-LaxQxgrmJnzgP0"",""'TP# look up'!A:C""),3,0),"""")"),"")</f>
        <v/>
      </c>
      <c r="AH2595" s="49">
        <f>LEFT(J2595,2)</f>
        <v/>
      </c>
    </row>
    <row r="2596" ht="12.75" customHeight="1">
      <c r="H2596" s="43" t="n"/>
      <c r="AG2596" s="49">
        <f>IFERROR(__xludf.DUMMYFUNCTION("IFNA(vlookup(H2596,IMPORTRANGE(""1vUGwO1n0QQGx9kKbO0_M5gmuhXZ6-LaxQxgrmJnzgP0"",""'TP# look up'!A:C""),3,0),"""")"),"")</f>
        <v/>
      </c>
      <c r="AH2596" s="49">
        <f>LEFT(J2596,2)</f>
        <v/>
      </c>
    </row>
    <row r="2597" ht="12.75" customHeight="1">
      <c r="H2597" s="43" t="n"/>
      <c r="AG2597" s="49">
        <f>IFERROR(__xludf.DUMMYFUNCTION("IFNA(vlookup(H2597,IMPORTRANGE(""1vUGwO1n0QQGx9kKbO0_M5gmuhXZ6-LaxQxgrmJnzgP0"",""'TP# look up'!A:C""),3,0),"""")"),"")</f>
        <v/>
      </c>
      <c r="AH2597" s="49">
        <f>LEFT(J2597,2)</f>
        <v/>
      </c>
    </row>
    <row r="2598" ht="12.75" customHeight="1">
      <c r="H2598" s="43" t="n"/>
      <c r="AG2598" s="49">
        <f>IFERROR(__xludf.DUMMYFUNCTION("IFNA(vlookup(H2598,IMPORTRANGE(""1vUGwO1n0QQGx9kKbO0_M5gmuhXZ6-LaxQxgrmJnzgP0"",""'TP# look up'!A:C""),3,0),"""")"),"")</f>
        <v/>
      </c>
      <c r="AH2598" s="49">
        <f>LEFT(J2598,2)</f>
        <v/>
      </c>
    </row>
    <row r="2599" ht="12.75" customHeight="1">
      <c r="H2599" s="43" t="n"/>
      <c r="AG2599" s="49">
        <f>IFERROR(__xludf.DUMMYFUNCTION("IFNA(vlookup(H2599,IMPORTRANGE(""1vUGwO1n0QQGx9kKbO0_M5gmuhXZ6-LaxQxgrmJnzgP0"",""'TP# look up'!A:C""),3,0),"""")"),"")</f>
        <v/>
      </c>
      <c r="AH2599" s="49">
        <f>LEFT(J2599,2)</f>
        <v/>
      </c>
    </row>
    <row r="2600" ht="12.75" customHeight="1">
      <c r="H2600" s="43" t="n"/>
      <c r="AG2600" s="49">
        <f>IFERROR(__xludf.DUMMYFUNCTION("IFNA(vlookup(H2600,IMPORTRANGE(""1vUGwO1n0QQGx9kKbO0_M5gmuhXZ6-LaxQxgrmJnzgP0"",""'TP# look up'!A:C""),3,0),"""")"),"")</f>
        <v/>
      </c>
      <c r="AH2600" s="49">
        <f>LEFT(J2600,2)</f>
        <v/>
      </c>
    </row>
    <row r="2601" ht="12.75" customHeight="1">
      <c r="H2601" s="43" t="n"/>
      <c r="AG2601" s="49">
        <f>IFERROR(__xludf.DUMMYFUNCTION("IFNA(vlookup(H2601,IMPORTRANGE(""1vUGwO1n0QQGx9kKbO0_M5gmuhXZ6-LaxQxgrmJnzgP0"",""'TP# look up'!A:C""),3,0),"""")"),"")</f>
        <v/>
      </c>
      <c r="AH2601" s="49">
        <f>LEFT(J2601,2)</f>
        <v/>
      </c>
    </row>
    <row r="2602" ht="12.75" customHeight="1">
      <c r="H2602" s="43" t="n"/>
      <c r="AG2602" s="49">
        <f>IFERROR(__xludf.DUMMYFUNCTION("IFNA(vlookup(H2602,IMPORTRANGE(""1vUGwO1n0QQGx9kKbO0_M5gmuhXZ6-LaxQxgrmJnzgP0"",""'TP# look up'!A:C""),3,0),"""")"),"")</f>
        <v/>
      </c>
      <c r="AH2602" s="49">
        <f>LEFT(J2602,2)</f>
        <v/>
      </c>
    </row>
    <row r="2603" ht="12.75" customHeight="1">
      <c r="H2603" s="43" t="n"/>
      <c r="AG2603" s="49">
        <f>IFERROR(__xludf.DUMMYFUNCTION("IFNA(vlookup(H2603,IMPORTRANGE(""1vUGwO1n0QQGx9kKbO0_M5gmuhXZ6-LaxQxgrmJnzgP0"",""'TP# look up'!A:C""),3,0),"""")"),"")</f>
        <v/>
      </c>
      <c r="AH2603" s="49">
        <f>LEFT(J2603,2)</f>
        <v/>
      </c>
    </row>
    <row r="2604" ht="12.75" customHeight="1">
      <c r="H2604" s="43" t="n"/>
      <c r="AG2604" s="49">
        <f>IFERROR(__xludf.DUMMYFUNCTION("IFNA(vlookup(H2604,IMPORTRANGE(""1vUGwO1n0QQGx9kKbO0_M5gmuhXZ6-LaxQxgrmJnzgP0"",""'TP# look up'!A:C""),3,0),"""")"),"")</f>
        <v/>
      </c>
      <c r="AH2604" s="49">
        <f>LEFT(J2604,2)</f>
        <v/>
      </c>
    </row>
    <row r="2605" ht="12.75" customHeight="1">
      <c r="H2605" s="43" t="n"/>
      <c r="AG2605" s="49">
        <f>IFERROR(__xludf.DUMMYFUNCTION("IFNA(vlookup(H2605,IMPORTRANGE(""1vUGwO1n0QQGx9kKbO0_M5gmuhXZ6-LaxQxgrmJnzgP0"",""'TP# look up'!A:C""),3,0),"""")"),"")</f>
        <v/>
      </c>
      <c r="AH2605" s="49">
        <f>LEFT(J2605,2)</f>
        <v/>
      </c>
    </row>
    <row r="2606" ht="12.75" customHeight="1">
      <c r="H2606" s="43" t="n"/>
      <c r="AG2606" s="49">
        <f>IFERROR(__xludf.DUMMYFUNCTION("IFNA(vlookup(H2606,IMPORTRANGE(""1vUGwO1n0QQGx9kKbO0_M5gmuhXZ6-LaxQxgrmJnzgP0"",""'TP# look up'!A:C""),3,0),"""")"),"")</f>
        <v/>
      </c>
      <c r="AH2606" s="49">
        <f>LEFT(J2606,2)</f>
        <v/>
      </c>
    </row>
    <row r="2607" ht="12.75" customHeight="1">
      <c r="H2607" s="43" t="n"/>
      <c r="AG2607" s="49">
        <f>IFERROR(__xludf.DUMMYFUNCTION("IFNA(vlookup(H2607,IMPORTRANGE(""1vUGwO1n0QQGx9kKbO0_M5gmuhXZ6-LaxQxgrmJnzgP0"",""'TP# look up'!A:C""),3,0),"""")"),"")</f>
        <v/>
      </c>
      <c r="AH2607" s="49">
        <f>LEFT(J2607,2)</f>
        <v/>
      </c>
    </row>
    <row r="2608" ht="12.75" customHeight="1">
      <c r="H2608" s="43" t="n"/>
      <c r="AG2608" s="49">
        <f>IFERROR(__xludf.DUMMYFUNCTION("IFNA(vlookup(H2608,IMPORTRANGE(""1vUGwO1n0QQGx9kKbO0_M5gmuhXZ6-LaxQxgrmJnzgP0"",""'TP# look up'!A:C""),3,0),"""")"),"")</f>
        <v/>
      </c>
      <c r="AH2608" s="49">
        <f>LEFT(J2608,2)</f>
        <v/>
      </c>
    </row>
    <row r="2609" ht="12.75" customHeight="1">
      <c r="H2609" s="43" t="n"/>
      <c r="AG2609" s="49">
        <f>IFERROR(__xludf.DUMMYFUNCTION("IFNA(vlookup(H2609,IMPORTRANGE(""1vUGwO1n0QQGx9kKbO0_M5gmuhXZ6-LaxQxgrmJnzgP0"",""'TP# look up'!A:C""),3,0),"""")"),"")</f>
        <v/>
      </c>
      <c r="AH2609" s="49">
        <f>LEFT(J2609,2)</f>
        <v/>
      </c>
    </row>
    <row r="2610" ht="12.75" customHeight="1">
      <c r="H2610" s="43" t="n"/>
      <c r="AG2610" s="49">
        <f>IFERROR(__xludf.DUMMYFUNCTION("IFNA(vlookup(H2610,IMPORTRANGE(""1vUGwO1n0QQGx9kKbO0_M5gmuhXZ6-LaxQxgrmJnzgP0"",""'TP# look up'!A:C""),3,0),"""")"),"")</f>
        <v/>
      </c>
      <c r="AH2610" s="49">
        <f>LEFT(J2610,2)</f>
        <v/>
      </c>
    </row>
    <row r="2611" ht="12.75" customHeight="1">
      <c r="H2611" s="43" t="n"/>
      <c r="AG2611" s="49">
        <f>IFERROR(__xludf.DUMMYFUNCTION("IFNA(vlookup(H2611,IMPORTRANGE(""1vUGwO1n0QQGx9kKbO0_M5gmuhXZ6-LaxQxgrmJnzgP0"",""'TP# look up'!A:C""),3,0),"""")"),"")</f>
        <v/>
      </c>
      <c r="AH2611" s="49">
        <f>LEFT(J2611,2)</f>
        <v/>
      </c>
    </row>
    <row r="2612" ht="12.75" customHeight="1">
      <c r="H2612" s="43" t="n"/>
      <c r="AG2612" s="49">
        <f>IFERROR(__xludf.DUMMYFUNCTION("IFNA(vlookup(H2612,IMPORTRANGE(""1vUGwO1n0QQGx9kKbO0_M5gmuhXZ6-LaxQxgrmJnzgP0"",""'TP# look up'!A:C""),3,0),"""")"),"")</f>
        <v/>
      </c>
      <c r="AH2612" s="49">
        <f>LEFT(J2612,2)</f>
        <v/>
      </c>
    </row>
    <row r="2613" ht="12.75" customHeight="1">
      <c r="H2613" s="43" t="n"/>
      <c r="AG2613" s="49">
        <f>IFERROR(__xludf.DUMMYFUNCTION("IFNA(vlookup(H2613,IMPORTRANGE(""1vUGwO1n0QQGx9kKbO0_M5gmuhXZ6-LaxQxgrmJnzgP0"",""'TP# look up'!A:C""),3,0),"""")"),"")</f>
        <v/>
      </c>
      <c r="AH2613" s="49">
        <f>LEFT(J2613,2)</f>
        <v/>
      </c>
    </row>
    <row r="2614" ht="12.75" customHeight="1">
      <c r="H2614" s="43" t="n"/>
      <c r="AG2614" s="49">
        <f>IFERROR(__xludf.DUMMYFUNCTION("IFNA(vlookup(H2614,IMPORTRANGE(""1vUGwO1n0QQGx9kKbO0_M5gmuhXZ6-LaxQxgrmJnzgP0"",""'TP# look up'!A:C""),3,0),"""")"),"")</f>
        <v/>
      </c>
      <c r="AH2614" s="49">
        <f>LEFT(J2614,2)</f>
        <v/>
      </c>
    </row>
    <row r="2615" ht="12.75" customHeight="1">
      <c r="H2615" s="43" t="n"/>
      <c r="AG2615" s="49">
        <f>IFERROR(__xludf.DUMMYFUNCTION("IFNA(vlookup(H2615,IMPORTRANGE(""1vUGwO1n0QQGx9kKbO0_M5gmuhXZ6-LaxQxgrmJnzgP0"",""'TP# look up'!A:C""),3,0),"""")"),"")</f>
        <v/>
      </c>
      <c r="AH2615" s="49">
        <f>LEFT(J2615,2)</f>
        <v/>
      </c>
    </row>
    <row r="2616" ht="12.75" customHeight="1">
      <c r="H2616" s="43" t="n"/>
      <c r="AG2616" s="49">
        <f>IFERROR(__xludf.DUMMYFUNCTION("IFNA(vlookup(H2616,IMPORTRANGE(""1vUGwO1n0QQGx9kKbO0_M5gmuhXZ6-LaxQxgrmJnzgP0"",""'TP# look up'!A:C""),3,0),"""")"),"")</f>
        <v/>
      </c>
      <c r="AH2616" s="49">
        <f>LEFT(J2616,2)</f>
        <v/>
      </c>
    </row>
    <row r="2617" ht="12.75" customHeight="1">
      <c r="H2617" s="43" t="n"/>
      <c r="AG2617" s="49">
        <f>IFERROR(__xludf.DUMMYFUNCTION("IFNA(vlookup(H2617,IMPORTRANGE(""1vUGwO1n0QQGx9kKbO0_M5gmuhXZ6-LaxQxgrmJnzgP0"",""'TP# look up'!A:C""),3,0),"""")"),"")</f>
        <v/>
      </c>
      <c r="AH2617" s="49">
        <f>LEFT(J2617,2)</f>
        <v/>
      </c>
    </row>
    <row r="2618" ht="12.75" customHeight="1">
      <c r="H2618" s="43" t="n"/>
      <c r="AG2618" s="49">
        <f>IFERROR(__xludf.DUMMYFUNCTION("IFNA(vlookup(H2618,IMPORTRANGE(""1vUGwO1n0QQGx9kKbO0_M5gmuhXZ6-LaxQxgrmJnzgP0"",""'TP# look up'!A:C""),3,0),"""")"),"")</f>
        <v/>
      </c>
      <c r="AH2618" s="49">
        <f>LEFT(J2618,2)</f>
        <v/>
      </c>
    </row>
    <row r="2619" ht="12.75" customHeight="1">
      <c r="H2619" s="43" t="n"/>
      <c r="AG2619" s="49">
        <f>IFERROR(__xludf.DUMMYFUNCTION("IFNA(vlookup(H2619,IMPORTRANGE(""1vUGwO1n0QQGx9kKbO0_M5gmuhXZ6-LaxQxgrmJnzgP0"",""'TP# look up'!A:C""),3,0),"""")"),"")</f>
        <v/>
      </c>
      <c r="AH2619" s="49">
        <f>LEFT(J2619,2)</f>
        <v/>
      </c>
    </row>
    <row r="2620" ht="12.75" customHeight="1">
      <c r="H2620" s="43" t="n"/>
      <c r="AG2620" s="49">
        <f>IFERROR(__xludf.DUMMYFUNCTION("IFNA(vlookup(H2620,IMPORTRANGE(""1vUGwO1n0QQGx9kKbO0_M5gmuhXZ6-LaxQxgrmJnzgP0"",""'TP# look up'!A:C""),3,0),"""")"),"")</f>
        <v/>
      </c>
      <c r="AH2620" s="49">
        <f>LEFT(J2620,2)</f>
        <v/>
      </c>
    </row>
    <row r="2621" ht="12.75" customHeight="1">
      <c r="H2621" s="43" t="n"/>
      <c r="AG2621" s="49">
        <f>IFERROR(__xludf.DUMMYFUNCTION("IFNA(vlookup(H2621,IMPORTRANGE(""1vUGwO1n0QQGx9kKbO0_M5gmuhXZ6-LaxQxgrmJnzgP0"",""'TP# look up'!A:C""),3,0),"""")"),"")</f>
        <v/>
      </c>
      <c r="AH2621" s="49">
        <f>LEFT(J2621,2)</f>
        <v/>
      </c>
    </row>
    <row r="2622" ht="12.75" customHeight="1">
      <c r="H2622" s="43" t="n"/>
      <c r="AG2622" s="49">
        <f>IFERROR(__xludf.DUMMYFUNCTION("IFNA(vlookup(H2622,IMPORTRANGE(""1vUGwO1n0QQGx9kKbO0_M5gmuhXZ6-LaxQxgrmJnzgP0"",""'TP# look up'!A:C""),3,0),"""")"),"")</f>
        <v/>
      </c>
      <c r="AH2622" s="49">
        <f>LEFT(J2622,2)</f>
        <v/>
      </c>
    </row>
    <row r="2623" ht="12.75" customHeight="1">
      <c r="H2623" s="43" t="n"/>
      <c r="AG2623" s="49">
        <f>IFERROR(__xludf.DUMMYFUNCTION("IFNA(vlookup(H2623,IMPORTRANGE(""1vUGwO1n0QQGx9kKbO0_M5gmuhXZ6-LaxQxgrmJnzgP0"",""'TP# look up'!A:C""),3,0),"""")"),"")</f>
        <v/>
      </c>
      <c r="AH2623" s="49">
        <f>LEFT(J2623,2)</f>
        <v/>
      </c>
    </row>
    <row r="2624" ht="12.75" customHeight="1">
      <c r="H2624" s="43" t="n"/>
      <c r="AG2624" s="49">
        <f>IFERROR(__xludf.DUMMYFUNCTION("IFNA(vlookup(H2624,IMPORTRANGE(""1vUGwO1n0QQGx9kKbO0_M5gmuhXZ6-LaxQxgrmJnzgP0"",""'TP# look up'!A:C""),3,0),"""")"),"")</f>
        <v/>
      </c>
      <c r="AH2624" s="49">
        <f>LEFT(J2624,2)</f>
        <v/>
      </c>
    </row>
    <row r="2625" ht="12.75" customHeight="1">
      <c r="H2625" s="43" t="n"/>
      <c r="AG2625" s="49">
        <f>IFERROR(__xludf.DUMMYFUNCTION("IFNA(vlookup(H2625,IMPORTRANGE(""1vUGwO1n0QQGx9kKbO0_M5gmuhXZ6-LaxQxgrmJnzgP0"",""'TP# look up'!A:C""),3,0),"""")"),"")</f>
        <v/>
      </c>
      <c r="AH2625" s="49">
        <f>LEFT(J2625,2)</f>
        <v/>
      </c>
    </row>
    <row r="2626" ht="12.75" customHeight="1">
      <c r="H2626" s="43" t="n"/>
      <c r="AG2626" s="49">
        <f>IFERROR(__xludf.DUMMYFUNCTION("IFNA(vlookup(H2626,IMPORTRANGE(""1vUGwO1n0QQGx9kKbO0_M5gmuhXZ6-LaxQxgrmJnzgP0"",""'TP# look up'!A:C""),3,0),"""")"),"")</f>
        <v/>
      </c>
      <c r="AH2626" s="49">
        <f>LEFT(J2626,2)</f>
        <v/>
      </c>
    </row>
    <row r="2627" ht="12.75" customHeight="1">
      <c r="H2627" s="43" t="n"/>
      <c r="AG2627" s="49">
        <f>IFERROR(__xludf.DUMMYFUNCTION("IFNA(vlookup(H2627,IMPORTRANGE(""1vUGwO1n0QQGx9kKbO0_M5gmuhXZ6-LaxQxgrmJnzgP0"",""'TP# look up'!A:C""),3,0),"""")"),"")</f>
        <v/>
      </c>
      <c r="AH2627" s="49">
        <f>LEFT(J2627,2)</f>
        <v/>
      </c>
    </row>
    <row r="2628" ht="12.75" customHeight="1">
      <c r="H2628" s="43" t="n"/>
      <c r="AG2628" s="49">
        <f>IFERROR(__xludf.DUMMYFUNCTION("IFNA(vlookup(H2628,IMPORTRANGE(""1vUGwO1n0QQGx9kKbO0_M5gmuhXZ6-LaxQxgrmJnzgP0"",""'TP# look up'!A:C""),3,0),"""")"),"")</f>
        <v/>
      </c>
      <c r="AH2628" s="49">
        <f>LEFT(J2628,2)</f>
        <v/>
      </c>
    </row>
    <row r="2629" ht="12.75" customHeight="1">
      <c r="H2629" s="43" t="n"/>
      <c r="AG2629" s="49">
        <f>IFERROR(__xludf.DUMMYFUNCTION("IFNA(vlookup(H2629,IMPORTRANGE(""1vUGwO1n0QQGx9kKbO0_M5gmuhXZ6-LaxQxgrmJnzgP0"",""'TP# look up'!A:C""),3,0),"""")"),"")</f>
        <v/>
      </c>
      <c r="AH2629" s="49">
        <f>LEFT(J2629,2)</f>
        <v/>
      </c>
    </row>
    <row r="2630" ht="12.75" customHeight="1">
      <c r="H2630" s="43" t="n"/>
      <c r="AG2630" s="49">
        <f>IFERROR(__xludf.DUMMYFUNCTION("IFNA(vlookup(H2630,IMPORTRANGE(""1vUGwO1n0QQGx9kKbO0_M5gmuhXZ6-LaxQxgrmJnzgP0"",""'TP# look up'!A:C""),3,0),"""")"),"")</f>
        <v/>
      </c>
      <c r="AH2630" s="49">
        <f>LEFT(J2630,2)</f>
        <v/>
      </c>
    </row>
    <row r="2631" ht="12.75" customHeight="1">
      <c r="H2631" s="43" t="n"/>
      <c r="AG2631" s="49">
        <f>IFERROR(__xludf.DUMMYFUNCTION("IFNA(vlookup(H2631,IMPORTRANGE(""1vUGwO1n0QQGx9kKbO0_M5gmuhXZ6-LaxQxgrmJnzgP0"",""'TP# look up'!A:C""),3,0),"""")"),"")</f>
        <v/>
      </c>
      <c r="AH2631" s="49">
        <f>LEFT(J2631,2)</f>
        <v/>
      </c>
    </row>
    <row r="2632" ht="12.75" customHeight="1">
      <c r="H2632" s="43" t="n"/>
      <c r="AG2632" s="49">
        <f>IFERROR(__xludf.DUMMYFUNCTION("IFNA(vlookup(H2632,IMPORTRANGE(""1vUGwO1n0QQGx9kKbO0_M5gmuhXZ6-LaxQxgrmJnzgP0"",""'TP# look up'!A:C""),3,0),"""")"),"")</f>
        <v/>
      </c>
      <c r="AH2632" s="49">
        <f>LEFT(J2632,2)</f>
        <v/>
      </c>
    </row>
    <row r="2633" ht="12.75" customHeight="1">
      <c r="H2633" s="43" t="n"/>
      <c r="AG2633" s="49">
        <f>IFERROR(__xludf.DUMMYFUNCTION("IFNA(vlookup(H2633,IMPORTRANGE(""1vUGwO1n0QQGx9kKbO0_M5gmuhXZ6-LaxQxgrmJnzgP0"",""'TP# look up'!A:C""),3,0),"""")"),"")</f>
        <v/>
      </c>
      <c r="AH2633" s="49">
        <f>LEFT(J2633,2)</f>
        <v/>
      </c>
    </row>
    <row r="2634" ht="12.75" customHeight="1">
      <c r="H2634" s="43" t="n"/>
      <c r="AG2634" s="49">
        <f>IFERROR(__xludf.DUMMYFUNCTION("IFNA(vlookup(H2634,IMPORTRANGE(""1vUGwO1n0QQGx9kKbO0_M5gmuhXZ6-LaxQxgrmJnzgP0"",""'TP# look up'!A:C""),3,0),"""")"),"")</f>
        <v/>
      </c>
      <c r="AH2634" s="49">
        <f>LEFT(J2634,2)</f>
        <v/>
      </c>
    </row>
    <row r="2635" ht="12.75" customHeight="1">
      <c r="H2635" s="43" t="n"/>
      <c r="AG2635" s="49">
        <f>IFERROR(__xludf.DUMMYFUNCTION("IFNA(vlookup(H2635,IMPORTRANGE(""1vUGwO1n0QQGx9kKbO0_M5gmuhXZ6-LaxQxgrmJnzgP0"",""'TP# look up'!A:C""),3,0),"""")"),"")</f>
        <v/>
      </c>
      <c r="AH2635" s="49">
        <f>LEFT(J2635,2)</f>
        <v/>
      </c>
    </row>
    <row r="2636" ht="12.75" customHeight="1">
      <c r="H2636" s="43" t="n"/>
      <c r="AG2636" s="49">
        <f>IFERROR(__xludf.DUMMYFUNCTION("IFNA(vlookup(H2636,IMPORTRANGE(""1vUGwO1n0QQGx9kKbO0_M5gmuhXZ6-LaxQxgrmJnzgP0"",""'TP# look up'!A:C""),3,0),"""")"),"")</f>
        <v/>
      </c>
      <c r="AH2636" s="49">
        <f>LEFT(J2636,2)</f>
        <v/>
      </c>
    </row>
    <row r="2637" ht="12.75" customHeight="1">
      <c r="H2637" s="43" t="n"/>
      <c r="AG2637" s="49">
        <f>IFERROR(__xludf.DUMMYFUNCTION("IFNA(vlookup(H2637,IMPORTRANGE(""1vUGwO1n0QQGx9kKbO0_M5gmuhXZ6-LaxQxgrmJnzgP0"",""'TP# look up'!A:C""),3,0),"""")"),"")</f>
        <v/>
      </c>
      <c r="AH2637" s="49">
        <f>LEFT(J2637,2)</f>
        <v/>
      </c>
    </row>
    <row r="2638" ht="12.75" customHeight="1">
      <c r="H2638" s="43" t="n"/>
      <c r="AG2638" s="49">
        <f>IFERROR(__xludf.DUMMYFUNCTION("IFNA(vlookup(H2638,IMPORTRANGE(""1vUGwO1n0QQGx9kKbO0_M5gmuhXZ6-LaxQxgrmJnzgP0"",""'TP# look up'!A:C""),3,0),"""")"),"")</f>
        <v/>
      </c>
      <c r="AH2638" s="49">
        <f>LEFT(J2638,2)</f>
        <v/>
      </c>
    </row>
    <row r="2639" ht="12.75" customHeight="1">
      <c r="H2639" s="43" t="n"/>
      <c r="AG2639" s="49">
        <f>IFERROR(__xludf.DUMMYFUNCTION("IFNA(vlookup(H2639,IMPORTRANGE(""1vUGwO1n0QQGx9kKbO0_M5gmuhXZ6-LaxQxgrmJnzgP0"",""'TP# look up'!A:C""),3,0),"""")"),"")</f>
        <v/>
      </c>
      <c r="AH2639" s="49">
        <f>LEFT(J2639,2)</f>
        <v/>
      </c>
    </row>
    <row r="2640" ht="12.75" customHeight="1">
      <c r="H2640" s="43" t="n"/>
      <c r="AG2640" s="49">
        <f>IFERROR(__xludf.DUMMYFUNCTION("IFNA(vlookup(H2640,IMPORTRANGE(""1vUGwO1n0QQGx9kKbO0_M5gmuhXZ6-LaxQxgrmJnzgP0"",""'TP# look up'!A:C""),3,0),"""")"),"")</f>
        <v/>
      </c>
      <c r="AH2640" s="49">
        <f>LEFT(J2640,2)</f>
        <v/>
      </c>
    </row>
    <row r="2641" ht="12.75" customHeight="1">
      <c r="H2641" s="43" t="n"/>
      <c r="AG2641" s="49">
        <f>IFERROR(__xludf.DUMMYFUNCTION("IFNA(vlookup(H2641,IMPORTRANGE(""1vUGwO1n0QQGx9kKbO0_M5gmuhXZ6-LaxQxgrmJnzgP0"",""'TP# look up'!A:C""),3,0),"""")"),"")</f>
        <v/>
      </c>
      <c r="AH2641" s="49">
        <f>LEFT(J2641,2)</f>
        <v/>
      </c>
    </row>
    <row r="2642" ht="12.75" customHeight="1">
      <c r="H2642" s="43" t="n"/>
      <c r="AG2642" s="49">
        <f>IFERROR(__xludf.DUMMYFUNCTION("IFNA(vlookup(H2642,IMPORTRANGE(""1vUGwO1n0QQGx9kKbO0_M5gmuhXZ6-LaxQxgrmJnzgP0"",""'TP# look up'!A:C""),3,0),"""")"),"")</f>
        <v/>
      </c>
      <c r="AH2642" s="49">
        <f>LEFT(J2642,2)</f>
        <v/>
      </c>
    </row>
    <row r="2643" ht="12.75" customHeight="1">
      <c r="H2643" s="43" t="n"/>
      <c r="AG2643" s="49">
        <f>IFERROR(__xludf.DUMMYFUNCTION("IFNA(vlookup(H2643,IMPORTRANGE(""1vUGwO1n0QQGx9kKbO0_M5gmuhXZ6-LaxQxgrmJnzgP0"",""'TP# look up'!A:C""),3,0),"""")"),"")</f>
        <v/>
      </c>
      <c r="AH2643" s="49">
        <f>LEFT(J2643,2)</f>
        <v/>
      </c>
    </row>
    <row r="2644" ht="12.75" customHeight="1">
      <c r="H2644" s="43" t="n"/>
      <c r="AG2644" s="49">
        <f>IFERROR(__xludf.DUMMYFUNCTION("IFNA(vlookup(H2644,IMPORTRANGE(""1vUGwO1n0QQGx9kKbO0_M5gmuhXZ6-LaxQxgrmJnzgP0"",""'TP# look up'!A:C""),3,0),"""")"),"")</f>
        <v/>
      </c>
      <c r="AH2644" s="49">
        <f>LEFT(J2644,2)</f>
        <v/>
      </c>
    </row>
    <row r="2645" ht="12.75" customHeight="1">
      <c r="H2645" s="43" t="n"/>
      <c r="AG2645" s="49">
        <f>IFERROR(__xludf.DUMMYFUNCTION("IFNA(vlookup(H2645,IMPORTRANGE(""1vUGwO1n0QQGx9kKbO0_M5gmuhXZ6-LaxQxgrmJnzgP0"",""'TP# look up'!A:C""),3,0),"""")"),"")</f>
        <v/>
      </c>
      <c r="AH2645" s="49">
        <f>LEFT(J2645,2)</f>
        <v/>
      </c>
    </row>
    <row r="2646" ht="12.75" customHeight="1">
      <c r="H2646" s="43" t="n"/>
      <c r="AG2646" s="49">
        <f>IFERROR(__xludf.DUMMYFUNCTION("IFNA(vlookup(H2646,IMPORTRANGE(""1vUGwO1n0QQGx9kKbO0_M5gmuhXZ6-LaxQxgrmJnzgP0"",""'TP# look up'!A:C""),3,0),"""")"),"")</f>
        <v/>
      </c>
      <c r="AH2646" s="49">
        <f>LEFT(J2646,2)</f>
        <v/>
      </c>
    </row>
    <row r="2647" ht="12.75" customHeight="1">
      <c r="H2647" s="43" t="n"/>
      <c r="AG2647" s="49">
        <f>IFERROR(__xludf.DUMMYFUNCTION("IFNA(vlookup(H2647,IMPORTRANGE(""1vUGwO1n0QQGx9kKbO0_M5gmuhXZ6-LaxQxgrmJnzgP0"",""'TP# look up'!A:C""),3,0),"""")"),"")</f>
        <v/>
      </c>
      <c r="AH2647" s="49">
        <f>LEFT(J2647,2)</f>
        <v/>
      </c>
    </row>
    <row r="2648" ht="12.75" customHeight="1">
      <c r="H2648" s="43" t="n"/>
      <c r="AG2648" s="49">
        <f>IFERROR(__xludf.DUMMYFUNCTION("IFNA(vlookup(H2648,IMPORTRANGE(""1vUGwO1n0QQGx9kKbO0_M5gmuhXZ6-LaxQxgrmJnzgP0"",""'TP# look up'!A:C""),3,0),"""")"),"")</f>
        <v/>
      </c>
      <c r="AH2648" s="49">
        <f>LEFT(J2648,2)</f>
        <v/>
      </c>
    </row>
    <row r="2649" ht="12.75" customHeight="1">
      <c r="H2649" s="43" t="n"/>
      <c r="AG2649" s="49">
        <f>IFERROR(__xludf.DUMMYFUNCTION("IFNA(vlookup(H2649,IMPORTRANGE(""1vUGwO1n0QQGx9kKbO0_M5gmuhXZ6-LaxQxgrmJnzgP0"",""'TP# look up'!A:C""),3,0),"""")"),"")</f>
        <v/>
      </c>
      <c r="AH2649" s="49">
        <f>LEFT(J2649,2)</f>
        <v/>
      </c>
    </row>
    <row r="2650" ht="12.75" customHeight="1">
      <c r="H2650" s="43" t="n"/>
      <c r="AG2650" s="49">
        <f>IFERROR(__xludf.DUMMYFUNCTION("IFNA(vlookup(H2650,IMPORTRANGE(""1vUGwO1n0QQGx9kKbO0_M5gmuhXZ6-LaxQxgrmJnzgP0"",""'TP# look up'!A:C""),3,0),"""")"),"")</f>
        <v/>
      </c>
      <c r="AH2650" s="49">
        <f>LEFT(J2650,2)</f>
        <v/>
      </c>
    </row>
    <row r="2651" ht="12.75" customHeight="1">
      <c r="H2651" s="43" t="n"/>
      <c r="AG2651" s="49">
        <f>IFERROR(__xludf.DUMMYFUNCTION("IFNA(vlookup(H2651,IMPORTRANGE(""1vUGwO1n0QQGx9kKbO0_M5gmuhXZ6-LaxQxgrmJnzgP0"",""'TP# look up'!A:C""),3,0),"""")"),"")</f>
        <v/>
      </c>
      <c r="AH2651" s="49">
        <f>LEFT(J2651,2)</f>
        <v/>
      </c>
    </row>
    <row r="2652" ht="12.75" customHeight="1">
      <c r="H2652" s="43" t="n"/>
      <c r="AG2652" s="49">
        <f>IFERROR(__xludf.DUMMYFUNCTION("IFNA(vlookup(H2652,IMPORTRANGE(""1vUGwO1n0QQGx9kKbO0_M5gmuhXZ6-LaxQxgrmJnzgP0"",""'TP# look up'!A:C""),3,0),"""")"),"")</f>
        <v/>
      </c>
      <c r="AH2652" s="49">
        <f>LEFT(J2652,2)</f>
        <v/>
      </c>
    </row>
    <row r="2653" ht="12.75" customHeight="1">
      <c r="H2653" s="43" t="n"/>
      <c r="AG2653" s="49">
        <f>IFERROR(__xludf.DUMMYFUNCTION("IFNA(vlookup(H2653,IMPORTRANGE(""1vUGwO1n0QQGx9kKbO0_M5gmuhXZ6-LaxQxgrmJnzgP0"",""'TP# look up'!A:C""),3,0),"""")"),"")</f>
        <v/>
      </c>
      <c r="AH2653" s="49">
        <f>LEFT(J2653,2)</f>
        <v/>
      </c>
    </row>
    <row r="2654" ht="12.75" customHeight="1">
      <c r="H2654" s="43" t="n"/>
      <c r="AG2654" s="49">
        <f>IFERROR(__xludf.DUMMYFUNCTION("IFNA(vlookup(H2654,IMPORTRANGE(""1vUGwO1n0QQGx9kKbO0_M5gmuhXZ6-LaxQxgrmJnzgP0"",""'TP# look up'!A:C""),3,0),"""")"),"")</f>
        <v/>
      </c>
      <c r="AH2654" s="49">
        <f>LEFT(J2654,2)</f>
        <v/>
      </c>
    </row>
    <row r="2655" ht="12.75" customHeight="1">
      <c r="H2655" s="43" t="n"/>
      <c r="AG2655" s="49">
        <f>IFERROR(__xludf.DUMMYFUNCTION("IFNA(vlookup(H2655,IMPORTRANGE(""1vUGwO1n0QQGx9kKbO0_M5gmuhXZ6-LaxQxgrmJnzgP0"",""'TP# look up'!A:C""),3,0),"""")"),"")</f>
        <v/>
      </c>
      <c r="AH2655" s="49">
        <f>LEFT(J2655,2)</f>
        <v/>
      </c>
    </row>
    <row r="2656" ht="12.75" customHeight="1">
      <c r="H2656" s="43" t="n"/>
      <c r="AG2656" s="49">
        <f>IFERROR(__xludf.DUMMYFUNCTION("IFNA(vlookup(H2656,IMPORTRANGE(""1vUGwO1n0QQGx9kKbO0_M5gmuhXZ6-LaxQxgrmJnzgP0"",""'TP# look up'!A:C""),3,0),"""")"),"")</f>
        <v/>
      </c>
      <c r="AH2656" s="49">
        <f>LEFT(J2656,2)</f>
        <v/>
      </c>
    </row>
    <row r="2657" ht="12.75" customHeight="1">
      <c r="H2657" s="43" t="n"/>
      <c r="AG2657" s="49">
        <f>IFERROR(__xludf.DUMMYFUNCTION("IFNA(vlookup(H2657,IMPORTRANGE(""1vUGwO1n0QQGx9kKbO0_M5gmuhXZ6-LaxQxgrmJnzgP0"",""'TP# look up'!A:C""),3,0),"""")"),"")</f>
        <v/>
      </c>
      <c r="AH2657" s="49">
        <f>LEFT(J2657,2)</f>
        <v/>
      </c>
    </row>
    <row r="2658" ht="12.75" customHeight="1">
      <c r="H2658" s="43" t="n"/>
      <c r="AG2658" s="49">
        <f>IFERROR(__xludf.DUMMYFUNCTION("IFNA(vlookup(H2658,IMPORTRANGE(""1vUGwO1n0QQGx9kKbO0_M5gmuhXZ6-LaxQxgrmJnzgP0"",""'TP# look up'!A:C""),3,0),"""")"),"")</f>
        <v/>
      </c>
      <c r="AH2658" s="49">
        <f>LEFT(J2658,2)</f>
        <v/>
      </c>
    </row>
    <row r="2659" ht="12.75" customHeight="1">
      <c r="H2659" s="43" t="n"/>
      <c r="AG2659" s="49">
        <f>IFERROR(__xludf.DUMMYFUNCTION("IFNA(vlookup(H2659,IMPORTRANGE(""1vUGwO1n0QQGx9kKbO0_M5gmuhXZ6-LaxQxgrmJnzgP0"",""'TP# look up'!A:C""),3,0),"""")"),"")</f>
        <v/>
      </c>
      <c r="AH2659" s="49">
        <f>LEFT(J2659,2)</f>
        <v/>
      </c>
    </row>
    <row r="2660" ht="12.75" customHeight="1">
      <c r="H2660" s="43" t="n"/>
      <c r="AG2660" s="49">
        <f>IFERROR(__xludf.DUMMYFUNCTION("IFNA(vlookup(H2660,IMPORTRANGE(""1vUGwO1n0QQGx9kKbO0_M5gmuhXZ6-LaxQxgrmJnzgP0"",""'TP# look up'!A:C""),3,0),"""")"),"")</f>
        <v/>
      </c>
      <c r="AH2660" s="49">
        <f>LEFT(J2660,2)</f>
        <v/>
      </c>
    </row>
    <row r="2661" ht="12.75" customHeight="1">
      <c r="H2661" s="43" t="n"/>
      <c r="AG2661" s="49">
        <f>IFERROR(__xludf.DUMMYFUNCTION("IFNA(vlookup(H2661,IMPORTRANGE(""1vUGwO1n0QQGx9kKbO0_M5gmuhXZ6-LaxQxgrmJnzgP0"",""'TP# look up'!A:C""),3,0),"""")"),"")</f>
        <v/>
      </c>
      <c r="AH2661" s="49">
        <f>LEFT(J2661,2)</f>
        <v/>
      </c>
    </row>
    <row r="2662" ht="12.75" customHeight="1">
      <c r="H2662" s="43" t="n"/>
      <c r="AG2662" s="49">
        <f>IFERROR(__xludf.DUMMYFUNCTION("IFNA(vlookup(H2662,IMPORTRANGE(""1vUGwO1n0QQGx9kKbO0_M5gmuhXZ6-LaxQxgrmJnzgP0"",""'TP# look up'!A:C""),3,0),"""")"),"")</f>
        <v/>
      </c>
      <c r="AH2662" s="49">
        <f>LEFT(J2662,2)</f>
        <v/>
      </c>
    </row>
    <row r="2663" ht="12.75" customHeight="1">
      <c r="H2663" s="43" t="n"/>
      <c r="AG2663" s="49">
        <f>IFERROR(__xludf.DUMMYFUNCTION("IFNA(vlookup(H2663,IMPORTRANGE(""1vUGwO1n0QQGx9kKbO0_M5gmuhXZ6-LaxQxgrmJnzgP0"",""'TP# look up'!A:C""),3,0),"""")"),"")</f>
        <v/>
      </c>
      <c r="AH2663" s="49">
        <f>LEFT(J2663,2)</f>
        <v/>
      </c>
    </row>
    <row r="2664" ht="12.75" customHeight="1">
      <c r="H2664" s="43" t="n"/>
      <c r="AG2664" s="49">
        <f>IFERROR(__xludf.DUMMYFUNCTION("IFNA(vlookup(H2664,IMPORTRANGE(""1vUGwO1n0QQGx9kKbO0_M5gmuhXZ6-LaxQxgrmJnzgP0"",""'TP# look up'!A:C""),3,0),"""")"),"")</f>
        <v/>
      </c>
      <c r="AH2664" s="49">
        <f>LEFT(J2664,2)</f>
        <v/>
      </c>
    </row>
    <row r="2665" ht="12.75" customHeight="1">
      <c r="H2665" s="43" t="n"/>
      <c r="AG2665" s="49">
        <f>IFERROR(__xludf.DUMMYFUNCTION("IFNA(vlookup(H2665,IMPORTRANGE(""1vUGwO1n0QQGx9kKbO0_M5gmuhXZ6-LaxQxgrmJnzgP0"",""'TP# look up'!A:C""),3,0),"""")"),"")</f>
        <v/>
      </c>
      <c r="AH2665" s="49">
        <f>LEFT(J2665,2)</f>
        <v/>
      </c>
    </row>
    <row r="2666" ht="12.75" customHeight="1">
      <c r="H2666" s="43" t="n"/>
      <c r="AG2666" s="49">
        <f>IFERROR(__xludf.DUMMYFUNCTION("IFNA(vlookup(H2666,IMPORTRANGE(""1vUGwO1n0QQGx9kKbO0_M5gmuhXZ6-LaxQxgrmJnzgP0"",""'TP# look up'!A:C""),3,0),"""")"),"")</f>
        <v/>
      </c>
      <c r="AH2666" s="49">
        <f>LEFT(J2666,2)</f>
        <v/>
      </c>
    </row>
    <row r="2667" ht="12.75" customHeight="1">
      <c r="H2667" s="43" t="n"/>
      <c r="AG2667" s="49">
        <f>IFERROR(__xludf.DUMMYFUNCTION("IFNA(vlookup(H2667,IMPORTRANGE(""1vUGwO1n0QQGx9kKbO0_M5gmuhXZ6-LaxQxgrmJnzgP0"",""'TP# look up'!A:C""),3,0),"""")"),"")</f>
        <v/>
      </c>
      <c r="AH2667" s="49">
        <f>LEFT(J2667,2)</f>
        <v/>
      </c>
    </row>
    <row r="2668" ht="12.75" customHeight="1">
      <c r="H2668" s="43" t="n"/>
      <c r="AG2668" s="49">
        <f>IFERROR(__xludf.DUMMYFUNCTION("IFNA(vlookup(H2668,IMPORTRANGE(""1vUGwO1n0QQGx9kKbO0_M5gmuhXZ6-LaxQxgrmJnzgP0"",""'TP# look up'!A:C""),3,0),"""")"),"")</f>
        <v/>
      </c>
      <c r="AH2668" s="49">
        <f>LEFT(J2668,2)</f>
        <v/>
      </c>
    </row>
    <row r="2669" ht="12.75" customHeight="1">
      <c r="H2669" s="43" t="n"/>
      <c r="AG2669" s="49">
        <f>IFERROR(__xludf.DUMMYFUNCTION("IFNA(vlookup(H2669,IMPORTRANGE(""1vUGwO1n0QQGx9kKbO0_M5gmuhXZ6-LaxQxgrmJnzgP0"",""'TP# look up'!A:C""),3,0),"""")"),"")</f>
        <v/>
      </c>
      <c r="AH2669" s="49">
        <f>LEFT(J2669,2)</f>
        <v/>
      </c>
    </row>
    <row r="2670" ht="12.75" customHeight="1">
      <c r="H2670" s="43" t="n"/>
      <c r="AG2670" s="49">
        <f>IFERROR(__xludf.DUMMYFUNCTION("IFNA(vlookup(H2670,IMPORTRANGE(""1vUGwO1n0QQGx9kKbO0_M5gmuhXZ6-LaxQxgrmJnzgP0"",""'TP# look up'!A:C""),3,0),"""")"),"")</f>
        <v/>
      </c>
      <c r="AH2670" s="49">
        <f>LEFT(J2670,2)</f>
        <v/>
      </c>
    </row>
    <row r="2671" ht="12.75" customHeight="1">
      <c r="H2671" s="43" t="n"/>
      <c r="AG2671" s="49">
        <f>IFERROR(__xludf.DUMMYFUNCTION("IFNA(vlookup(H2671,IMPORTRANGE(""1vUGwO1n0QQGx9kKbO0_M5gmuhXZ6-LaxQxgrmJnzgP0"",""'TP# look up'!A:C""),3,0),"""")"),"")</f>
        <v/>
      </c>
      <c r="AH2671" s="49">
        <f>LEFT(J2671,2)</f>
        <v/>
      </c>
    </row>
    <row r="2672" ht="12.75" customHeight="1">
      <c r="H2672" s="43" t="n"/>
      <c r="AG2672" s="49">
        <f>IFERROR(__xludf.DUMMYFUNCTION("IFNA(vlookup(H2672,IMPORTRANGE(""1vUGwO1n0QQGx9kKbO0_M5gmuhXZ6-LaxQxgrmJnzgP0"",""'TP# look up'!A:C""),3,0),"""")"),"")</f>
        <v/>
      </c>
      <c r="AH2672" s="49">
        <f>LEFT(J2672,2)</f>
        <v/>
      </c>
    </row>
    <row r="2673" ht="12.75" customHeight="1">
      <c r="H2673" s="43" t="n"/>
      <c r="AG2673" s="49">
        <f>IFERROR(__xludf.DUMMYFUNCTION("IFNA(vlookup(H2673,IMPORTRANGE(""1vUGwO1n0QQGx9kKbO0_M5gmuhXZ6-LaxQxgrmJnzgP0"",""'TP# look up'!A:C""),3,0),"""")"),"")</f>
        <v/>
      </c>
      <c r="AH2673" s="49">
        <f>LEFT(J2673,2)</f>
        <v/>
      </c>
    </row>
    <row r="2674" ht="12.75" customHeight="1">
      <c r="H2674" s="43" t="n"/>
      <c r="AG2674" s="49">
        <f>IFERROR(__xludf.DUMMYFUNCTION("IFNA(vlookup(H2674,IMPORTRANGE(""1vUGwO1n0QQGx9kKbO0_M5gmuhXZ6-LaxQxgrmJnzgP0"",""'TP# look up'!A:C""),3,0),"""")"),"")</f>
        <v/>
      </c>
      <c r="AH2674" s="49">
        <f>LEFT(J2674,2)</f>
        <v/>
      </c>
    </row>
    <row r="2675" ht="12.75" customHeight="1">
      <c r="H2675" s="43" t="n"/>
      <c r="AG2675" s="49">
        <f>IFERROR(__xludf.DUMMYFUNCTION("IFNA(vlookup(H2675,IMPORTRANGE(""1vUGwO1n0QQGx9kKbO0_M5gmuhXZ6-LaxQxgrmJnzgP0"",""'TP# look up'!A:C""),3,0),"""")"),"")</f>
        <v/>
      </c>
      <c r="AH2675" s="49">
        <f>LEFT(J2675,2)</f>
        <v/>
      </c>
    </row>
    <row r="2676" ht="12.75" customHeight="1">
      <c r="H2676" s="43" t="n"/>
      <c r="AG2676" s="49">
        <f>IFERROR(__xludf.DUMMYFUNCTION("IFNA(vlookup(H2676,IMPORTRANGE(""1vUGwO1n0QQGx9kKbO0_M5gmuhXZ6-LaxQxgrmJnzgP0"",""'TP# look up'!A:C""),3,0),"""")"),"")</f>
        <v/>
      </c>
      <c r="AH2676" s="49">
        <f>LEFT(J2676,2)</f>
        <v/>
      </c>
    </row>
    <row r="2677" ht="12.75" customHeight="1">
      <c r="H2677" s="43" t="n"/>
      <c r="AG2677" s="49">
        <f>IFERROR(__xludf.DUMMYFUNCTION("IFNA(vlookup(H2677,IMPORTRANGE(""1vUGwO1n0QQGx9kKbO0_M5gmuhXZ6-LaxQxgrmJnzgP0"",""'TP# look up'!A:C""),3,0),"""")"),"")</f>
        <v/>
      </c>
      <c r="AH2677" s="49">
        <f>LEFT(J2677,2)</f>
        <v/>
      </c>
    </row>
    <row r="2678" ht="12.75" customHeight="1">
      <c r="H2678" s="43" t="n"/>
      <c r="AG2678" s="49">
        <f>IFERROR(__xludf.DUMMYFUNCTION("IFNA(vlookup(H2678,IMPORTRANGE(""1vUGwO1n0QQGx9kKbO0_M5gmuhXZ6-LaxQxgrmJnzgP0"",""'TP# look up'!A:C""),3,0),"""")"),"")</f>
        <v/>
      </c>
      <c r="AH2678" s="49">
        <f>LEFT(J2678,2)</f>
        <v/>
      </c>
    </row>
    <row r="2679" ht="12.75" customHeight="1">
      <c r="H2679" s="43" t="n"/>
      <c r="AG2679" s="49">
        <f>IFERROR(__xludf.DUMMYFUNCTION("IFNA(vlookup(H2679,IMPORTRANGE(""1vUGwO1n0QQGx9kKbO0_M5gmuhXZ6-LaxQxgrmJnzgP0"",""'TP# look up'!A:C""),3,0),"""")"),"")</f>
        <v/>
      </c>
      <c r="AH2679" s="49">
        <f>LEFT(J2679,2)</f>
        <v/>
      </c>
    </row>
    <row r="2680" ht="12.75" customHeight="1">
      <c r="H2680" s="43" t="n"/>
      <c r="AG2680" s="49">
        <f>IFERROR(__xludf.DUMMYFUNCTION("IFNA(vlookup(H2680,IMPORTRANGE(""1vUGwO1n0QQGx9kKbO0_M5gmuhXZ6-LaxQxgrmJnzgP0"",""'TP# look up'!A:C""),3,0),"""")"),"")</f>
        <v/>
      </c>
      <c r="AH2680" s="49">
        <f>LEFT(J2680,2)</f>
        <v/>
      </c>
    </row>
    <row r="2681" ht="12.75" customHeight="1">
      <c r="H2681" s="43" t="n"/>
      <c r="AG2681" s="49">
        <f>IFERROR(__xludf.DUMMYFUNCTION("IFNA(vlookup(H2681,IMPORTRANGE(""1vUGwO1n0QQGx9kKbO0_M5gmuhXZ6-LaxQxgrmJnzgP0"",""'TP# look up'!A:C""),3,0),"""")"),"")</f>
        <v/>
      </c>
      <c r="AH2681" s="49">
        <f>LEFT(J2681,2)</f>
        <v/>
      </c>
    </row>
    <row r="2682" ht="12.75" customHeight="1">
      <c r="H2682" s="43" t="n"/>
      <c r="AG2682" s="49">
        <f>IFERROR(__xludf.DUMMYFUNCTION("IFNA(vlookup(H2682,IMPORTRANGE(""1vUGwO1n0QQGx9kKbO0_M5gmuhXZ6-LaxQxgrmJnzgP0"",""'TP# look up'!A:C""),3,0),"""")"),"")</f>
        <v/>
      </c>
      <c r="AH2682" s="49">
        <f>LEFT(J2682,2)</f>
        <v/>
      </c>
    </row>
    <row r="2683" ht="12.75" customHeight="1">
      <c r="H2683" s="43" t="n"/>
      <c r="AG2683" s="49">
        <f>IFERROR(__xludf.DUMMYFUNCTION("IFNA(vlookup(H2683,IMPORTRANGE(""1vUGwO1n0QQGx9kKbO0_M5gmuhXZ6-LaxQxgrmJnzgP0"",""'TP# look up'!A:C""),3,0),"""")"),"")</f>
        <v/>
      </c>
      <c r="AH2683" s="49">
        <f>LEFT(J2683,2)</f>
        <v/>
      </c>
    </row>
    <row r="2684" ht="12.75" customHeight="1">
      <c r="H2684" s="43" t="n"/>
      <c r="AG2684" s="49">
        <f>IFERROR(__xludf.DUMMYFUNCTION("IFNA(vlookup(H2684,IMPORTRANGE(""1vUGwO1n0QQGx9kKbO0_M5gmuhXZ6-LaxQxgrmJnzgP0"",""'TP# look up'!A:C""),3,0),"""")"),"")</f>
        <v/>
      </c>
      <c r="AH2684" s="49">
        <f>LEFT(J2684,2)</f>
        <v/>
      </c>
    </row>
    <row r="2685" ht="12.75" customHeight="1">
      <c r="H2685" s="43" t="n"/>
      <c r="AG2685" s="49">
        <f>IFERROR(__xludf.DUMMYFUNCTION("IFNA(vlookup(H2685,IMPORTRANGE(""1vUGwO1n0QQGx9kKbO0_M5gmuhXZ6-LaxQxgrmJnzgP0"",""'TP# look up'!A:C""),3,0),"""")"),"")</f>
        <v/>
      </c>
      <c r="AH2685" s="49">
        <f>LEFT(J2685,2)</f>
        <v/>
      </c>
    </row>
    <row r="2686" ht="12.75" customHeight="1">
      <c r="H2686" s="43" t="n"/>
      <c r="AG2686" s="49">
        <f>IFERROR(__xludf.DUMMYFUNCTION("IFNA(vlookup(H2686,IMPORTRANGE(""1vUGwO1n0QQGx9kKbO0_M5gmuhXZ6-LaxQxgrmJnzgP0"",""'TP# look up'!A:C""),3,0),"""")"),"")</f>
        <v/>
      </c>
      <c r="AH2686" s="49">
        <f>LEFT(J2686,2)</f>
        <v/>
      </c>
    </row>
    <row r="2687" ht="12.75" customHeight="1">
      <c r="H2687" s="43" t="n"/>
      <c r="AG2687" s="49">
        <f>IFERROR(__xludf.DUMMYFUNCTION("IFNA(vlookup(H2687,IMPORTRANGE(""1vUGwO1n0QQGx9kKbO0_M5gmuhXZ6-LaxQxgrmJnzgP0"",""'TP# look up'!A:C""),3,0),"""")"),"")</f>
        <v/>
      </c>
      <c r="AH2687" s="49">
        <f>LEFT(J2687,2)</f>
        <v/>
      </c>
    </row>
    <row r="2688" ht="12.75" customHeight="1">
      <c r="H2688" s="43" t="n"/>
      <c r="AG2688" s="49">
        <f>IFERROR(__xludf.DUMMYFUNCTION("IFNA(vlookup(H2688,IMPORTRANGE(""1vUGwO1n0QQGx9kKbO0_M5gmuhXZ6-LaxQxgrmJnzgP0"",""'TP# look up'!A:C""),3,0),"""")"),"")</f>
        <v/>
      </c>
      <c r="AH2688" s="49">
        <f>LEFT(J2688,2)</f>
        <v/>
      </c>
    </row>
    <row r="2689" ht="12.75" customHeight="1">
      <c r="H2689" s="43" t="n"/>
      <c r="AG2689" s="49">
        <f>IFERROR(__xludf.DUMMYFUNCTION("IFNA(vlookup(H2689,IMPORTRANGE(""1vUGwO1n0QQGx9kKbO0_M5gmuhXZ6-LaxQxgrmJnzgP0"",""'TP# look up'!A:C""),3,0),"""")"),"")</f>
        <v/>
      </c>
      <c r="AH2689" s="49">
        <f>LEFT(J2689,2)</f>
        <v/>
      </c>
    </row>
    <row r="2690" ht="12.75" customHeight="1">
      <c r="H2690" s="43" t="n"/>
      <c r="AG2690" s="49">
        <f>IFERROR(__xludf.DUMMYFUNCTION("IFNA(vlookup(H2690,IMPORTRANGE(""1vUGwO1n0QQGx9kKbO0_M5gmuhXZ6-LaxQxgrmJnzgP0"",""'TP# look up'!A:C""),3,0),"""")"),"")</f>
        <v/>
      </c>
      <c r="AH2690" s="49">
        <f>LEFT(J2690,2)</f>
        <v/>
      </c>
    </row>
    <row r="2691" ht="12.75" customHeight="1">
      <c r="H2691" s="43" t="n"/>
      <c r="AG2691" s="49">
        <f>IFERROR(__xludf.DUMMYFUNCTION("IFNA(vlookup(H2691,IMPORTRANGE(""1vUGwO1n0QQGx9kKbO0_M5gmuhXZ6-LaxQxgrmJnzgP0"",""'TP# look up'!A:C""),3,0),"""")"),"")</f>
        <v/>
      </c>
      <c r="AH2691" s="49">
        <f>LEFT(J2691,2)</f>
        <v/>
      </c>
    </row>
    <row r="2692" ht="12.75" customHeight="1">
      <c r="H2692" s="43" t="n"/>
      <c r="AG2692" s="49">
        <f>IFERROR(__xludf.DUMMYFUNCTION("IFNA(vlookup(H2692,IMPORTRANGE(""1vUGwO1n0QQGx9kKbO0_M5gmuhXZ6-LaxQxgrmJnzgP0"",""'TP# look up'!A:C""),3,0),"""")"),"")</f>
        <v/>
      </c>
      <c r="AH2692" s="49">
        <f>LEFT(J2692,2)</f>
        <v/>
      </c>
    </row>
    <row r="2693" ht="12.75" customHeight="1">
      <c r="H2693" s="43" t="n"/>
      <c r="AG2693" s="49">
        <f>IFERROR(__xludf.DUMMYFUNCTION("IFNA(vlookup(H2693,IMPORTRANGE(""1vUGwO1n0QQGx9kKbO0_M5gmuhXZ6-LaxQxgrmJnzgP0"",""'TP# look up'!A:C""),3,0),"""")"),"")</f>
        <v/>
      </c>
      <c r="AH2693" s="49">
        <f>LEFT(J2693,2)</f>
        <v/>
      </c>
    </row>
    <row r="2694" ht="12.75" customHeight="1">
      <c r="H2694" s="43" t="n"/>
      <c r="AG2694" s="49">
        <f>IFERROR(__xludf.DUMMYFUNCTION("IFNA(vlookup(H2694,IMPORTRANGE(""1vUGwO1n0QQGx9kKbO0_M5gmuhXZ6-LaxQxgrmJnzgP0"",""'TP# look up'!A:C""),3,0),"""")"),"")</f>
        <v/>
      </c>
      <c r="AH2694" s="49">
        <f>LEFT(J2694,2)</f>
        <v/>
      </c>
    </row>
    <row r="2695" ht="12.75" customHeight="1">
      <c r="H2695" s="43" t="n"/>
      <c r="AG2695" s="49">
        <f>IFERROR(__xludf.DUMMYFUNCTION("IFNA(vlookup(H2695,IMPORTRANGE(""1vUGwO1n0QQGx9kKbO0_M5gmuhXZ6-LaxQxgrmJnzgP0"",""'TP# look up'!A:C""),3,0),"""")"),"")</f>
        <v/>
      </c>
      <c r="AH2695" s="49">
        <f>LEFT(J2695,2)</f>
        <v/>
      </c>
    </row>
    <row r="2696" ht="12.75" customHeight="1">
      <c r="H2696" s="43" t="n"/>
      <c r="AG2696" s="49">
        <f>IFERROR(__xludf.DUMMYFUNCTION("IFNA(vlookup(H2696,IMPORTRANGE(""1vUGwO1n0QQGx9kKbO0_M5gmuhXZ6-LaxQxgrmJnzgP0"",""'TP# look up'!A:C""),3,0),"""")"),"")</f>
        <v/>
      </c>
      <c r="AH2696" s="49">
        <f>LEFT(J2696,2)</f>
        <v/>
      </c>
    </row>
    <row r="2697" ht="12.75" customHeight="1">
      <c r="H2697" s="43" t="n"/>
      <c r="AG2697" s="49">
        <f>IFERROR(__xludf.DUMMYFUNCTION("IFNA(vlookup(H2697,IMPORTRANGE(""1vUGwO1n0QQGx9kKbO0_M5gmuhXZ6-LaxQxgrmJnzgP0"",""'TP# look up'!A:C""),3,0),"""")"),"")</f>
        <v/>
      </c>
      <c r="AH2697" s="49">
        <f>LEFT(J2697,2)</f>
        <v/>
      </c>
    </row>
    <row r="2698" ht="12.75" customHeight="1">
      <c r="H2698" s="43" t="n"/>
      <c r="AG2698" s="49">
        <f>IFERROR(__xludf.DUMMYFUNCTION("IFNA(vlookup(H2698,IMPORTRANGE(""1vUGwO1n0QQGx9kKbO0_M5gmuhXZ6-LaxQxgrmJnzgP0"",""'TP# look up'!A:C""),3,0),"""")"),"")</f>
        <v/>
      </c>
      <c r="AH2698" s="49">
        <f>LEFT(J2698,2)</f>
        <v/>
      </c>
    </row>
    <row r="2699" ht="12.75" customHeight="1">
      <c r="H2699" s="43" t="n"/>
      <c r="AG2699" s="49">
        <f>IFERROR(__xludf.DUMMYFUNCTION("IFNA(vlookup(H2699,IMPORTRANGE(""1vUGwO1n0QQGx9kKbO0_M5gmuhXZ6-LaxQxgrmJnzgP0"",""'TP# look up'!A:C""),3,0),"""")"),"")</f>
        <v/>
      </c>
      <c r="AH2699" s="49">
        <f>LEFT(J2699,2)</f>
        <v/>
      </c>
    </row>
    <row r="2700" ht="12.75" customHeight="1">
      <c r="H2700" s="43" t="n"/>
      <c r="AG2700" s="49">
        <f>IFERROR(__xludf.DUMMYFUNCTION("IFNA(vlookup(H2700,IMPORTRANGE(""1vUGwO1n0QQGx9kKbO0_M5gmuhXZ6-LaxQxgrmJnzgP0"",""'TP# look up'!A:C""),3,0),"""")"),"")</f>
        <v/>
      </c>
      <c r="AH2700" s="49">
        <f>LEFT(J2700,2)</f>
        <v/>
      </c>
    </row>
    <row r="2701" ht="12.75" customHeight="1">
      <c r="H2701" s="43" t="n"/>
      <c r="AG2701" s="49">
        <f>IFERROR(__xludf.DUMMYFUNCTION("IFNA(vlookup(H2701,IMPORTRANGE(""1vUGwO1n0QQGx9kKbO0_M5gmuhXZ6-LaxQxgrmJnzgP0"",""'TP# look up'!A:C""),3,0),"""")"),"")</f>
        <v/>
      </c>
      <c r="AH2701" s="49">
        <f>LEFT(J2701,2)</f>
        <v/>
      </c>
    </row>
    <row r="2702" ht="12.75" customHeight="1">
      <c r="H2702" s="43" t="n"/>
      <c r="AG2702" s="49">
        <f>IFERROR(__xludf.DUMMYFUNCTION("IFNA(vlookup(H2702,IMPORTRANGE(""1vUGwO1n0QQGx9kKbO0_M5gmuhXZ6-LaxQxgrmJnzgP0"",""'TP# look up'!A:C""),3,0),"""")"),"")</f>
        <v/>
      </c>
      <c r="AH2702" s="49">
        <f>LEFT(J2702,2)</f>
        <v/>
      </c>
    </row>
    <row r="2703" ht="12.75" customHeight="1">
      <c r="H2703" s="43" t="n"/>
      <c r="AG2703" s="49">
        <f>IFERROR(__xludf.DUMMYFUNCTION("IFNA(vlookup(H2703,IMPORTRANGE(""1vUGwO1n0QQGx9kKbO0_M5gmuhXZ6-LaxQxgrmJnzgP0"",""'TP# look up'!A:C""),3,0),"""")"),"")</f>
        <v/>
      </c>
      <c r="AH2703" s="49">
        <f>LEFT(J2703,2)</f>
        <v/>
      </c>
    </row>
    <row r="2704" ht="12.75" customHeight="1">
      <c r="H2704" s="43" t="n"/>
      <c r="AG2704" s="49">
        <f>IFERROR(__xludf.DUMMYFUNCTION("IFNA(vlookup(H2704,IMPORTRANGE(""1vUGwO1n0QQGx9kKbO0_M5gmuhXZ6-LaxQxgrmJnzgP0"",""'TP# look up'!A:C""),3,0),"""")"),"")</f>
        <v/>
      </c>
      <c r="AH2704" s="49">
        <f>LEFT(J2704,2)</f>
        <v/>
      </c>
    </row>
    <row r="2705" ht="12.75" customHeight="1">
      <c r="H2705" s="43" t="n"/>
      <c r="AG2705" s="49">
        <f>IFERROR(__xludf.DUMMYFUNCTION("IFNA(vlookup(H2705,IMPORTRANGE(""1vUGwO1n0QQGx9kKbO0_M5gmuhXZ6-LaxQxgrmJnzgP0"",""'TP# look up'!A:C""),3,0),"""")"),"")</f>
        <v/>
      </c>
      <c r="AH2705" s="49">
        <f>LEFT(J2705,2)</f>
        <v/>
      </c>
    </row>
    <row r="2706" ht="12.75" customHeight="1">
      <c r="H2706" s="43" t="n"/>
      <c r="AG2706" s="49">
        <f>IFERROR(__xludf.DUMMYFUNCTION("IFNA(vlookup(H2706,IMPORTRANGE(""1vUGwO1n0QQGx9kKbO0_M5gmuhXZ6-LaxQxgrmJnzgP0"",""'TP# look up'!A:C""),3,0),"""")"),"")</f>
        <v/>
      </c>
      <c r="AH2706" s="49">
        <f>LEFT(J2706,2)</f>
        <v/>
      </c>
    </row>
    <row r="2707" ht="12.75" customHeight="1">
      <c r="H2707" s="43" t="n"/>
      <c r="AG2707" s="49">
        <f>IFERROR(__xludf.DUMMYFUNCTION("IFNA(vlookup(H2707,IMPORTRANGE(""1vUGwO1n0QQGx9kKbO0_M5gmuhXZ6-LaxQxgrmJnzgP0"",""'TP# look up'!A:C""),3,0),"""")"),"")</f>
        <v/>
      </c>
      <c r="AH2707" s="49">
        <f>LEFT(J2707,2)</f>
        <v/>
      </c>
    </row>
    <row r="2708" ht="12.75" customHeight="1">
      <c r="H2708" s="43" t="n"/>
      <c r="AG2708" s="49">
        <f>IFERROR(__xludf.DUMMYFUNCTION("IFNA(vlookup(H2708,IMPORTRANGE(""1vUGwO1n0QQGx9kKbO0_M5gmuhXZ6-LaxQxgrmJnzgP0"",""'TP# look up'!A:C""),3,0),"""")"),"")</f>
        <v/>
      </c>
      <c r="AH2708" s="49">
        <f>LEFT(J2708,2)</f>
        <v/>
      </c>
    </row>
    <row r="2709" ht="12.75" customHeight="1">
      <c r="H2709" s="43" t="n"/>
      <c r="AG2709" s="49">
        <f>IFERROR(__xludf.DUMMYFUNCTION("IFNA(vlookup(H2709,IMPORTRANGE(""1vUGwO1n0QQGx9kKbO0_M5gmuhXZ6-LaxQxgrmJnzgP0"",""'TP# look up'!A:C""),3,0),"""")"),"")</f>
        <v/>
      </c>
      <c r="AH2709" s="49">
        <f>LEFT(J2709,2)</f>
        <v/>
      </c>
    </row>
    <row r="2710" ht="12.75" customHeight="1">
      <c r="H2710" s="43" t="n"/>
      <c r="AG2710" s="49">
        <f>IFERROR(__xludf.DUMMYFUNCTION("IFNA(vlookup(H2710,IMPORTRANGE(""1vUGwO1n0QQGx9kKbO0_M5gmuhXZ6-LaxQxgrmJnzgP0"",""'TP# look up'!A:C""),3,0),"""")"),"")</f>
        <v/>
      </c>
      <c r="AH2710" s="49">
        <f>LEFT(J2710,2)</f>
        <v/>
      </c>
    </row>
    <row r="2711" ht="12.75" customHeight="1">
      <c r="H2711" s="43" t="n"/>
      <c r="AG2711" s="49">
        <f>IFERROR(__xludf.DUMMYFUNCTION("IFNA(vlookup(H2711,IMPORTRANGE(""1vUGwO1n0QQGx9kKbO0_M5gmuhXZ6-LaxQxgrmJnzgP0"",""'TP# look up'!A:C""),3,0),"""")"),"")</f>
        <v/>
      </c>
      <c r="AH2711" s="49">
        <f>LEFT(J2711,2)</f>
        <v/>
      </c>
    </row>
    <row r="2712" ht="12.75" customHeight="1">
      <c r="H2712" s="43" t="n"/>
      <c r="AG2712" s="49">
        <f>IFERROR(__xludf.DUMMYFUNCTION("IFNA(vlookup(H2712,IMPORTRANGE(""1vUGwO1n0QQGx9kKbO0_M5gmuhXZ6-LaxQxgrmJnzgP0"",""'TP# look up'!A:C""),3,0),"""")"),"")</f>
        <v/>
      </c>
      <c r="AH2712" s="49">
        <f>LEFT(J2712,2)</f>
        <v/>
      </c>
    </row>
    <row r="2713" ht="12.75" customHeight="1">
      <c r="H2713" s="43" t="n"/>
      <c r="AG2713" s="49">
        <f>IFERROR(__xludf.DUMMYFUNCTION("IFNA(vlookup(H2713,IMPORTRANGE(""1vUGwO1n0QQGx9kKbO0_M5gmuhXZ6-LaxQxgrmJnzgP0"",""'TP# look up'!A:C""),3,0),"""")"),"")</f>
        <v/>
      </c>
      <c r="AH2713" s="49">
        <f>LEFT(J2713,2)</f>
        <v/>
      </c>
    </row>
    <row r="2714" ht="12.75" customHeight="1">
      <c r="H2714" s="43" t="n"/>
      <c r="AG2714" s="49">
        <f>IFERROR(__xludf.DUMMYFUNCTION("IFNA(vlookup(H2714,IMPORTRANGE(""1vUGwO1n0QQGx9kKbO0_M5gmuhXZ6-LaxQxgrmJnzgP0"",""'TP# look up'!A:C""),3,0),"""")"),"")</f>
        <v/>
      </c>
      <c r="AH2714" s="49">
        <f>LEFT(J2714,2)</f>
        <v/>
      </c>
    </row>
    <row r="2715" ht="12.75" customHeight="1">
      <c r="H2715" s="43" t="n"/>
      <c r="AG2715" s="49">
        <f>IFERROR(__xludf.DUMMYFUNCTION("IFNA(vlookup(H2715,IMPORTRANGE(""1vUGwO1n0QQGx9kKbO0_M5gmuhXZ6-LaxQxgrmJnzgP0"",""'TP# look up'!A:C""),3,0),"""")"),"")</f>
        <v/>
      </c>
      <c r="AH2715" s="49">
        <f>LEFT(J2715,2)</f>
        <v/>
      </c>
    </row>
    <row r="2716" ht="12.75" customHeight="1">
      <c r="H2716" s="43" t="n"/>
      <c r="AG2716" s="49">
        <f>IFERROR(__xludf.DUMMYFUNCTION("IFNA(vlookup(H2716,IMPORTRANGE(""1vUGwO1n0QQGx9kKbO0_M5gmuhXZ6-LaxQxgrmJnzgP0"",""'TP# look up'!A:C""),3,0),"""")"),"")</f>
        <v/>
      </c>
      <c r="AH2716" s="49">
        <f>LEFT(J2716,2)</f>
        <v/>
      </c>
    </row>
    <row r="2717" ht="12.75" customHeight="1">
      <c r="H2717" s="43" t="n"/>
      <c r="AG2717" s="49">
        <f>IFERROR(__xludf.DUMMYFUNCTION("IFNA(vlookup(H2717,IMPORTRANGE(""1vUGwO1n0QQGx9kKbO0_M5gmuhXZ6-LaxQxgrmJnzgP0"",""'TP# look up'!A:C""),3,0),"""")"),"")</f>
        <v/>
      </c>
      <c r="AH2717" s="49">
        <f>LEFT(J2717,2)</f>
        <v/>
      </c>
    </row>
    <row r="2718" ht="12.75" customHeight="1">
      <c r="H2718" s="43" t="n"/>
      <c r="AG2718" s="49">
        <f>IFERROR(__xludf.DUMMYFUNCTION("IFNA(vlookup(H2718,IMPORTRANGE(""1vUGwO1n0QQGx9kKbO0_M5gmuhXZ6-LaxQxgrmJnzgP0"",""'TP# look up'!A:C""),3,0),"""")"),"")</f>
        <v/>
      </c>
      <c r="AH2718" s="49">
        <f>LEFT(J2718,2)</f>
        <v/>
      </c>
    </row>
    <row r="2719" ht="12.75" customHeight="1">
      <c r="H2719" s="43" t="n"/>
      <c r="AG2719" s="49">
        <f>IFERROR(__xludf.DUMMYFUNCTION("IFNA(vlookup(H2719,IMPORTRANGE(""1vUGwO1n0QQGx9kKbO0_M5gmuhXZ6-LaxQxgrmJnzgP0"",""'TP# look up'!A:C""),3,0),"""")"),"")</f>
        <v/>
      </c>
      <c r="AH2719" s="49">
        <f>LEFT(J2719,2)</f>
        <v/>
      </c>
    </row>
    <row r="2720" ht="12.75" customHeight="1">
      <c r="H2720" s="43" t="n"/>
      <c r="AG2720" s="49">
        <f>IFERROR(__xludf.DUMMYFUNCTION("IFNA(vlookup(H2720,IMPORTRANGE(""1vUGwO1n0QQGx9kKbO0_M5gmuhXZ6-LaxQxgrmJnzgP0"",""'TP# look up'!A:C""),3,0),"""")"),"")</f>
        <v/>
      </c>
      <c r="AH2720" s="49">
        <f>LEFT(J2720,2)</f>
        <v/>
      </c>
    </row>
    <row r="2721" ht="12.75" customHeight="1">
      <c r="H2721" s="43" t="n"/>
      <c r="AG2721" s="49">
        <f>IFERROR(__xludf.DUMMYFUNCTION("IFNA(vlookup(H2721,IMPORTRANGE(""1vUGwO1n0QQGx9kKbO0_M5gmuhXZ6-LaxQxgrmJnzgP0"",""'TP# look up'!A:C""),3,0),"""")"),"")</f>
        <v/>
      </c>
      <c r="AH2721" s="49">
        <f>LEFT(J2721,2)</f>
        <v/>
      </c>
    </row>
    <row r="2722" ht="12.75" customHeight="1">
      <c r="H2722" s="43" t="n"/>
      <c r="AG2722" s="49">
        <f>IFERROR(__xludf.DUMMYFUNCTION("IFNA(vlookup(H2722,IMPORTRANGE(""1vUGwO1n0QQGx9kKbO0_M5gmuhXZ6-LaxQxgrmJnzgP0"",""'TP# look up'!A:C""),3,0),"""")"),"")</f>
        <v/>
      </c>
      <c r="AH2722" s="49">
        <f>LEFT(J2722,2)</f>
        <v/>
      </c>
    </row>
    <row r="2723" ht="12.75" customHeight="1">
      <c r="H2723" s="43" t="n"/>
      <c r="AG2723" s="49">
        <f>IFERROR(__xludf.DUMMYFUNCTION("IFNA(vlookup(H2723,IMPORTRANGE(""1vUGwO1n0QQGx9kKbO0_M5gmuhXZ6-LaxQxgrmJnzgP0"",""'TP# look up'!A:C""),3,0),"""")"),"")</f>
        <v/>
      </c>
      <c r="AH2723" s="49">
        <f>LEFT(J2723,2)</f>
        <v/>
      </c>
    </row>
    <row r="2724" ht="12.75" customHeight="1">
      <c r="H2724" s="43" t="n"/>
      <c r="AG2724" s="49">
        <f>IFERROR(__xludf.DUMMYFUNCTION("IFNA(vlookup(H2724,IMPORTRANGE(""1vUGwO1n0QQGx9kKbO0_M5gmuhXZ6-LaxQxgrmJnzgP0"",""'TP# look up'!A:C""),3,0),"""")"),"")</f>
        <v/>
      </c>
      <c r="AH2724" s="49">
        <f>LEFT(J2724,2)</f>
        <v/>
      </c>
    </row>
    <row r="2725" ht="12.75" customHeight="1">
      <c r="H2725" s="43" t="n"/>
      <c r="AG2725" s="49">
        <f>IFERROR(__xludf.DUMMYFUNCTION("IFNA(vlookup(H2725,IMPORTRANGE(""1vUGwO1n0QQGx9kKbO0_M5gmuhXZ6-LaxQxgrmJnzgP0"",""'TP# look up'!A:C""),3,0),"""")"),"")</f>
        <v/>
      </c>
      <c r="AH2725" s="49">
        <f>LEFT(J2725,2)</f>
        <v/>
      </c>
    </row>
    <row r="2726" ht="12.75" customHeight="1">
      <c r="H2726" s="43" t="n"/>
      <c r="AG2726" s="49">
        <f>IFERROR(__xludf.DUMMYFUNCTION("IFNA(vlookup(H2726,IMPORTRANGE(""1vUGwO1n0QQGx9kKbO0_M5gmuhXZ6-LaxQxgrmJnzgP0"",""'TP# look up'!A:C""),3,0),"""")"),"")</f>
        <v/>
      </c>
      <c r="AH2726" s="49">
        <f>LEFT(J2726,2)</f>
        <v/>
      </c>
    </row>
    <row r="2727" ht="12.75" customHeight="1">
      <c r="H2727" s="43" t="n"/>
      <c r="AG2727" s="49">
        <f>IFERROR(__xludf.DUMMYFUNCTION("IFNA(vlookup(H2727,IMPORTRANGE(""1vUGwO1n0QQGx9kKbO0_M5gmuhXZ6-LaxQxgrmJnzgP0"",""'TP# look up'!A:C""),3,0),"""")"),"")</f>
        <v/>
      </c>
      <c r="AH2727" s="49">
        <f>LEFT(J2727,2)</f>
        <v/>
      </c>
    </row>
    <row r="2728" ht="12.75" customHeight="1">
      <c r="H2728" s="43" t="n"/>
      <c r="AG2728" s="49">
        <f>IFERROR(__xludf.DUMMYFUNCTION("IFNA(vlookup(H2728,IMPORTRANGE(""1vUGwO1n0QQGx9kKbO0_M5gmuhXZ6-LaxQxgrmJnzgP0"",""'TP# look up'!A:C""),3,0),"""")"),"")</f>
        <v/>
      </c>
      <c r="AH2728" s="49">
        <f>LEFT(J2728,2)</f>
        <v/>
      </c>
    </row>
    <row r="2729" ht="12.75" customHeight="1">
      <c r="H2729" s="43" t="n"/>
      <c r="AG2729" s="49">
        <f>IFERROR(__xludf.DUMMYFUNCTION("IFNA(vlookup(H2729,IMPORTRANGE(""1vUGwO1n0QQGx9kKbO0_M5gmuhXZ6-LaxQxgrmJnzgP0"",""'TP# look up'!A:C""),3,0),"""")"),"")</f>
        <v/>
      </c>
      <c r="AH2729" s="49">
        <f>LEFT(J2729,2)</f>
        <v/>
      </c>
    </row>
    <row r="2730" ht="12.75" customHeight="1">
      <c r="H2730" s="43" t="n"/>
      <c r="AG2730" s="49">
        <f>IFERROR(__xludf.DUMMYFUNCTION("IFNA(vlookup(H2730,IMPORTRANGE(""1vUGwO1n0QQGx9kKbO0_M5gmuhXZ6-LaxQxgrmJnzgP0"",""'TP# look up'!A:C""),3,0),"""")"),"")</f>
        <v/>
      </c>
      <c r="AH2730" s="49">
        <f>LEFT(J2730,2)</f>
        <v/>
      </c>
    </row>
    <row r="2731" ht="12.75" customHeight="1">
      <c r="H2731" s="43" t="n"/>
      <c r="AG2731" s="49">
        <f>IFERROR(__xludf.DUMMYFUNCTION("IFNA(vlookup(H2731,IMPORTRANGE(""1vUGwO1n0QQGx9kKbO0_M5gmuhXZ6-LaxQxgrmJnzgP0"",""'TP# look up'!A:C""),3,0),"""")"),"")</f>
        <v/>
      </c>
      <c r="AH2731" s="49">
        <f>LEFT(J2731,2)</f>
        <v/>
      </c>
    </row>
    <row r="2732" ht="12.75" customHeight="1">
      <c r="H2732" s="43" t="n"/>
      <c r="AG2732" s="49">
        <f>IFERROR(__xludf.DUMMYFUNCTION("IFNA(vlookup(H2732,IMPORTRANGE(""1vUGwO1n0QQGx9kKbO0_M5gmuhXZ6-LaxQxgrmJnzgP0"",""'TP# look up'!A:C""),3,0),"""")"),"")</f>
        <v/>
      </c>
      <c r="AH2732" s="49">
        <f>LEFT(J2732,2)</f>
        <v/>
      </c>
    </row>
    <row r="2733" ht="12.75" customHeight="1">
      <c r="H2733" s="43" t="n"/>
      <c r="AG2733" s="49">
        <f>IFERROR(__xludf.DUMMYFUNCTION("IFNA(vlookup(H2733,IMPORTRANGE(""1vUGwO1n0QQGx9kKbO0_M5gmuhXZ6-LaxQxgrmJnzgP0"",""'TP# look up'!A:C""),3,0),"""")"),"")</f>
        <v/>
      </c>
      <c r="AH2733" s="49">
        <f>LEFT(J2733,2)</f>
        <v/>
      </c>
    </row>
    <row r="2734" ht="12.75" customHeight="1">
      <c r="H2734" s="43" t="n"/>
      <c r="AG2734" s="49">
        <f>IFERROR(__xludf.DUMMYFUNCTION("IFNA(vlookup(H2734,IMPORTRANGE(""1vUGwO1n0QQGx9kKbO0_M5gmuhXZ6-LaxQxgrmJnzgP0"",""'TP# look up'!A:C""),3,0),"""")"),"")</f>
        <v/>
      </c>
      <c r="AH2734" s="49">
        <f>LEFT(J2734,2)</f>
        <v/>
      </c>
    </row>
    <row r="2735" ht="12.75" customHeight="1">
      <c r="H2735" s="43" t="n"/>
      <c r="AG2735" s="49">
        <f>IFERROR(__xludf.DUMMYFUNCTION("IFNA(vlookup(H2735,IMPORTRANGE(""1vUGwO1n0QQGx9kKbO0_M5gmuhXZ6-LaxQxgrmJnzgP0"",""'TP# look up'!A:C""),3,0),"""")"),"")</f>
        <v/>
      </c>
      <c r="AH2735" s="49">
        <f>LEFT(J2735,2)</f>
        <v/>
      </c>
    </row>
    <row r="2736" ht="12.75" customHeight="1">
      <c r="H2736" s="43" t="n"/>
      <c r="AG2736" s="49">
        <f>IFERROR(__xludf.DUMMYFUNCTION("IFNA(vlookup(H2736,IMPORTRANGE(""1vUGwO1n0QQGx9kKbO0_M5gmuhXZ6-LaxQxgrmJnzgP0"",""'TP# look up'!A:C""),3,0),"""")"),"")</f>
        <v/>
      </c>
      <c r="AH2736" s="49">
        <f>LEFT(J2736,2)</f>
        <v/>
      </c>
    </row>
    <row r="2737" ht="12.75" customHeight="1">
      <c r="H2737" s="43" t="n"/>
      <c r="AG2737" s="49">
        <f>IFERROR(__xludf.DUMMYFUNCTION("IFNA(vlookup(H2737,IMPORTRANGE(""1vUGwO1n0QQGx9kKbO0_M5gmuhXZ6-LaxQxgrmJnzgP0"",""'TP# look up'!A:C""),3,0),"""")"),"")</f>
        <v/>
      </c>
      <c r="AH2737" s="49">
        <f>LEFT(J2737,2)</f>
        <v/>
      </c>
    </row>
    <row r="2738" ht="12.75" customHeight="1">
      <c r="H2738" s="43" t="n"/>
      <c r="AG2738" s="49">
        <f>IFERROR(__xludf.DUMMYFUNCTION("IFNA(vlookup(H2738,IMPORTRANGE(""1vUGwO1n0QQGx9kKbO0_M5gmuhXZ6-LaxQxgrmJnzgP0"",""'TP# look up'!A:C""),3,0),"""")"),"")</f>
        <v/>
      </c>
      <c r="AH2738" s="49">
        <f>LEFT(J2738,2)</f>
        <v/>
      </c>
    </row>
    <row r="2739" ht="12.75" customHeight="1">
      <c r="H2739" s="43" t="n"/>
      <c r="AG2739" s="49">
        <f>IFERROR(__xludf.DUMMYFUNCTION("IFNA(vlookup(H2739,IMPORTRANGE(""1vUGwO1n0QQGx9kKbO0_M5gmuhXZ6-LaxQxgrmJnzgP0"",""'TP# look up'!A:C""),3,0),"""")"),"")</f>
        <v/>
      </c>
      <c r="AH2739" s="49">
        <f>LEFT(J2739,2)</f>
        <v/>
      </c>
    </row>
    <row r="2740" ht="12.75" customHeight="1">
      <c r="H2740" s="43" t="n"/>
      <c r="AG2740" s="49">
        <f>IFERROR(__xludf.DUMMYFUNCTION("IFNA(vlookup(H2740,IMPORTRANGE(""1vUGwO1n0QQGx9kKbO0_M5gmuhXZ6-LaxQxgrmJnzgP0"",""'TP# look up'!A:C""),3,0),"""")"),"")</f>
        <v/>
      </c>
      <c r="AH2740" s="49">
        <f>LEFT(J2740,2)</f>
        <v/>
      </c>
    </row>
    <row r="2741" ht="12.75" customHeight="1">
      <c r="H2741" s="43" t="n"/>
      <c r="AG2741" s="49">
        <f>IFERROR(__xludf.DUMMYFUNCTION("IFNA(vlookup(H2741,IMPORTRANGE(""1vUGwO1n0QQGx9kKbO0_M5gmuhXZ6-LaxQxgrmJnzgP0"",""'TP# look up'!A:C""),3,0),"""")"),"")</f>
        <v/>
      </c>
      <c r="AH2741" s="49">
        <f>LEFT(J2741,2)</f>
        <v/>
      </c>
    </row>
    <row r="2742" ht="12.75" customHeight="1">
      <c r="H2742" s="43" t="n"/>
      <c r="AG2742" s="49">
        <f>IFERROR(__xludf.DUMMYFUNCTION("IFNA(vlookup(H2742,IMPORTRANGE(""1vUGwO1n0QQGx9kKbO0_M5gmuhXZ6-LaxQxgrmJnzgP0"",""'TP# look up'!A:C""),3,0),"""")"),"")</f>
        <v/>
      </c>
      <c r="AH2742" s="49">
        <f>LEFT(J2742,2)</f>
        <v/>
      </c>
    </row>
    <row r="2743" ht="12.75" customHeight="1">
      <c r="H2743" s="43" t="n"/>
      <c r="AG2743" s="49">
        <f>IFERROR(__xludf.DUMMYFUNCTION("IFNA(vlookup(H2743,IMPORTRANGE(""1vUGwO1n0QQGx9kKbO0_M5gmuhXZ6-LaxQxgrmJnzgP0"",""'TP# look up'!A:C""),3,0),"""")"),"")</f>
        <v/>
      </c>
      <c r="AH2743" s="49">
        <f>LEFT(J2743,2)</f>
        <v/>
      </c>
    </row>
    <row r="2744" ht="12.75" customHeight="1">
      <c r="H2744" s="43" t="n"/>
      <c r="AG2744" s="49">
        <f>IFERROR(__xludf.DUMMYFUNCTION("IFNA(vlookup(H2744,IMPORTRANGE(""1vUGwO1n0QQGx9kKbO0_M5gmuhXZ6-LaxQxgrmJnzgP0"",""'TP# look up'!A:C""),3,0),"""")"),"")</f>
        <v/>
      </c>
      <c r="AH2744" s="49">
        <f>LEFT(J2744,2)</f>
        <v/>
      </c>
    </row>
    <row r="2745" ht="12.75" customHeight="1">
      <c r="H2745" s="43" t="n"/>
      <c r="AG2745" s="49">
        <f>IFERROR(__xludf.DUMMYFUNCTION("IFNA(vlookup(H2745,IMPORTRANGE(""1vUGwO1n0QQGx9kKbO0_M5gmuhXZ6-LaxQxgrmJnzgP0"",""'TP# look up'!A:C""),3,0),"""")"),"")</f>
        <v/>
      </c>
      <c r="AH2745" s="49">
        <f>LEFT(J2745,2)</f>
        <v/>
      </c>
    </row>
    <row r="2746" ht="12.75" customHeight="1">
      <c r="H2746" s="43" t="n"/>
      <c r="AG2746" s="49">
        <f>IFERROR(__xludf.DUMMYFUNCTION("IFNA(vlookup(H2746,IMPORTRANGE(""1vUGwO1n0QQGx9kKbO0_M5gmuhXZ6-LaxQxgrmJnzgP0"",""'TP# look up'!A:C""),3,0),"""")"),"")</f>
        <v/>
      </c>
      <c r="AH2746" s="49">
        <f>LEFT(J2746,2)</f>
        <v/>
      </c>
    </row>
    <row r="2747" ht="12.75" customHeight="1">
      <c r="H2747" s="43" t="n"/>
      <c r="AG2747" s="49">
        <f>IFERROR(__xludf.DUMMYFUNCTION("IFNA(vlookup(H2747,IMPORTRANGE(""1vUGwO1n0QQGx9kKbO0_M5gmuhXZ6-LaxQxgrmJnzgP0"",""'TP# look up'!A:C""),3,0),"""")"),"")</f>
        <v/>
      </c>
      <c r="AH2747" s="49">
        <f>LEFT(J2747,2)</f>
        <v/>
      </c>
    </row>
    <row r="2748" ht="12.75" customHeight="1">
      <c r="H2748" s="43" t="n"/>
      <c r="AG2748" s="49">
        <f>IFERROR(__xludf.DUMMYFUNCTION("IFNA(vlookup(H2748,IMPORTRANGE(""1vUGwO1n0QQGx9kKbO0_M5gmuhXZ6-LaxQxgrmJnzgP0"",""'TP# look up'!A:C""),3,0),"""")"),"")</f>
        <v/>
      </c>
      <c r="AH2748" s="49">
        <f>LEFT(J2748,2)</f>
        <v/>
      </c>
    </row>
    <row r="2749" ht="12.75" customHeight="1">
      <c r="H2749" s="43" t="n"/>
      <c r="AG2749" s="49">
        <f>IFERROR(__xludf.DUMMYFUNCTION("IFNA(vlookup(H2749,IMPORTRANGE(""1vUGwO1n0QQGx9kKbO0_M5gmuhXZ6-LaxQxgrmJnzgP0"",""'TP# look up'!A:C""),3,0),"""")"),"")</f>
        <v/>
      </c>
      <c r="AH2749" s="49">
        <f>LEFT(J2749,2)</f>
        <v/>
      </c>
    </row>
    <row r="2750" ht="12.75" customHeight="1">
      <c r="H2750" s="43" t="n"/>
      <c r="AG2750" s="49">
        <f>IFERROR(__xludf.DUMMYFUNCTION("IFNA(vlookup(H2750,IMPORTRANGE(""1vUGwO1n0QQGx9kKbO0_M5gmuhXZ6-LaxQxgrmJnzgP0"",""'TP# look up'!A:C""),3,0),"""")"),"")</f>
        <v/>
      </c>
      <c r="AH2750" s="49">
        <f>LEFT(J2750,2)</f>
        <v/>
      </c>
    </row>
    <row r="2751" ht="12.75" customHeight="1">
      <c r="H2751" s="43" t="n"/>
      <c r="AG2751" s="49">
        <f>IFERROR(__xludf.DUMMYFUNCTION("IFNA(vlookup(H2751,IMPORTRANGE(""1vUGwO1n0QQGx9kKbO0_M5gmuhXZ6-LaxQxgrmJnzgP0"",""'TP# look up'!A:C""),3,0),"""")"),"")</f>
        <v/>
      </c>
      <c r="AH2751" s="49">
        <f>LEFT(J2751,2)</f>
        <v/>
      </c>
    </row>
    <row r="2752" ht="12.75" customHeight="1">
      <c r="H2752" s="43" t="n"/>
      <c r="AG2752" s="49">
        <f>IFERROR(__xludf.DUMMYFUNCTION("IFNA(vlookup(H2752,IMPORTRANGE(""1vUGwO1n0QQGx9kKbO0_M5gmuhXZ6-LaxQxgrmJnzgP0"",""'TP# look up'!A:C""),3,0),"""")"),"")</f>
        <v/>
      </c>
      <c r="AH2752" s="49">
        <f>LEFT(J2752,2)</f>
        <v/>
      </c>
    </row>
    <row r="2753" ht="12.75" customHeight="1">
      <c r="H2753" s="43" t="n"/>
      <c r="AG2753" s="49">
        <f>IFERROR(__xludf.DUMMYFUNCTION("IFNA(vlookup(H2753,IMPORTRANGE(""1vUGwO1n0QQGx9kKbO0_M5gmuhXZ6-LaxQxgrmJnzgP0"",""'TP# look up'!A:C""),3,0),"""")"),"")</f>
        <v/>
      </c>
      <c r="AH2753" s="49">
        <f>LEFT(J2753,2)</f>
        <v/>
      </c>
    </row>
    <row r="2754" ht="12.75" customHeight="1">
      <c r="H2754" s="43" t="n"/>
      <c r="AG2754" s="49">
        <f>IFERROR(__xludf.DUMMYFUNCTION("IFNA(vlookup(H2754,IMPORTRANGE(""1vUGwO1n0QQGx9kKbO0_M5gmuhXZ6-LaxQxgrmJnzgP0"",""'TP# look up'!A:C""),3,0),"""")"),"")</f>
        <v/>
      </c>
      <c r="AH2754" s="49">
        <f>LEFT(J2754,2)</f>
        <v/>
      </c>
    </row>
    <row r="2755" ht="12.75" customHeight="1">
      <c r="H2755" s="43" t="n"/>
      <c r="AG2755" s="49">
        <f>IFERROR(__xludf.DUMMYFUNCTION("IFNA(vlookup(H2755,IMPORTRANGE(""1vUGwO1n0QQGx9kKbO0_M5gmuhXZ6-LaxQxgrmJnzgP0"",""'TP# look up'!A:C""),3,0),"""")"),"")</f>
        <v/>
      </c>
      <c r="AH2755" s="49">
        <f>LEFT(J2755,2)</f>
        <v/>
      </c>
    </row>
    <row r="2756" ht="12.75" customHeight="1">
      <c r="H2756" s="43" t="n"/>
      <c r="AG2756" s="49">
        <f>IFERROR(__xludf.DUMMYFUNCTION("IFNA(vlookup(H2756,IMPORTRANGE(""1vUGwO1n0QQGx9kKbO0_M5gmuhXZ6-LaxQxgrmJnzgP0"",""'TP# look up'!A:C""),3,0),"""")"),"")</f>
        <v/>
      </c>
      <c r="AH2756" s="49">
        <f>LEFT(J2756,2)</f>
        <v/>
      </c>
    </row>
    <row r="2757" ht="12.75" customHeight="1">
      <c r="H2757" s="43" t="n"/>
      <c r="AG2757" s="49">
        <f>IFERROR(__xludf.DUMMYFUNCTION("IFNA(vlookup(H2757,IMPORTRANGE(""1vUGwO1n0QQGx9kKbO0_M5gmuhXZ6-LaxQxgrmJnzgP0"",""'TP# look up'!A:C""),3,0),"""")"),"")</f>
        <v/>
      </c>
      <c r="AH2757" s="49">
        <f>LEFT(J2757,2)</f>
        <v/>
      </c>
    </row>
    <row r="2758" ht="12.75" customHeight="1">
      <c r="H2758" s="43" t="n"/>
      <c r="AG2758" s="49">
        <f>IFERROR(__xludf.DUMMYFUNCTION("IFNA(vlookup(H2758,IMPORTRANGE(""1vUGwO1n0QQGx9kKbO0_M5gmuhXZ6-LaxQxgrmJnzgP0"",""'TP# look up'!A:C""),3,0),"""")"),"")</f>
        <v/>
      </c>
      <c r="AH2758" s="49">
        <f>LEFT(J2758,2)</f>
        <v/>
      </c>
    </row>
    <row r="2759" ht="12.75" customHeight="1">
      <c r="H2759" s="43" t="n"/>
      <c r="AG2759" s="49">
        <f>IFERROR(__xludf.DUMMYFUNCTION("IFNA(vlookup(H2759,IMPORTRANGE(""1vUGwO1n0QQGx9kKbO0_M5gmuhXZ6-LaxQxgrmJnzgP0"",""'TP# look up'!A:C""),3,0),"""")"),"")</f>
        <v/>
      </c>
      <c r="AH2759" s="49">
        <f>LEFT(J2759,2)</f>
        <v/>
      </c>
    </row>
    <row r="2760" ht="12.75" customHeight="1">
      <c r="H2760" s="43" t="n"/>
      <c r="AG2760" s="49">
        <f>IFERROR(__xludf.DUMMYFUNCTION("IFNA(vlookup(H2760,IMPORTRANGE(""1vUGwO1n0QQGx9kKbO0_M5gmuhXZ6-LaxQxgrmJnzgP0"",""'TP# look up'!A:C""),3,0),"""")"),"")</f>
        <v/>
      </c>
      <c r="AH2760" s="49">
        <f>LEFT(J2760,2)</f>
        <v/>
      </c>
    </row>
    <row r="2761" ht="12.75" customHeight="1">
      <c r="H2761" s="43" t="n"/>
      <c r="AG2761" s="49">
        <f>IFERROR(__xludf.DUMMYFUNCTION("IFNA(vlookup(H2761,IMPORTRANGE(""1vUGwO1n0QQGx9kKbO0_M5gmuhXZ6-LaxQxgrmJnzgP0"",""'TP# look up'!A:C""),3,0),"""")"),"")</f>
        <v/>
      </c>
      <c r="AH2761" s="49">
        <f>LEFT(J2761,2)</f>
        <v/>
      </c>
    </row>
    <row r="2762" ht="12.75" customHeight="1">
      <c r="H2762" s="43" t="n"/>
      <c r="AG2762" s="49">
        <f>IFERROR(__xludf.DUMMYFUNCTION("IFNA(vlookup(H2762,IMPORTRANGE(""1vUGwO1n0QQGx9kKbO0_M5gmuhXZ6-LaxQxgrmJnzgP0"",""'TP# look up'!A:C""),3,0),"""")"),"")</f>
        <v/>
      </c>
      <c r="AH2762" s="49">
        <f>LEFT(J2762,2)</f>
        <v/>
      </c>
    </row>
    <row r="2763" ht="12.75" customHeight="1">
      <c r="H2763" s="43" t="n"/>
      <c r="AG2763" s="49">
        <f>IFERROR(__xludf.DUMMYFUNCTION("IFNA(vlookup(H2763,IMPORTRANGE(""1vUGwO1n0QQGx9kKbO0_M5gmuhXZ6-LaxQxgrmJnzgP0"",""'TP# look up'!A:C""),3,0),"""")"),"")</f>
        <v/>
      </c>
      <c r="AH2763" s="49">
        <f>LEFT(J2763,2)</f>
        <v/>
      </c>
    </row>
    <row r="2764" ht="12.75" customHeight="1">
      <c r="H2764" s="43" t="n"/>
      <c r="AG2764" s="49">
        <f>IFERROR(__xludf.DUMMYFUNCTION("IFNA(vlookup(H2764,IMPORTRANGE(""1vUGwO1n0QQGx9kKbO0_M5gmuhXZ6-LaxQxgrmJnzgP0"",""'TP# look up'!A:C""),3,0),"""")"),"")</f>
        <v/>
      </c>
      <c r="AH2764" s="49">
        <f>LEFT(J2764,2)</f>
        <v/>
      </c>
    </row>
    <row r="2765" ht="12.75" customHeight="1">
      <c r="H2765" s="43" t="n"/>
      <c r="AG2765" s="49">
        <f>IFERROR(__xludf.DUMMYFUNCTION("IFNA(vlookup(H2765,IMPORTRANGE(""1vUGwO1n0QQGx9kKbO0_M5gmuhXZ6-LaxQxgrmJnzgP0"",""'TP# look up'!A:C""),3,0),"""")"),"")</f>
        <v/>
      </c>
      <c r="AH2765" s="49">
        <f>LEFT(J2765,2)</f>
        <v/>
      </c>
    </row>
    <row r="2766" ht="12.75" customHeight="1">
      <c r="H2766" s="43" t="n"/>
      <c r="AG2766" s="49">
        <f>IFERROR(__xludf.DUMMYFUNCTION("IFNA(vlookup(H2766,IMPORTRANGE(""1vUGwO1n0QQGx9kKbO0_M5gmuhXZ6-LaxQxgrmJnzgP0"",""'TP# look up'!A:C""),3,0),"""")"),"")</f>
        <v/>
      </c>
      <c r="AH2766" s="49">
        <f>LEFT(J2766,2)</f>
        <v/>
      </c>
    </row>
    <row r="2767" ht="12.75" customHeight="1">
      <c r="H2767" s="43" t="n"/>
      <c r="AG2767" s="49">
        <f>IFERROR(__xludf.DUMMYFUNCTION("IFNA(vlookup(H2767,IMPORTRANGE(""1vUGwO1n0QQGx9kKbO0_M5gmuhXZ6-LaxQxgrmJnzgP0"",""'TP# look up'!A:C""),3,0),"""")"),"")</f>
        <v/>
      </c>
      <c r="AH2767" s="49">
        <f>LEFT(J2767,2)</f>
        <v/>
      </c>
    </row>
    <row r="2768" ht="12.75" customHeight="1">
      <c r="H2768" s="43" t="n"/>
      <c r="AG2768" s="49">
        <f>IFERROR(__xludf.DUMMYFUNCTION("IFNA(vlookup(H2768,IMPORTRANGE(""1vUGwO1n0QQGx9kKbO0_M5gmuhXZ6-LaxQxgrmJnzgP0"",""'TP# look up'!A:C""),3,0),"""")"),"")</f>
        <v/>
      </c>
      <c r="AH2768" s="49">
        <f>LEFT(J2768,2)</f>
        <v/>
      </c>
    </row>
    <row r="2769" ht="12.75" customHeight="1">
      <c r="H2769" s="43" t="n"/>
      <c r="AG2769" s="49">
        <f>IFERROR(__xludf.DUMMYFUNCTION("IFNA(vlookup(H2769,IMPORTRANGE(""1vUGwO1n0QQGx9kKbO0_M5gmuhXZ6-LaxQxgrmJnzgP0"",""'TP# look up'!A:C""),3,0),"""")"),"")</f>
        <v/>
      </c>
      <c r="AH2769" s="49">
        <f>LEFT(J2769,2)</f>
        <v/>
      </c>
    </row>
    <row r="2770" ht="12.75" customHeight="1">
      <c r="H2770" s="43" t="n"/>
      <c r="AG2770" s="49">
        <f>IFERROR(__xludf.DUMMYFUNCTION("IFNA(vlookup(H2770,IMPORTRANGE(""1vUGwO1n0QQGx9kKbO0_M5gmuhXZ6-LaxQxgrmJnzgP0"",""'TP# look up'!A:C""),3,0),"""")"),"")</f>
        <v/>
      </c>
      <c r="AH2770" s="49">
        <f>LEFT(J2770,2)</f>
        <v/>
      </c>
    </row>
    <row r="2771" ht="12.75" customHeight="1">
      <c r="H2771" s="43" t="n"/>
      <c r="AG2771" s="49">
        <f>IFERROR(__xludf.DUMMYFUNCTION("IFNA(vlookup(H2771,IMPORTRANGE(""1vUGwO1n0QQGx9kKbO0_M5gmuhXZ6-LaxQxgrmJnzgP0"",""'TP# look up'!A:C""),3,0),"""")"),"")</f>
        <v/>
      </c>
      <c r="AH2771" s="49">
        <f>LEFT(J2771,2)</f>
        <v/>
      </c>
    </row>
    <row r="2772" ht="12.75" customHeight="1">
      <c r="H2772" s="43" t="n"/>
      <c r="AG2772" s="49">
        <f>IFERROR(__xludf.DUMMYFUNCTION("IFNA(vlookup(H2772,IMPORTRANGE(""1vUGwO1n0QQGx9kKbO0_M5gmuhXZ6-LaxQxgrmJnzgP0"",""'TP# look up'!A:C""),3,0),"""")"),"")</f>
        <v/>
      </c>
      <c r="AH2772" s="49">
        <f>LEFT(J2772,2)</f>
        <v/>
      </c>
    </row>
    <row r="2773" ht="12.75" customHeight="1">
      <c r="H2773" s="43" t="n"/>
      <c r="AG2773" s="49">
        <f>IFERROR(__xludf.DUMMYFUNCTION("IFNA(vlookup(H2773,IMPORTRANGE(""1vUGwO1n0QQGx9kKbO0_M5gmuhXZ6-LaxQxgrmJnzgP0"",""'TP# look up'!A:C""),3,0),"""")"),"")</f>
        <v/>
      </c>
      <c r="AH2773" s="49">
        <f>LEFT(J2773,2)</f>
        <v/>
      </c>
    </row>
    <row r="2774" ht="12.75" customHeight="1">
      <c r="H2774" s="43" t="n"/>
      <c r="AG2774" s="49">
        <f>IFERROR(__xludf.DUMMYFUNCTION("IFNA(vlookup(H2774,IMPORTRANGE(""1vUGwO1n0QQGx9kKbO0_M5gmuhXZ6-LaxQxgrmJnzgP0"",""'TP# look up'!A:C""),3,0),"""")"),"")</f>
        <v/>
      </c>
      <c r="AH2774" s="49">
        <f>LEFT(J2774,2)</f>
        <v/>
      </c>
    </row>
    <row r="2775" ht="12.75" customHeight="1">
      <c r="H2775" s="43" t="n"/>
      <c r="AG2775" s="49">
        <f>IFERROR(__xludf.DUMMYFUNCTION("IFNA(vlookup(H2775,IMPORTRANGE(""1vUGwO1n0QQGx9kKbO0_M5gmuhXZ6-LaxQxgrmJnzgP0"",""'TP# look up'!A:C""),3,0),"""")"),"")</f>
        <v/>
      </c>
      <c r="AH2775" s="49">
        <f>LEFT(J2775,2)</f>
        <v/>
      </c>
    </row>
    <row r="2776" ht="12.75" customHeight="1">
      <c r="H2776" s="43" t="n"/>
      <c r="AG2776" s="49">
        <f>IFERROR(__xludf.DUMMYFUNCTION("IFNA(vlookup(H2776,IMPORTRANGE(""1vUGwO1n0QQGx9kKbO0_M5gmuhXZ6-LaxQxgrmJnzgP0"",""'TP# look up'!A:C""),3,0),"""")"),"")</f>
        <v/>
      </c>
      <c r="AH2776" s="49">
        <f>LEFT(J2776,2)</f>
        <v/>
      </c>
    </row>
    <row r="2777" ht="12.75" customHeight="1">
      <c r="H2777" s="43" t="n"/>
      <c r="AG2777" s="49">
        <f>IFERROR(__xludf.DUMMYFUNCTION("IFNA(vlookup(H2777,IMPORTRANGE(""1vUGwO1n0QQGx9kKbO0_M5gmuhXZ6-LaxQxgrmJnzgP0"",""'TP# look up'!A:C""),3,0),"""")"),"")</f>
        <v/>
      </c>
      <c r="AH2777" s="49">
        <f>LEFT(J2777,2)</f>
        <v/>
      </c>
    </row>
    <row r="2778" ht="12.75" customHeight="1">
      <c r="H2778" s="43" t="n"/>
      <c r="AG2778" s="49">
        <f>IFERROR(__xludf.DUMMYFUNCTION("IFNA(vlookup(H2778,IMPORTRANGE(""1vUGwO1n0QQGx9kKbO0_M5gmuhXZ6-LaxQxgrmJnzgP0"",""'TP# look up'!A:C""),3,0),"""")"),"")</f>
        <v/>
      </c>
      <c r="AH2778" s="49">
        <f>LEFT(J2778,2)</f>
        <v/>
      </c>
    </row>
    <row r="2779" ht="12.75" customHeight="1">
      <c r="H2779" s="43" t="n"/>
      <c r="AG2779" s="49">
        <f>IFERROR(__xludf.DUMMYFUNCTION("IFNA(vlookup(H2779,IMPORTRANGE(""1vUGwO1n0QQGx9kKbO0_M5gmuhXZ6-LaxQxgrmJnzgP0"",""'TP# look up'!A:C""),3,0),"""")"),"")</f>
        <v/>
      </c>
      <c r="AH2779" s="49">
        <f>LEFT(J2779,2)</f>
        <v/>
      </c>
    </row>
    <row r="2780" ht="12.75" customHeight="1">
      <c r="H2780" s="43" t="n"/>
      <c r="AG2780" s="49">
        <f>IFERROR(__xludf.DUMMYFUNCTION("IFNA(vlookup(H2780,IMPORTRANGE(""1vUGwO1n0QQGx9kKbO0_M5gmuhXZ6-LaxQxgrmJnzgP0"",""'TP# look up'!A:C""),3,0),"""")"),"")</f>
        <v/>
      </c>
      <c r="AH2780" s="49">
        <f>LEFT(J2780,2)</f>
        <v/>
      </c>
    </row>
    <row r="2781" ht="12.75" customHeight="1">
      <c r="H2781" s="43" t="n"/>
      <c r="AG2781" s="49">
        <f>IFERROR(__xludf.DUMMYFUNCTION("IFNA(vlookup(H2781,IMPORTRANGE(""1vUGwO1n0QQGx9kKbO0_M5gmuhXZ6-LaxQxgrmJnzgP0"",""'TP# look up'!A:C""),3,0),"""")"),"")</f>
        <v/>
      </c>
      <c r="AH2781" s="49">
        <f>LEFT(J2781,2)</f>
        <v/>
      </c>
    </row>
    <row r="2782" ht="12.75" customHeight="1">
      <c r="H2782" s="43" t="n"/>
      <c r="AG2782" s="49">
        <f>IFERROR(__xludf.DUMMYFUNCTION("IFNA(vlookup(H2782,IMPORTRANGE(""1vUGwO1n0QQGx9kKbO0_M5gmuhXZ6-LaxQxgrmJnzgP0"",""'TP# look up'!A:C""),3,0),"""")"),"")</f>
        <v/>
      </c>
      <c r="AH2782" s="49">
        <f>LEFT(J2782,2)</f>
        <v/>
      </c>
    </row>
    <row r="2783" ht="12.75" customHeight="1">
      <c r="H2783" s="43" t="n"/>
      <c r="AG2783" s="49">
        <f>IFERROR(__xludf.DUMMYFUNCTION("IFNA(vlookup(H2783,IMPORTRANGE(""1vUGwO1n0QQGx9kKbO0_M5gmuhXZ6-LaxQxgrmJnzgP0"",""'TP# look up'!A:C""),3,0),"""")"),"")</f>
        <v/>
      </c>
      <c r="AH2783" s="49">
        <f>LEFT(J2783,2)</f>
        <v/>
      </c>
    </row>
    <row r="2784" ht="12.75" customHeight="1">
      <c r="H2784" s="43" t="n"/>
      <c r="AG2784" s="49">
        <f>IFERROR(__xludf.DUMMYFUNCTION("IFNA(vlookup(H2784,IMPORTRANGE(""1vUGwO1n0QQGx9kKbO0_M5gmuhXZ6-LaxQxgrmJnzgP0"",""'TP# look up'!A:C""),3,0),"""")"),"")</f>
        <v/>
      </c>
      <c r="AH2784" s="49">
        <f>LEFT(J2784,2)</f>
        <v/>
      </c>
    </row>
    <row r="2785" ht="12.75" customHeight="1">
      <c r="H2785" s="43" t="n"/>
      <c r="AG2785" s="49">
        <f>IFERROR(__xludf.DUMMYFUNCTION("IFNA(vlookup(H2785,IMPORTRANGE(""1vUGwO1n0QQGx9kKbO0_M5gmuhXZ6-LaxQxgrmJnzgP0"",""'TP# look up'!A:C""),3,0),"""")"),"")</f>
        <v/>
      </c>
      <c r="AH2785" s="49">
        <f>LEFT(J2785,2)</f>
        <v/>
      </c>
    </row>
    <row r="2786" ht="12.75" customHeight="1">
      <c r="H2786" s="43" t="n"/>
      <c r="AG2786" s="49">
        <f>IFERROR(__xludf.DUMMYFUNCTION("IFNA(vlookup(H2786,IMPORTRANGE(""1vUGwO1n0QQGx9kKbO0_M5gmuhXZ6-LaxQxgrmJnzgP0"",""'TP# look up'!A:C""),3,0),"""")"),"")</f>
        <v/>
      </c>
      <c r="AH2786" s="49">
        <f>LEFT(J2786,2)</f>
        <v/>
      </c>
    </row>
    <row r="2787" ht="12.75" customHeight="1">
      <c r="H2787" s="43" t="n"/>
      <c r="AG2787" s="49">
        <f>IFERROR(__xludf.DUMMYFUNCTION("IFNA(vlookup(H2787,IMPORTRANGE(""1vUGwO1n0QQGx9kKbO0_M5gmuhXZ6-LaxQxgrmJnzgP0"",""'TP# look up'!A:C""),3,0),"""")"),"")</f>
        <v/>
      </c>
      <c r="AH2787" s="49">
        <f>LEFT(J2787,2)</f>
        <v/>
      </c>
    </row>
    <row r="2788" ht="12.75" customHeight="1">
      <c r="H2788" s="43" t="n"/>
      <c r="AG2788" s="49">
        <f>IFERROR(__xludf.DUMMYFUNCTION("IFNA(vlookup(H2788,IMPORTRANGE(""1vUGwO1n0QQGx9kKbO0_M5gmuhXZ6-LaxQxgrmJnzgP0"",""'TP# look up'!A:C""),3,0),"""")"),"")</f>
        <v/>
      </c>
      <c r="AH2788" s="49">
        <f>LEFT(J2788,2)</f>
        <v/>
      </c>
    </row>
    <row r="2789" ht="12.75" customHeight="1">
      <c r="H2789" s="43" t="n"/>
      <c r="AG2789" s="49">
        <f>IFERROR(__xludf.DUMMYFUNCTION("IFNA(vlookup(H2789,IMPORTRANGE(""1vUGwO1n0QQGx9kKbO0_M5gmuhXZ6-LaxQxgrmJnzgP0"",""'TP# look up'!A:C""),3,0),"""")"),"")</f>
        <v/>
      </c>
      <c r="AH2789" s="49">
        <f>LEFT(J2789,2)</f>
        <v/>
      </c>
    </row>
    <row r="2790" ht="12.75" customHeight="1">
      <c r="H2790" s="43" t="n"/>
      <c r="AG2790" s="49">
        <f>IFERROR(__xludf.DUMMYFUNCTION("IFNA(vlookup(H2790,IMPORTRANGE(""1vUGwO1n0QQGx9kKbO0_M5gmuhXZ6-LaxQxgrmJnzgP0"",""'TP# look up'!A:C""),3,0),"""")"),"")</f>
        <v/>
      </c>
      <c r="AH2790" s="49">
        <f>LEFT(J2790,2)</f>
        <v/>
      </c>
    </row>
    <row r="2791" ht="12.75" customHeight="1">
      <c r="H2791" s="43" t="n"/>
      <c r="AG2791" s="49">
        <f>IFERROR(__xludf.DUMMYFUNCTION("IFNA(vlookup(H2791,IMPORTRANGE(""1vUGwO1n0QQGx9kKbO0_M5gmuhXZ6-LaxQxgrmJnzgP0"",""'TP# look up'!A:C""),3,0),"""")"),"")</f>
        <v/>
      </c>
      <c r="AH2791" s="49">
        <f>LEFT(J2791,2)</f>
        <v/>
      </c>
    </row>
    <row r="2792" ht="12.75" customHeight="1">
      <c r="H2792" s="43" t="n"/>
      <c r="AG2792" s="49">
        <f>IFERROR(__xludf.DUMMYFUNCTION("IFNA(vlookup(H2792,IMPORTRANGE(""1vUGwO1n0QQGx9kKbO0_M5gmuhXZ6-LaxQxgrmJnzgP0"",""'TP# look up'!A:C""),3,0),"""")"),"")</f>
        <v/>
      </c>
      <c r="AH2792" s="49">
        <f>LEFT(J2792,2)</f>
        <v/>
      </c>
    </row>
    <row r="2793" ht="12.75" customHeight="1">
      <c r="H2793" s="43" t="n"/>
      <c r="AG2793" s="49">
        <f>IFERROR(__xludf.DUMMYFUNCTION("IFNA(vlookup(H2793,IMPORTRANGE(""1vUGwO1n0QQGx9kKbO0_M5gmuhXZ6-LaxQxgrmJnzgP0"",""'TP# look up'!A:C""),3,0),"""")"),"")</f>
        <v/>
      </c>
      <c r="AH2793" s="49">
        <f>LEFT(J2793,2)</f>
        <v/>
      </c>
    </row>
    <row r="2794" ht="12.75" customHeight="1">
      <c r="H2794" s="43" t="n"/>
      <c r="AG2794" s="49">
        <f>IFERROR(__xludf.DUMMYFUNCTION("IFNA(vlookup(H2794,IMPORTRANGE(""1vUGwO1n0QQGx9kKbO0_M5gmuhXZ6-LaxQxgrmJnzgP0"",""'TP# look up'!A:C""),3,0),"""")"),"")</f>
        <v/>
      </c>
      <c r="AH2794" s="49">
        <f>LEFT(J2794,2)</f>
        <v/>
      </c>
    </row>
    <row r="2795" ht="12.75" customHeight="1">
      <c r="H2795" s="43" t="n"/>
      <c r="AG2795" s="49">
        <f>IFERROR(__xludf.DUMMYFUNCTION("IFNA(vlookup(H2795,IMPORTRANGE(""1vUGwO1n0QQGx9kKbO0_M5gmuhXZ6-LaxQxgrmJnzgP0"",""'TP# look up'!A:C""),3,0),"""")"),"")</f>
        <v/>
      </c>
      <c r="AH2795" s="49">
        <f>LEFT(J2795,2)</f>
        <v/>
      </c>
    </row>
    <row r="2796" ht="12.75" customHeight="1">
      <c r="H2796" s="43" t="n"/>
      <c r="AG2796" s="49">
        <f>IFERROR(__xludf.DUMMYFUNCTION("IFNA(vlookup(H2796,IMPORTRANGE(""1vUGwO1n0QQGx9kKbO0_M5gmuhXZ6-LaxQxgrmJnzgP0"",""'TP# look up'!A:C""),3,0),"""")"),"")</f>
        <v/>
      </c>
      <c r="AH2796" s="49">
        <f>LEFT(J2796,2)</f>
        <v/>
      </c>
    </row>
    <row r="2797" ht="12.75" customHeight="1">
      <c r="H2797" s="43" t="n"/>
      <c r="AG2797" s="49">
        <f>IFERROR(__xludf.DUMMYFUNCTION("IFNA(vlookup(H2797,IMPORTRANGE(""1vUGwO1n0QQGx9kKbO0_M5gmuhXZ6-LaxQxgrmJnzgP0"",""'TP# look up'!A:C""),3,0),"""")"),"")</f>
        <v/>
      </c>
      <c r="AH2797" s="49">
        <f>LEFT(J2797,2)</f>
        <v/>
      </c>
    </row>
    <row r="2798" ht="12.75" customHeight="1">
      <c r="H2798" s="43" t="n"/>
      <c r="AG2798" s="49">
        <f>IFERROR(__xludf.DUMMYFUNCTION("IFNA(vlookup(H2798,IMPORTRANGE(""1vUGwO1n0QQGx9kKbO0_M5gmuhXZ6-LaxQxgrmJnzgP0"",""'TP# look up'!A:C""),3,0),"""")"),"")</f>
        <v/>
      </c>
      <c r="AH2798" s="49">
        <f>LEFT(J2798,2)</f>
        <v/>
      </c>
    </row>
    <row r="2799" ht="12.75" customHeight="1">
      <c r="H2799" s="43" t="n"/>
      <c r="AG2799" s="49">
        <f>IFERROR(__xludf.DUMMYFUNCTION("IFNA(vlookup(H2799,IMPORTRANGE(""1vUGwO1n0QQGx9kKbO0_M5gmuhXZ6-LaxQxgrmJnzgP0"",""'TP# look up'!A:C""),3,0),"""")"),"")</f>
        <v/>
      </c>
      <c r="AH2799" s="49">
        <f>LEFT(J2799,2)</f>
        <v/>
      </c>
    </row>
    <row r="2800" ht="12.75" customHeight="1">
      <c r="H2800" s="43" t="n"/>
      <c r="AG2800" s="49">
        <f>IFERROR(__xludf.DUMMYFUNCTION("IFNA(vlookup(H2800,IMPORTRANGE(""1vUGwO1n0QQGx9kKbO0_M5gmuhXZ6-LaxQxgrmJnzgP0"",""'TP# look up'!A:C""),3,0),"""")"),"")</f>
        <v/>
      </c>
      <c r="AH2800" s="49">
        <f>LEFT(J2800,2)</f>
        <v/>
      </c>
    </row>
    <row r="2801" ht="12.75" customHeight="1">
      <c r="H2801" s="43" t="n"/>
      <c r="AG2801" s="49">
        <f>IFERROR(__xludf.DUMMYFUNCTION("IFNA(vlookup(H2801,IMPORTRANGE(""1vUGwO1n0QQGx9kKbO0_M5gmuhXZ6-LaxQxgrmJnzgP0"",""'TP# look up'!A:C""),3,0),"""")"),"")</f>
        <v/>
      </c>
      <c r="AH2801" s="49">
        <f>LEFT(J2801,2)</f>
        <v/>
      </c>
    </row>
    <row r="2802" ht="12.75" customHeight="1">
      <c r="H2802" s="43" t="n"/>
      <c r="AG2802" s="49">
        <f>IFERROR(__xludf.DUMMYFUNCTION("IFNA(vlookup(H2802,IMPORTRANGE(""1vUGwO1n0QQGx9kKbO0_M5gmuhXZ6-LaxQxgrmJnzgP0"",""'TP# look up'!A:C""),3,0),"""")"),"")</f>
        <v/>
      </c>
      <c r="AH2802" s="49">
        <f>LEFT(J2802,2)</f>
        <v/>
      </c>
    </row>
    <row r="2803" ht="12.75" customHeight="1">
      <c r="H2803" s="43" t="n"/>
      <c r="AG2803" s="49">
        <f>IFERROR(__xludf.DUMMYFUNCTION("IFNA(vlookup(H2803,IMPORTRANGE(""1vUGwO1n0QQGx9kKbO0_M5gmuhXZ6-LaxQxgrmJnzgP0"",""'TP# look up'!A:C""),3,0),"""")"),"")</f>
        <v/>
      </c>
      <c r="AH2803" s="49">
        <f>LEFT(J2803,2)</f>
        <v/>
      </c>
    </row>
    <row r="2804" ht="12.75" customHeight="1">
      <c r="H2804" s="43" t="n"/>
      <c r="AG2804" s="49">
        <f>IFERROR(__xludf.DUMMYFUNCTION("IFNA(vlookup(H2804,IMPORTRANGE(""1vUGwO1n0QQGx9kKbO0_M5gmuhXZ6-LaxQxgrmJnzgP0"",""'TP# look up'!A:C""),3,0),"""")"),"")</f>
        <v/>
      </c>
      <c r="AH2804" s="49">
        <f>LEFT(J2804,2)</f>
        <v/>
      </c>
    </row>
    <row r="2805" ht="12.75" customHeight="1">
      <c r="H2805" s="43" t="n"/>
      <c r="AG2805" s="49">
        <f>IFERROR(__xludf.DUMMYFUNCTION("IFNA(vlookup(H2805,IMPORTRANGE(""1vUGwO1n0QQGx9kKbO0_M5gmuhXZ6-LaxQxgrmJnzgP0"",""'TP# look up'!A:C""),3,0),"""")"),"")</f>
        <v/>
      </c>
      <c r="AH2805" s="49">
        <f>LEFT(J2805,2)</f>
        <v/>
      </c>
    </row>
    <row r="2806" ht="12.75" customHeight="1">
      <c r="H2806" s="43" t="n"/>
      <c r="AG2806" s="49">
        <f>IFERROR(__xludf.DUMMYFUNCTION("IFNA(vlookup(H2806,IMPORTRANGE(""1vUGwO1n0QQGx9kKbO0_M5gmuhXZ6-LaxQxgrmJnzgP0"",""'TP# look up'!A:C""),3,0),"""")"),"")</f>
        <v/>
      </c>
      <c r="AH2806" s="49">
        <f>LEFT(J2806,2)</f>
        <v/>
      </c>
    </row>
    <row r="2807" ht="12.75" customHeight="1">
      <c r="H2807" s="43" t="n"/>
      <c r="AG2807" s="49">
        <f>IFERROR(__xludf.DUMMYFUNCTION("IFNA(vlookup(H2807,IMPORTRANGE(""1vUGwO1n0QQGx9kKbO0_M5gmuhXZ6-LaxQxgrmJnzgP0"",""'TP# look up'!A:C""),3,0),"""")"),"")</f>
        <v/>
      </c>
      <c r="AH2807" s="49">
        <f>LEFT(J2807,2)</f>
        <v/>
      </c>
    </row>
    <row r="2808" ht="12.75" customHeight="1">
      <c r="H2808" s="43" t="n"/>
      <c r="AG2808" s="49">
        <f>IFERROR(__xludf.DUMMYFUNCTION("IFNA(vlookup(H2808,IMPORTRANGE(""1vUGwO1n0QQGx9kKbO0_M5gmuhXZ6-LaxQxgrmJnzgP0"",""'TP# look up'!A:C""),3,0),"""")"),"")</f>
        <v/>
      </c>
      <c r="AH2808" s="49">
        <f>LEFT(J2808,2)</f>
        <v/>
      </c>
    </row>
    <row r="2809" ht="12.75" customHeight="1">
      <c r="H2809" s="43" t="n"/>
      <c r="AG2809" s="49">
        <f>IFERROR(__xludf.DUMMYFUNCTION("IFNA(vlookup(H2809,IMPORTRANGE(""1vUGwO1n0QQGx9kKbO0_M5gmuhXZ6-LaxQxgrmJnzgP0"",""'TP# look up'!A:C""),3,0),"""")"),"")</f>
        <v/>
      </c>
      <c r="AH2809" s="49">
        <f>LEFT(J2809,2)</f>
        <v/>
      </c>
    </row>
    <row r="2810" ht="12.75" customHeight="1">
      <c r="H2810" s="43" t="n"/>
      <c r="AG2810" s="49">
        <f>IFERROR(__xludf.DUMMYFUNCTION("IFNA(vlookup(H2810,IMPORTRANGE(""1vUGwO1n0QQGx9kKbO0_M5gmuhXZ6-LaxQxgrmJnzgP0"",""'TP# look up'!A:C""),3,0),"""")"),"")</f>
        <v/>
      </c>
      <c r="AH2810" s="49">
        <f>LEFT(J2810,2)</f>
        <v/>
      </c>
    </row>
    <row r="2811" ht="12.75" customHeight="1">
      <c r="H2811" s="43" t="n"/>
      <c r="AG2811" s="49">
        <f>IFERROR(__xludf.DUMMYFUNCTION("IFNA(vlookup(H2811,IMPORTRANGE(""1vUGwO1n0QQGx9kKbO0_M5gmuhXZ6-LaxQxgrmJnzgP0"",""'TP# look up'!A:C""),3,0),"""")"),"")</f>
        <v/>
      </c>
      <c r="AH2811" s="49">
        <f>LEFT(J2811,2)</f>
        <v/>
      </c>
    </row>
    <row r="2812" ht="12.75" customHeight="1">
      <c r="H2812" s="43" t="n"/>
      <c r="AG2812" s="49">
        <f>IFERROR(__xludf.DUMMYFUNCTION("IFNA(vlookup(H2812,IMPORTRANGE(""1vUGwO1n0QQGx9kKbO0_M5gmuhXZ6-LaxQxgrmJnzgP0"",""'TP# look up'!A:C""),3,0),"""")"),"")</f>
        <v/>
      </c>
      <c r="AH2812" s="49">
        <f>LEFT(J2812,2)</f>
        <v/>
      </c>
    </row>
    <row r="2813" ht="12.75" customHeight="1">
      <c r="H2813" s="43" t="n"/>
      <c r="AG2813" s="49">
        <f>IFERROR(__xludf.DUMMYFUNCTION("IFNA(vlookup(H2813,IMPORTRANGE(""1vUGwO1n0QQGx9kKbO0_M5gmuhXZ6-LaxQxgrmJnzgP0"",""'TP# look up'!A:C""),3,0),"""")"),"")</f>
        <v/>
      </c>
      <c r="AH2813" s="49">
        <f>LEFT(J2813,2)</f>
        <v/>
      </c>
    </row>
    <row r="2814" ht="12.75" customHeight="1">
      <c r="H2814" s="43" t="n"/>
      <c r="AG2814" s="49">
        <f>IFERROR(__xludf.DUMMYFUNCTION("IFNA(vlookup(H2814,IMPORTRANGE(""1vUGwO1n0QQGx9kKbO0_M5gmuhXZ6-LaxQxgrmJnzgP0"",""'TP# look up'!A:C""),3,0),"""")"),"")</f>
        <v/>
      </c>
      <c r="AH2814" s="49">
        <f>LEFT(J2814,2)</f>
        <v/>
      </c>
    </row>
    <row r="2815" ht="12.75" customHeight="1">
      <c r="H2815" s="43" t="n"/>
      <c r="AG2815" s="49">
        <f>IFERROR(__xludf.DUMMYFUNCTION("IFNA(vlookup(H2815,IMPORTRANGE(""1vUGwO1n0QQGx9kKbO0_M5gmuhXZ6-LaxQxgrmJnzgP0"",""'TP# look up'!A:C""),3,0),"""")"),"")</f>
        <v/>
      </c>
      <c r="AH2815" s="49">
        <f>LEFT(J2815,2)</f>
        <v/>
      </c>
    </row>
    <row r="2816" ht="12.75" customHeight="1">
      <c r="H2816" s="43" t="n"/>
      <c r="AG2816" s="49">
        <f>IFERROR(__xludf.DUMMYFUNCTION("IFNA(vlookup(H2816,IMPORTRANGE(""1vUGwO1n0QQGx9kKbO0_M5gmuhXZ6-LaxQxgrmJnzgP0"",""'TP# look up'!A:C""),3,0),"""")"),"")</f>
        <v/>
      </c>
      <c r="AH2816" s="49">
        <f>LEFT(J2816,2)</f>
        <v/>
      </c>
    </row>
    <row r="2817" ht="12.75" customHeight="1">
      <c r="H2817" s="43" t="n"/>
      <c r="AG2817" s="49">
        <f>IFERROR(__xludf.DUMMYFUNCTION("IFNA(vlookup(H2817,IMPORTRANGE(""1vUGwO1n0QQGx9kKbO0_M5gmuhXZ6-LaxQxgrmJnzgP0"",""'TP# look up'!A:C""),3,0),"""")"),"")</f>
        <v/>
      </c>
      <c r="AH2817" s="49">
        <f>LEFT(J2817,2)</f>
        <v/>
      </c>
    </row>
    <row r="2818" ht="12.75" customHeight="1">
      <c r="H2818" s="43" t="n"/>
      <c r="AG2818" s="49">
        <f>IFERROR(__xludf.DUMMYFUNCTION("IFNA(vlookup(H2818,IMPORTRANGE(""1vUGwO1n0QQGx9kKbO0_M5gmuhXZ6-LaxQxgrmJnzgP0"",""'TP# look up'!A:C""),3,0),"""")"),"")</f>
        <v/>
      </c>
      <c r="AH2818" s="49">
        <f>LEFT(J2818,2)</f>
        <v/>
      </c>
    </row>
    <row r="2819" ht="12.75" customHeight="1">
      <c r="H2819" s="43" t="n"/>
      <c r="AG2819" s="49">
        <f>IFERROR(__xludf.DUMMYFUNCTION("IFNA(vlookup(H2819,IMPORTRANGE(""1vUGwO1n0QQGx9kKbO0_M5gmuhXZ6-LaxQxgrmJnzgP0"",""'TP# look up'!A:C""),3,0),"""")"),"")</f>
        <v/>
      </c>
      <c r="AH2819" s="49">
        <f>LEFT(J2819,2)</f>
        <v/>
      </c>
    </row>
    <row r="2820" ht="12.75" customHeight="1">
      <c r="H2820" s="43" t="n"/>
      <c r="AG2820" s="49">
        <f>IFERROR(__xludf.DUMMYFUNCTION("IFNA(vlookup(H2820,IMPORTRANGE(""1vUGwO1n0QQGx9kKbO0_M5gmuhXZ6-LaxQxgrmJnzgP0"",""'TP# look up'!A:C""),3,0),"""")"),"")</f>
        <v/>
      </c>
      <c r="AH2820" s="49">
        <f>LEFT(J2820,2)</f>
        <v/>
      </c>
    </row>
    <row r="2821" ht="12.75" customHeight="1">
      <c r="H2821" s="43" t="n"/>
      <c r="AG2821" s="49">
        <f>IFERROR(__xludf.DUMMYFUNCTION("IFNA(vlookup(H2821,IMPORTRANGE(""1vUGwO1n0QQGx9kKbO0_M5gmuhXZ6-LaxQxgrmJnzgP0"",""'TP# look up'!A:C""),3,0),"""")"),"")</f>
        <v/>
      </c>
      <c r="AH2821" s="49">
        <f>LEFT(J2821,2)</f>
        <v/>
      </c>
    </row>
    <row r="2822" ht="12.75" customHeight="1">
      <c r="H2822" s="43" t="n"/>
      <c r="AG2822" s="49">
        <f>IFERROR(__xludf.DUMMYFUNCTION("IFNA(vlookup(H2822,IMPORTRANGE(""1vUGwO1n0QQGx9kKbO0_M5gmuhXZ6-LaxQxgrmJnzgP0"",""'TP# look up'!A:C""),3,0),"""")"),"")</f>
        <v/>
      </c>
      <c r="AH2822" s="49">
        <f>LEFT(J2822,2)</f>
        <v/>
      </c>
    </row>
    <row r="2823" ht="12.75" customHeight="1">
      <c r="H2823" s="43" t="n"/>
      <c r="AG2823" s="49">
        <f>IFERROR(__xludf.DUMMYFUNCTION("IFNA(vlookup(H2823,IMPORTRANGE(""1vUGwO1n0QQGx9kKbO0_M5gmuhXZ6-LaxQxgrmJnzgP0"",""'TP# look up'!A:C""),3,0),"""")"),"")</f>
        <v/>
      </c>
      <c r="AH2823" s="49">
        <f>LEFT(J2823,2)</f>
        <v/>
      </c>
    </row>
    <row r="2824" ht="12.75" customHeight="1">
      <c r="H2824" s="43" t="n"/>
      <c r="AG2824" s="49">
        <f>IFERROR(__xludf.DUMMYFUNCTION("IFNA(vlookup(H2824,IMPORTRANGE(""1vUGwO1n0QQGx9kKbO0_M5gmuhXZ6-LaxQxgrmJnzgP0"",""'TP# look up'!A:C""),3,0),"""")"),"")</f>
        <v/>
      </c>
      <c r="AH2824" s="49">
        <f>LEFT(J2824,2)</f>
        <v/>
      </c>
    </row>
    <row r="2825" ht="12.75" customHeight="1">
      <c r="H2825" s="43" t="n"/>
      <c r="AG2825" s="49">
        <f>IFERROR(__xludf.DUMMYFUNCTION("IFNA(vlookup(H2825,IMPORTRANGE(""1vUGwO1n0QQGx9kKbO0_M5gmuhXZ6-LaxQxgrmJnzgP0"",""'TP# look up'!A:C""),3,0),"""")"),"")</f>
        <v/>
      </c>
      <c r="AH2825" s="49">
        <f>LEFT(J2825,2)</f>
        <v/>
      </c>
    </row>
    <row r="2826" ht="12.75" customHeight="1">
      <c r="H2826" s="43" t="n"/>
      <c r="AG2826" s="49">
        <f>IFERROR(__xludf.DUMMYFUNCTION("IFNA(vlookup(H2826,IMPORTRANGE(""1vUGwO1n0QQGx9kKbO0_M5gmuhXZ6-LaxQxgrmJnzgP0"",""'TP# look up'!A:C""),3,0),"""")"),"")</f>
        <v/>
      </c>
      <c r="AH2826" s="49">
        <f>LEFT(J2826,2)</f>
        <v/>
      </c>
    </row>
    <row r="2827" ht="12.75" customHeight="1">
      <c r="H2827" s="43" t="n"/>
      <c r="AG2827" s="49">
        <f>IFERROR(__xludf.DUMMYFUNCTION("IFNA(vlookup(H2827,IMPORTRANGE(""1vUGwO1n0QQGx9kKbO0_M5gmuhXZ6-LaxQxgrmJnzgP0"",""'TP# look up'!A:C""),3,0),"""")"),"")</f>
        <v/>
      </c>
      <c r="AH2827" s="49">
        <f>LEFT(J2827,2)</f>
        <v/>
      </c>
    </row>
    <row r="2828" ht="12.75" customHeight="1">
      <c r="H2828" s="43" t="n"/>
      <c r="AG2828" s="49">
        <f>IFERROR(__xludf.DUMMYFUNCTION("IFNA(vlookup(H2828,IMPORTRANGE(""1vUGwO1n0QQGx9kKbO0_M5gmuhXZ6-LaxQxgrmJnzgP0"",""'TP# look up'!A:C""),3,0),"""")"),"")</f>
        <v/>
      </c>
      <c r="AH2828" s="49">
        <f>LEFT(J2828,2)</f>
        <v/>
      </c>
    </row>
    <row r="2829" ht="12.75" customHeight="1">
      <c r="H2829" s="43" t="n"/>
      <c r="AG2829" s="49">
        <f>IFERROR(__xludf.DUMMYFUNCTION("IFNA(vlookup(H2829,IMPORTRANGE(""1vUGwO1n0QQGx9kKbO0_M5gmuhXZ6-LaxQxgrmJnzgP0"",""'TP# look up'!A:C""),3,0),"""")"),"")</f>
        <v/>
      </c>
      <c r="AH2829" s="49">
        <f>LEFT(J2829,2)</f>
        <v/>
      </c>
    </row>
    <row r="2830" ht="12.75" customHeight="1">
      <c r="H2830" s="43" t="n"/>
      <c r="AG2830" s="49">
        <f>IFERROR(__xludf.DUMMYFUNCTION("IFNA(vlookup(H2830,IMPORTRANGE(""1vUGwO1n0QQGx9kKbO0_M5gmuhXZ6-LaxQxgrmJnzgP0"",""'TP# look up'!A:C""),3,0),"""")"),"")</f>
        <v/>
      </c>
      <c r="AH2830" s="49">
        <f>LEFT(J2830,2)</f>
        <v/>
      </c>
    </row>
    <row r="2831" ht="12.75" customHeight="1">
      <c r="H2831" s="43" t="n"/>
      <c r="AG2831" s="49">
        <f>IFERROR(__xludf.DUMMYFUNCTION("IFNA(vlookup(H2831,IMPORTRANGE(""1vUGwO1n0QQGx9kKbO0_M5gmuhXZ6-LaxQxgrmJnzgP0"",""'TP# look up'!A:C""),3,0),"""")"),"")</f>
        <v/>
      </c>
      <c r="AH2831" s="49">
        <f>LEFT(J2831,2)</f>
        <v/>
      </c>
    </row>
    <row r="2832" ht="12.75" customHeight="1">
      <c r="H2832" s="43" t="n"/>
      <c r="AG2832" s="49">
        <f>IFERROR(__xludf.DUMMYFUNCTION("IFNA(vlookup(H2832,IMPORTRANGE(""1vUGwO1n0QQGx9kKbO0_M5gmuhXZ6-LaxQxgrmJnzgP0"",""'TP# look up'!A:C""),3,0),"""")"),"")</f>
        <v/>
      </c>
      <c r="AH2832" s="49">
        <f>LEFT(J2832,2)</f>
        <v/>
      </c>
    </row>
    <row r="2833" ht="12.75" customHeight="1">
      <c r="H2833" s="43" t="n"/>
      <c r="AG2833" s="49">
        <f>IFERROR(__xludf.DUMMYFUNCTION("IFNA(vlookup(H2833,IMPORTRANGE(""1vUGwO1n0QQGx9kKbO0_M5gmuhXZ6-LaxQxgrmJnzgP0"",""'TP# look up'!A:C""),3,0),"""")"),"")</f>
        <v/>
      </c>
      <c r="AH2833" s="49">
        <f>LEFT(J2833,2)</f>
        <v/>
      </c>
    </row>
    <row r="2834" ht="12.75" customHeight="1">
      <c r="H2834" s="43" t="n"/>
      <c r="AG2834" s="49">
        <f>IFERROR(__xludf.DUMMYFUNCTION("IFNA(vlookup(H2834,IMPORTRANGE(""1vUGwO1n0QQGx9kKbO0_M5gmuhXZ6-LaxQxgrmJnzgP0"",""'TP# look up'!A:C""),3,0),"""")"),"")</f>
        <v/>
      </c>
      <c r="AH2834" s="49">
        <f>LEFT(J2834,2)</f>
        <v/>
      </c>
    </row>
    <row r="2835" ht="12.75" customHeight="1">
      <c r="H2835" s="43" t="n"/>
      <c r="AG2835" s="49">
        <f>IFERROR(__xludf.DUMMYFUNCTION("IFNA(vlookup(H2835,IMPORTRANGE(""1vUGwO1n0QQGx9kKbO0_M5gmuhXZ6-LaxQxgrmJnzgP0"",""'TP# look up'!A:C""),3,0),"""")"),"")</f>
        <v/>
      </c>
      <c r="AH2835" s="49">
        <f>LEFT(J2835,2)</f>
        <v/>
      </c>
    </row>
    <row r="2836" ht="12.75" customHeight="1">
      <c r="H2836" s="43" t="n"/>
      <c r="AG2836" s="49">
        <f>IFERROR(__xludf.DUMMYFUNCTION("IFNA(vlookup(H2836,IMPORTRANGE(""1vUGwO1n0QQGx9kKbO0_M5gmuhXZ6-LaxQxgrmJnzgP0"",""'TP# look up'!A:C""),3,0),"""")"),"")</f>
        <v/>
      </c>
      <c r="AH2836" s="49">
        <f>LEFT(J2836,2)</f>
        <v/>
      </c>
    </row>
    <row r="2837" ht="12.75" customHeight="1">
      <c r="H2837" s="43" t="n"/>
      <c r="AG2837" s="49">
        <f>IFERROR(__xludf.DUMMYFUNCTION("IFNA(vlookup(H2837,IMPORTRANGE(""1vUGwO1n0QQGx9kKbO0_M5gmuhXZ6-LaxQxgrmJnzgP0"",""'TP# look up'!A:C""),3,0),"""")"),"")</f>
        <v/>
      </c>
      <c r="AH2837" s="49">
        <f>LEFT(J2837,2)</f>
        <v/>
      </c>
    </row>
    <row r="2838" ht="12.75" customHeight="1">
      <c r="H2838" s="43" t="n"/>
      <c r="AG2838" s="49">
        <f>IFERROR(__xludf.DUMMYFUNCTION("IFNA(vlookup(H2838,IMPORTRANGE(""1vUGwO1n0QQGx9kKbO0_M5gmuhXZ6-LaxQxgrmJnzgP0"",""'TP# look up'!A:C""),3,0),"""")"),"")</f>
        <v/>
      </c>
      <c r="AH2838" s="49">
        <f>LEFT(J2838,2)</f>
        <v/>
      </c>
    </row>
    <row r="2839" ht="12.75" customHeight="1">
      <c r="H2839" s="43" t="n"/>
      <c r="AG2839" s="49">
        <f>IFERROR(__xludf.DUMMYFUNCTION("IFNA(vlookup(H2839,IMPORTRANGE(""1vUGwO1n0QQGx9kKbO0_M5gmuhXZ6-LaxQxgrmJnzgP0"",""'TP# look up'!A:C""),3,0),"""")"),"")</f>
        <v/>
      </c>
      <c r="AH2839" s="49">
        <f>LEFT(J2839,2)</f>
        <v/>
      </c>
    </row>
    <row r="2840" ht="12.75" customHeight="1">
      <c r="H2840" s="43" t="n"/>
      <c r="AG2840" s="49">
        <f>IFERROR(__xludf.DUMMYFUNCTION("IFNA(vlookup(H2840,IMPORTRANGE(""1vUGwO1n0QQGx9kKbO0_M5gmuhXZ6-LaxQxgrmJnzgP0"",""'TP# look up'!A:C""),3,0),"""")"),"")</f>
        <v/>
      </c>
      <c r="AH2840" s="49">
        <f>LEFT(J2840,2)</f>
        <v/>
      </c>
    </row>
    <row r="2841" ht="12.75" customHeight="1">
      <c r="H2841" s="43" t="n"/>
      <c r="AG2841" s="49">
        <f>IFERROR(__xludf.DUMMYFUNCTION("IFNA(vlookup(H2841,IMPORTRANGE(""1vUGwO1n0QQGx9kKbO0_M5gmuhXZ6-LaxQxgrmJnzgP0"",""'TP# look up'!A:C""),3,0),"""")"),"")</f>
        <v/>
      </c>
      <c r="AH2841" s="49">
        <f>LEFT(J2841,2)</f>
        <v/>
      </c>
    </row>
    <row r="2842" ht="12.75" customHeight="1">
      <c r="H2842" s="43" t="n"/>
      <c r="AG2842" s="49">
        <f>IFERROR(__xludf.DUMMYFUNCTION("IFNA(vlookup(H2842,IMPORTRANGE(""1vUGwO1n0QQGx9kKbO0_M5gmuhXZ6-LaxQxgrmJnzgP0"",""'TP# look up'!A:C""),3,0),"""")"),"")</f>
        <v/>
      </c>
      <c r="AH2842" s="49">
        <f>LEFT(J2842,2)</f>
        <v/>
      </c>
    </row>
    <row r="2843" ht="12.75" customHeight="1">
      <c r="H2843" s="43" t="n"/>
      <c r="AG2843" s="49">
        <f>IFERROR(__xludf.DUMMYFUNCTION("IFNA(vlookup(H2843,IMPORTRANGE(""1vUGwO1n0QQGx9kKbO0_M5gmuhXZ6-LaxQxgrmJnzgP0"",""'TP# look up'!A:C""),3,0),"""")"),"")</f>
        <v/>
      </c>
      <c r="AH2843" s="49">
        <f>LEFT(J2843,2)</f>
        <v/>
      </c>
    </row>
    <row r="2844" ht="12.75" customHeight="1">
      <c r="H2844" s="43" t="n"/>
      <c r="AG2844" s="49">
        <f>IFERROR(__xludf.DUMMYFUNCTION("IFNA(vlookup(H2844,IMPORTRANGE(""1vUGwO1n0QQGx9kKbO0_M5gmuhXZ6-LaxQxgrmJnzgP0"",""'TP# look up'!A:C""),3,0),"""")"),"")</f>
        <v/>
      </c>
      <c r="AH2844" s="49">
        <f>LEFT(J2844,2)</f>
        <v/>
      </c>
    </row>
    <row r="2845" ht="12.75" customHeight="1">
      <c r="H2845" s="43" t="n"/>
      <c r="AG2845" s="49">
        <f>IFERROR(__xludf.DUMMYFUNCTION("IFNA(vlookup(H2845,IMPORTRANGE(""1vUGwO1n0QQGx9kKbO0_M5gmuhXZ6-LaxQxgrmJnzgP0"",""'TP# look up'!A:C""),3,0),"""")"),"")</f>
        <v/>
      </c>
      <c r="AH2845" s="49">
        <f>LEFT(J2845,2)</f>
        <v/>
      </c>
    </row>
    <row r="2846" ht="12.75" customHeight="1">
      <c r="H2846" s="43" t="n"/>
      <c r="AG2846" s="49">
        <f>IFERROR(__xludf.DUMMYFUNCTION("IFNA(vlookup(H2846,IMPORTRANGE(""1vUGwO1n0QQGx9kKbO0_M5gmuhXZ6-LaxQxgrmJnzgP0"",""'TP# look up'!A:C""),3,0),"""")"),"")</f>
        <v/>
      </c>
      <c r="AH2846" s="49">
        <f>LEFT(J2846,2)</f>
        <v/>
      </c>
    </row>
    <row r="2847" ht="12.75" customHeight="1">
      <c r="H2847" s="43" t="n"/>
      <c r="AG2847" s="49">
        <f>IFERROR(__xludf.DUMMYFUNCTION("IFNA(vlookup(H2847,IMPORTRANGE(""1vUGwO1n0QQGx9kKbO0_M5gmuhXZ6-LaxQxgrmJnzgP0"",""'TP# look up'!A:C""),3,0),"""")"),"")</f>
        <v/>
      </c>
      <c r="AH2847" s="49">
        <f>LEFT(J2847,2)</f>
        <v/>
      </c>
    </row>
    <row r="2848" ht="12.75" customHeight="1">
      <c r="H2848" s="43" t="n"/>
      <c r="AG2848" s="49">
        <f>IFERROR(__xludf.DUMMYFUNCTION("IFNA(vlookup(H2848,IMPORTRANGE(""1vUGwO1n0QQGx9kKbO0_M5gmuhXZ6-LaxQxgrmJnzgP0"",""'TP# look up'!A:C""),3,0),"""")"),"")</f>
        <v/>
      </c>
      <c r="AH2848" s="49">
        <f>LEFT(J2848,2)</f>
        <v/>
      </c>
    </row>
    <row r="2849" ht="12.75" customHeight="1">
      <c r="H2849" s="43" t="n"/>
      <c r="AG2849" s="49">
        <f>IFERROR(__xludf.DUMMYFUNCTION("IFNA(vlookup(H2849,IMPORTRANGE(""1vUGwO1n0QQGx9kKbO0_M5gmuhXZ6-LaxQxgrmJnzgP0"",""'TP# look up'!A:C""),3,0),"""")"),"")</f>
        <v/>
      </c>
      <c r="AH2849" s="49">
        <f>LEFT(J2849,2)</f>
        <v/>
      </c>
    </row>
    <row r="2850" ht="12.75" customHeight="1">
      <c r="H2850" s="43" t="n"/>
      <c r="AG2850" s="49">
        <f>IFERROR(__xludf.DUMMYFUNCTION("IFNA(vlookup(H2850,IMPORTRANGE(""1vUGwO1n0QQGx9kKbO0_M5gmuhXZ6-LaxQxgrmJnzgP0"",""'TP# look up'!A:C""),3,0),"""")"),"")</f>
        <v/>
      </c>
      <c r="AH2850" s="49">
        <f>LEFT(J2850,2)</f>
        <v/>
      </c>
    </row>
    <row r="2851" ht="12.75" customHeight="1">
      <c r="H2851" s="43" t="n"/>
      <c r="AG2851" s="49">
        <f>IFERROR(__xludf.DUMMYFUNCTION("IFNA(vlookup(H2851,IMPORTRANGE(""1vUGwO1n0QQGx9kKbO0_M5gmuhXZ6-LaxQxgrmJnzgP0"",""'TP# look up'!A:C""),3,0),"""")"),"")</f>
        <v/>
      </c>
      <c r="AH2851" s="49">
        <f>LEFT(J2851,2)</f>
        <v/>
      </c>
    </row>
    <row r="2852" ht="12.75" customHeight="1">
      <c r="H2852" s="43" t="n"/>
      <c r="AG2852" s="49">
        <f>IFERROR(__xludf.DUMMYFUNCTION("IFNA(vlookup(H2852,IMPORTRANGE(""1vUGwO1n0QQGx9kKbO0_M5gmuhXZ6-LaxQxgrmJnzgP0"",""'TP# look up'!A:C""),3,0),"""")"),"")</f>
        <v/>
      </c>
      <c r="AH2852" s="49">
        <f>LEFT(J2852,2)</f>
        <v/>
      </c>
    </row>
    <row r="2853" ht="12.75" customHeight="1">
      <c r="H2853" s="43" t="n"/>
      <c r="AG2853" s="49">
        <f>IFERROR(__xludf.DUMMYFUNCTION("IFNA(vlookup(H2853,IMPORTRANGE(""1vUGwO1n0QQGx9kKbO0_M5gmuhXZ6-LaxQxgrmJnzgP0"",""'TP# look up'!A:C""),3,0),"""")"),"")</f>
        <v/>
      </c>
      <c r="AH2853" s="49">
        <f>LEFT(J2853,2)</f>
        <v/>
      </c>
    </row>
    <row r="2854" ht="12.75" customHeight="1">
      <c r="H2854" s="43" t="n"/>
      <c r="AG2854" s="49">
        <f>IFERROR(__xludf.DUMMYFUNCTION("IFNA(vlookup(H2854,IMPORTRANGE(""1vUGwO1n0QQGx9kKbO0_M5gmuhXZ6-LaxQxgrmJnzgP0"",""'TP# look up'!A:C""),3,0),"""")"),"")</f>
        <v/>
      </c>
      <c r="AH2854" s="49">
        <f>LEFT(J2854,2)</f>
        <v/>
      </c>
    </row>
    <row r="2855" ht="12.75" customHeight="1">
      <c r="H2855" s="43" t="n"/>
      <c r="AG2855" s="49">
        <f>IFERROR(__xludf.DUMMYFUNCTION("IFNA(vlookup(H2855,IMPORTRANGE(""1vUGwO1n0QQGx9kKbO0_M5gmuhXZ6-LaxQxgrmJnzgP0"",""'TP# look up'!A:C""),3,0),"""")"),"")</f>
        <v/>
      </c>
      <c r="AH2855" s="49">
        <f>LEFT(J2855,2)</f>
        <v/>
      </c>
    </row>
    <row r="2856" ht="12.75" customHeight="1">
      <c r="H2856" s="43" t="n"/>
      <c r="AG2856" s="49">
        <f>IFERROR(__xludf.DUMMYFUNCTION("IFNA(vlookup(H2856,IMPORTRANGE(""1vUGwO1n0QQGx9kKbO0_M5gmuhXZ6-LaxQxgrmJnzgP0"",""'TP# look up'!A:C""),3,0),"""")"),"")</f>
        <v/>
      </c>
      <c r="AH2856" s="49">
        <f>LEFT(J2856,2)</f>
        <v/>
      </c>
    </row>
    <row r="2857" ht="12.75" customHeight="1">
      <c r="H2857" s="43" t="n"/>
      <c r="AG2857" s="49">
        <f>IFERROR(__xludf.DUMMYFUNCTION("IFNA(vlookup(H2857,IMPORTRANGE(""1vUGwO1n0QQGx9kKbO0_M5gmuhXZ6-LaxQxgrmJnzgP0"",""'TP# look up'!A:C""),3,0),"""")"),"")</f>
        <v/>
      </c>
      <c r="AH2857" s="49">
        <f>LEFT(J2857,2)</f>
        <v/>
      </c>
    </row>
    <row r="2858" ht="12.75" customHeight="1">
      <c r="H2858" s="43" t="n"/>
      <c r="AG2858" s="49">
        <f>IFERROR(__xludf.DUMMYFUNCTION("IFNA(vlookup(H2858,IMPORTRANGE(""1vUGwO1n0QQGx9kKbO0_M5gmuhXZ6-LaxQxgrmJnzgP0"",""'TP# look up'!A:C""),3,0),"""")"),"")</f>
        <v/>
      </c>
      <c r="AH2858" s="49">
        <f>LEFT(J2858,2)</f>
        <v/>
      </c>
    </row>
    <row r="2859" ht="12.75" customHeight="1">
      <c r="H2859" s="43" t="n"/>
      <c r="AG2859" s="49">
        <f>IFERROR(__xludf.DUMMYFUNCTION("IFNA(vlookup(H2859,IMPORTRANGE(""1vUGwO1n0QQGx9kKbO0_M5gmuhXZ6-LaxQxgrmJnzgP0"",""'TP# look up'!A:C""),3,0),"""")"),"")</f>
        <v/>
      </c>
      <c r="AH2859" s="49">
        <f>LEFT(J2859,2)</f>
        <v/>
      </c>
    </row>
    <row r="2860" ht="12.75" customHeight="1">
      <c r="H2860" s="43" t="n"/>
      <c r="AG2860" s="49">
        <f>IFERROR(__xludf.DUMMYFUNCTION("IFNA(vlookup(H2860,IMPORTRANGE(""1vUGwO1n0QQGx9kKbO0_M5gmuhXZ6-LaxQxgrmJnzgP0"",""'TP# look up'!A:C""),3,0),"""")"),"")</f>
        <v/>
      </c>
      <c r="AH2860" s="49">
        <f>LEFT(J2860,2)</f>
        <v/>
      </c>
    </row>
    <row r="2861" ht="12.75" customHeight="1">
      <c r="H2861" s="43" t="n"/>
      <c r="AG2861" s="49">
        <f>IFERROR(__xludf.DUMMYFUNCTION("IFNA(vlookup(H2861,IMPORTRANGE(""1vUGwO1n0QQGx9kKbO0_M5gmuhXZ6-LaxQxgrmJnzgP0"",""'TP# look up'!A:C""),3,0),"""")"),"")</f>
        <v/>
      </c>
      <c r="AH2861" s="49">
        <f>LEFT(J2861,2)</f>
        <v/>
      </c>
    </row>
    <row r="2862" ht="12.75" customHeight="1">
      <c r="H2862" s="43" t="n"/>
      <c r="AG2862" s="49">
        <f>IFERROR(__xludf.DUMMYFUNCTION("IFNA(vlookup(H2862,IMPORTRANGE(""1vUGwO1n0QQGx9kKbO0_M5gmuhXZ6-LaxQxgrmJnzgP0"",""'TP# look up'!A:C""),3,0),"""")"),"")</f>
        <v/>
      </c>
      <c r="AH2862" s="49">
        <f>LEFT(J2862,2)</f>
        <v/>
      </c>
    </row>
    <row r="2863" ht="12.75" customHeight="1">
      <c r="H2863" s="43" t="n"/>
      <c r="AG2863" s="49">
        <f>IFERROR(__xludf.DUMMYFUNCTION("IFNA(vlookup(H2863,IMPORTRANGE(""1vUGwO1n0QQGx9kKbO0_M5gmuhXZ6-LaxQxgrmJnzgP0"",""'TP# look up'!A:C""),3,0),"""")"),"")</f>
        <v/>
      </c>
      <c r="AH2863" s="49">
        <f>LEFT(J2863,2)</f>
        <v/>
      </c>
    </row>
    <row r="2864" ht="12.75" customHeight="1">
      <c r="H2864" s="43" t="n"/>
      <c r="AG2864" s="49">
        <f>IFERROR(__xludf.DUMMYFUNCTION("IFNA(vlookup(H2864,IMPORTRANGE(""1vUGwO1n0QQGx9kKbO0_M5gmuhXZ6-LaxQxgrmJnzgP0"",""'TP# look up'!A:C""),3,0),"""")"),"")</f>
        <v/>
      </c>
      <c r="AH2864" s="49">
        <f>LEFT(J2864,2)</f>
        <v/>
      </c>
    </row>
    <row r="2865" ht="12.75" customHeight="1">
      <c r="H2865" s="43" t="n"/>
      <c r="AG2865" s="49">
        <f>IFERROR(__xludf.DUMMYFUNCTION("IFNA(vlookup(H2865,IMPORTRANGE(""1vUGwO1n0QQGx9kKbO0_M5gmuhXZ6-LaxQxgrmJnzgP0"",""'TP# look up'!A:C""),3,0),"""")"),"")</f>
        <v/>
      </c>
      <c r="AH2865" s="49">
        <f>LEFT(J2865,2)</f>
        <v/>
      </c>
    </row>
    <row r="2866" ht="12.75" customHeight="1">
      <c r="H2866" s="43" t="n"/>
      <c r="AG2866" s="49">
        <f>IFERROR(__xludf.DUMMYFUNCTION("IFNA(vlookup(H2866,IMPORTRANGE(""1vUGwO1n0QQGx9kKbO0_M5gmuhXZ6-LaxQxgrmJnzgP0"",""'TP# look up'!A:C""),3,0),"""")"),"")</f>
        <v/>
      </c>
      <c r="AH2866" s="49">
        <f>LEFT(J2866,2)</f>
        <v/>
      </c>
    </row>
    <row r="2867" ht="12.75" customHeight="1">
      <c r="H2867" s="43" t="n"/>
      <c r="AG2867" s="49">
        <f>IFERROR(__xludf.DUMMYFUNCTION("IFNA(vlookup(H2867,IMPORTRANGE(""1vUGwO1n0QQGx9kKbO0_M5gmuhXZ6-LaxQxgrmJnzgP0"",""'TP# look up'!A:C""),3,0),"""")"),"")</f>
        <v/>
      </c>
      <c r="AH2867" s="49">
        <f>LEFT(J2867,2)</f>
        <v/>
      </c>
    </row>
    <row r="2868" ht="12.75" customHeight="1">
      <c r="H2868" s="43" t="n"/>
      <c r="AG2868" s="49">
        <f>IFERROR(__xludf.DUMMYFUNCTION("IFNA(vlookup(H2868,IMPORTRANGE(""1vUGwO1n0QQGx9kKbO0_M5gmuhXZ6-LaxQxgrmJnzgP0"",""'TP# look up'!A:C""),3,0),"""")"),"")</f>
        <v/>
      </c>
      <c r="AH2868" s="49">
        <f>LEFT(J2868,2)</f>
        <v/>
      </c>
    </row>
    <row r="2869" ht="12.75" customHeight="1">
      <c r="H2869" s="43" t="n"/>
      <c r="AG2869" s="49">
        <f>IFERROR(__xludf.DUMMYFUNCTION("IFNA(vlookup(H2869,IMPORTRANGE(""1vUGwO1n0QQGx9kKbO0_M5gmuhXZ6-LaxQxgrmJnzgP0"",""'TP# look up'!A:C""),3,0),"""")"),"")</f>
        <v/>
      </c>
      <c r="AH2869" s="49">
        <f>LEFT(J2869,2)</f>
        <v/>
      </c>
    </row>
    <row r="2870" ht="12.75" customHeight="1">
      <c r="H2870" s="43" t="n"/>
      <c r="AG2870" s="49">
        <f>IFERROR(__xludf.DUMMYFUNCTION("IFNA(vlookup(H2870,IMPORTRANGE(""1vUGwO1n0QQGx9kKbO0_M5gmuhXZ6-LaxQxgrmJnzgP0"",""'TP# look up'!A:C""),3,0),"""")"),"")</f>
        <v/>
      </c>
      <c r="AH2870" s="49">
        <f>LEFT(J2870,2)</f>
        <v/>
      </c>
    </row>
    <row r="2871" ht="12.75" customHeight="1">
      <c r="H2871" s="43" t="n"/>
      <c r="AG2871" s="49">
        <f>IFERROR(__xludf.DUMMYFUNCTION("IFNA(vlookup(H2871,IMPORTRANGE(""1vUGwO1n0QQGx9kKbO0_M5gmuhXZ6-LaxQxgrmJnzgP0"",""'TP# look up'!A:C""),3,0),"""")"),"")</f>
        <v/>
      </c>
      <c r="AH2871" s="49">
        <f>LEFT(J2871,2)</f>
        <v/>
      </c>
    </row>
    <row r="2872" ht="12.75" customHeight="1">
      <c r="H2872" s="43" t="n"/>
      <c r="AG2872" s="49">
        <f>IFERROR(__xludf.DUMMYFUNCTION("IFNA(vlookup(H2872,IMPORTRANGE(""1vUGwO1n0QQGx9kKbO0_M5gmuhXZ6-LaxQxgrmJnzgP0"",""'TP# look up'!A:C""),3,0),"""")"),"")</f>
        <v/>
      </c>
      <c r="AH2872" s="49">
        <f>LEFT(J2872,2)</f>
        <v/>
      </c>
    </row>
    <row r="2873" ht="12.75" customHeight="1">
      <c r="H2873" s="43" t="n"/>
      <c r="AG2873" s="49">
        <f>IFERROR(__xludf.DUMMYFUNCTION("IFNA(vlookup(H2873,IMPORTRANGE(""1vUGwO1n0QQGx9kKbO0_M5gmuhXZ6-LaxQxgrmJnzgP0"",""'TP# look up'!A:C""),3,0),"""")"),"")</f>
        <v/>
      </c>
      <c r="AH2873" s="49">
        <f>LEFT(J2873,2)</f>
        <v/>
      </c>
    </row>
    <row r="2874" ht="12.75" customHeight="1">
      <c r="H2874" s="43" t="n"/>
      <c r="AG2874" s="49">
        <f>IFERROR(__xludf.DUMMYFUNCTION("IFNA(vlookup(H2874,IMPORTRANGE(""1vUGwO1n0QQGx9kKbO0_M5gmuhXZ6-LaxQxgrmJnzgP0"",""'TP# look up'!A:C""),3,0),"""")"),"")</f>
        <v/>
      </c>
      <c r="AH2874" s="49">
        <f>LEFT(J2874,2)</f>
        <v/>
      </c>
    </row>
    <row r="2875" ht="12.75" customHeight="1">
      <c r="H2875" s="43" t="n"/>
      <c r="AG2875" s="49">
        <f>IFERROR(__xludf.DUMMYFUNCTION("IFNA(vlookup(H2875,IMPORTRANGE(""1vUGwO1n0QQGx9kKbO0_M5gmuhXZ6-LaxQxgrmJnzgP0"",""'TP# look up'!A:C""),3,0),"""")"),"")</f>
        <v/>
      </c>
      <c r="AH2875" s="49">
        <f>LEFT(J2875,2)</f>
        <v/>
      </c>
    </row>
    <row r="2876" ht="12.75" customHeight="1">
      <c r="H2876" s="43" t="n"/>
      <c r="AG2876" s="49">
        <f>IFERROR(__xludf.DUMMYFUNCTION("IFNA(vlookup(H2876,IMPORTRANGE(""1vUGwO1n0QQGx9kKbO0_M5gmuhXZ6-LaxQxgrmJnzgP0"",""'TP# look up'!A:C""),3,0),"""")"),"")</f>
        <v/>
      </c>
      <c r="AH2876" s="49">
        <f>LEFT(J2876,2)</f>
        <v/>
      </c>
    </row>
    <row r="2877" ht="12.75" customHeight="1">
      <c r="H2877" s="43" t="n"/>
      <c r="AG2877" s="49">
        <f>IFERROR(__xludf.DUMMYFUNCTION("IFNA(vlookup(H2877,IMPORTRANGE(""1vUGwO1n0QQGx9kKbO0_M5gmuhXZ6-LaxQxgrmJnzgP0"",""'TP# look up'!A:C""),3,0),"""")"),"")</f>
        <v/>
      </c>
      <c r="AH2877" s="49">
        <f>LEFT(J2877,2)</f>
        <v/>
      </c>
    </row>
    <row r="2878" ht="12.75" customHeight="1">
      <c r="H2878" s="43" t="n"/>
      <c r="AG2878" s="49">
        <f>IFERROR(__xludf.DUMMYFUNCTION("IFNA(vlookup(H2878,IMPORTRANGE(""1vUGwO1n0QQGx9kKbO0_M5gmuhXZ6-LaxQxgrmJnzgP0"",""'TP# look up'!A:C""),3,0),"""")"),"")</f>
        <v/>
      </c>
      <c r="AH2878" s="49">
        <f>LEFT(J2878,2)</f>
        <v/>
      </c>
    </row>
    <row r="2879" ht="12.75" customHeight="1">
      <c r="H2879" s="43" t="n"/>
      <c r="AG2879" s="49">
        <f>IFERROR(__xludf.DUMMYFUNCTION("IFNA(vlookup(H2879,IMPORTRANGE(""1vUGwO1n0QQGx9kKbO0_M5gmuhXZ6-LaxQxgrmJnzgP0"",""'TP# look up'!A:C""),3,0),"""")"),"")</f>
        <v/>
      </c>
      <c r="AH2879" s="49">
        <f>LEFT(J2879,2)</f>
        <v/>
      </c>
    </row>
    <row r="2880" ht="12.75" customHeight="1">
      <c r="H2880" s="43" t="n"/>
      <c r="AG2880" s="49">
        <f>IFERROR(__xludf.DUMMYFUNCTION("IFNA(vlookup(H2880,IMPORTRANGE(""1vUGwO1n0QQGx9kKbO0_M5gmuhXZ6-LaxQxgrmJnzgP0"",""'TP# look up'!A:C""),3,0),"""")"),"")</f>
        <v/>
      </c>
      <c r="AH2880" s="49">
        <f>LEFT(J2880,2)</f>
        <v/>
      </c>
    </row>
    <row r="2881" ht="12.75" customHeight="1">
      <c r="H2881" s="43" t="n"/>
      <c r="AG2881" s="49">
        <f>IFERROR(__xludf.DUMMYFUNCTION("IFNA(vlookup(H2881,IMPORTRANGE(""1vUGwO1n0QQGx9kKbO0_M5gmuhXZ6-LaxQxgrmJnzgP0"",""'TP# look up'!A:C""),3,0),"""")"),"")</f>
        <v/>
      </c>
      <c r="AH2881" s="49">
        <f>LEFT(J2881,2)</f>
        <v/>
      </c>
    </row>
    <row r="2882" ht="12.75" customHeight="1">
      <c r="H2882" s="43" t="n"/>
      <c r="AG2882" s="49">
        <f>IFERROR(__xludf.DUMMYFUNCTION("IFNA(vlookup(H2882,IMPORTRANGE(""1vUGwO1n0QQGx9kKbO0_M5gmuhXZ6-LaxQxgrmJnzgP0"",""'TP# look up'!A:C""),3,0),"""")"),"")</f>
        <v/>
      </c>
      <c r="AH2882" s="49">
        <f>LEFT(J2882,2)</f>
        <v/>
      </c>
    </row>
    <row r="2883" ht="12.75" customHeight="1">
      <c r="H2883" s="43" t="n"/>
      <c r="AG2883" s="49">
        <f>IFERROR(__xludf.DUMMYFUNCTION("IFNA(vlookup(H2883,IMPORTRANGE(""1vUGwO1n0QQGx9kKbO0_M5gmuhXZ6-LaxQxgrmJnzgP0"",""'TP# look up'!A:C""),3,0),"""")"),"")</f>
        <v/>
      </c>
      <c r="AH2883" s="49">
        <f>LEFT(J2883,2)</f>
        <v/>
      </c>
    </row>
    <row r="2884" ht="12.75" customHeight="1">
      <c r="H2884" s="43" t="n"/>
      <c r="AG2884" s="49">
        <f>IFERROR(__xludf.DUMMYFUNCTION("IFNA(vlookup(H2884,IMPORTRANGE(""1vUGwO1n0QQGx9kKbO0_M5gmuhXZ6-LaxQxgrmJnzgP0"",""'TP# look up'!A:C""),3,0),"""")"),"")</f>
        <v/>
      </c>
      <c r="AH2884" s="49">
        <f>LEFT(J2884,2)</f>
        <v/>
      </c>
    </row>
    <row r="2885" ht="12.75" customHeight="1">
      <c r="H2885" s="43" t="n"/>
      <c r="AG2885" s="49">
        <f>IFERROR(__xludf.DUMMYFUNCTION("IFNA(vlookup(H2885,IMPORTRANGE(""1vUGwO1n0QQGx9kKbO0_M5gmuhXZ6-LaxQxgrmJnzgP0"",""'TP# look up'!A:C""),3,0),"""")"),"")</f>
        <v/>
      </c>
      <c r="AH2885" s="49">
        <f>LEFT(J2885,2)</f>
        <v/>
      </c>
    </row>
    <row r="2886" ht="12.75" customHeight="1">
      <c r="H2886" s="43" t="n"/>
      <c r="AG2886" s="49">
        <f>IFERROR(__xludf.DUMMYFUNCTION("IFNA(vlookup(H2886,IMPORTRANGE(""1vUGwO1n0QQGx9kKbO0_M5gmuhXZ6-LaxQxgrmJnzgP0"",""'TP# look up'!A:C""),3,0),"""")"),"")</f>
        <v/>
      </c>
      <c r="AH2886" s="49">
        <f>LEFT(J2886,2)</f>
        <v/>
      </c>
    </row>
    <row r="2887" ht="12.75" customHeight="1">
      <c r="H2887" s="43" t="n"/>
      <c r="AG2887" s="49">
        <f>IFERROR(__xludf.DUMMYFUNCTION("IFNA(vlookup(H2887,IMPORTRANGE(""1vUGwO1n0QQGx9kKbO0_M5gmuhXZ6-LaxQxgrmJnzgP0"",""'TP# look up'!A:C""),3,0),"""")"),"")</f>
        <v/>
      </c>
      <c r="AH2887" s="49">
        <f>LEFT(J2887,2)</f>
        <v/>
      </c>
    </row>
    <row r="2888" ht="12.75" customHeight="1">
      <c r="H2888" s="43" t="n"/>
      <c r="AG2888" s="49">
        <f>IFERROR(__xludf.DUMMYFUNCTION("IFNA(vlookup(H2888,IMPORTRANGE(""1vUGwO1n0QQGx9kKbO0_M5gmuhXZ6-LaxQxgrmJnzgP0"",""'TP# look up'!A:C""),3,0),"""")"),"")</f>
        <v/>
      </c>
      <c r="AH2888" s="49">
        <f>LEFT(J2888,2)</f>
        <v/>
      </c>
    </row>
    <row r="2889" ht="12.75" customHeight="1">
      <c r="H2889" s="43" t="n"/>
      <c r="AG2889" s="49">
        <f>IFERROR(__xludf.DUMMYFUNCTION("IFNA(vlookup(H2889,IMPORTRANGE(""1vUGwO1n0QQGx9kKbO0_M5gmuhXZ6-LaxQxgrmJnzgP0"",""'TP# look up'!A:C""),3,0),"""")"),"")</f>
        <v/>
      </c>
      <c r="AH2889" s="49">
        <f>LEFT(J2889,2)</f>
        <v/>
      </c>
    </row>
    <row r="2890" ht="12.75" customHeight="1">
      <c r="H2890" s="43" t="n"/>
      <c r="AG2890" s="49">
        <f>IFERROR(__xludf.DUMMYFUNCTION("IFNA(vlookup(H2890,IMPORTRANGE(""1vUGwO1n0QQGx9kKbO0_M5gmuhXZ6-LaxQxgrmJnzgP0"",""'TP# look up'!A:C""),3,0),"""")"),"")</f>
        <v/>
      </c>
      <c r="AH2890" s="49">
        <f>LEFT(J2890,2)</f>
        <v/>
      </c>
    </row>
    <row r="2891" ht="12.75" customHeight="1">
      <c r="H2891" s="43" t="n"/>
      <c r="AG2891" s="49">
        <f>IFERROR(__xludf.DUMMYFUNCTION("IFNA(vlookup(H2891,IMPORTRANGE(""1vUGwO1n0QQGx9kKbO0_M5gmuhXZ6-LaxQxgrmJnzgP0"",""'TP# look up'!A:C""),3,0),"""")"),"")</f>
        <v/>
      </c>
      <c r="AH2891" s="49">
        <f>LEFT(J2891,2)</f>
        <v/>
      </c>
    </row>
    <row r="2892" ht="12.75" customHeight="1">
      <c r="H2892" s="43" t="n"/>
      <c r="AG2892" s="49">
        <f>IFERROR(__xludf.DUMMYFUNCTION("IFNA(vlookup(H2892,IMPORTRANGE(""1vUGwO1n0QQGx9kKbO0_M5gmuhXZ6-LaxQxgrmJnzgP0"",""'TP# look up'!A:C""),3,0),"""")"),"")</f>
        <v/>
      </c>
      <c r="AH2892" s="49">
        <f>LEFT(J2892,2)</f>
        <v/>
      </c>
    </row>
    <row r="2893" ht="12.75" customHeight="1">
      <c r="H2893" s="43" t="n"/>
      <c r="AG2893" s="49">
        <f>IFERROR(__xludf.DUMMYFUNCTION("IFNA(vlookup(H2893,IMPORTRANGE(""1vUGwO1n0QQGx9kKbO0_M5gmuhXZ6-LaxQxgrmJnzgP0"",""'TP# look up'!A:C""),3,0),"""")"),"")</f>
        <v/>
      </c>
      <c r="AH2893" s="49">
        <f>LEFT(J2893,2)</f>
        <v/>
      </c>
    </row>
    <row r="2894" ht="12.75" customHeight="1">
      <c r="H2894" s="43" t="n"/>
      <c r="AG2894" s="49">
        <f>IFERROR(__xludf.DUMMYFUNCTION("IFNA(vlookup(H2894,IMPORTRANGE(""1vUGwO1n0QQGx9kKbO0_M5gmuhXZ6-LaxQxgrmJnzgP0"",""'TP# look up'!A:C""),3,0),"""")"),"")</f>
        <v/>
      </c>
      <c r="AH2894" s="49">
        <f>LEFT(J2894,2)</f>
        <v/>
      </c>
    </row>
    <row r="2895" ht="12.75" customHeight="1">
      <c r="H2895" s="43" t="n"/>
      <c r="AG2895" s="49">
        <f>IFERROR(__xludf.DUMMYFUNCTION("IFNA(vlookup(H2895,IMPORTRANGE(""1vUGwO1n0QQGx9kKbO0_M5gmuhXZ6-LaxQxgrmJnzgP0"",""'TP# look up'!A:C""),3,0),"""")"),"")</f>
        <v/>
      </c>
      <c r="AH2895" s="49">
        <f>LEFT(J2895,2)</f>
        <v/>
      </c>
    </row>
    <row r="2896" ht="12.75" customHeight="1">
      <c r="H2896" s="43" t="n"/>
      <c r="AG2896" s="49">
        <f>IFERROR(__xludf.DUMMYFUNCTION("IFNA(vlookup(H2896,IMPORTRANGE(""1vUGwO1n0QQGx9kKbO0_M5gmuhXZ6-LaxQxgrmJnzgP0"",""'TP# look up'!A:C""),3,0),"""")"),"")</f>
        <v/>
      </c>
      <c r="AH2896" s="49">
        <f>LEFT(J2896,2)</f>
        <v/>
      </c>
    </row>
    <row r="2897" ht="12.75" customHeight="1">
      <c r="H2897" s="43" t="n"/>
      <c r="AG2897" s="49">
        <f>IFERROR(__xludf.DUMMYFUNCTION("IFNA(vlookup(H2897,IMPORTRANGE(""1vUGwO1n0QQGx9kKbO0_M5gmuhXZ6-LaxQxgrmJnzgP0"",""'TP# look up'!A:C""),3,0),"""")"),"")</f>
        <v/>
      </c>
      <c r="AH2897" s="49">
        <f>LEFT(J2897,2)</f>
        <v/>
      </c>
    </row>
    <row r="2898" ht="12.75" customHeight="1">
      <c r="H2898" s="43" t="n"/>
      <c r="AG2898" s="49">
        <f>IFERROR(__xludf.DUMMYFUNCTION("IFNA(vlookup(H2898,IMPORTRANGE(""1vUGwO1n0QQGx9kKbO0_M5gmuhXZ6-LaxQxgrmJnzgP0"",""'TP# look up'!A:C""),3,0),"""")"),"")</f>
        <v/>
      </c>
      <c r="AH2898" s="49">
        <f>LEFT(J2898,2)</f>
        <v/>
      </c>
    </row>
    <row r="2899" ht="12.75" customHeight="1">
      <c r="H2899" s="43" t="n"/>
      <c r="AG2899" s="49">
        <f>IFERROR(__xludf.DUMMYFUNCTION("IFNA(vlookup(H2899,IMPORTRANGE(""1vUGwO1n0QQGx9kKbO0_M5gmuhXZ6-LaxQxgrmJnzgP0"",""'TP# look up'!A:C""),3,0),"""")"),"")</f>
        <v/>
      </c>
      <c r="AH2899" s="49">
        <f>LEFT(J2899,2)</f>
        <v/>
      </c>
    </row>
    <row r="2900" ht="12.75" customHeight="1">
      <c r="H2900" s="43" t="n"/>
      <c r="AG2900" s="49">
        <f>IFERROR(__xludf.DUMMYFUNCTION("IFNA(vlookup(H2900,IMPORTRANGE(""1vUGwO1n0QQGx9kKbO0_M5gmuhXZ6-LaxQxgrmJnzgP0"",""'TP# look up'!A:C""),3,0),"""")"),"")</f>
        <v/>
      </c>
      <c r="AH2900" s="49">
        <f>LEFT(J2900,2)</f>
        <v/>
      </c>
    </row>
    <row r="2901" ht="12.75" customHeight="1">
      <c r="H2901" s="43" t="n"/>
      <c r="AG2901" s="49">
        <f>IFERROR(__xludf.DUMMYFUNCTION("IFNA(vlookup(H2901,IMPORTRANGE(""1vUGwO1n0QQGx9kKbO0_M5gmuhXZ6-LaxQxgrmJnzgP0"",""'TP# look up'!A:C""),3,0),"""")"),"")</f>
        <v/>
      </c>
      <c r="AH2901" s="49">
        <f>LEFT(J2901,2)</f>
        <v/>
      </c>
    </row>
    <row r="2902" ht="12.75" customHeight="1">
      <c r="H2902" s="43" t="n"/>
      <c r="AG2902" s="49">
        <f>IFERROR(__xludf.DUMMYFUNCTION("IFNA(vlookup(H2902,IMPORTRANGE(""1vUGwO1n0QQGx9kKbO0_M5gmuhXZ6-LaxQxgrmJnzgP0"",""'TP# look up'!A:C""),3,0),"""")"),"")</f>
        <v/>
      </c>
      <c r="AH2902" s="49">
        <f>LEFT(J2902,2)</f>
        <v/>
      </c>
    </row>
    <row r="2903" ht="12.75" customHeight="1">
      <c r="H2903" s="43" t="n"/>
      <c r="AG2903" s="49">
        <f>IFERROR(__xludf.DUMMYFUNCTION("IFNA(vlookup(H2903,IMPORTRANGE(""1vUGwO1n0QQGx9kKbO0_M5gmuhXZ6-LaxQxgrmJnzgP0"",""'TP# look up'!A:C""),3,0),"""")"),"")</f>
        <v/>
      </c>
      <c r="AH2903" s="49">
        <f>LEFT(J2903,2)</f>
        <v/>
      </c>
    </row>
    <row r="2904" ht="12.75" customHeight="1">
      <c r="H2904" s="43" t="n"/>
      <c r="AG2904" s="49">
        <f>IFERROR(__xludf.DUMMYFUNCTION("IFNA(vlookup(H2904,IMPORTRANGE(""1vUGwO1n0QQGx9kKbO0_M5gmuhXZ6-LaxQxgrmJnzgP0"",""'TP# look up'!A:C""),3,0),"""")"),"")</f>
        <v/>
      </c>
      <c r="AH2904" s="49">
        <f>LEFT(J2904,2)</f>
        <v/>
      </c>
    </row>
    <row r="2905" ht="12.75" customHeight="1">
      <c r="H2905" s="43" t="n"/>
      <c r="AG2905" s="49">
        <f>IFERROR(__xludf.DUMMYFUNCTION("IFNA(vlookup(H2905,IMPORTRANGE(""1vUGwO1n0QQGx9kKbO0_M5gmuhXZ6-LaxQxgrmJnzgP0"",""'TP# look up'!A:C""),3,0),"""")"),"")</f>
        <v/>
      </c>
      <c r="AH2905" s="49">
        <f>LEFT(J2905,2)</f>
        <v/>
      </c>
    </row>
    <row r="2906" ht="12.75" customHeight="1">
      <c r="H2906" s="43" t="n"/>
      <c r="AG2906" s="49">
        <f>IFERROR(__xludf.DUMMYFUNCTION("IFNA(vlookup(H2906,IMPORTRANGE(""1vUGwO1n0QQGx9kKbO0_M5gmuhXZ6-LaxQxgrmJnzgP0"",""'TP# look up'!A:C""),3,0),"""")"),"")</f>
        <v/>
      </c>
      <c r="AH2906" s="49">
        <f>LEFT(J2906,2)</f>
        <v/>
      </c>
    </row>
    <row r="2907" ht="12.75" customHeight="1">
      <c r="H2907" s="43" t="n"/>
      <c r="AG2907" s="49">
        <f>IFERROR(__xludf.DUMMYFUNCTION("IFNA(vlookup(H2907,IMPORTRANGE(""1vUGwO1n0QQGx9kKbO0_M5gmuhXZ6-LaxQxgrmJnzgP0"",""'TP# look up'!A:C""),3,0),"""")"),"")</f>
        <v/>
      </c>
      <c r="AH2907" s="49">
        <f>LEFT(J2907,2)</f>
        <v/>
      </c>
    </row>
    <row r="2908" ht="12.75" customHeight="1">
      <c r="H2908" s="43" t="n"/>
      <c r="AG2908" s="49">
        <f>IFERROR(__xludf.DUMMYFUNCTION("IFNA(vlookup(H2908,IMPORTRANGE(""1vUGwO1n0QQGx9kKbO0_M5gmuhXZ6-LaxQxgrmJnzgP0"",""'TP# look up'!A:C""),3,0),"""")"),"")</f>
        <v/>
      </c>
      <c r="AH2908" s="49">
        <f>LEFT(J2908,2)</f>
        <v/>
      </c>
    </row>
    <row r="2909" ht="12.75" customHeight="1">
      <c r="H2909" s="43" t="n"/>
      <c r="AG2909" s="49">
        <f>IFERROR(__xludf.DUMMYFUNCTION("IFNA(vlookup(H2909,IMPORTRANGE(""1vUGwO1n0QQGx9kKbO0_M5gmuhXZ6-LaxQxgrmJnzgP0"",""'TP# look up'!A:C""),3,0),"""")"),"")</f>
        <v/>
      </c>
      <c r="AH2909" s="49">
        <f>LEFT(J2909,2)</f>
        <v/>
      </c>
    </row>
    <row r="2910" ht="12.75" customHeight="1">
      <c r="H2910" s="43" t="n"/>
      <c r="AG2910" s="49">
        <f>IFERROR(__xludf.DUMMYFUNCTION("IFNA(vlookup(H2910,IMPORTRANGE(""1vUGwO1n0QQGx9kKbO0_M5gmuhXZ6-LaxQxgrmJnzgP0"",""'TP# look up'!A:C""),3,0),"""")"),"")</f>
        <v/>
      </c>
      <c r="AH2910" s="49">
        <f>LEFT(J2910,2)</f>
        <v/>
      </c>
    </row>
    <row r="2911" ht="12.75" customHeight="1">
      <c r="H2911" s="43" t="n"/>
      <c r="AG2911" s="49">
        <f>IFERROR(__xludf.DUMMYFUNCTION("IFNA(vlookup(H2911,IMPORTRANGE(""1vUGwO1n0QQGx9kKbO0_M5gmuhXZ6-LaxQxgrmJnzgP0"",""'TP# look up'!A:C""),3,0),"""")"),"")</f>
        <v/>
      </c>
      <c r="AH2911" s="49">
        <f>LEFT(J2911,2)</f>
        <v/>
      </c>
    </row>
    <row r="2912" ht="12.75" customHeight="1">
      <c r="H2912" s="43" t="n"/>
      <c r="AG2912" s="49">
        <f>IFERROR(__xludf.DUMMYFUNCTION("IFNA(vlookup(H2912,IMPORTRANGE(""1vUGwO1n0QQGx9kKbO0_M5gmuhXZ6-LaxQxgrmJnzgP0"",""'TP# look up'!A:C""),3,0),"""")"),"")</f>
        <v/>
      </c>
      <c r="AH2912" s="49">
        <f>LEFT(J2912,2)</f>
        <v/>
      </c>
    </row>
    <row r="2913" ht="12.75" customHeight="1">
      <c r="H2913" s="43" t="n"/>
      <c r="AG2913" s="49">
        <f>IFERROR(__xludf.DUMMYFUNCTION("IFNA(vlookup(H2913,IMPORTRANGE(""1vUGwO1n0QQGx9kKbO0_M5gmuhXZ6-LaxQxgrmJnzgP0"",""'TP# look up'!A:C""),3,0),"""")"),"")</f>
        <v/>
      </c>
      <c r="AH2913" s="49">
        <f>LEFT(J2913,2)</f>
        <v/>
      </c>
    </row>
    <row r="2914" ht="12.75" customHeight="1">
      <c r="H2914" s="43" t="n"/>
      <c r="AG2914" s="49">
        <f>IFERROR(__xludf.DUMMYFUNCTION("IFNA(vlookup(H2914,IMPORTRANGE(""1vUGwO1n0QQGx9kKbO0_M5gmuhXZ6-LaxQxgrmJnzgP0"",""'TP# look up'!A:C""),3,0),"""")"),"")</f>
        <v/>
      </c>
      <c r="AH2914" s="49">
        <f>LEFT(J2914,2)</f>
        <v/>
      </c>
    </row>
    <row r="2915" ht="12.75" customHeight="1">
      <c r="H2915" s="43" t="n"/>
      <c r="AG2915" s="49">
        <f>IFERROR(__xludf.DUMMYFUNCTION("IFNA(vlookup(H2915,IMPORTRANGE(""1vUGwO1n0QQGx9kKbO0_M5gmuhXZ6-LaxQxgrmJnzgP0"",""'TP# look up'!A:C""),3,0),"""")"),"")</f>
        <v/>
      </c>
      <c r="AH2915" s="49">
        <f>LEFT(J2915,2)</f>
        <v/>
      </c>
    </row>
    <row r="2916" ht="12.75" customHeight="1">
      <c r="H2916" s="43" t="n"/>
      <c r="AG2916" s="49">
        <f>IFERROR(__xludf.DUMMYFUNCTION("IFNA(vlookup(H2916,IMPORTRANGE(""1vUGwO1n0QQGx9kKbO0_M5gmuhXZ6-LaxQxgrmJnzgP0"",""'TP# look up'!A:C""),3,0),"""")"),"")</f>
        <v/>
      </c>
      <c r="AH2916" s="49">
        <f>LEFT(J2916,2)</f>
        <v/>
      </c>
    </row>
    <row r="2917" ht="12.75" customHeight="1">
      <c r="H2917" s="43" t="n"/>
      <c r="AG2917" s="49">
        <f>IFERROR(__xludf.DUMMYFUNCTION("IFNA(vlookup(H2917,IMPORTRANGE(""1vUGwO1n0QQGx9kKbO0_M5gmuhXZ6-LaxQxgrmJnzgP0"",""'TP# look up'!A:C""),3,0),"""")"),"")</f>
        <v/>
      </c>
      <c r="AH2917" s="49">
        <f>LEFT(J2917,2)</f>
        <v/>
      </c>
    </row>
    <row r="2918" ht="12.75" customHeight="1">
      <c r="H2918" s="43" t="n"/>
      <c r="AG2918" s="49">
        <f>IFERROR(__xludf.DUMMYFUNCTION("IFNA(vlookup(H2918,IMPORTRANGE(""1vUGwO1n0QQGx9kKbO0_M5gmuhXZ6-LaxQxgrmJnzgP0"",""'TP# look up'!A:C""),3,0),"""")"),"")</f>
        <v/>
      </c>
      <c r="AH2918" s="49">
        <f>LEFT(J2918,2)</f>
        <v/>
      </c>
    </row>
    <row r="2919" ht="12.75" customHeight="1">
      <c r="H2919" s="43" t="n"/>
      <c r="AG2919" s="49">
        <f>IFERROR(__xludf.DUMMYFUNCTION("IFNA(vlookup(H2919,IMPORTRANGE(""1vUGwO1n0QQGx9kKbO0_M5gmuhXZ6-LaxQxgrmJnzgP0"",""'TP# look up'!A:C""),3,0),"""")"),"")</f>
        <v/>
      </c>
      <c r="AH2919" s="49">
        <f>LEFT(J2919,2)</f>
        <v/>
      </c>
    </row>
    <row r="2920" ht="12.75" customHeight="1">
      <c r="H2920" s="43" t="n"/>
      <c r="AG2920" s="49">
        <f>IFERROR(__xludf.DUMMYFUNCTION("IFNA(vlookup(H2920,IMPORTRANGE(""1vUGwO1n0QQGx9kKbO0_M5gmuhXZ6-LaxQxgrmJnzgP0"",""'TP# look up'!A:C""),3,0),"""")"),"")</f>
        <v/>
      </c>
      <c r="AH2920" s="49">
        <f>LEFT(J2920,2)</f>
        <v/>
      </c>
    </row>
    <row r="2921" ht="12.75" customHeight="1">
      <c r="H2921" s="43" t="n"/>
      <c r="AG2921" s="49">
        <f>IFERROR(__xludf.DUMMYFUNCTION("IFNA(vlookup(H2921,IMPORTRANGE(""1vUGwO1n0QQGx9kKbO0_M5gmuhXZ6-LaxQxgrmJnzgP0"",""'TP# look up'!A:C""),3,0),"""")"),"")</f>
        <v/>
      </c>
      <c r="AH2921" s="49">
        <f>LEFT(J2921,2)</f>
        <v/>
      </c>
    </row>
    <row r="2922" ht="12.75" customHeight="1">
      <c r="H2922" s="43" t="n"/>
      <c r="AG2922" s="49">
        <f>IFERROR(__xludf.DUMMYFUNCTION("IFNA(vlookup(H2922,IMPORTRANGE(""1vUGwO1n0QQGx9kKbO0_M5gmuhXZ6-LaxQxgrmJnzgP0"",""'TP# look up'!A:C""),3,0),"""")"),"")</f>
        <v/>
      </c>
      <c r="AH2922" s="49">
        <f>LEFT(J2922,2)</f>
        <v/>
      </c>
    </row>
    <row r="2923" ht="12.75" customHeight="1">
      <c r="H2923" s="43" t="n"/>
      <c r="AG2923" s="49">
        <f>IFERROR(__xludf.DUMMYFUNCTION("IFNA(vlookup(H2923,IMPORTRANGE(""1vUGwO1n0QQGx9kKbO0_M5gmuhXZ6-LaxQxgrmJnzgP0"",""'TP# look up'!A:C""),3,0),"""")"),"")</f>
        <v/>
      </c>
      <c r="AH2923" s="49">
        <f>LEFT(J2923,2)</f>
        <v/>
      </c>
    </row>
    <row r="2924" ht="12.75" customHeight="1">
      <c r="H2924" s="43" t="n"/>
      <c r="AG2924" s="49">
        <f>IFERROR(__xludf.DUMMYFUNCTION("IFNA(vlookup(H2924,IMPORTRANGE(""1vUGwO1n0QQGx9kKbO0_M5gmuhXZ6-LaxQxgrmJnzgP0"",""'TP# look up'!A:C""),3,0),"""")"),"")</f>
        <v/>
      </c>
      <c r="AH2924" s="49">
        <f>LEFT(J2924,2)</f>
        <v/>
      </c>
    </row>
    <row r="2925" ht="12.75" customHeight="1">
      <c r="H2925" s="43" t="n"/>
      <c r="AG2925" s="49">
        <f>IFERROR(__xludf.DUMMYFUNCTION("IFNA(vlookup(H2925,IMPORTRANGE(""1vUGwO1n0QQGx9kKbO0_M5gmuhXZ6-LaxQxgrmJnzgP0"",""'TP# look up'!A:C""),3,0),"""")"),"")</f>
        <v/>
      </c>
      <c r="AH2925" s="49">
        <f>LEFT(J2925,2)</f>
        <v/>
      </c>
    </row>
    <row r="2926" ht="12.75" customHeight="1">
      <c r="H2926" s="43" t="n"/>
      <c r="AG2926" s="49">
        <f>IFERROR(__xludf.DUMMYFUNCTION("IFNA(vlookup(H2926,IMPORTRANGE(""1vUGwO1n0QQGx9kKbO0_M5gmuhXZ6-LaxQxgrmJnzgP0"",""'TP# look up'!A:C""),3,0),"""")"),"")</f>
        <v/>
      </c>
      <c r="AH2926" s="49">
        <f>LEFT(J2926,2)</f>
        <v/>
      </c>
    </row>
    <row r="2927" ht="12.75" customHeight="1">
      <c r="H2927" s="43" t="n"/>
      <c r="AG2927" s="49">
        <f>IFERROR(__xludf.DUMMYFUNCTION("IFNA(vlookup(H2927,IMPORTRANGE(""1vUGwO1n0QQGx9kKbO0_M5gmuhXZ6-LaxQxgrmJnzgP0"",""'TP# look up'!A:C""),3,0),"""")"),"")</f>
        <v/>
      </c>
      <c r="AH2927" s="49">
        <f>LEFT(J2927,2)</f>
        <v/>
      </c>
    </row>
    <row r="2928" ht="12.75" customHeight="1">
      <c r="H2928" s="43" t="n"/>
      <c r="AG2928" s="49">
        <f>IFERROR(__xludf.DUMMYFUNCTION("IFNA(vlookup(H2928,IMPORTRANGE(""1vUGwO1n0QQGx9kKbO0_M5gmuhXZ6-LaxQxgrmJnzgP0"",""'TP# look up'!A:C""),3,0),"""")"),"")</f>
        <v/>
      </c>
      <c r="AH2928" s="49">
        <f>LEFT(J2928,2)</f>
        <v/>
      </c>
    </row>
    <row r="2929" ht="12.75" customHeight="1">
      <c r="H2929" s="43" t="n"/>
      <c r="AG2929" s="49">
        <f>IFERROR(__xludf.DUMMYFUNCTION("IFNA(vlookup(H2929,IMPORTRANGE(""1vUGwO1n0QQGx9kKbO0_M5gmuhXZ6-LaxQxgrmJnzgP0"",""'TP# look up'!A:C""),3,0),"""")"),"")</f>
        <v/>
      </c>
      <c r="AH2929" s="49">
        <f>LEFT(J2929,2)</f>
        <v/>
      </c>
    </row>
    <row r="2930" ht="12.75" customHeight="1">
      <c r="H2930" s="43" t="n"/>
      <c r="AG2930" s="49">
        <f>IFERROR(__xludf.DUMMYFUNCTION("IFNA(vlookup(H2930,IMPORTRANGE(""1vUGwO1n0QQGx9kKbO0_M5gmuhXZ6-LaxQxgrmJnzgP0"",""'TP# look up'!A:C""),3,0),"""")"),"")</f>
        <v/>
      </c>
      <c r="AH2930" s="49">
        <f>LEFT(J2930,2)</f>
        <v/>
      </c>
    </row>
    <row r="2931" ht="12.75" customHeight="1">
      <c r="H2931" s="43" t="n"/>
      <c r="AG2931" s="49">
        <f>IFERROR(__xludf.DUMMYFUNCTION("IFNA(vlookup(H2931,IMPORTRANGE(""1vUGwO1n0QQGx9kKbO0_M5gmuhXZ6-LaxQxgrmJnzgP0"",""'TP# look up'!A:C""),3,0),"""")"),"")</f>
        <v/>
      </c>
      <c r="AH2931" s="49">
        <f>LEFT(J2931,2)</f>
        <v/>
      </c>
    </row>
    <row r="2932" ht="12.75" customHeight="1">
      <c r="H2932" s="43" t="n"/>
      <c r="AG2932" s="49">
        <f>IFERROR(__xludf.DUMMYFUNCTION("IFNA(vlookup(H2932,IMPORTRANGE(""1vUGwO1n0QQGx9kKbO0_M5gmuhXZ6-LaxQxgrmJnzgP0"",""'TP# look up'!A:C""),3,0),"""")"),"")</f>
        <v/>
      </c>
      <c r="AH2932" s="49">
        <f>LEFT(J2932,2)</f>
        <v/>
      </c>
    </row>
    <row r="2933" ht="12.75" customHeight="1">
      <c r="H2933" s="43" t="n"/>
      <c r="AG2933" s="49">
        <f>IFERROR(__xludf.DUMMYFUNCTION("IFNA(vlookup(H2933,IMPORTRANGE(""1vUGwO1n0QQGx9kKbO0_M5gmuhXZ6-LaxQxgrmJnzgP0"",""'TP# look up'!A:C""),3,0),"""")"),"")</f>
        <v/>
      </c>
      <c r="AH2933" s="49">
        <f>LEFT(J2933,2)</f>
        <v/>
      </c>
    </row>
    <row r="2934" ht="12.75" customHeight="1">
      <c r="H2934" s="43" t="n"/>
      <c r="AG2934" s="49">
        <f>IFERROR(__xludf.DUMMYFUNCTION("IFNA(vlookup(H2934,IMPORTRANGE(""1vUGwO1n0QQGx9kKbO0_M5gmuhXZ6-LaxQxgrmJnzgP0"",""'TP# look up'!A:C""),3,0),"""")"),"")</f>
        <v/>
      </c>
      <c r="AH2934" s="49">
        <f>LEFT(J2934,2)</f>
        <v/>
      </c>
    </row>
    <row r="2935" ht="12.75" customHeight="1">
      <c r="H2935" s="43" t="n"/>
      <c r="AG2935" s="49">
        <f>IFERROR(__xludf.DUMMYFUNCTION("IFNA(vlookup(H2935,IMPORTRANGE(""1vUGwO1n0QQGx9kKbO0_M5gmuhXZ6-LaxQxgrmJnzgP0"",""'TP# look up'!A:C""),3,0),"""")"),"")</f>
        <v/>
      </c>
      <c r="AH2935" s="49">
        <f>LEFT(J2935,2)</f>
        <v/>
      </c>
    </row>
    <row r="2936" ht="12.75" customHeight="1">
      <c r="H2936" s="43" t="n"/>
      <c r="AG2936" s="49">
        <f>IFERROR(__xludf.DUMMYFUNCTION("IFNA(vlookup(H2936,IMPORTRANGE(""1vUGwO1n0QQGx9kKbO0_M5gmuhXZ6-LaxQxgrmJnzgP0"",""'TP# look up'!A:C""),3,0),"""")"),"")</f>
        <v/>
      </c>
      <c r="AH2936" s="49">
        <f>LEFT(J2936,2)</f>
        <v/>
      </c>
    </row>
    <row r="2937" ht="12.75" customHeight="1">
      <c r="H2937" s="43" t="n"/>
      <c r="AG2937" s="49">
        <f>IFERROR(__xludf.DUMMYFUNCTION("IFNA(vlookup(H2937,IMPORTRANGE(""1vUGwO1n0QQGx9kKbO0_M5gmuhXZ6-LaxQxgrmJnzgP0"",""'TP# look up'!A:C""),3,0),"""")"),"")</f>
        <v/>
      </c>
      <c r="AH2937" s="49">
        <f>LEFT(J2937,2)</f>
        <v/>
      </c>
    </row>
    <row r="2938" ht="12.75" customHeight="1">
      <c r="H2938" s="43" t="n"/>
      <c r="AG2938" s="49">
        <f>IFERROR(__xludf.DUMMYFUNCTION("IFNA(vlookup(H2938,IMPORTRANGE(""1vUGwO1n0QQGx9kKbO0_M5gmuhXZ6-LaxQxgrmJnzgP0"",""'TP# look up'!A:C""),3,0),"""")"),"")</f>
        <v/>
      </c>
      <c r="AH2938" s="49">
        <f>LEFT(J2938,2)</f>
        <v/>
      </c>
    </row>
    <row r="2939" ht="12.75" customHeight="1">
      <c r="H2939" s="43" t="n"/>
      <c r="AG2939" s="49">
        <f>IFERROR(__xludf.DUMMYFUNCTION("IFNA(vlookup(H2939,IMPORTRANGE(""1vUGwO1n0QQGx9kKbO0_M5gmuhXZ6-LaxQxgrmJnzgP0"",""'TP# look up'!A:C""),3,0),"""")"),"")</f>
        <v/>
      </c>
      <c r="AH2939" s="49">
        <f>LEFT(J2939,2)</f>
        <v/>
      </c>
    </row>
    <row r="2940" ht="12.75" customHeight="1">
      <c r="H2940" s="43" t="n"/>
      <c r="AG2940" s="49">
        <f>IFERROR(__xludf.DUMMYFUNCTION("IFNA(vlookup(H2940,IMPORTRANGE(""1vUGwO1n0QQGx9kKbO0_M5gmuhXZ6-LaxQxgrmJnzgP0"",""'TP# look up'!A:C""),3,0),"""")"),"")</f>
        <v/>
      </c>
      <c r="AH2940" s="49">
        <f>LEFT(J2940,2)</f>
        <v/>
      </c>
    </row>
    <row r="2941" ht="12.75" customHeight="1">
      <c r="H2941" s="43" t="n"/>
      <c r="AG2941" s="49">
        <f>IFERROR(__xludf.DUMMYFUNCTION("IFNA(vlookup(H2941,IMPORTRANGE(""1vUGwO1n0QQGx9kKbO0_M5gmuhXZ6-LaxQxgrmJnzgP0"",""'TP# look up'!A:C""),3,0),"""")"),"")</f>
        <v/>
      </c>
      <c r="AH2941" s="49">
        <f>LEFT(J2941,2)</f>
        <v/>
      </c>
    </row>
    <row r="2942" ht="12.75" customHeight="1">
      <c r="H2942" s="43" t="n"/>
      <c r="AG2942" s="49">
        <f>IFERROR(__xludf.DUMMYFUNCTION("IFNA(vlookup(H2942,IMPORTRANGE(""1vUGwO1n0QQGx9kKbO0_M5gmuhXZ6-LaxQxgrmJnzgP0"",""'TP# look up'!A:C""),3,0),"""")"),"")</f>
        <v/>
      </c>
      <c r="AH2942" s="49">
        <f>LEFT(J2942,2)</f>
        <v/>
      </c>
    </row>
    <row r="2943" ht="12.75" customHeight="1">
      <c r="H2943" s="43" t="n"/>
      <c r="AG2943" s="49">
        <f>IFERROR(__xludf.DUMMYFUNCTION("IFNA(vlookup(H2943,IMPORTRANGE(""1vUGwO1n0QQGx9kKbO0_M5gmuhXZ6-LaxQxgrmJnzgP0"",""'TP# look up'!A:C""),3,0),"""")"),"")</f>
        <v/>
      </c>
      <c r="AH2943" s="49">
        <f>LEFT(J2943,2)</f>
        <v/>
      </c>
    </row>
    <row r="2944" ht="12.75" customHeight="1">
      <c r="H2944" s="43" t="n"/>
      <c r="AG2944" s="49">
        <f>IFERROR(__xludf.DUMMYFUNCTION("IFNA(vlookup(H2944,IMPORTRANGE(""1vUGwO1n0QQGx9kKbO0_M5gmuhXZ6-LaxQxgrmJnzgP0"",""'TP# look up'!A:C""),3,0),"""")"),"")</f>
        <v/>
      </c>
      <c r="AH2944" s="49">
        <f>LEFT(J2944,2)</f>
        <v/>
      </c>
    </row>
    <row r="2945" ht="12.75" customHeight="1">
      <c r="H2945" s="43" t="n"/>
      <c r="AG2945" s="49">
        <f>IFERROR(__xludf.DUMMYFUNCTION("IFNA(vlookup(H2945,IMPORTRANGE(""1vUGwO1n0QQGx9kKbO0_M5gmuhXZ6-LaxQxgrmJnzgP0"",""'TP# look up'!A:C""),3,0),"""")"),"")</f>
        <v/>
      </c>
      <c r="AH2945" s="49">
        <f>LEFT(J2945,2)</f>
        <v/>
      </c>
    </row>
    <row r="2946" ht="12.75" customHeight="1">
      <c r="H2946" s="43" t="n"/>
      <c r="AG2946" s="49">
        <f>IFERROR(__xludf.DUMMYFUNCTION("IFNA(vlookup(H2946,IMPORTRANGE(""1vUGwO1n0QQGx9kKbO0_M5gmuhXZ6-LaxQxgrmJnzgP0"",""'TP# look up'!A:C""),3,0),"""")"),"")</f>
        <v/>
      </c>
      <c r="AH2946" s="49">
        <f>LEFT(J2946,2)</f>
        <v/>
      </c>
    </row>
    <row r="2947" ht="12.75" customHeight="1">
      <c r="H2947" s="43" t="n"/>
      <c r="AG2947" s="49">
        <f>IFERROR(__xludf.DUMMYFUNCTION("IFNA(vlookup(H2947,IMPORTRANGE(""1vUGwO1n0QQGx9kKbO0_M5gmuhXZ6-LaxQxgrmJnzgP0"",""'TP# look up'!A:C""),3,0),"""")"),"")</f>
        <v/>
      </c>
      <c r="AH2947" s="49">
        <f>LEFT(J2947,2)</f>
        <v/>
      </c>
    </row>
    <row r="2948" ht="12.75" customHeight="1">
      <c r="H2948" s="43" t="n"/>
      <c r="AG2948" s="49">
        <f>IFERROR(__xludf.DUMMYFUNCTION("IFNA(vlookup(H2948,IMPORTRANGE(""1vUGwO1n0QQGx9kKbO0_M5gmuhXZ6-LaxQxgrmJnzgP0"",""'TP# look up'!A:C""),3,0),"""")"),"")</f>
        <v/>
      </c>
      <c r="AH2948" s="49">
        <f>LEFT(J2948,2)</f>
        <v/>
      </c>
    </row>
    <row r="2949" ht="12.75" customHeight="1">
      <c r="H2949" s="43" t="n"/>
      <c r="AG2949" s="49">
        <f>IFERROR(__xludf.DUMMYFUNCTION("IFNA(vlookup(H2949,IMPORTRANGE(""1vUGwO1n0QQGx9kKbO0_M5gmuhXZ6-LaxQxgrmJnzgP0"",""'TP# look up'!A:C""),3,0),"""")"),"")</f>
        <v/>
      </c>
      <c r="AH2949" s="49">
        <f>LEFT(J2949,2)</f>
        <v/>
      </c>
    </row>
    <row r="2950" ht="12.75" customHeight="1">
      <c r="H2950" s="43" t="n"/>
      <c r="AG2950" s="49">
        <f>IFERROR(__xludf.DUMMYFUNCTION("IFNA(vlookup(H2950,IMPORTRANGE(""1vUGwO1n0QQGx9kKbO0_M5gmuhXZ6-LaxQxgrmJnzgP0"",""'TP# look up'!A:C""),3,0),"""")"),"")</f>
        <v/>
      </c>
      <c r="AH2950" s="49">
        <f>LEFT(J2950,2)</f>
        <v/>
      </c>
    </row>
    <row r="2951" ht="12.75" customHeight="1">
      <c r="H2951" s="43" t="n"/>
      <c r="AG2951" s="49">
        <f>IFERROR(__xludf.DUMMYFUNCTION("IFNA(vlookup(H2951,IMPORTRANGE(""1vUGwO1n0QQGx9kKbO0_M5gmuhXZ6-LaxQxgrmJnzgP0"",""'TP# look up'!A:C""),3,0),"""")"),"")</f>
        <v/>
      </c>
      <c r="AH2951" s="49">
        <f>LEFT(J2951,2)</f>
        <v/>
      </c>
    </row>
    <row r="2952" ht="12.75" customHeight="1">
      <c r="H2952" s="43" t="n"/>
      <c r="AG2952" s="49">
        <f>IFERROR(__xludf.DUMMYFUNCTION("IFNA(vlookup(H2952,IMPORTRANGE(""1vUGwO1n0QQGx9kKbO0_M5gmuhXZ6-LaxQxgrmJnzgP0"",""'TP# look up'!A:C""),3,0),"""")"),"")</f>
        <v/>
      </c>
      <c r="AH2952" s="49">
        <f>LEFT(J2952,2)</f>
        <v/>
      </c>
    </row>
    <row r="2953" ht="12.75" customHeight="1">
      <c r="H2953" s="43" t="n"/>
      <c r="AG2953" s="49">
        <f>IFERROR(__xludf.DUMMYFUNCTION("IFNA(vlookup(H2953,IMPORTRANGE(""1vUGwO1n0QQGx9kKbO0_M5gmuhXZ6-LaxQxgrmJnzgP0"",""'TP# look up'!A:C""),3,0),"""")"),"")</f>
        <v/>
      </c>
      <c r="AH2953" s="49">
        <f>LEFT(J2953,2)</f>
        <v/>
      </c>
    </row>
    <row r="2954" ht="12.75" customHeight="1">
      <c r="H2954" s="43" t="n"/>
      <c r="AG2954" s="49">
        <f>IFERROR(__xludf.DUMMYFUNCTION("IFNA(vlookup(H2954,IMPORTRANGE(""1vUGwO1n0QQGx9kKbO0_M5gmuhXZ6-LaxQxgrmJnzgP0"",""'TP# look up'!A:C""),3,0),"""")"),"")</f>
        <v/>
      </c>
      <c r="AH2954" s="49">
        <f>LEFT(J2954,2)</f>
        <v/>
      </c>
    </row>
    <row r="2955" ht="12.75" customHeight="1">
      <c r="H2955" s="43" t="n"/>
      <c r="AG2955" s="49">
        <f>IFERROR(__xludf.DUMMYFUNCTION("IFNA(vlookup(H2955,IMPORTRANGE(""1vUGwO1n0QQGx9kKbO0_M5gmuhXZ6-LaxQxgrmJnzgP0"",""'TP# look up'!A:C""),3,0),"""")"),"")</f>
        <v/>
      </c>
      <c r="AH2955" s="49">
        <f>LEFT(J2955,2)</f>
        <v/>
      </c>
    </row>
    <row r="2956" ht="12.75" customHeight="1">
      <c r="H2956" s="43" t="n"/>
      <c r="AG2956" s="49">
        <f>IFERROR(__xludf.DUMMYFUNCTION("IFNA(vlookup(H2956,IMPORTRANGE(""1vUGwO1n0QQGx9kKbO0_M5gmuhXZ6-LaxQxgrmJnzgP0"",""'TP# look up'!A:C""),3,0),"""")"),"")</f>
        <v/>
      </c>
      <c r="AH2956" s="49">
        <f>LEFT(J2956,2)</f>
        <v/>
      </c>
    </row>
    <row r="2957" ht="12.75" customHeight="1">
      <c r="H2957" s="43" t="n"/>
      <c r="AG2957" s="49">
        <f>IFERROR(__xludf.DUMMYFUNCTION("IFNA(vlookup(H2957,IMPORTRANGE(""1vUGwO1n0QQGx9kKbO0_M5gmuhXZ6-LaxQxgrmJnzgP0"",""'TP# look up'!A:C""),3,0),"""")"),"")</f>
        <v/>
      </c>
      <c r="AH2957" s="49">
        <f>LEFT(J2957,2)</f>
        <v/>
      </c>
    </row>
    <row r="2958" ht="12.75" customHeight="1">
      <c r="H2958" s="43" t="n"/>
      <c r="AG2958" s="49">
        <f>IFERROR(__xludf.DUMMYFUNCTION("IFNA(vlookup(H2958,IMPORTRANGE(""1vUGwO1n0QQGx9kKbO0_M5gmuhXZ6-LaxQxgrmJnzgP0"",""'TP# look up'!A:C""),3,0),"""")"),"")</f>
        <v/>
      </c>
      <c r="AH2958" s="49">
        <f>LEFT(J2958,2)</f>
        <v/>
      </c>
    </row>
    <row r="2959" ht="12.75" customHeight="1">
      <c r="H2959" s="43" t="n"/>
      <c r="AG2959" s="49">
        <f>IFERROR(__xludf.DUMMYFUNCTION("IFNA(vlookup(H2959,IMPORTRANGE(""1vUGwO1n0QQGx9kKbO0_M5gmuhXZ6-LaxQxgrmJnzgP0"",""'TP# look up'!A:C""),3,0),"""")"),"")</f>
        <v/>
      </c>
      <c r="AH2959" s="49">
        <f>LEFT(J2959,2)</f>
        <v/>
      </c>
    </row>
    <row r="2960" ht="12.75" customHeight="1">
      <c r="H2960" s="43" t="n"/>
      <c r="AG2960" s="49">
        <f>IFERROR(__xludf.DUMMYFUNCTION("IFNA(vlookup(H2960,IMPORTRANGE(""1vUGwO1n0QQGx9kKbO0_M5gmuhXZ6-LaxQxgrmJnzgP0"",""'TP# look up'!A:C""),3,0),"""")"),"")</f>
        <v/>
      </c>
      <c r="AH2960" s="49">
        <f>LEFT(J2960,2)</f>
        <v/>
      </c>
    </row>
    <row r="2961" ht="12.75" customHeight="1">
      <c r="H2961" s="43" t="n"/>
      <c r="AG2961" s="49">
        <f>IFERROR(__xludf.DUMMYFUNCTION("IFNA(vlookup(H2961,IMPORTRANGE(""1vUGwO1n0QQGx9kKbO0_M5gmuhXZ6-LaxQxgrmJnzgP0"",""'TP# look up'!A:C""),3,0),"""")"),"")</f>
        <v/>
      </c>
      <c r="AH2961" s="49">
        <f>LEFT(J2961,2)</f>
        <v/>
      </c>
    </row>
    <row r="2962" ht="12.75" customHeight="1">
      <c r="H2962" s="43" t="n"/>
      <c r="AG2962" s="49">
        <f>IFERROR(__xludf.DUMMYFUNCTION("IFNA(vlookup(H2962,IMPORTRANGE(""1vUGwO1n0QQGx9kKbO0_M5gmuhXZ6-LaxQxgrmJnzgP0"",""'TP# look up'!A:C""),3,0),"""")"),"")</f>
        <v/>
      </c>
      <c r="AH2962" s="49">
        <f>LEFT(J2962,2)</f>
        <v/>
      </c>
    </row>
    <row r="2963" ht="12.75" customHeight="1">
      <c r="H2963" s="43" t="n"/>
      <c r="AG2963" s="49">
        <f>IFERROR(__xludf.DUMMYFUNCTION("IFNA(vlookup(H2963,IMPORTRANGE(""1vUGwO1n0QQGx9kKbO0_M5gmuhXZ6-LaxQxgrmJnzgP0"",""'TP# look up'!A:C""),3,0),"""")"),"")</f>
        <v/>
      </c>
      <c r="AH2963" s="49">
        <f>LEFT(J2963,2)</f>
        <v/>
      </c>
    </row>
    <row r="2964" ht="12.75" customHeight="1">
      <c r="H2964" s="43" t="n"/>
      <c r="AG2964" s="49">
        <f>IFERROR(__xludf.DUMMYFUNCTION("IFNA(vlookup(H2964,IMPORTRANGE(""1vUGwO1n0QQGx9kKbO0_M5gmuhXZ6-LaxQxgrmJnzgP0"",""'TP# look up'!A:C""),3,0),"""")"),"")</f>
        <v/>
      </c>
      <c r="AH2964" s="49">
        <f>LEFT(J2964,2)</f>
        <v/>
      </c>
    </row>
    <row r="2965" ht="12.75" customHeight="1">
      <c r="H2965" s="43" t="n"/>
      <c r="AG2965" s="49">
        <f>IFERROR(__xludf.DUMMYFUNCTION("IFNA(vlookup(H2965,IMPORTRANGE(""1vUGwO1n0QQGx9kKbO0_M5gmuhXZ6-LaxQxgrmJnzgP0"",""'TP# look up'!A:C""),3,0),"""")"),"")</f>
        <v/>
      </c>
      <c r="AH2965" s="49">
        <f>LEFT(J2965,2)</f>
        <v/>
      </c>
    </row>
    <row r="2966" ht="12.75" customHeight="1">
      <c r="H2966" s="43" t="n"/>
      <c r="AG2966" s="49">
        <f>IFERROR(__xludf.DUMMYFUNCTION("IFNA(vlookup(H2966,IMPORTRANGE(""1vUGwO1n0QQGx9kKbO0_M5gmuhXZ6-LaxQxgrmJnzgP0"",""'TP# look up'!A:C""),3,0),"""")"),"")</f>
        <v/>
      </c>
      <c r="AH2966" s="49">
        <f>LEFT(J2966,2)</f>
        <v/>
      </c>
    </row>
    <row r="2967" ht="12.75" customHeight="1">
      <c r="H2967" s="43" t="n"/>
      <c r="AG2967" s="49">
        <f>IFERROR(__xludf.DUMMYFUNCTION("IFNA(vlookup(H2967,IMPORTRANGE(""1vUGwO1n0QQGx9kKbO0_M5gmuhXZ6-LaxQxgrmJnzgP0"",""'TP# look up'!A:C""),3,0),"""")"),"")</f>
        <v/>
      </c>
      <c r="AH2967" s="49">
        <f>LEFT(J2967,2)</f>
        <v/>
      </c>
    </row>
    <row r="2968" ht="12.75" customHeight="1">
      <c r="H2968" s="43" t="n"/>
      <c r="AG2968" s="49">
        <f>IFERROR(__xludf.DUMMYFUNCTION("IFNA(vlookup(H2968,IMPORTRANGE(""1vUGwO1n0QQGx9kKbO0_M5gmuhXZ6-LaxQxgrmJnzgP0"",""'TP# look up'!A:C""),3,0),"""")"),"")</f>
        <v/>
      </c>
      <c r="AH2968" s="49">
        <f>LEFT(J2968,2)</f>
        <v/>
      </c>
    </row>
    <row r="2969" ht="12.75" customHeight="1">
      <c r="H2969" s="43" t="n"/>
      <c r="AG2969" s="49">
        <f>IFERROR(__xludf.DUMMYFUNCTION("IFNA(vlookup(H2969,IMPORTRANGE(""1vUGwO1n0QQGx9kKbO0_M5gmuhXZ6-LaxQxgrmJnzgP0"",""'TP# look up'!A:C""),3,0),"""")"),"")</f>
        <v/>
      </c>
      <c r="AH2969" s="49">
        <f>LEFT(J2969,2)</f>
        <v/>
      </c>
    </row>
    <row r="2970" ht="12.75" customHeight="1">
      <c r="H2970" s="43" t="n"/>
      <c r="AG2970" s="49">
        <f>IFERROR(__xludf.DUMMYFUNCTION("IFNA(vlookup(H2970,IMPORTRANGE(""1vUGwO1n0QQGx9kKbO0_M5gmuhXZ6-LaxQxgrmJnzgP0"",""'TP# look up'!A:C""),3,0),"""")"),"")</f>
        <v/>
      </c>
      <c r="AH2970" s="49">
        <f>LEFT(J2970,2)</f>
        <v/>
      </c>
    </row>
    <row r="2971" ht="12.75" customHeight="1">
      <c r="H2971" s="43" t="n"/>
      <c r="AG2971" s="49">
        <f>IFERROR(__xludf.DUMMYFUNCTION("IFNA(vlookup(H2971,IMPORTRANGE(""1vUGwO1n0QQGx9kKbO0_M5gmuhXZ6-LaxQxgrmJnzgP0"",""'TP# look up'!A:C""),3,0),"""")"),"")</f>
        <v/>
      </c>
      <c r="AH2971" s="49">
        <f>LEFT(J2971,2)</f>
        <v/>
      </c>
    </row>
    <row r="2972" ht="12.75" customHeight="1">
      <c r="H2972" s="43" t="n"/>
      <c r="AG2972" s="49">
        <f>IFERROR(__xludf.DUMMYFUNCTION("IFNA(vlookup(H2972,IMPORTRANGE(""1vUGwO1n0QQGx9kKbO0_M5gmuhXZ6-LaxQxgrmJnzgP0"",""'TP# look up'!A:C""),3,0),"""")"),"")</f>
        <v/>
      </c>
      <c r="AH2972" s="49">
        <f>LEFT(J2972,2)</f>
        <v/>
      </c>
    </row>
    <row r="2973" ht="12.75" customHeight="1">
      <c r="H2973" s="43" t="n"/>
      <c r="AG2973" s="49">
        <f>IFERROR(__xludf.DUMMYFUNCTION("IFNA(vlookup(H2973,IMPORTRANGE(""1vUGwO1n0QQGx9kKbO0_M5gmuhXZ6-LaxQxgrmJnzgP0"",""'TP# look up'!A:C""),3,0),"""")"),"")</f>
        <v/>
      </c>
      <c r="AH2973" s="49">
        <f>LEFT(J2973,2)</f>
        <v/>
      </c>
    </row>
    <row r="2974" ht="12.75" customHeight="1">
      <c r="H2974" s="43" t="n"/>
      <c r="AG2974" s="49">
        <f>IFERROR(__xludf.DUMMYFUNCTION("IFNA(vlookup(H2974,IMPORTRANGE(""1vUGwO1n0QQGx9kKbO0_M5gmuhXZ6-LaxQxgrmJnzgP0"",""'TP# look up'!A:C""),3,0),"""")"),"")</f>
        <v/>
      </c>
      <c r="AH2974" s="49">
        <f>LEFT(J2974,2)</f>
        <v/>
      </c>
    </row>
    <row r="2975" ht="12.75" customHeight="1">
      <c r="H2975" s="43" t="n"/>
      <c r="AG2975" s="49">
        <f>IFERROR(__xludf.DUMMYFUNCTION("IFNA(vlookup(H2975,IMPORTRANGE(""1vUGwO1n0QQGx9kKbO0_M5gmuhXZ6-LaxQxgrmJnzgP0"",""'TP# look up'!A:C""),3,0),"""")"),"")</f>
        <v/>
      </c>
      <c r="AH2975" s="49">
        <f>LEFT(J2975,2)</f>
        <v/>
      </c>
    </row>
    <row r="2976" ht="12.75" customHeight="1">
      <c r="H2976" s="43" t="n"/>
      <c r="AG2976" s="49">
        <f>IFERROR(__xludf.DUMMYFUNCTION("IFNA(vlookup(H2976,IMPORTRANGE(""1vUGwO1n0QQGx9kKbO0_M5gmuhXZ6-LaxQxgrmJnzgP0"",""'TP# look up'!A:C""),3,0),"""")"),"")</f>
        <v/>
      </c>
      <c r="AH2976" s="49">
        <f>LEFT(J2976,2)</f>
        <v/>
      </c>
    </row>
    <row r="2977" ht="12.75" customHeight="1">
      <c r="H2977" s="43" t="n"/>
      <c r="AG2977" s="49">
        <f>IFERROR(__xludf.DUMMYFUNCTION("IFNA(vlookup(H2977,IMPORTRANGE(""1vUGwO1n0QQGx9kKbO0_M5gmuhXZ6-LaxQxgrmJnzgP0"",""'TP# look up'!A:C""),3,0),"""")"),"")</f>
        <v/>
      </c>
      <c r="AH2977" s="49">
        <f>LEFT(J2977,2)</f>
        <v/>
      </c>
    </row>
    <row r="2978" ht="12.75" customHeight="1">
      <c r="H2978" s="43" t="n"/>
      <c r="AG2978" s="49">
        <f>IFERROR(__xludf.DUMMYFUNCTION("IFNA(vlookup(H2978,IMPORTRANGE(""1vUGwO1n0QQGx9kKbO0_M5gmuhXZ6-LaxQxgrmJnzgP0"",""'TP# look up'!A:C""),3,0),"""")"),"")</f>
        <v/>
      </c>
      <c r="AH2978" s="49">
        <f>LEFT(J2978,2)</f>
        <v/>
      </c>
    </row>
    <row r="2979" ht="12.75" customHeight="1">
      <c r="H2979" s="43" t="n"/>
      <c r="AG2979" s="49">
        <f>IFERROR(__xludf.DUMMYFUNCTION("IFNA(vlookup(H2979,IMPORTRANGE(""1vUGwO1n0QQGx9kKbO0_M5gmuhXZ6-LaxQxgrmJnzgP0"",""'TP# look up'!A:C""),3,0),"""")"),"")</f>
        <v/>
      </c>
      <c r="AH2979" s="49">
        <f>LEFT(J2979,2)</f>
        <v/>
      </c>
    </row>
    <row r="2980" ht="12.75" customHeight="1">
      <c r="H2980" s="43" t="n"/>
      <c r="AG2980" s="49">
        <f>IFERROR(__xludf.DUMMYFUNCTION("IFNA(vlookup(H2980,IMPORTRANGE(""1vUGwO1n0QQGx9kKbO0_M5gmuhXZ6-LaxQxgrmJnzgP0"",""'TP# look up'!A:C""),3,0),"""")"),"")</f>
        <v/>
      </c>
      <c r="AH2980" s="49">
        <f>LEFT(J2980,2)</f>
        <v/>
      </c>
    </row>
    <row r="2981" ht="12.75" customHeight="1">
      <c r="H2981" s="43" t="n"/>
      <c r="AG2981" s="49">
        <f>IFERROR(__xludf.DUMMYFUNCTION("IFNA(vlookup(H2981,IMPORTRANGE(""1vUGwO1n0QQGx9kKbO0_M5gmuhXZ6-LaxQxgrmJnzgP0"",""'TP# look up'!A:C""),3,0),"""")"),"")</f>
        <v/>
      </c>
      <c r="AH2981" s="49">
        <f>LEFT(J2981,2)</f>
        <v/>
      </c>
    </row>
    <row r="2982" ht="12.75" customHeight="1">
      <c r="H2982" s="43" t="n"/>
      <c r="AG2982" s="49">
        <f>IFERROR(__xludf.DUMMYFUNCTION("IFNA(vlookup(H2982,IMPORTRANGE(""1vUGwO1n0QQGx9kKbO0_M5gmuhXZ6-LaxQxgrmJnzgP0"",""'TP# look up'!A:C""),3,0),"""")"),"")</f>
        <v/>
      </c>
      <c r="AH2982" s="49">
        <f>LEFT(J2982,2)</f>
        <v/>
      </c>
    </row>
    <row r="2983" ht="12.75" customHeight="1">
      <c r="H2983" s="43" t="n"/>
      <c r="AG2983" s="49">
        <f>IFERROR(__xludf.DUMMYFUNCTION("IFNA(vlookup(H2983,IMPORTRANGE(""1vUGwO1n0QQGx9kKbO0_M5gmuhXZ6-LaxQxgrmJnzgP0"",""'TP# look up'!A:C""),3,0),"""")"),"")</f>
        <v/>
      </c>
      <c r="AH2983" s="49">
        <f>LEFT(J2983,2)</f>
        <v/>
      </c>
    </row>
    <row r="2984" ht="12.75" customHeight="1">
      <c r="H2984" s="43" t="n"/>
      <c r="AG2984" s="49">
        <f>IFERROR(__xludf.DUMMYFUNCTION("IFNA(vlookup(H2984,IMPORTRANGE(""1vUGwO1n0QQGx9kKbO0_M5gmuhXZ6-LaxQxgrmJnzgP0"",""'TP# look up'!A:C""),3,0),"""")"),"")</f>
        <v/>
      </c>
      <c r="AH2984" s="49">
        <f>LEFT(J2984,2)</f>
        <v/>
      </c>
    </row>
    <row r="2985" ht="12.75" customHeight="1">
      <c r="H2985" s="43" t="n"/>
      <c r="AG2985" s="49">
        <f>IFERROR(__xludf.DUMMYFUNCTION("IFNA(vlookup(H2985,IMPORTRANGE(""1vUGwO1n0QQGx9kKbO0_M5gmuhXZ6-LaxQxgrmJnzgP0"",""'TP# look up'!A:C""),3,0),"""")"),"")</f>
        <v/>
      </c>
      <c r="AH2985" s="49">
        <f>LEFT(J2985,2)</f>
        <v/>
      </c>
    </row>
    <row r="2986" ht="12.75" customHeight="1">
      <c r="H2986" s="43" t="n"/>
      <c r="AG2986" s="49">
        <f>IFERROR(__xludf.DUMMYFUNCTION("IFNA(vlookup(H2986,IMPORTRANGE(""1vUGwO1n0QQGx9kKbO0_M5gmuhXZ6-LaxQxgrmJnzgP0"",""'TP# look up'!A:C""),3,0),"""")"),"")</f>
        <v/>
      </c>
      <c r="AH2986" s="49">
        <f>LEFT(J2986,2)</f>
        <v/>
      </c>
    </row>
    <row r="2987" ht="12.75" customHeight="1">
      <c r="H2987" s="43" t="n"/>
      <c r="AG2987" s="49">
        <f>IFERROR(__xludf.DUMMYFUNCTION("IFNA(vlookup(H2987,IMPORTRANGE(""1vUGwO1n0QQGx9kKbO0_M5gmuhXZ6-LaxQxgrmJnzgP0"",""'TP# look up'!A:C""),3,0),"""")"),"")</f>
        <v/>
      </c>
      <c r="AH2987" s="49">
        <f>LEFT(J2987,2)</f>
        <v/>
      </c>
    </row>
    <row r="2988" ht="12.75" customHeight="1">
      <c r="H2988" s="43" t="n"/>
      <c r="AG2988" s="49">
        <f>IFERROR(__xludf.DUMMYFUNCTION("IFNA(vlookup(H2988,IMPORTRANGE(""1vUGwO1n0QQGx9kKbO0_M5gmuhXZ6-LaxQxgrmJnzgP0"",""'TP# look up'!A:C""),3,0),"""")"),"")</f>
        <v/>
      </c>
      <c r="AH2988" s="49">
        <f>LEFT(J2988,2)</f>
        <v/>
      </c>
    </row>
    <row r="2989" ht="12.75" customHeight="1">
      <c r="H2989" s="43" t="n"/>
      <c r="AG2989" s="49">
        <f>IFERROR(__xludf.DUMMYFUNCTION("IFNA(vlookup(H2989,IMPORTRANGE(""1vUGwO1n0QQGx9kKbO0_M5gmuhXZ6-LaxQxgrmJnzgP0"",""'TP# look up'!A:C""),3,0),"""")"),"")</f>
        <v/>
      </c>
      <c r="AH2989" s="49">
        <f>LEFT(J2989,2)</f>
        <v/>
      </c>
    </row>
    <row r="2990" ht="12.75" customHeight="1">
      <c r="H2990" s="43" t="n"/>
      <c r="AG2990" s="49">
        <f>IFERROR(__xludf.DUMMYFUNCTION("IFNA(vlookup(H2990,IMPORTRANGE(""1vUGwO1n0QQGx9kKbO0_M5gmuhXZ6-LaxQxgrmJnzgP0"",""'TP# look up'!A:C""),3,0),"""")"),"")</f>
        <v/>
      </c>
      <c r="AH2990" s="49">
        <f>LEFT(J2990,2)</f>
        <v/>
      </c>
    </row>
    <row r="2991" ht="12.75" customHeight="1">
      <c r="H2991" s="43" t="n"/>
      <c r="AG2991" s="49">
        <f>IFERROR(__xludf.DUMMYFUNCTION("IFNA(vlookup(H2991,IMPORTRANGE(""1vUGwO1n0QQGx9kKbO0_M5gmuhXZ6-LaxQxgrmJnzgP0"",""'TP# look up'!A:C""),3,0),"""")"),"")</f>
        <v/>
      </c>
      <c r="AH2991" s="49">
        <f>LEFT(J2991,2)</f>
        <v/>
      </c>
    </row>
    <row r="2992" ht="12.75" customHeight="1">
      <c r="H2992" s="43" t="n"/>
      <c r="AG2992" s="49">
        <f>IFERROR(__xludf.DUMMYFUNCTION("IFNA(vlookup(H2992,IMPORTRANGE(""1vUGwO1n0QQGx9kKbO0_M5gmuhXZ6-LaxQxgrmJnzgP0"",""'TP# look up'!A:C""),3,0),"""")"),"")</f>
        <v/>
      </c>
      <c r="AH2992" s="49">
        <f>LEFT(J2992,2)</f>
        <v/>
      </c>
    </row>
    <row r="2993" ht="12.75" customHeight="1">
      <c r="H2993" s="43" t="n"/>
      <c r="AG2993" s="49">
        <f>IFERROR(__xludf.DUMMYFUNCTION("IFNA(vlookup(H2993,IMPORTRANGE(""1vUGwO1n0QQGx9kKbO0_M5gmuhXZ6-LaxQxgrmJnzgP0"",""'TP# look up'!A:C""),3,0),"""")"),"")</f>
        <v/>
      </c>
      <c r="AH2993" s="49">
        <f>LEFT(J2993,2)</f>
        <v/>
      </c>
    </row>
    <row r="2994" ht="12.75" customHeight="1">
      <c r="H2994" s="43" t="n"/>
      <c r="AG2994" s="49">
        <f>IFERROR(__xludf.DUMMYFUNCTION("IFNA(vlookup(H2994,IMPORTRANGE(""1vUGwO1n0QQGx9kKbO0_M5gmuhXZ6-LaxQxgrmJnzgP0"",""'TP# look up'!A:C""),3,0),"""")"),"")</f>
        <v/>
      </c>
      <c r="AH2994" s="49">
        <f>LEFT(J2994,2)</f>
        <v/>
      </c>
    </row>
    <row r="2995" ht="12.75" customHeight="1">
      <c r="H2995" s="43" t="n"/>
      <c r="AG2995" s="49">
        <f>IFERROR(__xludf.DUMMYFUNCTION("IFNA(vlookup(H2995,IMPORTRANGE(""1vUGwO1n0QQGx9kKbO0_M5gmuhXZ6-LaxQxgrmJnzgP0"",""'TP# look up'!A:C""),3,0),"""")"),"")</f>
        <v/>
      </c>
      <c r="AH2995" s="49">
        <f>LEFT(J2995,2)</f>
        <v/>
      </c>
    </row>
    <row r="2996" ht="12.75" customHeight="1">
      <c r="H2996" s="43" t="n"/>
      <c r="AG2996" s="49">
        <f>IFERROR(__xludf.DUMMYFUNCTION("IFNA(vlookup(H2996,IMPORTRANGE(""1vUGwO1n0QQGx9kKbO0_M5gmuhXZ6-LaxQxgrmJnzgP0"",""'TP# look up'!A:C""),3,0),"""")"),"")</f>
        <v/>
      </c>
      <c r="AH2996" s="49">
        <f>LEFT(J2996,2)</f>
        <v/>
      </c>
    </row>
    <row r="2997" ht="12.75" customHeight="1">
      <c r="H2997" s="43" t="n"/>
      <c r="AG2997" s="49">
        <f>IFERROR(__xludf.DUMMYFUNCTION("IFNA(vlookup(H2997,IMPORTRANGE(""1vUGwO1n0QQGx9kKbO0_M5gmuhXZ6-LaxQxgrmJnzgP0"",""'TP# look up'!A:C""),3,0),"""")"),"")</f>
        <v/>
      </c>
      <c r="AH2997" s="49">
        <f>LEFT(J2997,2)</f>
        <v/>
      </c>
    </row>
    <row r="2998" ht="12.75" customHeight="1">
      <c r="H2998" s="43" t="n"/>
      <c r="AG2998" s="49">
        <f>IFERROR(__xludf.DUMMYFUNCTION("IFNA(vlookup(H2998,IMPORTRANGE(""1vUGwO1n0QQGx9kKbO0_M5gmuhXZ6-LaxQxgrmJnzgP0"",""'TP# look up'!A:C""),3,0),"""")"),"")</f>
        <v/>
      </c>
      <c r="AH2998" s="49">
        <f>LEFT(J2998,2)</f>
        <v/>
      </c>
    </row>
    <row r="2999" ht="12.75" customHeight="1">
      <c r="H2999" s="43" t="n"/>
      <c r="AG2999" s="49">
        <f>IFERROR(__xludf.DUMMYFUNCTION("IFNA(vlookup(H2999,IMPORTRANGE(""1vUGwO1n0QQGx9kKbO0_M5gmuhXZ6-LaxQxgrmJnzgP0"",""'TP# look up'!A:C""),3,0),"""")"),"")</f>
        <v/>
      </c>
      <c r="AH2999" s="49">
        <f>LEFT(J2999,2)</f>
        <v/>
      </c>
    </row>
    <row r="3000" ht="12.75" customHeight="1">
      <c r="H3000" s="43" t="n"/>
      <c r="AG3000" s="49">
        <f>IFERROR(__xludf.DUMMYFUNCTION("IFNA(vlookup(H3000,IMPORTRANGE(""1vUGwO1n0QQGx9kKbO0_M5gmuhXZ6-LaxQxgrmJnzgP0"",""'TP# look up'!A:C""),3,0),"""")"),"")</f>
        <v/>
      </c>
      <c r="AH3000" s="49">
        <f>LEFT(J3000,2)</f>
        <v/>
      </c>
    </row>
    <row r="3001" ht="12.75" customHeight="1">
      <c r="H3001" s="43" t="n"/>
      <c r="AG3001" s="49">
        <f>IFERROR(__xludf.DUMMYFUNCTION("IFNA(vlookup(H3001,IMPORTRANGE(""1vUGwO1n0QQGx9kKbO0_M5gmuhXZ6-LaxQxgrmJnzgP0"",""'TP# look up'!A:C""),3,0),"""")"),"")</f>
        <v/>
      </c>
      <c r="AH3001" s="49">
        <f>LEFT(J3001,2)</f>
        <v/>
      </c>
    </row>
    <row r="3002" ht="12.75" customHeight="1">
      <c r="H3002" s="43" t="n"/>
      <c r="AG3002" s="49">
        <f>IFERROR(__xludf.DUMMYFUNCTION("IFNA(vlookup(H3002,IMPORTRANGE(""1vUGwO1n0QQGx9kKbO0_M5gmuhXZ6-LaxQxgrmJnzgP0"",""'TP# look up'!A:C""),3,0),"""")"),"")</f>
        <v/>
      </c>
      <c r="AH3002" s="49">
        <f>LEFT(J3002,2)</f>
        <v/>
      </c>
    </row>
    <row r="3003" ht="12.75" customHeight="1">
      <c r="H3003" s="43" t="n"/>
      <c r="AG3003" s="49">
        <f>IFERROR(__xludf.DUMMYFUNCTION("IFNA(vlookup(H3003,IMPORTRANGE(""1vUGwO1n0QQGx9kKbO0_M5gmuhXZ6-LaxQxgrmJnzgP0"",""'TP# look up'!A:C""),3,0),"""")"),"")</f>
        <v/>
      </c>
      <c r="AH3003" s="49">
        <f>LEFT(J3003,2)</f>
        <v/>
      </c>
    </row>
    <row r="3004" ht="12.75" customHeight="1">
      <c r="H3004" s="43" t="n"/>
      <c r="AG3004" s="49">
        <f>IFERROR(__xludf.DUMMYFUNCTION("IFNA(vlookup(H3004,IMPORTRANGE(""1vUGwO1n0QQGx9kKbO0_M5gmuhXZ6-LaxQxgrmJnzgP0"",""'TP# look up'!A:C""),3,0),"""")"),"")</f>
        <v/>
      </c>
      <c r="AH3004" s="49">
        <f>LEFT(J3004,2)</f>
        <v/>
      </c>
    </row>
    <row r="3005" ht="12.75" customHeight="1">
      <c r="H3005" s="43" t="n"/>
      <c r="AG3005" s="49">
        <f>IFERROR(__xludf.DUMMYFUNCTION("IFNA(vlookup(H3005,IMPORTRANGE(""1vUGwO1n0QQGx9kKbO0_M5gmuhXZ6-LaxQxgrmJnzgP0"",""'TP# look up'!A:C""),3,0),"""")"),"")</f>
        <v/>
      </c>
      <c r="AH3005" s="49">
        <f>LEFT(J3005,2)</f>
        <v/>
      </c>
    </row>
    <row r="3006" ht="12.75" customHeight="1">
      <c r="H3006" s="43" t="n"/>
      <c r="AG3006" s="49">
        <f>IFERROR(__xludf.DUMMYFUNCTION("IFNA(vlookup(H3006,IMPORTRANGE(""1vUGwO1n0QQGx9kKbO0_M5gmuhXZ6-LaxQxgrmJnzgP0"",""'TP# look up'!A:C""),3,0),"""")"),"")</f>
        <v/>
      </c>
      <c r="AH3006" s="49">
        <f>LEFT(J3006,2)</f>
        <v/>
      </c>
    </row>
    <row r="3007" ht="12.75" customHeight="1">
      <c r="H3007" s="43" t="n"/>
      <c r="AG3007" s="49">
        <f>IFERROR(__xludf.DUMMYFUNCTION("IFNA(vlookup(H3007,IMPORTRANGE(""1vUGwO1n0QQGx9kKbO0_M5gmuhXZ6-LaxQxgrmJnzgP0"",""'TP# look up'!A:C""),3,0),"""")"),"")</f>
        <v/>
      </c>
      <c r="AH3007" s="49">
        <f>LEFT(J3007,2)</f>
        <v/>
      </c>
    </row>
    <row r="3008" ht="12.75" customHeight="1">
      <c r="H3008" s="43" t="n"/>
      <c r="AG3008" s="49">
        <f>IFERROR(__xludf.DUMMYFUNCTION("IFNA(vlookup(H3008,IMPORTRANGE(""1vUGwO1n0QQGx9kKbO0_M5gmuhXZ6-LaxQxgrmJnzgP0"",""'TP# look up'!A:C""),3,0),"""")"),"")</f>
        <v/>
      </c>
      <c r="AH3008" s="49">
        <f>LEFT(J3008,2)</f>
        <v/>
      </c>
    </row>
    <row r="3009" ht="12.75" customHeight="1">
      <c r="H3009" s="43" t="n"/>
      <c r="AG3009" s="49">
        <f>IFERROR(__xludf.DUMMYFUNCTION("IFNA(vlookup(H3009,IMPORTRANGE(""1vUGwO1n0QQGx9kKbO0_M5gmuhXZ6-LaxQxgrmJnzgP0"",""'TP# look up'!A:C""),3,0),"""")"),"")</f>
        <v/>
      </c>
      <c r="AH3009" s="49">
        <f>LEFT(J3009,2)</f>
        <v/>
      </c>
    </row>
    <row r="3010" ht="12.75" customHeight="1">
      <c r="H3010" s="43" t="n"/>
      <c r="AG3010" s="49">
        <f>IFERROR(__xludf.DUMMYFUNCTION("IFNA(vlookup(H3010,IMPORTRANGE(""1vUGwO1n0QQGx9kKbO0_M5gmuhXZ6-LaxQxgrmJnzgP0"",""'TP# look up'!A:C""),3,0),"""")"),"")</f>
        <v/>
      </c>
      <c r="AH3010" s="49">
        <f>LEFT(J3010,2)</f>
        <v/>
      </c>
    </row>
    <row r="3011" ht="12.75" customHeight="1">
      <c r="H3011" s="43" t="n"/>
      <c r="AG3011" s="49">
        <f>IFERROR(__xludf.DUMMYFUNCTION("IFNA(vlookup(H3011,IMPORTRANGE(""1vUGwO1n0QQGx9kKbO0_M5gmuhXZ6-LaxQxgrmJnzgP0"",""'TP# look up'!A:C""),3,0),"""")"),"")</f>
        <v/>
      </c>
      <c r="AH3011" s="49">
        <f>LEFT(J3011,2)</f>
        <v/>
      </c>
    </row>
    <row r="3012" ht="12.75" customHeight="1">
      <c r="H3012" s="43" t="n"/>
      <c r="AG3012" s="49">
        <f>IFERROR(__xludf.DUMMYFUNCTION("IFNA(vlookup(H3012,IMPORTRANGE(""1vUGwO1n0QQGx9kKbO0_M5gmuhXZ6-LaxQxgrmJnzgP0"",""'TP# look up'!A:C""),3,0),"""")"),"")</f>
        <v/>
      </c>
      <c r="AH3012" s="49">
        <f>LEFT(J3012,2)</f>
        <v/>
      </c>
    </row>
    <row r="3013" ht="12.75" customHeight="1">
      <c r="H3013" s="43" t="n"/>
      <c r="AG3013" s="49">
        <f>IFERROR(__xludf.DUMMYFUNCTION("IFNA(vlookup(H3013,IMPORTRANGE(""1vUGwO1n0QQGx9kKbO0_M5gmuhXZ6-LaxQxgrmJnzgP0"",""'TP# look up'!A:C""),3,0),"""")"),"")</f>
        <v/>
      </c>
      <c r="AH3013" s="49">
        <f>LEFT(J3013,2)</f>
        <v/>
      </c>
    </row>
    <row r="3014" ht="12.75" customHeight="1">
      <c r="H3014" s="43" t="n"/>
      <c r="AG3014" s="49">
        <f>IFERROR(__xludf.DUMMYFUNCTION("IFNA(vlookup(H3014,IMPORTRANGE(""1vUGwO1n0QQGx9kKbO0_M5gmuhXZ6-LaxQxgrmJnzgP0"",""'TP# look up'!A:C""),3,0),"""")"),"")</f>
        <v/>
      </c>
      <c r="AH3014" s="49">
        <f>LEFT(J3014,2)</f>
        <v/>
      </c>
    </row>
    <row r="3015" ht="12.75" customHeight="1">
      <c r="H3015" s="43" t="n"/>
      <c r="AG3015" s="49">
        <f>IFERROR(__xludf.DUMMYFUNCTION("IFNA(vlookup(H3015,IMPORTRANGE(""1vUGwO1n0QQGx9kKbO0_M5gmuhXZ6-LaxQxgrmJnzgP0"",""'TP# look up'!A:C""),3,0),"""")"),"")</f>
        <v/>
      </c>
      <c r="AH3015" s="49">
        <f>LEFT(J3015,2)</f>
        <v/>
      </c>
    </row>
    <row r="3016" ht="12.75" customHeight="1">
      <c r="H3016" s="43" t="n"/>
      <c r="AG3016" s="49">
        <f>IFERROR(__xludf.DUMMYFUNCTION("IFNA(vlookup(H3016,IMPORTRANGE(""1vUGwO1n0QQGx9kKbO0_M5gmuhXZ6-LaxQxgrmJnzgP0"",""'TP# look up'!A:C""),3,0),"""")"),"")</f>
        <v/>
      </c>
      <c r="AH3016" s="49">
        <f>LEFT(J3016,2)</f>
        <v/>
      </c>
    </row>
    <row r="3017" ht="12.75" customHeight="1">
      <c r="H3017" s="43" t="n"/>
      <c r="AG3017" s="49">
        <f>IFERROR(__xludf.DUMMYFUNCTION("IFNA(vlookup(H3017,IMPORTRANGE(""1vUGwO1n0QQGx9kKbO0_M5gmuhXZ6-LaxQxgrmJnzgP0"",""'TP# look up'!A:C""),3,0),"""")"),"")</f>
        <v/>
      </c>
      <c r="AH3017" s="49">
        <f>LEFT(J3017,2)</f>
        <v/>
      </c>
    </row>
    <row r="3018" ht="12.75" customHeight="1">
      <c r="H3018" s="43" t="n"/>
      <c r="AG3018" s="49">
        <f>IFERROR(__xludf.DUMMYFUNCTION("IFNA(vlookup(H3018,IMPORTRANGE(""1vUGwO1n0QQGx9kKbO0_M5gmuhXZ6-LaxQxgrmJnzgP0"",""'TP# look up'!A:C""),3,0),"""")"),"")</f>
        <v/>
      </c>
      <c r="AH3018" s="49">
        <f>LEFT(J3018,2)</f>
        <v/>
      </c>
    </row>
    <row r="3019" ht="12.75" customHeight="1">
      <c r="H3019" s="43" t="n"/>
      <c r="AG3019" s="49">
        <f>IFERROR(__xludf.DUMMYFUNCTION("IFNA(vlookup(H3019,IMPORTRANGE(""1vUGwO1n0QQGx9kKbO0_M5gmuhXZ6-LaxQxgrmJnzgP0"",""'TP# look up'!A:C""),3,0),"""")"),"")</f>
        <v/>
      </c>
      <c r="AH3019" s="49">
        <f>LEFT(J3019,2)</f>
        <v/>
      </c>
    </row>
    <row r="3020" ht="12.75" customHeight="1">
      <c r="H3020" s="43" t="n"/>
      <c r="AG3020" s="49">
        <f>IFERROR(__xludf.DUMMYFUNCTION("IFNA(vlookup(H3020,IMPORTRANGE(""1vUGwO1n0QQGx9kKbO0_M5gmuhXZ6-LaxQxgrmJnzgP0"",""'TP# look up'!A:C""),3,0),"""")"),"")</f>
        <v/>
      </c>
      <c r="AH3020" s="49">
        <f>LEFT(J3020,2)</f>
        <v/>
      </c>
    </row>
    <row r="3021" ht="12.75" customHeight="1">
      <c r="H3021" s="43" t="n"/>
      <c r="AG3021" s="49">
        <f>IFERROR(__xludf.DUMMYFUNCTION("IFNA(vlookup(H3021,IMPORTRANGE(""1vUGwO1n0QQGx9kKbO0_M5gmuhXZ6-LaxQxgrmJnzgP0"",""'TP# look up'!A:C""),3,0),"""")"),"")</f>
        <v/>
      </c>
      <c r="AH3021" s="49">
        <f>LEFT(J3021,2)</f>
        <v/>
      </c>
    </row>
    <row r="3022" ht="12.75" customHeight="1">
      <c r="H3022" s="43" t="n"/>
      <c r="AG3022" s="49">
        <f>IFERROR(__xludf.DUMMYFUNCTION("IFNA(vlookup(H3022,IMPORTRANGE(""1vUGwO1n0QQGx9kKbO0_M5gmuhXZ6-LaxQxgrmJnzgP0"",""'TP# look up'!A:C""),3,0),"""")"),"")</f>
        <v/>
      </c>
      <c r="AH3022" s="49">
        <f>LEFT(J3022,2)</f>
        <v/>
      </c>
    </row>
    <row r="3023" ht="12.75" customHeight="1">
      <c r="H3023" s="43" t="n"/>
      <c r="AG3023" s="49">
        <f>IFERROR(__xludf.DUMMYFUNCTION("IFNA(vlookup(H3023,IMPORTRANGE(""1vUGwO1n0QQGx9kKbO0_M5gmuhXZ6-LaxQxgrmJnzgP0"",""'TP# look up'!A:C""),3,0),"""")"),"")</f>
        <v/>
      </c>
      <c r="AH3023" s="49">
        <f>LEFT(J3023,2)</f>
        <v/>
      </c>
    </row>
    <row r="3024" ht="12.75" customHeight="1">
      <c r="H3024" s="43" t="n"/>
      <c r="AG3024" s="49">
        <f>IFERROR(__xludf.DUMMYFUNCTION("IFNA(vlookup(H3024,IMPORTRANGE(""1vUGwO1n0QQGx9kKbO0_M5gmuhXZ6-LaxQxgrmJnzgP0"",""'TP# look up'!A:C""),3,0),"""")"),"")</f>
        <v/>
      </c>
      <c r="AH3024" s="49">
        <f>LEFT(J3024,2)</f>
        <v/>
      </c>
    </row>
    <row r="3025" ht="12.75" customHeight="1">
      <c r="H3025" s="43" t="n"/>
      <c r="AG3025" s="49">
        <f>IFERROR(__xludf.DUMMYFUNCTION("IFNA(vlookup(H3025,IMPORTRANGE(""1vUGwO1n0QQGx9kKbO0_M5gmuhXZ6-LaxQxgrmJnzgP0"",""'TP# look up'!A:C""),3,0),"""")"),"")</f>
        <v/>
      </c>
      <c r="AH3025" s="49">
        <f>LEFT(J3025,2)</f>
        <v/>
      </c>
    </row>
    <row r="3026" ht="12.75" customHeight="1">
      <c r="H3026" s="43" t="n"/>
      <c r="AG3026" s="49">
        <f>IFERROR(__xludf.DUMMYFUNCTION("IFNA(vlookup(H3026,IMPORTRANGE(""1vUGwO1n0QQGx9kKbO0_M5gmuhXZ6-LaxQxgrmJnzgP0"",""'TP# look up'!A:C""),3,0),"""")"),"")</f>
        <v/>
      </c>
      <c r="AH3026" s="49">
        <f>LEFT(J3026,2)</f>
        <v/>
      </c>
    </row>
    <row r="3027" ht="12.75" customHeight="1">
      <c r="H3027" s="43" t="n"/>
      <c r="AG3027" s="49">
        <f>IFERROR(__xludf.DUMMYFUNCTION("IFNA(vlookup(H3027,IMPORTRANGE(""1vUGwO1n0QQGx9kKbO0_M5gmuhXZ6-LaxQxgrmJnzgP0"",""'TP# look up'!A:C""),3,0),"""")"),"")</f>
        <v/>
      </c>
      <c r="AH3027" s="49">
        <f>LEFT(J3027,2)</f>
        <v/>
      </c>
    </row>
    <row r="3028" ht="12.75" customHeight="1">
      <c r="H3028" s="43" t="n"/>
      <c r="AG3028" s="49">
        <f>IFERROR(__xludf.DUMMYFUNCTION("IFNA(vlookup(H3028,IMPORTRANGE(""1vUGwO1n0QQGx9kKbO0_M5gmuhXZ6-LaxQxgrmJnzgP0"",""'TP# look up'!A:C""),3,0),"""")"),"")</f>
        <v/>
      </c>
      <c r="AH3028" s="49">
        <f>LEFT(J3028,2)</f>
        <v/>
      </c>
    </row>
    <row r="3029" ht="12.75" customHeight="1">
      <c r="H3029" s="43" t="n"/>
      <c r="AG3029" s="49">
        <f>IFERROR(__xludf.DUMMYFUNCTION("IFNA(vlookup(H3029,IMPORTRANGE(""1vUGwO1n0QQGx9kKbO0_M5gmuhXZ6-LaxQxgrmJnzgP0"",""'TP# look up'!A:C""),3,0),"""")"),"")</f>
        <v/>
      </c>
      <c r="AH3029" s="49">
        <f>LEFT(J3029,2)</f>
        <v/>
      </c>
    </row>
    <row r="3030" ht="12.75" customHeight="1">
      <c r="H3030" s="43" t="n"/>
      <c r="AG3030" s="49">
        <f>IFERROR(__xludf.DUMMYFUNCTION("IFNA(vlookup(H3030,IMPORTRANGE(""1vUGwO1n0QQGx9kKbO0_M5gmuhXZ6-LaxQxgrmJnzgP0"",""'TP# look up'!A:C""),3,0),"""")"),"")</f>
        <v/>
      </c>
      <c r="AH3030" s="49">
        <f>LEFT(J3030,2)</f>
        <v/>
      </c>
    </row>
    <row r="3031" ht="12.75" customHeight="1">
      <c r="H3031" s="43" t="n"/>
      <c r="AG3031" s="49">
        <f>IFERROR(__xludf.DUMMYFUNCTION("IFNA(vlookup(H3031,IMPORTRANGE(""1vUGwO1n0QQGx9kKbO0_M5gmuhXZ6-LaxQxgrmJnzgP0"",""'TP# look up'!A:C""),3,0),"""")"),"")</f>
        <v/>
      </c>
      <c r="AH3031" s="49">
        <f>LEFT(J3031,2)</f>
        <v/>
      </c>
    </row>
    <row r="3032" ht="12.75" customHeight="1">
      <c r="H3032" s="43" t="n"/>
      <c r="AG3032" s="49">
        <f>IFERROR(__xludf.DUMMYFUNCTION("IFNA(vlookup(H3032,IMPORTRANGE(""1vUGwO1n0QQGx9kKbO0_M5gmuhXZ6-LaxQxgrmJnzgP0"",""'TP# look up'!A:C""),3,0),"""")"),"")</f>
        <v/>
      </c>
      <c r="AH3032" s="49">
        <f>LEFT(J3032,2)</f>
        <v/>
      </c>
    </row>
    <row r="3033" ht="12.75" customHeight="1">
      <c r="H3033" s="43" t="n"/>
      <c r="AG3033" s="49">
        <f>IFERROR(__xludf.DUMMYFUNCTION("IFNA(vlookup(H3033,IMPORTRANGE(""1vUGwO1n0QQGx9kKbO0_M5gmuhXZ6-LaxQxgrmJnzgP0"",""'TP# look up'!A:C""),3,0),"""")"),"")</f>
        <v/>
      </c>
      <c r="AH3033" s="49">
        <f>LEFT(J3033,2)</f>
        <v/>
      </c>
    </row>
    <row r="3034" ht="12.75" customHeight="1">
      <c r="H3034" s="43" t="n"/>
      <c r="AG3034" s="49">
        <f>IFERROR(__xludf.DUMMYFUNCTION("IFNA(vlookup(H3034,IMPORTRANGE(""1vUGwO1n0QQGx9kKbO0_M5gmuhXZ6-LaxQxgrmJnzgP0"",""'TP# look up'!A:C""),3,0),"""")"),"")</f>
        <v/>
      </c>
      <c r="AH3034" s="49">
        <f>LEFT(J3034,2)</f>
        <v/>
      </c>
    </row>
    <row r="3035" ht="12.75" customHeight="1">
      <c r="H3035" s="43" t="n"/>
      <c r="AG3035" s="49">
        <f>IFERROR(__xludf.DUMMYFUNCTION("IFNA(vlookup(H3035,IMPORTRANGE(""1vUGwO1n0QQGx9kKbO0_M5gmuhXZ6-LaxQxgrmJnzgP0"",""'TP# look up'!A:C""),3,0),"""")"),"")</f>
        <v/>
      </c>
      <c r="AH3035" s="49">
        <f>LEFT(J3035,2)</f>
        <v/>
      </c>
    </row>
    <row r="3036" ht="12.75" customHeight="1">
      <c r="H3036" s="43" t="n"/>
      <c r="AG3036" s="49">
        <f>IFERROR(__xludf.DUMMYFUNCTION("IFNA(vlookup(H3036,IMPORTRANGE(""1vUGwO1n0QQGx9kKbO0_M5gmuhXZ6-LaxQxgrmJnzgP0"",""'TP# look up'!A:C""),3,0),"""")"),"")</f>
        <v/>
      </c>
      <c r="AH3036" s="49">
        <f>LEFT(J3036,2)</f>
        <v/>
      </c>
    </row>
    <row r="3037" ht="12.75" customHeight="1">
      <c r="H3037" s="43" t="n"/>
      <c r="AG3037" s="49">
        <f>IFERROR(__xludf.DUMMYFUNCTION("IFNA(vlookup(H3037,IMPORTRANGE(""1vUGwO1n0QQGx9kKbO0_M5gmuhXZ6-LaxQxgrmJnzgP0"",""'TP# look up'!A:C""),3,0),"""")"),"")</f>
        <v/>
      </c>
      <c r="AH3037" s="49">
        <f>LEFT(J3037,2)</f>
        <v/>
      </c>
    </row>
    <row r="3038" ht="12.75" customHeight="1">
      <c r="H3038" s="43" t="n"/>
      <c r="AG3038" s="49">
        <f>IFERROR(__xludf.DUMMYFUNCTION("IFNA(vlookup(H3038,IMPORTRANGE(""1vUGwO1n0QQGx9kKbO0_M5gmuhXZ6-LaxQxgrmJnzgP0"",""'TP# look up'!A:C""),3,0),"""")"),"")</f>
        <v/>
      </c>
      <c r="AH3038" s="49">
        <f>LEFT(J3038,2)</f>
        <v/>
      </c>
    </row>
    <row r="3039" ht="12.75" customHeight="1">
      <c r="H3039" s="43" t="n"/>
      <c r="AG3039" s="49">
        <f>IFERROR(__xludf.DUMMYFUNCTION("IFNA(vlookup(H3039,IMPORTRANGE(""1vUGwO1n0QQGx9kKbO0_M5gmuhXZ6-LaxQxgrmJnzgP0"",""'TP# look up'!A:C""),3,0),"""")"),"")</f>
        <v/>
      </c>
      <c r="AH3039" s="49">
        <f>LEFT(J3039,2)</f>
        <v/>
      </c>
    </row>
    <row r="3040" ht="12.75" customHeight="1">
      <c r="H3040" s="43" t="n"/>
      <c r="AG3040" s="49">
        <f>IFERROR(__xludf.DUMMYFUNCTION("IFNA(vlookup(H3040,IMPORTRANGE(""1vUGwO1n0QQGx9kKbO0_M5gmuhXZ6-LaxQxgrmJnzgP0"",""'TP# look up'!A:C""),3,0),"""")"),"")</f>
        <v/>
      </c>
      <c r="AH3040" s="49">
        <f>LEFT(J3040,2)</f>
        <v/>
      </c>
    </row>
    <row r="3041" ht="12.75" customHeight="1">
      <c r="H3041" s="43" t="n"/>
      <c r="AG3041" s="49">
        <f>IFERROR(__xludf.DUMMYFUNCTION("IFNA(vlookup(H3041,IMPORTRANGE(""1vUGwO1n0QQGx9kKbO0_M5gmuhXZ6-LaxQxgrmJnzgP0"",""'TP# look up'!A:C""),3,0),"""")"),"")</f>
        <v/>
      </c>
      <c r="AH3041" s="49">
        <f>LEFT(J3041,2)</f>
        <v/>
      </c>
    </row>
    <row r="3042" ht="12.75" customHeight="1">
      <c r="H3042" s="43" t="n"/>
      <c r="AG3042" s="49">
        <f>IFERROR(__xludf.DUMMYFUNCTION("IFNA(vlookup(H3042,IMPORTRANGE(""1vUGwO1n0QQGx9kKbO0_M5gmuhXZ6-LaxQxgrmJnzgP0"",""'TP# look up'!A:C""),3,0),"""")"),"")</f>
        <v/>
      </c>
      <c r="AH3042" s="49">
        <f>LEFT(J3042,2)</f>
        <v/>
      </c>
    </row>
    <row r="3043" ht="12.75" customHeight="1">
      <c r="H3043" s="43" t="n"/>
      <c r="AG3043" s="49">
        <f>IFERROR(__xludf.DUMMYFUNCTION("IFNA(vlookup(H3043,IMPORTRANGE(""1vUGwO1n0QQGx9kKbO0_M5gmuhXZ6-LaxQxgrmJnzgP0"",""'TP# look up'!A:C""),3,0),"""")"),"")</f>
        <v/>
      </c>
      <c r="AH3043" s="49">
        <f>LEFT(J3043,2)</f>
        <v/>
      </c>
    </row>
    <row r="3044" ht="12.75" customHeight="1">
      <c r="H3044" s="43" t="n"/>
      <c r="AG3044" s="49">
        <f>IFERROR(__xludf.DUMMYFUNCTION("IFNA(vlookup(H3044,IMPORTRANGE(""1vUGwO1n0QQGx9kKbO0_M5gmuhXZ6-LaxQxgrmJnzgP0"",""'TP# look up'!A:C""),3,0),"""")"),"")</f>
        <v/>
      </c>
      <c r="AH3044" s="49">
        <f>LEFT(J3044,2)</f>
        <v/>
      </c>
    </row>
    <row r="3045" ht="12.75" customHeight="1">
      <c r="H3045" s="43" t="n"/>
      <c r="AG3045" s="49">
        <f>IFERROR(__xludf.DUMMYFUNCTION("IFNA(vlookup(H3045,IMPORTRANGE(""1vUGwO1n0QQGx9kKbO0_M5gmuhXZ6-LaxQxgrmJnzgP0"",""'TP# look up'!A:C""),3,0),"""")"),"")</f>
        <v/>
      </c>
      <c r="AH3045" s="49">
        <f>LEFT(J3045,2)</f>
        <v/>
      </c>
    </row>
    <row r="3046" ht="12.75" customHeight="1">
      <c r="H3046" s="43" t="n"/>
      <c r="AG3046" s="49">
        <f>IFERROR(__xludf.DUMMYFUNCTION("IFNA(vlookup(H3046,IMPORTRANGE(""1vUGwO1n0QQGx9kKbO0_M5gmuhXZ6-LaxQxgrmJnzgP0"",""'TP# look up'!A:C""),3,0),"""")"),"")</f>
        <v/>
      </c>
      <c r="AH3046" s="49">
        <f>LEFT(J3046,2)</f>
        <v/>
      </c>
    </row>
    <row r="3047" ht="12.75" customHeight="1">
      <c r="H3047" s="43" t="n"/>
      <c r="AG3047" s="49">
        <f>IFERROR(__xludf.DUMMYFUNCTION("IFNA(vlookup(H3047,IMPORTRANGE(""1vUGwO1n0QQGx9kKbO0_M5gmuhXZ6-LaxQxgrmJnzgP0"",""'TP# look up'!A:C""),3,0),"""")"),"")</f>
        <v/>
      </c>
      <c r="AH3047" s="49">
        <f>LEFT(J3047,2)</f>
        <v/>
      </c>
    </row>
    <row r="3048" ht="12.75" customHeight="1">
      <c r="H3048" s="43" t="n"/>
      <c r="AG3048" s="49">
        <f>IFERROR(__xludf.DUMMYFUNCTION("IFNA(vlookup(H3048,IMPORTRANGE(""1vUGwO1n0QQGx9kKbO0_M5gmuhXZ6-LaxQxgrmJnzgP0"",""'TP# look up'!A:C""),3,0),"""")"),"")</f>
        <v/>
      </c>
      <c r="AH3048" s="49">
        <f>LEFT(J3048,2)</f>
        <v/>
      </c>
    </row>
    <row r="3049" ht="12.75" customHeight="1">
      <c r="H3049" s="43" t="n"/>
      <c r="AG3049" s="49">
        <f>IFERROR(__xludf.DUMMYFUNCTION("IFNA(vlookup(H3049,IMPORTRANGE(""1vUGwO1n0QQGx9kKbO0_M5gmuhXZ6-LaxQxgrmJnzgP0"",""'TP# look up'!A:C""),3,0),"""")"),"")</f>
        <v/>
      </c>
      <c r="AH3049" s="49">
        <f>LEFT(J3049,2)</f>
        <v/>
      </c>
    </row>
    <row r="3050" ht="12.75" customHeight="1">
      <c r="H3050" s="43" t="n"/>
      <c r="AG3050" s="49">
        <f>IFERROR(__xludf.DUMMYFUNCTION("IFNA(vlookup(H3050,IMPORTRANGE(""1vUGwO1n0QQGx9kKbO0_M5gmuhXZ6-LaxQxgrmJnzgP0"",""'TP# look up'!A:C""),3,0),"""")"),"")</f>
        <v/>
      </c>
      <c r="AH3050" s="49">
        <f>LEFT(J3050,2)</f>
        <v/>
      </c>
    </row>
    <row r="3051" ht="12.75" customHeight="1">
      <c r="H3051" s="43" t="n"/>
      <c r="AG3051" s="49">
        <f>IFERROR(__xludf.DUMMYFUNCTION("IFNA(vlookup(H3051,IMPORTRANGE(""1vUGwO1n0QQGx9kKbO0_M5gmuhXZ6-LaxQxgrmJnzgP0"",""'TP# look up'!A:C""),3,0),"""")"),"")</f>
        <v/>
      </c>
      <c r="AH3051" s="49">
        <f>LEFT(J3051,2)</f>
        <v/>
      </c>
    </row>
    <row r="3052" ht="12.75" customHeight="1">
      <c r="H3052" s="43" t="n"/>
      <c r="AG3052" s="49">
        <f>IFERROR(__xludf.DUMMYFUNCTION("IFNA(vlookup(H3052,IMPORTRANGE(""1vUGwO1n0QQGx9kKbO0_M5gmuhXZ6-LaxQxgrmJnzgP0"",""'TP# look up'!A:C""),3,0),"""")"),"")</f>
        <v/>
      </c>
      <c r="AH3052" s="49">
        <f>LEFT(J3052,2)</f>
        <v/>
      </c>
    </row>
    <row r="3053" ht="12.75" customHeight="1">
      <c r="H3053" s="43" t="n"/>
      <c r="AG3053" s="49">
        <f>IFERROR(__xludf.DUMMYFUNCTION("IFNA(vlookup(H3053,IMPORTRANGE(""1vUGwO1n0QQGx9kKbO0_M5gmuhXZ6-LaxQxgrmJnzgP0"",""'TP# look up'!A:C""),3,0),"""")"),"")</f>
        <v/>
      </c>
      <c r="AH3053" s="49">
        <f>LEFT(J3053,2)</f>
        <v/>
      </c>
    </row>
    <row r="3054" ht="12.75" customHeight="1">
      <c r="H3054" s="43" t="n"/>
      <c r="AG3054" s="49">
        <f>IFERROR(__xludf.DUMMYFUNCTION("IFNA(vlookup(H3054,IMPORTRANGE(""1vUGwO1n0QQGx9kKbO0_M5gmuhXZ6-LaxQxgrmJnzgP0"",""'TP# look up'!A:C""),3,0),"""")"),"")</f>
        <v/>
      </c>
      <c r="AH3054" s="49">
        <f>LEFT(J3054,2)</f>
        <v/>
      </c>
    </row>
    <row r="3055" ht="12.75" customHeight="1">
      <c r="H3055" s="43" t="n"/>
      <c r="AG3055" s="49">
        <f>IFERROR(__xludf.DUMMYFUNCTION("IFNA(vlookup(H3055,IMPORTRANGE(""1vUGwO1n0QQGx9kKbO0_M5gmuhXZ6-LaxQxgrmJnzgP0"",""'TP# look up'!A:C""),3,0),"""")"),"")</f>
        <v/>
      </c>
      <c r="AH3055" s="49">
        <f>LEFT(J3055,2)</f>
        <v/>
      </c>
    </row>
    <row r="3056" ht="12.75" customHeight="1">
      <c r="H3056" s="43" t="n"/>
      <c r="AG3056" s="49">
        <f>IFERROR(__xludf.DUMMYFUNCTION("IFNA(vlookup(H3056,IMPORTRANGE(""1vUGwO1n0QQGx9kKbO0_M5gmuhXZ6-LaxQxgrmJnzgP0"",""'TP# look up'!A:C""),3,0),"""")"),"")</f>
        <v/>
      </c>
      <c r="AH3056" s="49">
        <f>LEFT(J3056,2)</f>
        <v/>
      </c>
    </row>
    <row r="3057" ht="12.75" customHeight="1">
      <c r="H3057" s="43" t="n"/>
      <c r="AG3057" s="49">
        <f>IFERROR(__xludf.DUMMYFUNCTION("IFNA(vlookup(H3057,IMPORTRANGE(""1vUGwO1n0QQGx9kKbO0_M5gmuhXZ6-LaxQxgrmJnzgP0"",""'TP# look up'!A:C""),3,0),"""")"),"")</f>
        <v/>
      </c>
      <c r="AH3057" s="49">
        <f>LEFT(J3057,2)</f>
        <v/>
      </c>
    </row>
    <row r="3058" ht="12.75" customHeight="1">
      <c r="H3058" s="43" t="n"/>
      <c r="AG3058" s="49">
        <f>IFERROR(__xludf.DUMMYFUNCTION("IFNA(vlookup(H3058,IMPORTRANGE(""1vUGwO1n0QQGx9kKbO0_M5gmuhXZ6-LaxQxgrmJnzgP0"",""'TP# look up'!A:C""),3,0),"""")"),"")</f>
        <v/>
      </c>
      <c r="AH3058" s="49">
        <f>LEFT(J3058,2)</f>
        <v/>
      </c>
    </row>
    <row r="3059" ht="12.75" customHeight="1">
      <c r="H3059" s="43" t="n"/>
      <c r="AG3059" s="49">
        <f>IFERROR(__xludf.DUMMYFUNCTION("IFNA(vlookup(H3059,IMPORTRANGE(""1vUGwO1n0QQGx9kKbO0_M5gmuhXZ6-LaxQxgrmJnzgP0"",""'TP# look up'!A:C""),3,0),"""")"),"")</f>
        <v/>
      </c>
      <c r="AH3059" s="49">
        <f>LEFT(J3059,2)</f>
        <v/>
      </c>
    </row>
    <row r="3060" ht="12.75" customHeight="1">
      <c r="H3060" s="43" t="n"/>
      <c r="AG3060" s="49">
        <f>IFERROR(__xludf.DUMMYFUNCTION("IFNA(vlookup(H3060,IMPORTRANGE(""1vUGwO1n0QQGx9kKbO0_M5gmuhXZ6-LaxQxgrmJnzgP0"",""'TP# look up'!A:C""),3,0),"""")"),"")</f>
        <v/>
      </c>
      <c r="AH3060" s="49">
        <f>LEFT(J3060,2)</f>
        <v/>
      </c>
    </row>
    <row r="3061" ht="12.75" customHeight="1">
      <c r="H3061" s="43" t="n"/>
      <c r="AG3061" s="49">
        <f>IFERROR(__xludf.DUMMYFUNCTION("IFNA(vlookup(H3061,IMPORTRANGE(""1vUGwO1n0QQGx9kKbO0_M5gmuhXZ6-LaxQxgrmJnzgP0"",""'TP# look up'!A:C""),3,0),"""")"),"")</f>
        <v/>
      </c>
      <c r="AH3061" s="49">
        <f>LEFT(J3061,2)</f>
        <v/>
      </c>
    </row>
    <row r="3062" ht="12.75" customHeight="1">
      <c r="H3062" s="43" t="n"/>
      <c r="AG3062" s="49">
        <f>IFERROR(__xludf.DUMMYFUNCTION("IFNA(vlookup(H3062,IMPORTRANGE(""1vUGwO1n0QQGx9kKbO0_M5gmuhXZ6-LaxQxgrmJnzgP0"",""'TP# look up'!A:C""),3,0),"""")"),"")</f>
        <v/>
      </c>
      <c r="AH3062" s="49">
        <f>LEFT(J3062,2)</f>
        <v/>
      </c>
    </row>
    <row r="3063" ht="12.75" customHeight="1">
      <c r="H3063" s="43" t="n"/>
      <c r="AG3063" s="49">
        <f>IFERROR(__xludf.DUMMYFUNCTION("IFNA(vlookup(H3063,IMPORTRANGE(""1vUGwO1n0QQGx9kKbO0_M5gmuhXZ6-LaxQxgrmJnzgP0"",""'TP# look up'!A:C""),3,0),"""")"),"")</f>
        <v/>
      </c>
      <c r="AH3063" s="49">
        <f>LEFT(J3063,2)</f>
        <v/>
      </c>
    </row>
    <row r="3064" ht="12.75" customHeight="1">
      <c r="H3064" s="43" t="n"/>
      <c r="AG3064" s="49">
        <f>IFERROR(__xludf.DUMMYFUNCTION("IFNA(vlookup(H3064,IMPORTRANGE(""1vUGwO1n0QQGx9kKbO0_M5gmuhXZ6-LaxQxgrmJnzgP0"",""'TP# look up'!A:C""),3,0),"""")"),"")</f>
        <v/>
      </c>
      <c r="AH3064" s="49">
        <f>LEFT(J3064,2)</f>
        <v/>
      </c>
    </row>
    <row r="3065" ht="12.75" customHeight="1">
      <c r="H3065" s="43" t="n"/>
      <c r="AG3065" s="49">
        <f>IFERROR(__xludf.DUMMYFUNCTION("IFNA(vlookup(H3065,IMPORTRANGE(""1vUGwO1n0QQGx9kKbO0_M5gmuhXZ6-LaxQxgrmJnzgP0"",""'TP# look up'!A:C""),3,0),"""")"),"")</f>
        <v/>
      </c>
      <c r="AH3065" s="49">
        <f>LEFT(J3065,2)</f>
        <v/>
      </c>
    </row>
    <row r="3066" ht="12.75" customHeight="1">
      <c r="H3066" s="43" t="n"/>
      <c r="AG3066" s="49">
        <f>IFERROR(__xludf.DUMMYFUNCTION("IFNA(vlookup(H3066,IMPORTRANGE(""1vUGwO1n0QQGx9kKbO0_M5gmuhXZ6-LaxQxgrmJnzgP0"",""'TP# look up'!A:C""),3,0),"""")"),"")</f>
        <v/>
      </c>
      <c r="AH3066" s="49">
        <f>LEFT(J3066,2)</f>
        <v/>
      </c>
    </row>
    <row r="3067" ht="12.75" customHeight="1">
      <c r="H3067" s="43" t="n"/>
      <c r="AG3067" s="49">
        <f>IFERROR(__xludf.DUMMYFUNCTION("IFNA(vlookup(H3067,IMPORTRANGE(""1vUGwO1n0QQGx9kKbO0_M5gmuhXZ6-LaxQxgrmJnzgP0"",""'TP# look up'!A:C""),3,0),"""")"),"")</f>
        <v/>
      </c>
      <c r="AH3067" s="49">
        <f>LEFT(J3067,2)</f>
        <v/>
      </c>
    </row>
    <row r="3068" ht="12.75" customHeight="1">
      <c r="H3068" s="43" t="n"/>
      <c r="AG3068" s="49">
        <f>IFERROR(__xludf.DUMMYFUNCTION("IFNA(vlookup(H3068,IMPORTRANGE(""1vUGwO1n0QQGx9kKbO0_M5gmuhXZ6-LaxQxgrmJnzgP0"",""'TP# look up'!A:C""),3,0),"""")"),"")</f>
        <v/>
      </c>
      <c r="AH3068" s="49">
        <f>LEFT(J3068,2)</f>
        <v/>
      </c>
    </row>
    <row r="3069" ht="12.75" customHeight="1">
      <c r="H3069" s="43" t="n"/>
      <c r="AG3069" s="49">
        <f>IFERROR(__xludf.DUMMYFUNCTION("IFNA(vlookup(H3069,IMPORTRANGE(""1vUGwO1n0QQGx9kKbO0_M5gmuhXZ6-LaxQxgrmJnzgP0"",""'TP# look up'!A:C""),3,0),"""")"),"")</f>
        <v/>
      </c>
      <c r="AH3069" s="49">
        <f>LEFT(J3069,2)</f>
        <v/>
      </c>
    </row>
    <row r="3070" ht="12.75" customHeight="1">
      <c r="H3070" s="43" t="n"/>
      <c r="AG3070" s="49">
        <f>IFERROR(__xludf.DUMMYFUNCTION("IFNA(vlookup(H3070,IMPORTRANGE(""1vUGwO1n0QQGx9kKbO0_M5gmuhXZ6-LaxQxgrmJnzgP0"",""'TP# look up'!A:C""),3,0),"""")"),"")</f>
        <v/>
      </c>
      <c r="AH3070" s="49">
        <f>LEFT(J3070,2)</f>
        <v/>
      </c>
    </row>
    <row r="3071" ht="12.75" customHeight="1">
      <c r="H3071" s="43" t="n"/>
      <c r="AG3071" s="49">
        <f>IFERROR(__xludf.DUMMYFUNCTION("IFNA(vlookup(H3071,IMPORTRANGE(""1vUGwO1n0QQGx9kKbO0_M5gmuhXZ6-LaxQxgrmJnzgP0"",""'TP# look up'!A:C""),3,0),"""")"),"")</f>
        <v/>
      </c>
      <c r="AH3071" s="49">
        <f>LEFT(J3071,2)</f>
        <v/>
      </c>
    </row>
    <row r="3072" ht="12.75" customHeight="1">
      <c r="H3072" s="43" t="n"/>
      <c r="AG3072" s="49">
        <f>IFERROR(__xludf.DUMMYFUNCTION("IFNA(vlookup(H3072,IMPORTRANGE(""1vUGwO1n0QQGx9kKbO0_M5gmuhXZ6-LaxQxgrmJnzgP0"",""'TP# look up'!A:C""),3,0),"""")"),"")</f>
        <v/>
      </c>
      <c r="AH3072" s="49">
        <f>LEFT(J3072,2)</f>
        <v/>
      </c>
    </row>
    <row r="3073" ht="12.75" customHeight="1">
      <c r="H3073" s="43" t="n"/>
      <c r="AG3073" s="49">
        <f>IFERROR(__xludf.DUMMYFUNCTION("IFNA(vlookup(H3073,IMPORTRANGE(""1vUGwO1n0QQGx9kKbO0_M5gmuhXZ6-LaxQxgrmJnzgP0"",""'TP# look up'!A:C""),3,0),"""")"),"")</f>
        <v/>
      </c>
      <c r="AH3073" s="49">
        <f>LEFT(J3073,2)</f>
        <v/>
      </c>
    </row>
    <row r="3074" ht="12.75" customHeight="1">
      <c r="H3074" s="43" t="n"/>
      <c r="AG3074" s="49">
        <f>IFERROR(__xludf.DUMMYFUNCTION("IFNA(vlookup(H3074,IMPORTRANGE(""1vUGwO1n0QQGx9kKbO0_M5gmuhXZ6-LaxQxgrmJnzgP0"",""'TP# look up'!A:C""),3,0),"""")"),"")</f>
        <v/>
      </c>
      <c r="AH3074" s="49">
        <f>LEFT(J3074,2)</f>
        <v/>
      </c>
    </row>
    <row r="3075" ht="12.75" customHeight="1">
      <c r="H3075" s="43" t="n"/>
      <c r="AG3075" s="49">
        <f>IFERROR(__xludf.DUMMYFUNCTION("IFNA(vlookup(H3075,IMPORTRANGE(""1vUGwO1n0QQGx9kKbO0_M5gmuhXZ6-LaxQxgrmJnzgP0"",""'TP# look up'!A:C""),3,0),"""")"),"")</f>
        <v/>
      </c>
      <c r="AH3075" s="49">
        <f>LEFT(J3075,2)</f>
        <v/>
      </c>
    </row>
    <row r="3076" ht="12.75" customHeight="1">
      <c r="H3076" s="43" t="n"/>
      <c r="AG3076" s="49">
        <f>IFERROR(__xludf.DUMMYFUNCTION("IFNA(vlookup(H3076,IMPORTRANGE(""1vUGwO1n0QQGx9kKbO0_M5gmuhXZ6-LaxQxgrmJnzgP0"",""'TP# look up'!A:C""),3,0),"""")"),"")</f>
        <v/>
      </c>
      <c r="AH3076" s="49">
        <f>LEFT(J3076,2)</f>
        <v/>
      </c>
    </row>
    <row r="3077" ht="12.75" customHeight="1">
      <c r="H3077" s="43" t="n"/>
      <c r="AG3077" s="49">
        <f>IFERROR(__xludf.DUMMYFUNCTION("IFNA(vlookup(H3077,IMPORTRANGE(""1vUGwO1n0QQGx9kKbO0_M5gmuhXZ6-LaxQxgrmJnzgP0"",""'TP# look up'!A:C""),3,0),"""")"),"")</f>
        <v/>
      </c>
      <c r="AH3077" s="49">
        <f>LEFT(J3077,2)</f>
        <v/>
      </c>
    </row>
    <row r="3078" ht="12.75" customHeight="1">
      <c r="H3078" s="43" t="n"/>
      <c r="AG3078" s="49">
        <f>IFERROR(__xludf.DUMMYFUNCTION("IFNA(vlookup(H3078,IMPORTRANGE(""1vUGwO1n0QQGx9kKbO0_M5gmuhXZ6-LaxQxgrmJnzgP0"",""'TP# look up'!A:C""),3,0),"""")"),"")</f>
        <v/>
      </c>
      <c r="AH3078" s="49">
        <f>LEFT(J3078,2)</f>
        <v/>
      </c>
    </row>
    <row r="3079" ht="12.75" customHeight="1">
      <c r="H3079" s="43" t="n"/>
      <c r="AG3079" s="49">
        <f>IFERROR(__xludf.DUMMYFUNCTION("IFNA(vlookup(H3079,IMPORTRANGE(""1vUGwO1n0QQGx9kKbO0_M5gmuhXZ6-LaxQxgrmJnzgP0"",""'TP# look up'!A:C""),3,0),"""")"),"")</f>
        <v/>
      </c>
      <c r="AH3079" s="49">
        <f>LEFT(J3079,2)</f>
        <v/>
      </c>
    </row>
    <row r="3080" ht="12.75" customHeight="1">
      <c r="H3080" s="43" t="n"/>
      <c r="AG3080" s="49">
        <f>IFERROR(__xludf.DUMMYFUNCTION("IFNA(vlookup(H3080,IMPORTRANGE(""1vUGwO1n0QQGx9kKbO0_M5gmuhXZ6-LaxQxgrmJnzgP0"",""'TP# look up'!A:C""),3,0),"""")"),"")</f>
        <v/>
      </c>
      <c r="AH3080" s="49">
        <f>LEFT(J3080,2)</f>
        <v/>
      </c>
    </row>
    <row r="3081" ht="12.75" customHeight="1">
      <c r="H3081" s="43" t="n"/>
      <c r="AG3081" s="49">
        <f>IFERROR(__xludf.DUMMYFUNCTION("IFNA(vlookup(H3081,IMPORTRANGE(""1vUGwO1n0QQGx9kKbO0_M5gmuhXZ6-LaxQxgrmJnzgP0"",""'TP# look up'!A:C""),3,0),"""")"),"")</f>
        <v/>
      </c>
      <c r="AH3081" s="49">
        <f>LEFT(J3081,2)</f>
        <v/>
      </c>
    </row>
    <row r="3082" ht="12.75" customHeight="1">
      <c r="H3082" s="43" t="n"/>
      <c r="AG3082" s="49">
        <f>IFERROR(__xludf.DUMMYFUNCTION("IFNA(vlookup(H3082,IMPORTRANGE(""1vUGwO1n0QQGx9kKbO0_M5gmuhXZ6-LaxQxgrmJnzgP0"",""'TP# look up'!A:C""),3,0),"""")"),"")</f>
        <v/>
      </c>
      <c r="AH3082" s="49">
        <f>LEFT(J3082,2)</f>
        <v/>
      </c>
    </row>
    <row r="3083" ht="12.75" customHeight="1">
      <c r="H3083" s="43" t="n"/>
      <c r="AG3083" s="49">
        <f>IFERROR(__xludf.DUMMYFUNCTION("IFNA(vlookup(H3083,IMPORTRANGE(""1vUGwO1n0QQGx9kKbO0_M5gmuhXZ6-LaxQxgrmJnzgP0"",""'TP# look up'!A:C""),3,0),"""")"),"")</f>
        <v/>
      </c>
      <c r="AH3083" s="49">
        <f>LEFT(J3083,2)</f>
        <v/>
      </c>
    </row>
    <row r="3084" ht="12.75" customHeight="1">
      <c r="H3084" s="43" t="n"/>
      <c r="AG3084" s="49">
        <f>IFERROR(__xludf.DUMMYFUNCTION("IFNA(vlookup(H3084,IMPORTRANGE(""1vUGwO1n0QQGx9kKbO0_M5gmuhXZ6-LaxQxgrmJnzgP0"",""'TP# look up'!A:C""),3,0),"""")"),"")</f>
        <v/>
      </c>
      <c r="AH3084" s="49">
        <f>LEFT(J3084,2)</f>
        <v/>
      </c>
    </row>
    <row r="3085" ht="12.75" customHeight="1">
      <c r="H3085" s="43" t="n"/>
      <c r="AG3085" s="49">
        <f>IFERROR(__xludf.DUMMYFUNCTION("IFNA(vlookup(H3085,IMPORTRANGE(""1vUGwO1n0QQGx9kKbO0_M5gmuhXZ6-LaxQxgrmJnzgP0"",""'TP# look up'!A:C""),3,0),"""")"),"")</f>
        <v/>
      </c>
      <c r="AH3085" s="49">
        <f>LEFT(J3085,2)</f>
        <v/>
      </c>
    </row>
    <row r="3086" ht="12.75" customHeight="1">
      <c r="H3086" s="43" t="n"/>
      <c r="AG3086" s="49">
        <f>IFERROR(__xludf.DUMMYFUNCTION("IFNA(vlookup(H3086,IMPORTRANGE(""1vUGwO1n0QQGx9kKbO0_M5gmuhXZ6-LaxQxgrmJnzgP0"",""'TP# look up'!A:C""),3,0),"""")"),"")</f>
        <v/>
      </c>
      <c r="AH3086" s="49">
        <f>LEFT(J3086,2)</f>
        <v/>
      </c>
    </row>
    <row r="3087" ht="12.75" customHeight="1">
      <c r="H3087" s="43" t="n"/>
      <c r="AG3087" s="49">
        <f>IFERROR(__xludf.DUMMYFUNCTION("IFNA(vlookup(H3087,IMPORTRANGE(""1vUGwO1n0QQGx9kKbO0_M5gmuhXZ6-LaxQxgrmJnzgP0"",""'TP# look up'!A:C""),3,0),"""")"),"")</f>
        <v/>
      </c>
      <c r="AH3087" s="49">
        <f>LEFT(J3087,2)</f>
        <v/>
      </c>
    </row>
    <row r="3088" ht="12.75" customHeight="1">
      <c r="H3088" s="43" t="n"/>
      <c r="AG3088" s="49">
        <f>IFERROR(__xludf.DUMMYFUNCTION("IFNA(vlookup(H3088,IMPORTRANGE(""1vUGwO1n0QQGx9kKbO0_M5gmuhXZ6-LaxQxgrmJnzgP0"",""'TP# look up'!A:C""),3,0),"""")"),"")</f>
        <v/>
      </c>
      <c r="AH3088" s="49">
        <f>LEFT(J3088,2)</f>
        <v/>
      </c>
    </row>
    <row r="3089" ht="12.75" customHeight="1">
      <c r="H3089" s="43" t="n"/>
      <c r="AG3089" s="49">
        <f>IFERROR(__xludf.DUMMYFUNCTION("IFNA(vlookup(H3089,IMPORTRANGE(""1vUGwO1n0QQGx9kKbO0_M5gmuhXZ6-LaxQxgrmJnzgP0"",""'TP# look up'!A:C""),3,0),"""")"),"")</f>
        <v/>
      </c>
      <c r="AH3089" s="49">
        <f>LEFT(J3089,2)</f>
        <v/>
      </c>
    </row>
    <row r="3090" ht="12.75" customHeight="1">
      <c r="H3090" s="43" t="n"/>
      <c r="AG3090" s="49">
        <f>IFERROR(__xludf.DUMMYFUNCTION("IFNA(vlookup(H3090,IMPORTRANGE(""1vUGwO1n0QQGx9kKbO0_M5gmuhXZ6-LaxQxgrmJnzgP0"",""'TP# look up'!A:C""),3,0),"""")"),"")</f>
        <v/>
      </c>
      <c r="AH3090" s="49">
        <f>LEFT(J3090,2)</f>
        <v/>
      </c>
    </row>
    <row r="3091" ht="12.75" customHeight="1">
      <c r="H3091" s="43" t="n"/>
      <c r="AG3091" s="49">
        <f>IFERROR(__xludf.DUMMYFUNCTION("IFNA(vlookup(H3091,IMPORTRANGE(""1vUGwO1n0QQGx9kKbO0_M5gmuhXZ6-LaxQxgrmJnzgP0"",""'TP# look up'!A:C""),3,0),"""")"),"")</f>
        <v/>
      </c>
      <c r="AH3091" s="49">
        <f>LEFT(J3091,2)</f>
        <v/>
      </c>
    </row>
    <row r="3092" ht="12.75" customHeight="1">
      <c r="H3092" s="43" t="n"/>
      <c r="AG3092" s="49">
        <f>IFERROR(__xludf.DUMMYFUNCTION("IFNA(vlookup(H3092,IMPORTRANGE(""1vUGwO1n0QQGx9kKbO0_M5gmuhXZ6-LaxQxgrmJnzgP0"",""'TP# look up'!A:C""),3,0),"""")"),"")</f>
        <v/>
      </c>
      <c r="AH3092" s="49">
        <f>LEFT(J3092,2)</f>
        <v/>
      </c>
    </row>
    <row r="3093" ht="12.75" customHeight="1">
      <c r="H3093" s="43" t="n"/>
      <c r="AG3093" s="49">
        <f>IFERROR(__xludf.DUMMYFUNCTION("IFNA(vlookup(H3093,IMPORTRANGE(""1vUGwO1n0QQGx9kKbO0_M5gmuhXZ6-LaxQxgrmJnzgP0"",""'TP# look up'!A:C""),3,0),"""")"),"")</f>
        <v/>
      </c>
      <c r="AH3093" s="49">
        <f>LEFT(J3093,2)</f>
        <v/>
      </c>
    </row>
    <row r="3094" ht="12.75" customHeight="1">
      <c r="H3094" s="43" t="n"/>
      <c r="AG3094" s="49">
        <f>IFERROR(__xludf.DUMMYFUNCTION("IFNA(vlookup(H3094,IMPORTRANGE(""1vUGwO1n0QQGx9kKbO0_M5gmuhXZ6-LaxQxgrmJnzgP0"",""'TP# look up'!A:C""),3,0),"""")"),"")</f>
        <v/>
      </c>
      <c r="AH3094" s="49">
        <f>LEFT(J3094,2)</f>
        <v/>
      </c>
    </row>
    <row r="3095" ht="12.75" customHeight="1">
      <c r="H3095" s="43" t="n"/>
      <c r="AG3095" s="49">
        <f>IFERROR(__xludf.DUMMYFUNCTION("IFNA(vlookup(H3095,IMPORTRANGE(""1vUGwO1n0QQGx9kKbO0_M5gmuhXZ6-LaxQxgrmJnzgP0"",""'TP# look up'!A:C""),3,0),"""")"),"")</f>
        <v/>
      </c>
      <c r="AH3095" s="49">
        <f>LEFT(J3095,2)</f>
        <v/>
      </c>
    </row>
    <row r="3096" ht="12.75" customHeight="1">
      <c r="H3096" s="43" t="n"/>
      <c r="AG3096" s="49">
        <f>IFERROR(__xludf.DUMMYFUNCTION("IFNA(vlookup(H3096,IMPORTRANGE(""1vUGwO1n0QQGx9kKbO0_M5gmuhXZ6-LaxQxgrmJnzgP0"",""'TP# look up'!A:C""),3,0),"""")"),"")</f>
        <v/>
      </c>
      <c r="AH3096" s="49">
        <f>LEFT(J3096,2)</f>
        <v/>
      </c>
    </row>
    <row r="3097" ht="12.75" customHeight="1">
      <c r="H3097" s="43" t="n"/>
      <c r="AG3097" s="49">
        <f>IFERROR(__xludf.DUMMYFUNCTION("IFNA(vlookup(H3097,IMPORTRANGE(""1vUGwO1n0QQGx9kKbO0_M5gmuhXZ6-LaxQxgrmJnzgP0"",""'TP# look up'!A:C""),3,0),"""")"),"")</f>
        <v/>
      </c>
      <c r="AH3097" s="49">
        <f>LEFT(J3097,2)</f>
        <v/>
      </c>
    </row>
    <row r="3098" ht="12.75" customHeight="1">
      <c r="H3098" s="43" t="n"/>
      <c r="AG3098" s="49">
        <f>IFERROR(__xludf.DUMMYFUNCTION("IFNA(vlookup(H3098,IMPORTRANGE(""1vUGwO1n0QQGx9kKbO0_M5gmuhXZ6-LaxQxgrmJnzgP0"",""'TP# look up'!A:C""),3,0),"""")"),"")</f>
        <v/>
      </c>
      <c r="AH3098" s="49">
        <f>LEFT(J3098,2)</f>
        <v/>
      </c>
    </row>
    <row r="3099" ht="12.75" customHeight="1">
      <c r="H3099" s="43" t="n"/>
      <c r="AG3099" s="49">
        <f>IFERROR(__xludf.DUMMYFUNCTION("IFNA(vlookup(H3099,IMPORTRANGE(""1vUGwO1n0QQGx9kKbO0_M5gmuhXZ6-LaxQxgrmJnzgP0"",""'TP# look up'!A:C""),3,0),"""")"),"")</f>
        <v/>
      </c>
      <c r="AH3099" s="49">
        <f>LEFT(J3099,2)</f>
        <v/>
      </c>
    </row>
    <row r="3100" ht="12.75" customHeight="1">
      <c r="H3100" s="43" t="n"/>
      <c r="AG3100" s="49">
        <f>IFERROR(__xludf.DUMMYFUNCTION("IFNA(vlookup(H3100,IMPORTRANGE(""1vUGwO1n0QQGx9kKbO0_M5gmuhXZ6-LaxQxgrmJnzgP0"",""'TP# look up'!A:C""),3,0),"""")"),"")</f>
        <v/>
      </c>
      <c r="AH3100" s="49">
        <f>LEFT(J3100,2)</f>
        <v/>
      </c>
    </row>
    <row r="3101" ht="12.75" customHeight="1">
      <c r="H3101" s="43" t="n"/>
      <c r="AG3101" s="49">
        <f>IFERROR(__xludf.DUMMYFUNCTION("IFNA(vlookup(H3101,IMPORTRANGE(""1vUGwO1n0QQGx9kKbO0_M5gmuhXZ6-LaxQxgrmJnzgP0"",""'TP# look up'!A:C""),3,0),"""")"),"")</f>
        <v/>
      </c>
      <c r="AH3101" s="49">
        <f>LEFT(J3101,2)</f>
        <v/>
      </c>
    </row>
    <row r="3102" ht="12.75" customHeight="1">
      <c r="H3102" s="43" t="n"/>
      <c r="AG3102" s="49">
        <f>IFERROR(__xludf.DUMMYFUNCTION("IFNA(vlookup(H3102,IMPORTRANGE(""1vUGwO1n0QQGx9kKbO0_M5gmuhXZ6-LaxQxgrmJnzgP0"",""'TP# look up'!A:C""),3,0),"""")"),"")</f>
        <v/>
      </c>
      <c r="AH3102" s="49">
        <f>LEFT(J3102,2)</f>
        <v/>
      </c>
    </row>
    <row r="3103" ht="12.75" customHeight="1">
      <c r="H3103" s="43" t="n"/>
      <c r="AG3103" s="49">
        <f>IFERROR(__xludf.DUMMYFUNCTION("IFNA(vlookup(H3103,IMPORTRANGE(""1vUGwO1n0QQGx9kKbO0_M5gmuhXZ6-LaxQxgrmJnzgP0"",""'TP# look up'!A:C""),3,0),"""")"),"")</f>
        <v/>
      </c>
      <c r="AH3103" s="49">
        <f>LEFT(J3103,2)</f>
        <v/>
      </c>
    </row>
    <row r="3104" ht="12.75" customHeight="1">
      <c r="H3104" s="43" t="n"/>
      <c r="AG3104" s="49">
        <f>IFERROR(__xludf.DUMMYFUNCTION("IFNA(vlookup(H3104,IMPORTRANGE(""1vUGwO1n0QQGx9kKbO0_M5gmuhXZ6-LaxQxgrmJnzgP0"",""'TP# look up'!A:C""),3,0),"""")"),"")</f>
        <v/>
      </c>
      <c r="AH3104" s="49">
        <f>LEFT(J3104,2)</f>
        <v/>
      </c>
    </row>
    <row r="3105" ht="12.75" customHeight="1">
      <c r="H3105" s="43" t="n"/>
      <c r="AG3105" s="49">
        <f>IFERROR(__xludf.DUMMYFUNCTION("IFNA(vlookup(H3105,IMPORTRANGE(""1vUGwO1n0QQGx9kKbO0_M5gmuhXZ6-LaxQxgrmJnzgP0"",""'TP# look up'!A:C""),3,0),"""")"),"")</f>
        <v/>
      </c>
      <c r="AH3105" s="49">
        <f>LEFT(J3105,2)</f>
        <v/>
      </c>
    </row>
    <row r="3106" ht="12.75" customHeight="1">
      <c r="H3106" s="43" t="n"/>
      <c r="AG3106" s="49">
        <f>IFERROR(__xludf.DUMMYFUNCTION("IFNA(vlookup(H3106,IMPORTRANGE(""1vUGwO1n0QQGx9kKbO0_M5gmuhXZ6-LaxQxgrmJnzgP0"",""'TP# look up'!A:C""),3,0),"""")"),"")</f>
        <v/>
      </c>
      <c r="AH3106" s="49">
        <f>LEFT(J3106,2)</f>
        <v/>
      </c>
    </row>
    <row r="3107" ht="12.75" customHeight="1">
      <c r="H3107" s="43" t="n"/>
      <c r="AG3107" s="49">
        <f>IFERROR(__xludf.DUMMYFUNCTION("IFNA(vlookup(H3107,IMPORTRANGE(""1vUGwO1n0QQGx9kKbO0_M5gmuhXZ6-LaxQxgrmJnzgP0"",""'TP# look up'!A:C""),3,0),"""")"),"")</f>
        <v/>
      </c>
      <c r="AH3107" s="49">
        <f>LEFT(J3107,2)</f>
        <v/>
      </c>
    </row>
    <row r="3108" ht="12.75" customHeight="1">
      <c r="H3108" s="43" t="n"/>
      <c r="AG3108" s="49">
        <f>IFERROR(__xludf.DUMMYFUNCTION("IFNA(vlookup(H3108,IMPORTRANGE(""1vUGwO1n0QQGx9kKbO0_M5gmuhXZ6-LaxQxgrmJnzgP0"",""'TP# look up'!A:C""),3,0),"""")"),"")</f>
        <v/>
      </c>
      <c r="AH3108" s="49">
        <f>LEFT(J3108,2)</f>
        <v/>
      </c>
    </row>
    <row r="3109" ht="12.75" customHeight="1">
      <c r="H3109" s="43" t="n"/>
      <c r="AG3109" s="49">
        <f>IFERROR(__xludf.DUMMYFUNCTION("IFNA(vlookup(H3109,IMPORTRANGE(""1vUGwO1n0QQGx9kKbO0_M5gmuhXZ6-LaxQxgrmJnzgP0"",""'TP# look up'!A:C""),3,0),"""")"),"")</f>
        <v/>
      </c>
      <c r="AH3109" s="49">
        <f>LEFT(J3109,2)</f>
        <v/>
      </c>
    </row>
    <row r="3110" ht="12.75" customHeight="1">
      <c r="H3110" s="43" t="n"/>
      <c r="AG3110" s="49">
        <f>IFERROR(__xludf.DUMMYFUNCTION("IFNA(vlookup(H3110,IMPORTRANGE(""1vUGwO1n0QQGx9kKbO0_M5gmuhXZ6-LaxQxgrmJnzgP0"",""'TP# look up'!A:C""),3,0),"""")"),"")</f>
        <v/>
      </c>
      <c r="AH3110" s="49">
        <f>LEFT(J3110,2)</f>
        <v/>
      </c>
    </row>
    <row r="3111" ht="12.75" customHeight="1">
      <c r="H3111" s="43" t="n"/>
      <c r="AG3111" s="49">
        <f>IFERROR(__xludf.DUMMYFUNCTION("IFNA(vlookup(H3111,IMPORTRANGE(""1vUGwO1n0QQGx9kKbO0_M5gmuhXZ6-LaxQxgrmJnzgP0"",""'TP# look up'!A:C""),3,0),"""")"),"")</f>
        <v/>
      </c>
      <c r="AH3111" s="49">
        <f>LEFT(J3111,2)</f>
        <v/>
      </c>
    </row>
    <row r="3112" ht="12.75" customHeight="1">
      <c r="H3112" s="43" t="n"/>
      <c r="AG3112" s="49">
        <f>IFERROR(__xludf.DUMMYFUNCTION("IFNA(vlookup(H3112,IMPORTRANGE(""1vUGwO1n0QQGx9kKbO0_M5gmuhXZ6-LaxQxgrmJnzgP0"",""'TP# look up'!A:C""),3,0),"""")"),"")</f>
        <v/>
      </c>
      <c r="AH3112" s="49">
        <f>LEFT(J3112,2)</f>
        <v/>
      </c>
    </row>
    <row r="3113" ht="12.75" customHeight="1">
      <c r="H3113" s="43" t="n"/>
      <c r="AG3113" s="49">
        <f>IFERROR(__xludf.DUMMYFUNCTION("IFNA(vlookup(H3113,IMPORTRANGE(""1vUGwO1n0QQGx9kKbO0_M5gmuhXZ6-LaxQxgrmJnzgP0"",""'TP# look up'!A:C""),3,0),"""")"),"")</f>
        <v/>
      </c>
      <c r="AH3113" s="49">
        <f>LEFT(J3113,2)</f>
        <v/>
      </c>
    </row>
    <row r="3114" ht="12.75" customHeight="1">
      <c r="H3114" s="43" t="n"/>
      <c r="AG3114" s="49">
        <f>IFERROR(__xludf.DUMMYFUNCTION("IFNA(vlookup(H3114,IMPORTRANGE(""1vUGwO1n0QQGx9kKbO0_M5gmuhXZ6-LaxQxgrmJnzgP0"",""'TP# look up'!A:C""),3,0),"""")"),"")</f>
        <v/>
      </c>
      <c r="AH3114" s="49">
        <f>LEFT(J3114,2)</f>
        <v/>
      </c>
    </row>
    <row r="3115" ht="12.75" customHeight="1">
      <c r="H3115" s="43" t="n"/>
      <c r="AG3115" s="49">
        <f>IFERROR(__xludf.DUMMYFUNCTION("IFNA(vlookup(H3115,IMPORTRANGE(""1vUGwO1n0QQGx9kKbO0_M5gmuhXZ6-LaxQxgrmJnzgP0"",""'TP# look up'!A:C""),3,0),"""")"),"")</f>
        <v/>
      </c>
      <c r="AH3115" s="49">
        <f>LEFT(J3115,2)</f>
        <v/>
      </c>
    </row>
    <row r="3116" ht="12.75" customHeight="1">
      <c r="H3116" s="43" t="n"/>
      <c r="AG3116" s="49">
        <f>IFERROR(__xludf.DUMMYFUNCTION("IFNA(vlookup(H3116,IMPORTRANGE(""1vUGwO1n0QQGx9kKbO0_M5gmuhXZ6-LaxQxgrmJnzgP0"",""'TP# look up'!A:C""),3,0),"""")"),"")</f>
        <v/>
      </c>
      <c r="AH3116" s="49">
        <f>LEFT(J3116,2)</f>
        <v/>
      </c>
    </row>
    <row r="3117" ht="12.75" customHeight="1">
      <c r="H3117" s="43" t="n"/>
      <c r="AG3117" s="49">
        <f>IFERROR(__xludf.DUMMYFUNCTION("IFNA(vlookup(H3117,IMPORTRANGE(""1vUGwO1n0QQGx9kKbO0_M5gmuhXZ6-LaxQxgrmJnzgP0"",""'TP# look up'!A:C""),3,0),"""")"),"")</f>
        <v/>
      </c>
      <c r="AH3117" s="49">
        <f>LEFT(J3117,2)</f>
        <v/>
      </c>
    </row>
    <row r="3118" ht="12.75" customHeight="1">
      <c r="H3118" s="43" t="n"/>
      <c r="AG3118" s="49">
        <f>IFERROR(__xludf.DUMMYFUNCTION("IFNA(vlookup(H3118,IMPORTRANGE(""1vUGwO1n0QQGx9kKbO0_M5gmuhXZ6-LaxQxgrmJnzgP0"",""'TP# look up'!A:C""),3,0),"""")"),"")</f>
        <v/>
      </c>
      <c r="AH3118" s="49">
        <f>LEFT(J3118,2)</f>
        <v/>
      </c>
    </row>
    <row r="3119" ht="12.75" customHeight="1">
      <c r="H3119" s="43" t="n"/>
      <c r="AG3119" s="49">
        <f>IFERROR(__xludf.DUMMYFUNCTION("IFNA(vlookup(H3119,IMPORTRANGE(""1vUGwO1n0QQGx9kKbO0_M5gmuhXZ6-LaxQxgrmJnzgP0"",""'TP# look up'!A:C""),3,0),"""")"),"")</f>
        <v/>
      </c>
      <c r="AH3119" s="49">
        <f>LEFT(J3119,2)</f>
        <v/>
      </c>
    </row>
    <row r="3120" ht="12.75" customHeight="1">
      <c r="H3120" s="43" t="n"/>
      <c r="AG3120" s="49">
        <f>IFERROR(__xludf.DUMMYFUNCTION("IFNA(vlookup(H3120,IMPORTRANGE(""1vUGwO1n0QQGx9kKbO0_M5gmuhXZ6-LaxQxgrmJnzgP0"",""'TP# look up'!A:C""),3,0),"""")"),"")</f>
        <v/>
      </c>
      <c r="AH3120" s="49">
        <f>LEFT(J3120,2)</f>
        <v/>
      </c>
    </row>
    <row r="3121" ht="12.75" customHeight="1">
      <c r="H3121" s="43" t="n"/>
      <c r="AG3121" s="49">
        <f>IFERROR(__xludf.DUMMYFUNCTION("IFNA(vlookup(H3121,IMPORTRANGE(""1vUGwO1n0QQGx9kKbO0_M5gmuhXZ6-LaxQxgrmJnzgP0"",""'TP# look up'!A:C""),3,0),"""")"),"")</f>
        <v/>
      </c>
      <c r="AH3121" s="49">
        <f>LEFT(J3121,2)</f>
        <v/>
      </c>
    </row>
    <row r="3122" ht="12.75" customHeight="1">
      <c r="H3122" s="43" t="n"/>
      <c r="AG3122" s="49">
        <f>IFERROR(__xludf.DUMMYFUNCTION("IFNA(vlookup(H3122,IMPORTRANGE(""1vUGwO1n0QQGx9kKbO0_M5gmuhXZ6-LaxQxgrmJnzgP0"",""'TP# look up'!A:C""),3,0),"""")"),"")</f>
        <v/>
      </c>
      <c r="AH3122" s="49">
        <f>LEFT(J3122,2)</f>
        <v/>
      </c>
    </row>
    <row r="3123" ht="12.75" customHeight="1">
      <c r="H3123" s="43" t="n"/>
      <c r="AG3123" s="49">
        <f>IFERROR(__xludf.DUMMYFUNCTION("IFNA(vlookup(H3123,IMPORTRANGE(""1vUGwO1n0QQGx9kKbO0_M5gmuhXZ6-LaxQxgrmJnzgP0"",""'TP# look up'!A:C""),3,0),"""")"),"")</f>
        <v/>
      </c>
      <c r="AH3123" s="49">
        <f>LEFT(J3123,2)</f>
        <v/>
      </c>
    </row>
    <row r="3124" ht="12.75" customHeight="1">
      <c r="H3124" s="43" t="n"/>
      <c r="AG3124" s="49">
        <f>IFERROR(__xludf.DUMMYFUNCTION("IFNA(vlookup(H3124,IMPORTRANGE(""1vUGwO1n0QQGx9kKbO0_M5gmuhXZ6-LaxQxgrmJnzgP0"",""'TP# look up'!A:C""),3,0),"""")"),"")</f>
        <v/>
      </c>
      <c r="AH3124" s="49">
        <f>LEFT(J3124,2)</f>
        <v/>
      </c>
    </row>
    <row r="3125" ht="12.75" customHeight="1">
      <c r="H3125" s="43" t="n"/>
      <c r="AG3125" s="49">
        <f>IFERROR(__xludf.DUMMYFUNCTION("IFNA(vlookup(H3125,IMPORTRANGE(""1vUGwO1n0QQGx9kKbO0_M5gmuhXZ6-LaxQxgrmJnzgP0"",""'TP# look up'!A:C""),3,0),"""")"),"")</f>
        <v/>
      </c>
      <c r="AH3125" s="49">
        <f>LEFT(J3125,2)</f>
        <v/>
      </c>
    </row>
    <row r="3126" ht="12.75" customHeight="1">
      <c r="H3126" s="43" t="n"/>
      <c r="AG3126" s="49">
        <f>IFERROR(__xludf.DUMMYFUNCTION("IFNA(vlookup(H3126,IMPORTRANGE(""1vUGwO1n0QQGx9kKbO0_M5gmuhXZ6-LaxQxgrmJnzgP0"",""'TP# look up'!A:C""),3,0),"""")"),"")</f>
        <v/>
      </c>
      <c r="AH3126" s="49">
        <f>LEFT(J3126,2)</f>
        <v/>
      </c>
    </row>
    <row r="3127" ht="12.75" customHeight="1">
      <c r="H3127" s="43" t="n"/>
      <c r="AG3127" s="49">
        <f>IFERROR(__xludf.DUMMYFUNCTION("IFNA(vlookup(H3127,IMPORTRANGE(""1vUGwO1n0QQGx9kKbO0_M5gmuhXZ6-LaxQxgrmJnzgP0"",""'TP# look up'!A:C""),3,0),"""")"),"")</f>
        <v/>
      </c>
      <c r="AH3127" s="49">
        <f>LEFT(J3127,2)</f>
        <v/>
      </c>
    </row>
    <row r="3128" ht="12.75" customHeight="1">
      <c r="H3128" s="43" t="n"/>
      <c r="AG3128" s="49">
        <f>IFERROR(__xludf.DUMMYFUNCTION("IFNA(vlookup(H3128,IMPORTRANGE(""1vUGwO1n0QQGx9kKbO0_M5gmuhXZ6-LaxQxgrmJnzgP0"",""'TP# look up'!A:C""),3,0),"""")"),"")</f>
        <v/>
      </c>
      <c r="AH3128" s="49">
        <f>LEFT(J3128,2)</f>
        <v/>
      </c>
    </row>
    <row r="3129" ht="12.75" customHeight="1">
      <c r="H3129" s="43" t="n"/>
      <c r="AG3129" s="49">
        <f>IFERROR(__xludf.DUMMYFUNCTION("IFNA(vlookup(H3129,IMPORTRANGE(""1vUGwO1n0QQGx9kKbO0_M5gmuhXZ6-LaxQxgrmJnzgP0"",""'TP# look up'!A:C""),3,0),"""")"),"")</f>
        <v/>
      </c>
      <c r="AH3129" s="49">
        <f>LEFT(J3129,2)</f>
        <v/>
      </c>
    </row>
    <row r="3130" ht="12.75" customHeight="1">
      <c r="H3130" s="43" t="n"/>
      <c r="AG3130" s="49">
        <f>IFERROR(__xludf.DUMMYFUNCTION("IFNA(vlookup(H3130,IMPORTRANGE(""1vUGwO1n0QQGx9kKbO0_M5gmuhXZ6-LaxQxgrmJnzgP0"",""'TP# look up'!A:C""),3,0),"""")"),"")</f>
        <v/>
      </c>
      <c r="AH3130" s="49">
        <f>LEFT(J3130,2)</f>
        <v/>
      </c>
    </row>
    <row r="3131" ht="12.75" customHeight="1">
      <c r="H3131" s="43" t="n"/>
      <c r="AG3131" s="49">
        <f>IFERROR(__xludf.DUMMYFUNCTION("IFNA(vlookup(H3131,IMPORTRANGE(""1vUGwO1n0QQGx9kKbO0_M5gmuhXZ6-LaxQxgrmJnzgP0"",""'TP# look up'!A:C""),3,0),"""")"),"")</f>
        <v/>
      </c>
      <c r="AH3131" s="49">
        <f>LEFT(J3131,2)</f>
        <v/>
      </c>
    </row>
    <row r="3132" ht="12.75" customHeight="1">
      <c r="H3132" s="43" t="n"/>
      <c r="AG3132" s="49">
        <f>IFERROR(__xludf.DUMMYFUNCTION("IFNA(vlookup(H3132,IMPORTRANGE(""1vUGwO1n0QQGx9kKbO0_M5gmuhXZ6-LaxQxgrmJnzgP0"",""'TP# look up'!A:C""),3,0),"""")"),"")</f>
        <v/>
      </c>
      <c r="AH3132" s="49">
        <f>LEFT(J3132,2)</f>
        <v/>
      </c>
    </row>
    <row r="3133" ht="12.75" customHeight="1">
      <c r="H3133" s="43" t="n"/>
      <c r="AG3133" s="49">
        <f>IFERROR(__xludf.DUMMYFUNCTION("IFNA(vlookup(H3133,IMPORTRANGE(""1vUGwO1n0QQGx9kKbO0_M5gmuhXZ6-LaxQxgrmJnzgP0"",""'TP# look up'!A:C""),3,0),"""")"),"")</f>
        <v/>
      </c>
      <c r="AH3133" s="49">
        <f>LEFT(J3133,2)</f>
        <v/>
      </c>
    </row>
    <row r="3134" ht="12.75" customHeight="1">
      <c r="H3134" s="43" t="n"/>
      <c r="AG3134" s="49">
        <f>IFERROR(__xludf.DUMMYFUNCTION("IFNA(vlookup(H3134,IMPORTRANGE(""1vUGwO1n0QQGx9kKbO0_M5gmuhXZ6-LaxQxgrmJnzgP0"",""'TP# look up'!A:C""),3,0),"""")"),"")</f>
        <v/>
      </c>
      <c r="AH3134" s="49">
        <f>LEFT(J3134,2)</f>
        <v/>
      </c>
    </row>
    <row r="3135" ht="12.75" customHeight="1">
      <c r="H3135" s="43" t="n"/>
      <c r="AG3135" s="49">
        <f>IFERROR(__xludf.DUMMYFUNCTION("IFNA(vlookup(H3135,IMPORTRANGE(""1vUGwO1n0QQGx9kKbO0_M5gmuhXZ6-LaxQxgrmJnzgP0"",""'TP# look up'!A:C""),3,0),"""")"),"")</f>
        <v/>
      </c>
      <c r="AH3135" s="49">
        <f>LEFT(J3135,2)</f>
        <v/>
      </c>
    </row>
    <row r="3136" ht="12.75" customHeight="1">
      <c r="H3136" s="43" t="n"/>
      <c r="AG3136" s="49">
        <f>IFERROR(__xludf.DUMMYFUNCTION("IFNA(vlookup(H3136,IMPORTRANGE(""1vUGwO1n0QQGx9kKbO0_M5gmuhXZ6-LaxQxgrmJnzgP0"",""'TP# look up'!A:C""),3,0),"""")"),"")</f>
        <v/>
      </c>
      <c r="AH3136" s="49">
        <f>LEFT(J3136,2)</f>
        <v/>
      </c>
    </row>
    <row r="3137" ht="12.75" customHeight="1">
      <c r="H3137" s="43" t="n"/>
      <c r="AG3137" s="49">
        <f>IFERROR(__xludf.DUMMYFUNCTION("IFNA(vlookup(H3137,IMPORTRANGE(""1vUGwO1n0QQGx9kKbO0_M5gmuhXZ6-LaxQxgrmJnzgP0"",""'TP# look up'!A:C""),3,0),"""")"),"")</f>
        <v/>
      </c>
      <c r="AH3137" s="49">
        <f>LEFT(J3137,2)</f>
        <v/>
      </c>
    </row>
    <row r="3138" ht="12.75" customHeight="1">
      <c r="H3138" s="43" t="n"/>
      <c r="AG3138" s="49">
        <f>IFERROR(__xludf.DUMMYFUNCTION("IFNA(vlookup(H3138,IMPORTRANGE(""1vUGwO1n0QQGx9kKbO0_M5gmuhXZ6-LaxQxgrmJnzgP0"",""'TP# look up'!A:C""),3,0),"""")"),"")</f>
        <v/>
      </c>
      <c r="AH3138" s="49">
        <f>LEFT(J3138,2)</f>
        <v/>
      </c>
    </row>
    <row r="3139" ht="12.75" customHeight="1">
      <c r="H3139" s="43" t="n"/>
      <c r="AG3139" s="49">
        <f>IFERROR(__xludf.DUMMYFUNCTION("IFNA(vlookup(H3139,IMPORTRANGE(""1vUGwO1n0QQGx9kKbO0_M5gmuhXZ6-LaxQxgrmJnzgP0"",""'TP# look up'!A:C""),3,0),"""")"),"")</f>
        <v/>
      </c>
      <c r="AH3139" s="49">
        <f>LEFT(J3139,2)</f>
        <v/>
      </c>
    </row>
    <row r="3140" ht="12.75" customHeight="1">
      <c r="H3140" s="43" t="n"/>
      <c r="AG3140" s="49">
        <f>IFERROR(__xludf.DUMMYFUNCTION("IFNA(vlookup(H3140,IMPORTRANGE(""1vUGwO1n0QQGx9kKbO0_M5gmuhXZ6-LaxQxgrmJnzgP0"",""'TP# look up'!A:C""),3,0),"""")"),"")</f>
        <v/>
      </c>
      <c r="AH3140" s="49">
        <f>LEFT(J3140,2)</f>
        <v/>
      </c>
    </row>
    <row r="3141" ht="12.75" customHeight="1">
      <c r="H3141" s="43" t="n"/>
      <c r="AG3141" s="49">
        <f>IFERROR(__xludf.DUMMYFUNCTION("IFNA(vlookup(H3141,IMPORTRANGE(""1vUGwO1n0QQGx9kKbO0_M5gmuhXZ6-LaxQxgrmJnzgP0"",""'TP# look up'!A:C""),3,0),"""")"),"")</f>
        <v/>
      </c>
      <c r="AH3141" s="49">
        <f>LEFT(J3141,2)</f>
        <v/>
      </c>
    </row>
    <row r="3142" ht="12.75" customHeight="1">
      <c r="H3142" s="43" t="n"/>
      <c r="AG3142" s="49">
        <f>IFERROR(__xludf.DUMMYFUNCTION("IFNA(vlookup(H3142,IMPORTRANGE(""1vUGwO1n0QQGx9kKbO0_M5gmuhXZ6-LaxQxgrmJnzgP0"",""'TP# look up'!A:C""),3,0),"""")"),"")</f>
        <v/>
      </c>
      <c r="AH3142" s="49">
        <f>LEFT(J3142,2)</f>
        <v/>
      </c>
    </row>
    <row r="3143" ht="12.75" customHeight="1">
      <c r="H3143" s="43" t="n"/>
      <c r="AG3143" s="49">
        <f>IFERROR(__xludf.DUMMYFUNCTION("IFNA(vlookup(H3143,IMPORTRANGE(""1vUGwO1n0QQGx9kKbO0_M5gmuhXZ6-LaxQxgrmJnzgP0"",""'TP# look up'!A:C""),3,0),"""")"),"")</f>
        <v/>
      </c>
      <c r="AH3143" s="49">
        <f>LEFT(J3143,2)</f>
        <v/>
      </c>
    </row>
    <row r="3144" ht="12.75" customHeight="1">
      <c r="H3144" s="43" t="n"/>
      <c r="AG3144" s="49">
        <f>IFERROR(__xludf.DUMMYFUNCTION("IFNA(vlookup(H3144,IMPORTRANGE(""1vUGwO1n0QQGx9kKbO0_M5gmuhXZ6-LaxQxgrmJnzgP0"",""'TP# look up'!A:C""),3,0),"""")"),"")</f>
        <v/>
      </c>
      <c r="AH3144" s="49">
        <f>LEFT(J3144,2)</f>
        <v/>
      </c>
    </row>
    <row r="3145" ht="12.75" customHeight="1">
      <c r="H3145" s="43" t="n"/>
      <c r="AG3145" s="49">
        <f>IFERROR(__xludf.DUMMYFUNCTION("IFNA(vlookup(H3145,IMPORTRANGE(""1vUGwO1n0QQGx9kKbO0_M5gmuhXZ6-LaxQxgrmJnzgP0"",""'TP# look up'!A:C""),3,0),"""")"),"")</f>
        <v/>
      </c>
      <c r="AH3145" s="49">
        <f>LEFT(J3145,2)</f>
        <v/>
      </c>
    </row>
    <row r="3146" ht="12.75" customHeight="1">
      <c r="H3146" s="43" t="n"/>
      <c r="AG3146" s="49">
        <f>IFERROR(__xludf.DUMMYFUNCTION("IFNA(vlookup(H3146,IMPORTRANGE(""1vUGwO1n0QQGx9kKbO0_M5gmuhXZ6-LaxQxgrmJnzgP0"",""'TP# look up'!A:C""),3,0),"""")"),"")</f>
        <v/>
      </c>
      <c r="AH3146" s="49">
        <f>LEFT(J3146,2)</f>
        <v/>
      </c>
    </row>
    <row r="3147" ht="12.75" customHeight="1">
      <c r="H3147" s="43" t="n"/>
      <c r="AG3147" s="49">
        <f>IFERROR(__xludf.DUMMYFUNCTION("IFNA(vlookup(H3147,IMPORTRANGE(""1vUGwO1n0QQGx9kKbO0_M5gmuhXZ6-LaxQxgrmJnzgP0"",""'TP# look up'!A:C""),3,0),"""")"),"")</f>
        <v/>
      </c>
      <c r="AH3147" s="49">
        <f>LEFT(J3147,2)</f>
        <v/>
      </c>
    </row>
    <row r="3148" ht="12.75" customHeight="1">
      <c r="H3148" s="43" t="n"/>
      <c r="AG3148" s="49">
        <f>IFERROR(__xludf.DUMMYFUNCTION("IFNA(vlookup(H3148,IMPORTRANGE(""1vUGwO1n0QQGx9kKbO0_M5gmuhXZ6-LaxQxgrmJnzgP0"",""'TP# look up'!A:C""),3,0),"""")"),"")</f>
        <v/>
      </c>
      <c r="AH3148" s="49">
        <f>LEFT(J3148,2)</f>
        <v/>
      </c>
    </row>
    <row r="3149" ht="12.75" customHeight="1">
      <c r="H3149" s="43" t="n"/>
      <c r="AG3149" s="49">
        <f>IFERROR(__xludf.DUMMYFUNCTION("IFNA(vlookup(H3149,IMPORTRANGE(""1vUGwO1n0QQGx9kKbO0_M5gmuhXZ6-LaxQxgrmJnzgP0"",""'TP# look up'!A:C""),3,0),"""")"),"")</f>
        <v/>
      </c>
      <c r="AH3149" s="49">
        <f>LEFT(J3149,2)</f>
        <v/>
      </c>
    </row>
    <row r="3150" ht="12.75" customHeight="1">
      <c r="H3150" s="43" t="n"/>
      <c r="AG3150" s="49">
        <f>IFERROR(__xludf.DUMMYFUNCTION("IFNA(vlookup(H3150,IMPORTRANGE(""1vUGwO1n0QQGx9kKbO0_M5gmuhXZ6-LaxQxgrmJnzgP0"",""'TP# look up'!A:C""),3,0),"""")"),"")</f>
        <v/>
      </c>
      <c r="AH3150" s="49">
        <f>LEFT(J3150,2)</f>
        <v/>
      </c>
    </row>
    <row r="3151" ht="12.75" customHeight="1">
      <c r="H3151" s="43" t="n"/>
      <c r="AG3151" s="49">
        <f>IFERROR(__xludf.DUMMYFUNCTION("IFNA(vlookup(H3151,IMPORTRANGE(""1vUGwO1n0QQGx9kKbO0_M5gmuhXZ6-LaxQxgrmJnzgP0"",""'TP# look up'!A:C""),3,0),"""")"),"")</f>
        <v/>
      </c>
      <c r="AH3151" s="49">
        <f>LEFT(J3151,2)</f>
        <v/>
      </c>
    </row>
    <row r="3152" ht="12.75" customHeight="1">
      <c r="H3152" s="43" t="n"/>
      <c r="AG3152" s="49">
        <f>IFERROR(__xludf.DUMMYFUNCTION("IFNA(vlookup(H3152,IMPORTRANGE(""1vUGwO1n0QQGx9kKbO0_M5gmuhXZ6-LaxQxgrmJnzgP0"",""'TP# look up'!A:C""),3,0),"""")"),"")</f>
        <v/>
      </c>
      <c r="AH3152" s="49">
        <f>LEFT(J3152,2)</f>
        <v/>
      </c>
    </row>
    <row r="3153" ht="12.75" customHeight="1">
      <c r="H3153" s="43" t="n"/>
      <c r="AG3153" s="49">
        <f>IFERROR(__xludf.DUMMYFUNCTION("IFNA(vlookup(H3153,IMPORTRANGE(""1vUGwO1n0QQGx9kKbO0_M5gmuhXZ6-LaxQxgrmJnzgP0"",""'TP# look up'!A:C""),3,0),"""")"),"")</f>
        <v/>
      </c>
      <c r="AH3153" s="49">
        <f>LEFT(J3153,2)</f>
        <v/>
      </c>
    </row>
    <row r="3154" ht="12.75" customHeight="1">
      <c r="H3154" s="43" t="n"/>
      <c r="AG3154" s="49">
        <f>IFERROR(__xludf.DUMMYFUNCTION("IFNA(vlookup(H3154,IMPORTRANGE(""1vUGwO1n0QQGx9kKbO0_M5gmuhXZ6-LaxQxgrmJnzgP0"",""'TP# look up'!A:C""),3,0),"""")"),"")</f>
        <v/>
      </c>
      <c r="AH3154" s="49">
        <f>LEFT(J3154,2)</f>
        <v/>
      </c>
    </row>
    <row r="3155" ht="12.75" customHeight="1">
      <c r="H3155" s="43" t="n"/>
      <c r="AG3155" s="49">
        <f>IFERROR(__xludf.DUMMYFUNCTION("IFNA(vlookup(H3155,IMPORTRANGE(""1vUGwO1n0QQGx9kKbO0_M5gmuhXZ6-LaxQxgrmJnzgP0"",""'TP# look up'!A:C""),3,0),"""")"),"")</f>
        <v/>
      </c>
      <c r="AH3155" s="49">
        <f>LEFT(J3155,2)</f>
        <v/>
      </c>
    </row>
    <row r="3156" ht="12.75" customHeight="1">
      <c r="H3156" s="43" t="n"/>
      <c r="AG3156" s="49">
        <f>IFERROR(__xludf.DUMMYFUNCTION("IFNA(vlookup(H3156,IMPORTRANGE(""1vUGwO1n0QQGx9kKbO0_M5gmuhXZ6-LaxQxgrmJnzgP0"",""'TP# look up'!A:C""),3,0),"""")"),"")</f>
        <v/>
      </c>
      <c r="AH3156" s="49">
        <f>LEFT(J3156,2)</f>
        <v/>
      </c>
    </row>
    <row r="3157" ht="12.75" customHeight="1">
      <c r="H3157" s="43" t="n"/>
      <c r="AG3157" s="49">
        <f>IFERROR(__xludf.DUMMYFUNCTION("IFNA(vlookup(H3157,IMPORTRANGE(""1vUGwO1n0QQGx9kKbO0_M5gmuhXZ6-LaxQxgrmJnzgP0"",""'TP# look up'!A:C""),3,0),"""")"),"")</f>
        <v/>
      </c>
      <c r="AH3157" s="49">
        <f>LEFT(J3157,2)</f>
        <v/>
      </c>
    </row>
    <row r="3158" ht="12.75" customHeight="1">
      <c r="H3158" s="43" t="n"/>
      <c r="AG3158" s="49">
        <f>IFERROR(__xludf.DUMMYFUNCTION("IFNA(vlookup(H3158,IMPORTRANGE(""1vUGwO1n0QQGx9kKbO0_M5gmuhXZ6-LaxQxgrmJnzgP0"",""'TP# look up'!A:C""),3,0),"""")"),"")</f>
        <v/>
      </c>
      <c r="AH3158" s="49">
        <f>LEFT(J3158,2)</f>
        <v/>
      </c>
    </row>
    <row r="3159" ht="12.75" customHeight="1">
      <c r="H3159" s="43" t="n"/>
      <c r="AG3159" s="49">
        <f>IFERROR(__xludf.DUMMYFUNCTION("IFNA(vlookup(H3159,IMPORTRANGE(""1vUGwO1n0QQGx9kKbO0_M5gmuhXZ6-LaxQxgrmJnzgP0"",""'TP# look up'!A:C""),3,0),"""")"),"")</f>
        <v/>
      </c>
      <c r="AH3159" s="49">
        <f>LEFT(J3159,2)</f>
        <v/>
      </c>
    </row>
    <row r="3160" ht="12.75" customHeight="1">
      <c r="H3160" s="43" t="n"/>
      <c r="AG3160" s="49">
        <f>IFERROR(__xludf.DUMMYFUNCTION("IFNA(vlookup(H3160,IMPORTRANGE(""1vUGwO1n0QQGx9kKbO0_M5gmuhXZ6-LaxQxgrmJnzgP0"",""'TP# look up'!A:C""),3,0),"""")"),"")</f>
        <v/>
      </c>
      <c r="AH3160" s="49">
        <f>LEFT(J3160,2)</f>
        <v/>
      </c>
    </row>
    <row r="3161" ht="12.75" customHeight="1">
      <c r="H3161" s="43" t="n"/>
      <c r="AG3161" s="49">
        <f>IFERROR(__xludf.DUMMYFUNCTION("IFNA(vlookup(H3161,IMPORTRANGE(""1vUGwO1n0QQGx9kKbO0_M5gmuhXZ6-LaxQxgrmJnzgP0"",""'TP# look up'!A:C""),3,0),"""")"),"")</f>
        <v/>
      </c>
      <c r="AH3161" s="49">
        <f>LEFT(J3161,2)</f>
        <v/>
      </c>
    </row>
    <row r="3162" ht="12.75" customHeight="1">
      <c r="H3162" s="43" t="n"/>
      <c r="AG3162" s="49">
        <f>IFERROR(__xludf.DUMMYFUNCTION("IFNA(vlookup(H3162,IMPORTRANGE(""1vUGwO1n0QQGx9kKbO0_M5gmuhXZ6-LaxQxgrmJnzgP0"",""'TP# look up'!A:C""),3,0),"""")"),"")</f>
        <v/>
      </c>
      <c r="AH3162" s="49">
        <f>LEFT(J3162,2)</f>
        <v/>
      </c>
    </row>
    <row r="3163" ht="12.75" customHeight="1">
      <c r="H3163" s="43" t="n"/>
      <c r="AG3163" s="49">
        <f>IFERROR(__xludf.DUMMYFUNCTION("IFNA(vlookup(H3163,IMPORTRANGE(""1vUGwO1n0QQGx9kKbO0_M5gmuhXZ6-LaxQxgrmJnzgP0"",""'TP# look up'!A:C""),3,0),"""")"),"")</f>
        <v/>
      </c>
      <c r="AH3163" s="49">
        <f>LEFT(J3163,2)</f>
        <v/>
      </c>
    </row>
    <row r="3164" ht="12.75" customHeight="1">
      <c r="H3164" s="43" t="n"/>
      <c r="AG3164" s="49">
        <f>IFERROR(__xludf.DUMMYFUNCTION("IFNA(vlookup(H3164,IMPORTRANGE(""1vUGwO1n0QQGx9kKbO0_M5gmuhXZ6-LaxQxgrmJnzgP0"",""'TP# look up'!A:C""),3,0),"""")"),"")</f>
        <v/>
      </c>
      <c r="AH3164" s="49">
        <f>LEFT(J3164,2)</f>
        <v/>
      </c>
    </row>
    <row r="3165" ht="12.75" customHeight="1">
      <c r="H3165" s="43" t="n"/>
      <c r="AG3165" s="49">
        <f>IFERROR(__xludf.DUMMYFUNCTION("IFNA(vlookup(H3165,IMPORTRANGE(""1vUGwO1n0QQGx9kKbO0_M5gmuhXZ6-LaxQxgrmJnzgP0"",""'TP# look up'!A:C""),3,0),"""")"),"")</f>
        <v/>
      </c>
      <c r="AH3165" s="49">
        <f>LEFT(J3165,2)</f>
        <v/>
      </c>
    </row>
    <row r="3166" ht="12.75" customHeight="1">
      <c r="H3166" s="43" t="n"/>
      <c r="AG3166" s="49">
        <f>IFERROR(__xludf.DUMMYFUNCTION("IFNA(vlookup(H3166,IMPORTRANGE(""1vUGwO1n0QQGx9kKbO0_M5gmuhXZ6-LaxQxgrmJnzgP0"",""'TP# look up'!A:C""),3,0),"""")"),"")</f>
        <v/>
      </c>
      <c r="AH3166" s="49">
        <f>LEFT(J3166,2)</f>
        <v/>
      </c>
    </row>
    <row r="3167" ht="12.75" customHeight="1">
      <c r="H3167" s="43" t="n"/>
      <c r="AG3167" s="49">
        <f>IFERROR(__xludf.DUMMYFUNCTION("IFNA(vlookup(H3167,IMPORTRANGE(""1vUGwO1n0QQGx9kKbO0_M5gmuhXZ6-LaxQxgrmJnzgP0"",""'TP# look up'!A:C""),3,0),"""")"),"")</f>
        <v/>
      </c>
      <c r="AH3167" s="49">
        <f>LEFT(J3167,2)</f>
        <v/>
      </c>
    </row>
    <row r="3168" ht="12.75" customHeight="1">
      <c r="H3168" s="43" t="n"/>
      <c r="AG3168" s="49">
        <f>IFERROR(__xludf.DUMMYFUNCTION("IFNA(vlookup(H3168,IMPORTRANGE(""1vUGwO1n0QQGx9kKbO0_M5gmuhXZ6-LaxQxgrmJnzgP0"",""'TP# look up'!A:C""),3,0),"""")"),"")</f>
        <v/>
      </c>
      <c r="AH3168" s="49">
        <f>LEFT(J3168,2)</f>
        <v/>
      </c>
    </row>
    <row r="3169" ht="12.75" customHeight="1">
      <c r="H3169" s="43" t="n"/>
      <c r="AG3169" s="49">
        <f>IFERROR(__xludf.DUMMYFUNCTION("IFNA(vlookup(H3169,IMPORTRANGE(""1vUGwO1n0QQGx9kKbO0_M5gmuhXZ6-LaxQxgrmJnzgP0"",""'TP# look up'!A:C""),3,0),"""")"),"")</f>
        <v/>
      </c>
      <c r="AH3169" s="49">
        <f>LEFT(J3169,2)</f>
        <v/>
      </c>
    </row>
    <row r="3170" ht="12.75" customHeight="1">
      <c r="H3170" s="43" t="n"/>
      <c r="AG3170" s="49">
        <f>IFERROR(__xludf.DUMMYFUNCTION("IFNA(vlookup(H3170,IMPORTRANGE(""1vUGwO1n0QQGx9kKbO0_M5gmuhXZ6-LaxQxgrmJnzgP0"",""'TP# look up'!A:C""),3,0),"""")"),"")</f>
        <v/>
      </c>
      <c r="AH3170" s="49">
        <f>LEFT(J3170,2)</f>
        <v/>
      </c>
    </row>
    <row r="3171" ht="12.75" customHeight="1">
      <c r="H3171" s="43" t="n"/>
      <c r="AG3171" s="49">
        <f>IFERROR(__xludf.DUMMYFUNCTION("IFNA(vlookup(H3171,IMPORTRANGE(""1vUGwO1n0QQGx9kKbO0_M5gmuhXZ6-LaxQxgrmJnzgP0"",""'TP# look up'!A:C""),3,0),"""")"),"")</f>
        <v/>
      </c>
      <c r="AH3171" s="49">
        <f>LEFT(J3171,2)</f>
        <v/>
      </c>
    </row>
    <row r="3172" ht="12.75" customHeight="1">
      <c r="H3172" s="43" t="n"/>
      <c r="AG3172" s="49">
        <f>IFERROR(__xludf.DUMMYFUNCTION("IFNA(vlookup(H3172,IMPORTRANGE(""1vUGwO1n0QQGx9kKbO0_M5gmuhXZ6-LaxQxgrmJnzgP0"",""'TP# look up'!A:C""),3,0),"""")"),"")</f>
        <v/>
      </c>
      <c r="AH3172" s="49">
        <f>LEFT(J3172,2)</f>
        <v/>
      </c>
    </row>
    <row r="3173" ht="12.75" customHeight="1">
      <c r="H3173" s="43" t="n"/>
      <c r="AG3173" s="49">
        <f>IFERROR(__xludf.DUMMYFUNCTION("IFNA(vlookup(H3173,IMPORTRANGE(""1vUGwO1n0QQGx9kKbO0_M5gmuhXZ6-LaxQxgrmJnzgP0"",""'TP# look up'!A:C""),3,0),"""")"),"")</f>
        <v/>
      </c>
      <c r="AH3173" s="49">
        <f>LEFT(J3173,2)</f>
        <v/>
      </c>
    </row>
    <row r="3174" ht="12.75" customHeight="1">
      <c r="H3174" s="43" t="n"/>
      <c r="AG3174" s="49">
        <f>IFERROR(__xludf.DUMMYFUNCTION("IFNA(vlookup(H3174,IMPORTRANGE(""1vUGwO1n0QQGx9kKbO0_M5gmuhXZ6-LaxQxgrmJnzgP0"",""'TP# look up'!A:C""),3,0),"""")"),"")</f>
        <v/>
      </c>
      <c r="AH3174" s="49">
        <f>LEFT(J3174,2)</f>
        <v/>
      </c>
    </row>
    <row r="3175" ht="12.75" customHeight="1">
      <c r="H3175" s="43" t="n"/>
      <c r="AG3175" s="49">
        <f>IFERROR(__xludf.DUMMYFUNCTION("IFNA(vlookup(H3175,IMPORTRANGE(""1vUGwO1n0QQGx9kKbO0_M5gmuhXZ6-LaxQxgrmJnzgP0"",""'TP# look up'!A:C""),3,0),"""")"),"")</f>
        <v/>
      </c>
      <c r="AH3175" s="49">
        <f>LEFT(J3175,2)</f>
        <v/>
      </c>
    </row>
    <row r="3176" ht="12.75" customHeight="1">
      <c r="H3176" s="43" t="n"/>
      <c r="AG3176" s="49">
        <f>IFERROR(__xludf.DUMMYFUNCTION("IFNA(vlookup(H3176,IMPORTRANGE(""1vUGwO1n0QQGx9kKbO0_M5gmuhXZ6-LaxQxgrmJnzgP0"",""'TP# look up'!A:C""),3,0),"""")"),"")</f>
        <v/>
      </c>
      <c r="AH3176" s="49">
        <f>LEFT(J3176,2)</f>
        <v/>
      </c>
    </row>
    <row r="3177" ht="12.75" customHeight="1">
      <c r="H3177" s="43" t="n"/>
      <c r="AG3177" s="49">
        <f>IFERROR(__xludf.DUMMYFUNCTION("IFNA(vlookup(H3177,IMPORTRANGE(""1vUGwO1n0QQGx9kKbO0_M5gmuhXZ6-LaxQxgrmJnzgP0"",""'TP# look up'!A:C""),3,0),"""")"),"")</f>
        <v/>
      </c>
      <c r="AH3177" s="49">
        <f>LEFT(J3177,2)</f>
        <v/>
      </c>
    </row>
    <row r="3178" ht="12.75" customHeight="1">
      <c r="H3178" s="43" t="n"/>
      <c r="AG3178" s="49">
        <f>IFERROR(__xludf.DUMMYFUNCTION("IFNA(vlookup(H3178,IMPORTRANGE(""1vUGwO1n0QQGx9kKbO0_M5gmuhXZ6-LaxQxgrmJnzgP0"",""'TP# look up'!A:C""),3,0),"""")"),"")</f>
        <v/>
      </c>
      <c r="AH3178" s="49">
        <f>LEFT(J3178,2)</f>
        <v/>
      </c>
    </row>
    <row r="3179" ht="12.75" customHeight="1">
      <c r="H3179" s="43" t="n"/>
      <c r="AG3179" s="49">
        <f>IFERROR(__xludf.DUMMYFUNCTION("IFNA(vlookup(H3179,IMPORTRANGE(""1vUGwO1n0QQGx9kKbO0_M5gmuhXZ6-LaxQxgrmJnzgP0"",""'TP# look up'!A:C""),3,0),"""")"),"")</f>
        <v/>
      </c>
      <c r="AH3179" s="49">
        <f>LEFT(J3179,2)</f>
        <v/>
      </c>
    </row>
    <row r="3180" ht="12.75" customHeight="1">
      <c r="H3180" s="43" t="n"/>
      <c r="AG3180" s="49">
        <f>IFERROR(__xludf.DUMMYFUNCTION("IFNA(vlookup(H3180,IMPORTRANGE(""1vUGwO1n0QQGx9kKbO0_M5gmuhXZ6-LaxQxgrmJnzgP0"",""'TP# look up'!A:C""),3,0),"""")"),"")</f>
        <v/>
      </c>
      <c r="AH3180" s="49">
        <f>LEFT(J3180,2)</f>
        <v/>
      </c>
    </row>
    <row r="3181" ht="12.75" customHeight="1">
      <c r="H3181" s="43" t="n"/>
      <c r="AG3181" s="49">
        <f>IFERROR(__xludf.DUMMYFUNCTION("IFNA(vlookup(H3181,IMPORTRANGE(""1vUGwO1n0QQGx9kKbO0_M5gmuhXZ6-LaxQxgrmJnzgP0"",""'TP# look up'!A:C""),3,0),"""")"),"")</f>
        <v/>
      </c>
      <c r="AH3181" s="49">
        <f>LEFT(J3181,2)</f>
        <v/>
      </c>
    </row>
    <row r="3182" ht="12.75" customHeight="1">
      <c r="H3182" s="43" t="n"/>
      <c r="AG3182" s="49">
        <f>IFERROR(__xludf.DUMMYFUNCTION("IFNA(vlookup(H3182,IMPORTRANGE(""1vUGwO1n0QQGx9kKbO0_M5gmuhXZ6-LaxQxgrmJnzgP0"",""'TP# look up'!A:C""),3,0),"""")"),"")</f>
        <v/>
      </c>
      <c r="AH3182" s="49">
        <f>LEFT(J3182,2)</f>
        <v/>
      </c>
    </row>
    <row r="3183" ht="12.75" customHeight="1">
      <c r="H3183" s="43" t="n"/>
      <c r="AG3183" s="49">
        <f>IFERROR(__xludf.DUMMYFUNCTION("IFNA(vlookup(H3183,IMPORTRANGE(""1vUGwO1n0QQGx9kKbO0_M5gmuhXZ6-LaxQxgrmJnzgP0"",""'TP# look up'!A:C""),3,0),"""")"),"")</f>
        <v/>
      </c>
      <c r="AH3183" s="49">
        <f>LEFT(J3183,2)</f>
        <v/>
      </c>
    </row>
    <row r="3184" ht="12.75" customHeight="1">
      <c r="H3184" s="43" t="n"/>
      <c r="AG3184" s="49">
        <f>IFERROR(__xludf.DUMMYFUNCTION("IFNA(vlookup(H3184,IMPORTRANGE(""1vUGwO1n0QQGx9kKbO0_M5gmuhXZ6-LaxQxgrmJnzgP0"",""'TP# look up'!A:C""),3,0),"""")"),"")</f>
        <v/>
      </c>
      <c r="AH3184" s="49">
        <f>LEFT(J3184,2)</f>
        <v/>
      </c>
    </row>
    <row r="3185" ht="12.75" customHeight="1">
      <c r="H3185" s="43" t="n"/>
      <c r="AG3185" s="49">
        <f>IFERROR(__xludf.DUMMYFUNCTION("IFNA(vlookup(H3185,IMPORTRANGE(""1vUGwO1n0QQGx9kKbO0_M5gmuhXZ6-LaxQxgrmJnzgP0"",""'TP# look up'!A:C""),3,0),"""")"),"")</f>
        <v/>
      </c>
      <c r="AH3185" s="49">
        <f>LEFT(J3185,2)</f>
        <v/>
      </c>
    </row>
    <row r="3186" ht="12.75" customHeight="1">
      <c r="H3186" s="43" t="n"/>
      <c r="AG3186" s="49">
        <f>IFERROR(__xludf.DUMMYFUNCTION("IFNA(vlookup(H3186,IMPORTRANGE(""1vUGwO1n0QQGx9kKbO0_M5gmuhXZ6-LaxQxgrmJnzgP0"",""'TP# look up'!A:C""),3,0),"""")"),"")</f>
        <v/>
      </c>
      <c r="AH3186" s="49">
        <f>LEFT(J3186,2)</f>
        <v/>
      </c>
    </row>
    <row r="3187" ht="12.75" customHeight="1">
      <c r="H3187" s="43" t="n"/>
      <c r="AG3187" s="49">
        <f>IFERROR(__xludf.DUMMYFUNCTION("IFNA(vlookup(H3187,IMPORTRANGE(""1vUGwO1n0QQGx9kKbO0_M5gmuhXZ6-LaxQxgrmJnzgP0"",""'TP# look up'!A:C""),3,0),"""")"),"")</f>
        <v/>
      </c>
      <c r="AH3187" s="49">
        <f>LEFT(J3187,2)</f>
        <v/>
      </c>
    </row>
    <row r="3188" ht="12.75" customHeight="1">
      <c r="H3188" s="43" t="n"/>
      <c r="AG3188" s="49">
        <f>IFERROR(__xludf.DUMMYFUNCTION("IFNA(vlookup(H3188,IMPORTRANGE(""1vUGwO1n0QQGx9kKbO0_M5gmuhXZ6-LaxQxgrmJnzgP0"",""'TP# look up'!A:C""),3,0),"""")"),"")</f>
        <v/>
      </c>
      <c r="AH3188" s="49">
        <f>LEFT(J3188,2)</f>
        <v/>
      </c>
    </row>
    <row r="3189" ht="12.75" customHeight="1">
      <c r="H3189" s="43" t="n"/>
      <c r="AG3189" s="49">
        <f>IFERROR(__xludf.DUMMYFUNCTION("IFNA(vlookup(H3189,IMPORTRANGE(""1vUGwO1n0QQGx9kKbO0_M5gmuhXZ6-LaxQxgrmJnzgP0"",""'TP# look up'!A:C""),3,0),"""")"),"")</f>
        <v/>
      </c>
      <c r="AH3189" s="49">
        <f>LEFT(J3189,2)</f>
        <v/>
      </c>
    </row>
    <row r="3190" ht="12.75" customHeight="1">
      <c r="H3190" s="43" t="n"/>
      <c r="AG3190" s="49">
        <f>IFERROR(__xludf.DUMMYFUNCTION("IFNA(vlookup(H3190,IMPORTRANGE(""1vUGwO1n0QQGx9kKbO0_M5gmuhXZ6-LaxQxgrmJnzgP0"",""'TP# look up'!A:C""),3,0),"""")"),"")</f>
        <v/>
      </c>
      <c r="AH3190" s="49">
        <f>LEFT(J3190,2)</f>
        <v/>
      </c>
    </row>
    <row r="3191" ht="12.75" customHeight="1">
      <c r="H3191" s="43" t="n"/>
      <c r="AG3191" s="49">
        <f>IFERROR(__xludf.DUMMYFUNCTION("IFNA(vlookup(H3191,IMPORTRANGE(""1vUGwO1n0QQGx9kKbO0_M5gmuhXZ6-LaxQxgrmJnzgP0"",""'TP# look up'!A:C""),3,0),"""")"),"")</f>
        <v/>
      </c>
      <c r="AH3191" s="49">
        <f>LEFT(J3191,2)</f>
        <v/>
      </c>
    </row>
    <row r="3192" ht="12.75" customHeight="1">
      <c r="H3192" s="43" t="n"/>
      <c r="AG3192" s="49">
        <f>IFERROR(__xludf.DUMMYFUNCTION("IFNA(vlookup(H3192,IMPORTRANGE(""1vUGwO1n0QQGx9kKbO0_M5gmuhXZ6-LaxQxgrmJnzgP0"",""'TP# look up'!A:C""),3,0),"""")"),"")</f>
        <v/>
      </c>
      <c r="AH3192" s="49">
        <f>LEFT(J3192,2)</f>
        <v/>
      </c>
    </row>
    <row r="3193" ht="12.75" customHeight="1">
      <c r="H3193" s="43" t="n"/>
      <c r="AG3193" s="49">
        <f>IFERROR(__xludf.DUMMYFUNCTION("IFNA(vlookup(H3193,IMPORTRANGE(""1vUGwO1n0QQGx9kKbO0_M5gmuhXZ6-LaxQxgrmJnzgP0"",""'TP# look up'!A:C""),3,0),"""")"),"")</f>
        <v/>
      </c>
      <c r="AH3193" s="49">
        <f>LEFT(J3193,2)</f>
        <v/>
      </c>
    </row>
    <row r="3194" ht="12.75" customHeight="1">
      <c r="H3194" s="43" t="n"/>
      <c r="AG3194" s="49">
        <f>IFERROR(__xludf.DUMMYFUNCTION("IFNA(vlookup(H3194,IMPORTRANGE(""1vUGwO1n0QQGx9kKbO0_M5gmuhXZ6-LaxQxgrmJnzgP0"",""'TP# look up'!A:C""),3,0),"""")"),"")</f>
        <v/>
      </c>
      <c r="AH3194" s="49">
        <f>LEFT(J3194,2)</f>
        <v/>
      </c>
    </row>
    <row r="3195" ht="12.75" customHeight="1">
      <c r="H3195" s="43" t="n"/>
      <c r="AG3195" s="49">
        <f>IFERROR(__xludf.DUMMYFUNCTION("IFNA(vlookup(H3195,IMPORTRANGE(""1vUGwO1n0QQGx9kKbO0_M5gmuhXZ6-LaxQxgrmJnzgP0"",""'TP# look up'!A:C""),3,0),"""")"),"")</f>
        <v/>
      </c>
      <c r="AH3195" s="49">
        <f>LEFT(J3195,2)</f>
        <v/>
      </c>
    </row>
    <row r="3196" ht="12.75" customHeight="1">
      <c r="H3196" s="43" t="n"/>
      <c r="AG3196" s="49">
        <f>IFERROR(__xludf.DUMMYFUNCTION("IFNA(vlookup(H3196,IMPORTRANGE(""1vUGwO1n0QQGx9kKbO0_M5gmuhXZ6-LaxQxgrmJnzgP0"",""'TP# look up'!A:C""),3,0),"""")"),"")</f>
        <v/>
      </c>
      <c r="AH3196" s="49">
        <f>LEFT(J3196,2)</f>
        <v/>
      </c>
    </row>
    <row r="3197" ht="12.75" customHeight="1">
      <c r="H3197" s="43" t="n"/>
      <c r="AG3197" s="49">
        <f>IFERROR(__xludf.DUMMYFUNCTION("IFNA(vlookup(H3197,IMPORTRANGE(""1vUGwO1n0QQGx9kKbO0_M5gmuhXZ6-LaxQxgrmJnzgP0"",""'TP# look up'!A:C""),3,0),"""")"),"")</f>
        <v/>
      </c>
      <c r="AH3197" s="49">
        <f>LEFT(J3197,2)</f>
        <v/>
      </c>
    </row>
    <row r="3198" ht="12.75" customHeight="1">
      <c r="H3198" s="43" t="n"/>
      <c r="AG3198" s="49">
        <f>IFERROR(__xludf.DUMMYFUNCTION("IFNA(vlookup(H3198,IMPORTRANGE(""1vUGwO1n0QQGx9kKbO0_M5gmuhXZ6-LaxQxgrmJnzgP0"",""'TP# look up'!A:C""),3,0),"""")"),"")</f>
        <v/>
      </c>
      <c r="AH3198" s="49">
        <f>LEFT(J3198,2)</f>
        <v/>
      </c>
    </row>
    <row r="3199" ht="12.75" customHeight="1">
      <c r="H3199" s="43" t="n"/>
      <c r="AG3199" s="49">
        <f>IFERROR(__xludf.DUMMYFUNCTION("IFNA(vlookup(H3199,IMPORTRANGE(""1vUGwO1n0QQGx9kKbO0_M5gmuhXZ6-LaxQxgrmJnzgP0"",""'TP# look up'!A:C""),3,0),"""")"),"")</f>
        <v/>
      </c>
      <c r="AH3199" s="49">
        <f>LEFT(J3199,2)</f>
        <v/>
      </c>
    </row>
    <row r="3200" ht="12.75" customHeight="1">
      <c r="H3200" s="43" t="n"/>
      <c r="AG3200" s="49">
        <f>IFERROR(__xludf.DUMMYFUNCTION("IFNA(vlookup(H3200,IMPORTRANGE(""1vUGwO1n0QQGx9kKbO0_M5gmuhXZ6-LaxQxgrmJnzgP0"",""'TP# look up'!A:C""),3,0),"""")"),"")</f>
        <v/>
      </c>
      <c r="AH3200" s="49">
        <f>LEFT(J3200,2)</f>
        <v/>
      </c>
    </row>
    <row r="3201" ht="12.75" customHeight="1">
      <c r="H3201" s="43" t="n"/>
      <c r="AG3201" s="49">
        <f>IFERROR(__xludf.DUMMYFUNCTION("IFNA(vlookup(H3201,IMPORTRANGE(""1vUGwO1n0QQGx9kKbO0_M5gmuhXZ6-LaxQxgrmJnzgP0"",""'TP# look up'!A:C""),3,0),"""")"),"")</f>
        <v/>
      </c>
      <c r="AH3201" s="49">
        <f>LEFT(J3201,2)</f>
        <v/>
      </c>
    </row>
    <row r="3202" ht="12.75" customHeight="1">
      <c r="H3202" s="43" t="n"/>
      <c r="AG3202" s="49">
        <f>IFERROR(__xludf.DUMMYFUNCTION("IFNA(vlookup(H3202,IMPORTRANGE(""1vUGwO1n0QQGx9kKbO0_M5gmuhXZ6-LaxQxgrmJnzgP0"",""'TP# look up'!A:C""),3,0),"""")"),"")</f>
        <v/>
      </c>
      <c r="AH3202" s="49">
        <f>LEFT(J3202,2)</f>
        <v/>
      </c>
    </row>
    <row r="3203" ht="12.75" customHeight="1">
      <c r="H3203" s="43" t="n"/>
      <c r="AG3203" s="49">
        <f>IFERROR(__xludf.DUMMYFUNCTION("IFNA(vlookup(H3203,IMPORTRANGE(""1vUGwO1n0QQGx9kKbO0_M5gmuhXZ6-LaxQxgrmJnzgP0"",""'TP# look up'!A:C""),3,0),"""")"),"")</f>
        <v/>
      </c>
      <c r="AH3203" s="49">
        <f>LEFT(J3203,2)</f>
        <v/>
      </c>
    </row>
    <row r="3204" ht="12.75" customHeight="1">
      <c r="H3204" s="43" t="n"/>
      <c r="AG3204" s="49">
        <f>IFERROR(__xludf.DUMMYFUNCTION("IFNA(vlookup(H3204,IMPORTRANGE(""1vUGwO1n0QQGx9kKbO0_M5gmuhXZ6-LaxQxgrmJnzgP0"",""'TP# look up'!A:C""),3,0),"""")"),"")</f>
        <v/>
      </c>
      <c r="AH3204" s="49">
        <f>LEFT(J3204,2)</f>
        <v/>
      </c>
    </row>
    <row r="3205" ht="12.75" customHeight="1">
      <c r="H3205" s="43" t="n"/>
      <c r="AG3205" s="49">
        <f>IFERROR(__xludf.DUMMYFUNCTION("IFNA(vlookup(H3205,IMPORTRANGE(""1vUGwO1n0QQGx9kKbO0_M5gmuhXZ6-LaxQxgrmJnzgP0"",""'TP# look up'!A:C""),3,0),"""")"),"")</f>
        <v/>
      </c>
      <c r="AH3205" s="49">
        <f>LEFT(J3205,2)</f>
        <v/>
      </c>
    </row>
    <row r="3206" ht="12.75" customHeight="1">
      <c r="H3206" s="43" t="n"/>
      <c r="AG3206" s="49">
        <f>IFERROR(__xludf.DUMMYFUNCTION("IFNA(vlookup(H3206,IMPORTRANGE(""1vUGwO1n0QQGx9kKbO0_M5gmuhXZ6-LaxQxgrmJnzgP0"",""'TP# look up'!A:C""),3,0),"""")"),"")</f>
        <v/>
      </c>
      <c r="AH3206" s="49">
        <f>LEFT(J3206,2)</f>
        <v/>
      </c>
    </row>
    <row r="3207" ht="12.75" customHeight="1">
      <c r="H3207" s="43" t="n"/>
      <c r="AG3207" s="49">
        <f>IFERROR(__xludf.DUMMYFUNCTION("IFNA(vlookup(H3207,IMPORTRANGE(""1vUGwO1n0QQGx9kKbO0_M5gmuhXZ6-LaxQxgrmJnzgP0"",""'TP# look up'!A:C""),3,0),"""")"),"")</f>
        <v/>
      </c>
      <c r="AH3207" s="49">
        <f>LEFT(J3207,2)</f>
        <v/>
      </c>
    </row>
    <row r="3208" ht="12.75" customHeight="1">
      <c r="H3208" s="43" t="n"/>
      <c r="AG3208" s="49">
        <f>IFERROR(__xludf.DUMMYFUNCTION("IFNA(vlookup(H3208,IMPORTRANGE(""1vUGwO1n0QQGx9kKbO0_M5gmuhXZ6-LaxQxgrmJnzgP0"",""'TP# look up'!A:C""),3,0),"""")"),"")</f>
        <v/>
      </c>
      <c r="AH3208" s="49">
        <f>LEFT(J3208,2)</f>
        <v/>
      </c>
    </row>
    <row r="3209" ht="12.75" customHeight="1">
      <c r="H3209" s="43" t="n"/>
      <c r="AG3209" s="49">
        <f>IFERROR(__xludf.DUMMYFUNCTION("IFNA(vlookup(H3209,IMPORTRANGE(""1vUGwO1n0QQGx9kKbO0_M5gmuhXZ6-LaxQxgrmJnzgP0"",""'TP# look up'!A:C""),3,0),"""")"),"")</f>
        <v/>
      </c>
      <c r="AH3209" s="49">
        <f>LEFT(J3209,2)</f>
        <v/>
      </c>
    </row>
    <row r="3210" ht="12.75" customHeight="1">
      <c r="H3210" s="43" t="n"/>
      <c r="AG3210" s="49">
        <f>IFERROR(__xludf.DUMMYFUNCTION("IFNA(vlookup(H3210,IMPORTRANGE(""1vUGwO1n0QQGx9kKbO0_M5gmuhXZ6-LaxQxgrmJnzgP0"",""'TP# look up'!A:C""),3,0),"""")"),"")</f>
        <v/>
      </c>
      <c r="AH3210" s="49">
        <f>LEFT(J3210,2)</f>
        <v/>
      </c>
    </row>
    <row r="3211" ht="12.75" customHeight="1">
      <c r="H3211" s="43" t="n"/>
      <c r="AG3211" s="49">
        <f>IFERROR(__xludf.DUMMYFUNCTION("IFNA(vlookup(H3211,IMPORTRANGE(""1vUGwO1n0QQGx9kKbO0_M5gmuhXZ6-LaxQxgrmJnzgP0"",""'TP# look up'!A:C""),3,0),"""")"),"")</f>
        <v/>
      </c>
      <c r="AH3211" s="49">
        <f>LEFT(J3211,2)</f>
        <v/>
      </c>
    </row>
    <row r="3212" ht="12.75" customHeight="1">
      <c r="H3212" s="43" t="n"/>
      <c r="AG3212" s="49">
        <f>IFERROR(__xludf.DUMMYFUNCTION("IFNA(vlookup(H3212,IMPORTRANGE(""1vUGwO1n0QQGx9kKbO0_M5gmuhXZ6-LaxQxgrmJnzgP0"",""'TP# look up'!A:C""),3,0),"""")"),"")</f>
        <v/>
      </c>
      <c r="AH3212" s="49">
        <f>LEFT(J3212,2)</f>
        <v/>
      </c>
    </row>
    <row r="3213" ht="12.75" customHeight="1">
      <c r="H3213" s="43" t="n"/>
      <c r="AG3213" s="49">
        <f>IFERROR(__xludf.DUMMYFUNCTION("IFNA(vlookup(H3213,IMPORTRANGE(""1vUGwO1n0QQGx9kKbO0_M5gmuhXZ6-LaxQxgrmJnzgP0"",""'TP# look up'!A:C""),3,0),"""")"),"")</f>
        <v/>
      </c>
      <c r="AH3213" s="49">
        <f>LEFT(J3213,2)</f>
        <v/>
      </c>
    </row>
    <row r="3214" ht="12.75" customHeight="1">
      <c r="H3214" s="43" t="n"/>
      <c r="AG3214" s="49">
        <f>IFERROR(__xludf.DUMMYFUNCTION("IFNA(vlookup(H3214,IMPORTRANGE(""1vUGwO1n0QQGx9kKbO0_M5gmuhXZ6-LaxQxgrmJnzgP0"",""'TP# look up'!A:C""),3,0),"""")"),"")</f>
        <v/>
      </c>
      <c r="AH3214" s="49">
        <f>LEFT(J3214,2)</f>
        <v/>
      </c>
    </row>
    <row r="3215" ht="12.75" customHeight="1">
      <c r="H3215" s="43" t="n"/>
      <c r="AG3215" s="49">
        <f>IFERROR(__xludf.DUMMYFUNCTION("IFNA(vlookup(H3215,IMPORTRANGE(""1vUGwO1n0QQGx9kKbO0_M5gmuhXZ6-LaxQxgrmJnzgP0"",""'TP# look up'!A:C""),3,0),"""")"),"")</f>
        <v/>
      </c>
      <c r="AH3215" s="49">
        <f>LEFT(J3215,2)</f>
        <v/>
      </c>
    </row>
    <row r="3216" ht="12.75" customHeight="1">
      <c r="H3216" s="43" t="n"/>
      <c r="AG3216" s="49">
        <f>IFERROR(__xludf.DUMMYFUNCTION("IFNA(vlookup(H3216,IMPORTRANGE(""1vUGwO1n0QQGx9kKbO0_M5gmuhXZ6-LaxQxgrmJnzgP0"",""'TP# look up'!A:C""),3,0),"""")"),"")</f>
        <v/>
      </c>
      <c r="AH3216" s="49">
        <f>LEFT(J3216,2)</f>
        <v/>
      </c>
    </row>
    <row r="3217" ht="12.75" customHeight="1">
      <c r="H3217" s="43" t="n"/>
      <c r="AG3217" s="49">
        <f>IFERROR(__xludf.DUMMYFUNCTION("IFNA(vlookup(H3217,IMPORTRANGE(""1vUGwO1n0QQGx9kKbO0_M5gmuhXZ6-LaxQxgrmJnzgP0"",""'TP# look up'!A:C""),3,0),"""")"),"")</f>
        <v/>
      </c>
      <c r="AH3217" s="49">
        <f>LEFT(J3217,2)</f>
        <v/>
      </c>
    </row>
    <row r="3218" ht="12.75" customHeight="1">
      <c r="H3218" s="43" t="n"/>
      <c r="AG3218" s="49">
        <f>IFERROR(__xludf.DUMMYFUNCTION("IFNA(vlookup(H3218,IMPORTRANGE(""1vUGwO1n0QQGx9kKbO0_M5gmuhXZ6-LaxQxgrmJnzgP0"",""'TP# look up'!A:C""),3,0),"""")"),"")</f>
        <v/>
      </c>
      <c r="AH3218" s="49">
        <f>LEFT(J3218,2)</f>
        <v/>
      </c>
    </row>
    <row r="3219" ht="12.75" customHeight="1">
      <c r="H3219" s="43" t="n"/>
      <c r="AG3219" s="49">
        <f>IFERROR(__xludf.DUMMYFUNCTION("IFNA(vlookup(H3219,IMPORTRANGE(""1vUGwO1n0QQGx9kKbO0_M5gmuhXZ6-LaxQxgrmJnzgP0"",""'TP# look up'!A:C""),3,0),"""")"),"")</f>
        <v/>
      </c>
      <c r="AH3219" s="49">
        <f>LEFT(J3219,2)</f>
        <v/>
      </c>
    </row>
    <row r="3220" ht="12.75" customHeight="1">
      <c r="H3220" s="43" t="n"/>
      <c r="AG3220" s="49">
        <f>IFERROR(__xludf.DUMMYFUNCTION("IFNA(vlookup(H3220,IMPORTRANGE(""1vUGwO1n0QQGx9kKbO0_M5gmuhXZ6-LaxQxgrmJnzgP0"",""'TP# look up'!A:C""),3,0),"""")"),"")</f>
        <v/>
      </c>
      <c r="AH3220" s="49">
        <f>LEFT(J3220,2)</f>
        <v/>
      </c>
    </row>
    <row r="3221" ht="12.75" customHeight="1">
      <c r="H3221" s="43" t="n"/>
      <c r="AG3221" s="49">
        <f>IFERROR(__xludf.DUMMYFUNCTION("IFNA(vlookup(H3221,IMPORTRANGE(""1vUGwO1n0QQGx9kKbO0_M5gmuhXZ6-LaxQxgrmJnzgP0"",""'TP# look up'!A:C""),3,0),"""")"),"")</f>
        <v/>
      </c>
      <c r="AH3221" s="49">
        <f>LEFT(J3221,2)</f>
        <v/>
      </c>
    </row>
    <row r="3222" ht="12.75" customHeight="1">
      <c r="H3222" s="43" t="n"/>
      <c r="AG3222" s="49">
        <f>IFERROR(__xludf.DUMMYFUNCTION("IFNA(vlookup(H3222,IMPORTRANGE(""1vUGwO1n0QQGx9kKbO0_M5gmuhXZ6-LaxQxgrmJnzgP0"",""'TP# look up'!A:C""),3,0),"""")"),"")</f>
        <v/>
      </c>
      <c r="AH3222" s="49">
        <f>LEFT(J3222,2)</f>
        <v/>
      </c>
    </row>
    <row r="3223" ht="12.75" customHeight="1">
      <c r="H3223" s="43" t="n"/>
      <c r="AG3223" s="49">
        <f>IFERROR(__xludf.DUMMYFUNCTION("IFNA(vlookup(H3223,IMPORTRANGE(""1vUGwO1n0QQGx9kKbO0_M5gmuhXZ6-LaxQxgrmJnzgP0"",""'TP# look up'!A:C""),3,0),"""")"),"")</f>
        <v/>
      </c>
      <c r="AH3223" s="49">
        <f>LEFT(J3223,2)</f>
        <v/>
      </c>
    </row>
    <row r="3224" ht="12.75" customHeight="1">
      <c r="H3224" s="43" t="n"/>
      <c r="AG3224" s="49">
        <f>IFERROR(__xludf.DUMMYFUNCTION("IFNA(vlookup(H3224,IMPORTRANGE(""1vUGwO1n0QQGx9kKbO0_M5gmuhXZ6-LaxQxgrmJnzgP0"",""'TP# look up'!A:C""),3,0),"""")"),"")</f>
        <v/>
      </c>
      <c r="AH3224" s="49">
        <f>LEFT(J3224,2)</f>
        <v/>
      </c>
    </row>
    <row r="3225" ht="12.75" customHeight="1">
      <c r="H3225" s="43" t="n"/>
      <c r="AG3225" s="49">
        <f>IFERROR(__xludf.DUMMYFUNCTION("IFNA(vlookup(H3225,IMPORTRANGE(""1vUGwO1n0QQGx9kKbO0_M5gmuhXZ6-LaxQxgrmJnzgP0"",""'TP# look up'!A:C""),3,0),"""")"),"")</f>
        <v/>
      </c>
      <c r="AH3225" s="49">
        <f>LEFT(J3225,2)</f>
        <v/>
      </c>
    </row>
    <row r="3226" ht="12.75" customHeight="1">
      <c r="H3226" s="43" t="n"/>
      <c r="AG3226" s="49">
        <f>IFERROR(__xludf.DUMMYFUNCTION("IFNA(vlookup(H3226,IMPORTRANGE(""1vUGwO1n0QQGx9kKbO0_M5gmuhXZ6-LaxQxgrmJnzgP0"",""'TP# look up'!A:C""),3,0),"""")"),"")</f>
        <v/>
      </c>
      <c r="AH3226" s="49">
        <f>LEFT(J3226,2)</f>
        <v/>
      </c>
    </row>
    <row r="3227" ht="12.75" customHeight="1">
      <c r="H3227" s="43" t="n"/>
      <c r="AG3227" s="49">
        <f>IFERROR(__xludf.DUMMYFUNCTION("IFNA(vlookup(H3227,IMPORTRANGE(""1vUGwO1n0QQGx9kKbO0_M5gmuhXZ6-LaxQxgrmJnzgP0"",""'TP# look up'!A:C""),3,0),"""")"),"")</f>
        <v/>
      </c>
      <c r="AH3227" s="49">
        <f>LEFT(J3227,2)</f>
        <v/>
      </c>
    </row>
    <row r="3228" ht="12.75" customHeight="1">
      <c r="H3228" s="43" t="n"/>
      <c r="AG3228" s="49">
        <f>IFERROR(__xludf.DUMMYFUNCTION("IFNA(vlookup(H3228,IMPORTRANGE(""1vUGwO1n0QQGx9kKbO0_M5gmuhXZ6-LaxQxgrmJnzgP0"",""'TP# look up'!A:C""),3,0),"""")"),"")</f>
        <v/>
      </c>
      <c r="AH3228" s="49">
        <f>LEFT(J3228,2)</f>
        <v/>
      </c>
    </row>
    <row r="3229" ht="12.75" customHeight="1">
      <c r="H3229" s="43" t="n"/>
      <c r="AG3229" s="49">
        <f>IFERROR(__xludf.DUMMYFUNCTION("IFNA(vlookup(H3229,IMPORTRANGE(""1vUGwO1n0QQGx9kKbO0_M5gmuhXZ6-LaxQxgrmJnzgP0"",""'TP# look up'!A:C""),3,0),"""")"),"")</f>
        <v/>
      </c>
      <c r="AH3229" s="49">
        <f>LEFT(J3229,2)</f>
        <v/>
      </c>
    </row>
    <row r="3230" ht="12.75" customHeight="1">
      <c r="H3230" s="43" t="n"/>
      <c r="AG3230" s="49">
        <f>IFERROR(__xludf.DUMMYFUNCTION("IFNA(vlookup(H3230,IMPORTRANGE(""1vUGwO1n0QQGx9kKbO0_M5gmuhXZ6-LaxQxgrmJnzgP0"",""'TP# look up'!A:C""),3,0),"""")"),"")</f>
        <v/>
      </c>
      <c r="AH3230" s="49">
        <f>LEFT(J3230,2)</f>
        <v/>
      </c>
    </row>
    <row r="3231" ht="12.75" customHeight="1">
      <c r="H3231" s="43" t="n"/>
      <c r="AG3231" s="49">
        <f>IFERROR(__xludf.DUMMYFUNCTION("IFNA(vlookup(H3231,IMPORTRANGE(""1vUGwO1n0QQGx9kKbO0_M5gmuhXZ6-LaxQxgrmJnzgP0"",""'TP# look up'!A:C""),3,0),"""")"),"")</f>
        <v/>
      </c>
      <c r="AH3231" s="49">
        <f>LEFT(J3231,2)</f>
        <v/>
      </c>
    </row>
    <row r="3232" ht="12.75" customHeight="1">
      <c r="H3232" s="43" t="n"/>
      <c r="AG3232" s="49">
        <f>IFERROR(__xludf.DUMMYFUNCTION("IFNA(vlookup(H3232,IMPORTRANGE(""1vUGwO1n0QQGx9kKbO0_M5gmuhXZ6-LaxQxgrmJnzgP0"",""'TP# look up'!A:C""),3,0),"""")"),"")</f>
        <v/>
      </c>
      <c r="AH3232" s="49">
        <f>LEFT(J3232,2)</f>
        <v/>
      </c>
    </row>
    <row r="3233" ht="12.75" customHeight="1">
      <c r="H3233" s="43" t="n"/>
      <c r="AG3233" s="49">
        <f>IFERROR(__xludf.DUMMYFUNCTION("IFNA(vlookup(H3233,IMPORTRANGE(""1vUGwO1n0QQGx9kKbO0_M5gmuhXZ6-LaxQxgrmJnzgP0"",""'TP# look up'!A:C""),3,0),"""")"),"")</f>
        <v/>
      </c>
      <c r="AH3233" s="49">
        <f>LEFT(J3233,2)</f>
        <v/>
      </c>
    </row>
    <row r="3234" ht="12.75" customHeight="1">
      <c r="H3234" s="43" t="n"/>
      <c r="AG3234" s="49">
        <f>IFERROR(__xludf.DUMMYFUNCTION("IFNA(vlookup(H3234,IMPORTRANGE(""1vUGwO1n0QQGx9kKbO0_M5gmuhXZ6-LaxQxgrmJnzgP0"",""'TP# look up'!A:C""),3,0),"""")"),"")</f>
        <v/>
      </c>
      <c r="AH3234" s="49">
        <f>LEFT(J3234,2)</f>
        <v/>
      </c>
    </row>
    <row r="3235" ht="12.75" customHeight="1">
      <c r="H3235" s="43" t="n"/>
      <c r="AG3235" s="49">
        <f>IFERROR(__xludf.DUMMYFUNCTION("IFNA(vlookup(H3235,IMPORTRANGE(""1vUGwO1n0QQGx9kKbO0_M5gmuhXZ6-LaxQxgrmJnzgP0"",""'TP# look up'!A:C""),3,0),"""")"),"")</f>
        <v/>
      </c>
      <c r="AH3235" s="49">
        <f>LEFT(J3235,2)</f>
        <v/>
      </c>
    </row>
    <row r="3236" ht="12.75" customHeight="1">
      <c r="H3236" s="43" t="n"/>
      <c r="AG3236" s="49">
        <f>IFERROR(__xludf.DUMMYFUNCTION("IFNA(vlookup(H3236,IMPORTRANGE(""1vUGwO1n0QQGx9kKbO0_M5gmuhXZ6-LaxQxgrmJnzgP0"",""'TP# look up'!A:C""),3,0),"""")"),"")</f>
        <v/>
      </c>
      <c r="AH3236" s="49">
        <f>LEFT(J3236,2)</f>
        <v/>
      </c>
    </row>
    <row r="3237" ht="12.75" customHeight="1">
      <c r="H3237" s="43" t="n"/>
      <c r="AG3237" s="49">
        <f>IFERROR(__xludf.DUMMYFUNCTION("IFNA(vlookup(H3237,IMPORTRANGE(""1vUGwO1n0QQGx9kKbO0_M5gmuhXZ6-LaxQxgrmJnzgP0"",""'TP# look up'!A:C""),3,0),"""")"),"")</f>
        <v/>
      </c>
      <c r="AH3237" s="49">
        <f>LEFT(J3237,2)</f>
        <v/>
      </c>
    </row>
    <row r="3238" ht="12.75" customHeight="1">
      <c r="H3238" s="43" t="n"/>
      <c r="AG3238" s="49">
        <f>IFERROR(__xludf.DUMMYFUNCTION("IFNA(vlookup(H3238,IMPORTRANGE(""1vUGwO1n0QQGx9kKbO0_M5gmuhXZ6-LaxQxgrmJnzgP0"",""'TP# look up'!A:C""),3,0),"""")"),"")</f>
        <v/>
      </c>
      <c r="AH3238" s="49">
        <f>LEFT(J3238,2)</f>
        <v/>
      </c>
    </row>
    <row r="3239" ht="12.75" customHeight="1">
      <c r="H3239" s="43" t="n"/>
      <c r="AG3239" s="49">
        <f>IFERROR(__xludf.DUMMYFUNCTION("IFNA(vlookup(H3239,IMPORTRANGE(""1vUGwO1n0QQGx9kKbO0_M5gmuhXZ6-LaxQxgrmJnzgP0"",""'TP# look up'!A:C""),3,0),"""")"),"")</f>
        <v/>
      </c>
      <c r="AH3239" s="49">
        <f>LEFT(J3239,2)</f>
        <v/>
      </c>
    </row>
    <row r="3240" ht="12.75" customHeight="1">
      <c r="H3240" s="43" t="n"/>
      <c r="AG3240" s="49">
        <f>IFERROR(__xludf.DUMMYFUNCTION("IFNA(vlookup(H3240,IMPORTRANGE(""1vUGwO1n0QQGx9kKbO0_M5gmuhXZ6-LaxQxgrmJnzgP0"",""'TP# look up'!A:C""),3,0),"""")"),"")</f>
        <v/>
      </c>
      <c r="AH3240" s="49">
        <f>LEFT(J3240,2)</f>
        <v/>
      </c>
    </row>
    <row r="3241" ht="12.75" customHeight="1">
      <c r="H3241" s="43" t="n"/>
      <c r="AG3241" s="49">
        <f>IFERROR(__xludf.DUMMYFUNCTION("IFNA(vlookup(H3241,IMPORTRANGE(""1vUGwO1n0QQGx9kKbO0_M5gmuhXZ6-LaxQxgrmJnzgP0"",""'TP# look up'!A:C""),3,0),"""")"),"")</f>
        <v/>
      </c>
      <c r="AH3241" s="49">
        <f>LEFT(J3241,2)</f>
        <v/>
      </c>
    </row>
    <row r="3242" ht="12.75" customHeight="1">
      <c r="H3242" s="43" t="n"/>
      <c r="AG3242" s="49">
        <f>IFERROR(__xludf.DUMMYFUNCTION("IFNA(vlookup(H3242,IMPORTRANGE(""1vUGwO1n0QQGx9kKbO0_M5gmuhXZ6-LaxQxgrmJnzgP0"",""'TP# look up'!A:C""),3,0),"""")"),"")</f>
        <v/>
      </c>
      <c r="AH3242" s="49">
        <f>LEFT(J3242,2)</f>
        <v/>
      </c>
    </row>
    <row r="3243" ht="12.75" customHeight="1">
      <c r="H3243" s="43" t="n"/>
      <c r="AG3243" s="49">
        <f>IFERROR(__xludf.DUMMYFUNCTION("IFNA(vlookup(H3243,IMPORTRANGE(""1vUGwO1n0QQGx9kKbO0_M5gmuhXZ6-LaxQxgrmJnzgP0"",""'TP# look up'!A:C""),3,0),"""")"),"")</f>
        <v/>
      </c>
      <c r="AH3243" s="49">
        <f>LEFT(J3243,2)</f>
        <v/>
      </c>
    </row>
    <row r="3244" ht="12.75" customHeight="1">
      <c r="H3244" s="43" t="n"/>
      <c r="AG3244" s="49">
        <f>IFERROR(__xludf.DUMMYFUNCTION("IFNA(vlookup(H3244,IMPORTRANGE(""1vUGwO1n0QQGx9kKbO0_M5gmuhXZ6-LaxQxgrmJnzgP0"",""'TP# look up'!A:C""),3,0),"""")"),"")</f>
        <v/>
      </c>
      <c r="AH3244" s="49">
        <f>LEFT(J3244,2)</f>
        <v/>
      </c>
    </row>
    <row r="3245" ht="12.75" customHeight="1">
      <c r="H3245" s="43" t="n"/>
      <c r="AG3245" s="49">
        <f>IFERROR(__xludf.DUMMYFUNCTION("IFNA(vlookup(H3245,IMPORTRANGE(""1vUGwO1n0QQGx9kKbO0_M5gmuhXZ6-LaxQxgrmJnzgP0"",""'TP# look up'!A:C""),3,0),"""")"),"")</f>
        <v/>
      </c>
      <c r="AH3245" s="49">
        <f>LEFT(J3245,2)</f>
        <v/>
      </c>
    </row>
    <row r="3246" ht="12.75" customHeight="1">
      <c r="H3246" s="43" t="n"/>
      <c r="AG3246" s="49">
        <f>IFERROR(__xludf.DUMMYFUNCTION("IFNA(vlookup(H3246,IMPORTRANGE(""1vUGwO1n0QQGx9kKbO0_M5gmuhXZ6-LaxQxgrmJnzgP0"",""'TP# look up'!A:C""),3,0),"""")"),"")</f>
        <v/>
      </c>
      <c r="AH3246" s="49">
        <f>LEFT(J3246,2)</f>
        <v/>
      </c>
    </row>
    <row r="3247" ht="12.75" customHeight="1">
      <c r="H3247" s="43" t="n"/>
      <c r="AG3247" s="49">
        <f>IFERROR(__xludf.DUMMYFUNCTION("IFNA(vlookup(H3247,IMPORTRANGE(""1vUGwO1n0QQGx9kKbO0_M5gmuhXZ6-LaxQxgrmJnzgP0"",""'TP# look up'!A:C""),3,0),"""")"),"")</f>
        <v/>
      </c>
      <c r="AH3247" s="49">
        <f>LEFT(J3247,2)</f>
        <v/>
      </c>
    </row>
    <row r="3248" ht="12.75" customHeight="1">
      <c r="H3248" s="43" t="n"/>
      <c r="AG3248" s="49">
        <f>IFERROR(__xludf.DUMMYFUNCTION("IFNA(vlookup(H3248,IMPORTRANGE(""1vUGwO1n0QQGx9kKbO0_M5gmuhXZ6-LaxQxgrmJnzgP0"",""'TP# look up'!A:C""),3,0),"""")"),"")</f>
        <v/>
      </c>
      <c r="AH3248" s="49">
        <f>LEFT(J3248,2)</f>
        <v/>
      </c>
    </row>
    <row r="3249" ht="12.75" customHeight="1">
      <c r="H3249" s="43" t="n"/>
      <c r="AG3249" s="49">
        <f>IFERROR(__xludf.DUMMYFUNCTION("IFNA(vlookup(H3249,IMPORTRANGE(""1vUGwO1n0QQGx9kKbO0_M5gmuhXZ6-LaxQxgrmJnzgP0"",""'TP# look up'!A:C""),3,0),"""")"),"")</f>
        <v/>
      </c>
      <c r="AH3249" s="49">
        <f>LEFT(J3249,2)</f>
        <v/>
      </c>
    </row>
    <row r="3250" ht="12.75" customHeight="1">
      <c r="H3250" s="43" t="n"/>
      <c r="AG3250" s="49">
        <f>IFERROR(__xludf.DUMMYFUNCTION("IFNA(vlookup(H3250,IMPORTRANGE(""1vUGwO1n0QQGx9kKbO0_M5gmuhXZ6-LaxQxgrmJnzgP0"",""'TP# look up'!A:C""),3,0),"""")"),"")</f>
        <v/>
      </c>
      <c r="AH3250" s="49">
        <f>LEFT(J3250,2)</f>
        <v/>
      </c>
    </row>
    <row r="3251" ht="12.75" customHeight="1">
      <c r="H3251" s="43" t="n"/>
      <c r="AG3251" s="49">
        <f>IFERROR(__xludf.DUMMYFUNCTION("IFNA(vlookup(H3251,IMPORTRANGE(""1vUGwO1n0QQGx9kKbO0_M5gmuhXZ6-LaxQxgrmJnzgP0"",""'TP# look up'!A:C""),3,0),"""")"),"")</f>
        <v/>
      </c>
      <c r="AH3251" s="49">
        <f>LEFT(J3251,2)</f>
        <v/>
      </c>
    </row>
    <row r="3252" ht="12.75" customHeight="1">
      <c r="H3252" s="43" t="n"/>
      <c r="AG3252" s="49">
        <f>IFERROR(__xludf.DUMMYFUNCTION("IFNA(vlookup(H3252,IMPORTRANGE(""1vUGwO1n0QQGx9kKbO0_M5gmuhXZ6-LaxQxgrmJnzgP0"",""'TP# look up'!A:C""),3,0),"""")"),"")</f>
        <v/>
      </c>
      <c r="AH3252" s="49">
        <f>LEFT(J3252,2)</f>
        <v/>
      </c>
    </row>
    <row r="3253" ht="12.75" customHeight="1">
      <c r="H3253" s="43" t="n"/>
      <c r="AG3253" s="49">
        <f>IFERROR(__xludf.DUMMYFUNCTION("IFNA(vlookup(H3253,IMPORTRANGE(""1vUGwO1n0QQGx9kKbO0_M5gmuhXZ6-LaxQxgrmJnzgP0"",""'TP# look up'!A:C""),3,0),"""")"),"")</f>
        <v/>
      </c>
      <c r="AH3253" s="49">
        <f>LEFT(J3253,2)</f>
        <v/>
      </c>
    </row>
    <row r="3254" ht="12.75" customHeight="1">
      <c r="H3254" s="43" t="n"/>
      <c r="AG3254" s="49">
        <f>IFERROR(__xludf.DUMMYFUNCTION("IFNA(vlookup(H3254,IMPORTRANGE(""1vUGwO1n0QQGx9kKbO0_M5gmuhXZ6-LaxQxgrmJnzgP0"",""'TP# look up'!A:C""),3,0),"""")"),"")</f>
        <v/>
      </c>
      <c r="AH3254" s="49">
        <f>LEFT(J3254,2)</f>
        <v/>
      </c>
    </row>
    <row r="3255" ht="12.75" customHeight="1">
      <c r="H3255" s="43" t="n"/>
      <c r="AG3255" s="49">
        <f>IFERROR(__xludf.DUMMYFUNCTION("IFNA(vlookup(H3255,IMPORTRANGE(""1vUGwO1n0QQGx9kKbO0_M5gmuhXZ6-LaxQxgrmJnzgP0"",""'TP# look up'!A:C""),3,0),"""")"),"")</f>
        <v/>
      </c>
      <c r="AH3255" s="49">
        <f>LEFT(J3255,2)</f>
        <v/>
      </c>
    </row>
    <row r="3256" ht="12.75" customHeight="1">
      <c r="H3256" s="43" t="n"/>
      <c r="AG3256" s="49">
        <f>IFERROR(__xludf.DUMMYFUNCTION("IFNA(vlookup(H3256,IMPORTRANGE(""1vUGwO1n0QQGx9kKbO0_M5gmuhXZ6-LaxQxgrmJnzgP0"",""'TP# look up'!A:C""),3,0),"""")"),"")</f>
        <v/>
      </c>
      <c r="AH3256" s="49">
        <f>LEFT(J3256,2)</f>
        <v/>
      </c>
    </row>
    <row r="3257" ht="12.75" customHeight="1">
      <c r="H3257" s="43" t="n"/>
      <c r="AG3257" s="49">
        <f>IFERROR(__xludf.DUMMYFUNCTION("IFNA(vlookup(H3257,IMPORTRANGE(""1vUGwO1n0QQGx9kKbO0_M5gmuhXZ6-LaxQxgrmJnzgP0"",""'TP# look up'!A:C""),3,0),"""")"),"")</f>
        <v/>
      </c>
      <c r="AH3257" s="49">
        <f>LEFT(J3257,2)</f>
        <v/>
      </c>
    </row>
    <row r="3258" ht="12.75" customHeight="1">
      <c r="H3258" s="43" t="n"/>
      <c r="AG3258" s="49">
        <f>IFERROR(__xludf.DUMMYFUNCTION("IFNA(vlookup(H3258,IMPORTRANGE(""1vUGwO1n0QQGx9kKbO0_M5gmuhXZ6-LaxQxgrmJnzgP0"",""'TP# look up'!A:C""),3,0),"""")"),"")</f>
        <v/>
      </c>
      <c r="AH3258" s="49">
        <f>LEFT(J3258,2)</f>
        <v/>
      </c>
    </row>
    <row r="3259" ht="12.75" customHeight="1">
      <c r="H3259" s="43" t="n"/>
      <c r="AG3259" s="49">
        <f>IFERROR(__xludf.DUMMYFUNCTION("IFNA(vlookup(H3259,IMPORTRANGE(""1vUGwO1n0QQGx9kKbO0_M5gmuhXZ6-LaxQxgrmJnzgP0"",""'TP# look up'!A:C""),3,0),"""")"),"")</f>
        <v/>
      </c>
      <c r="AH3259" s="49">
        <f>LEFT(J3259,2)</f>
        <v/>
      </c>
    </row>
    <row r="3260" ht="12.75" customHeight="1">
      <c r="H3260" s="43" t="n"/>
      <c r="AG3260" s="49">
        <f>IFERROR(__xludf.DUMMYFUNCTION("IFNA(vlookup(H3260,IMPORTRANGE(""1vUGwO1n0QQGx9kKbO0_M5gmuhXZ6-LaxQxgrmJnzgP0"",""'TP# look up'!A:C""),3,0),"""")"),"")</f>
        <v/>
      </c>
      <c r="AH3260" s="49">
        <f>LEFT(J3260,2)</f>
        <v/>
      </c>
    </row>
    <row r="3261" ht="12.75" customHeight="1">
      <c r="H3261" s="43" t="n"/>
      <c r="AG3261" s="49">
        <f>IFERROR(__xludf.DUMMYFUNCTION("IFNA(vlookup(H3261,IMPORTRANGE(""1vUGwO1n0QQGx9kKbO0_M5gmuhXZ6-LaxQxgrmJnzgP0"",""'TP# look up'!A:C""),3,0),"""")"),"")</f>
        <v/>
      </c>
      <c r="AH3261" s="49">
        <f>LEFT(J3261,2)</f>
        <v/>
      </c>
    </row>
    <row r="3262" ht="12.75" customHeight="1">
      <c r="H3262" s="43" t="n"/>
      <c r="AG3262" s="49">
        <f>IFERROR(__xludf.DUMMYFUNCTION("IFNA(vlookup(H3262,IMPORTRANGE(""1vUGwO1n0QQGx9kKbO0_M5gmuhXZ6-LaxQxgrmJnzgP0"",""'TP# look up'!A:C""),3,0),"""")"),"")</f>
        <v/>
      </c>
      <c r="AH3262" s="49">
        <f>LEFT(J3262,2)</f>
        <v/>
      </c>
    </row>
    <row r="3263" ht="12.75" customHeight="1">
      <c r="H3263" s="43" t="n"/>
      <c r="AG3263" s="49">
        <f>IFERROR(__xludf.DUMMYFUNCTION("IFNA(vlookup(H3263,IMPORTRANGE(""1vUGwO1n0QQGx9kKbO0_M5gmuhXZ6-LaxQxgrmJnzgP0"",""'TP# look up'!A:C""),3,0),"""")"),"")</f>
        <v/>
      </c>
      <c r="AH3263" s="49">
        <f>LEFT(J3263,2)</f>
        <v/>
      </c>
    </row>
    <row r="3264" ht="12.75" customHeight="1">
      <c r="H3264" s="43" t="n"/>
      <c r="AG3264" s="49">
        <f>IFERROR(__xludf.DUMMYFUNCTION("IFNA(vlookup(H3264,IMPORTRANGE(""1vUGwO1n0QQGx9kKbO0_M5gmuhXZ6-LaxQxgrmJnzgP0"",""'TP# look up'!A:C""),3,0),"""")"),"")</f>
        <v/>
      </c>
      <c r="AH3264" s="49">
        <f>LEFT(J3264,2)</f>
        <v/>
      </c>
    </row>
    <row r="3265" ht="12.75" customHeight="1">
      <c r="H3265" s="43" t="n"/>
      <c r="AG3265" s="49">
        <f>IFERROR(__xludf.DUMMYFUNCTION("IFNA(vlookup(H3265,IMPORTRANGE(""1vUGwO1n0QQGx9kKbO0_M5gmuhXZ6-LaxQxgrmJnzgP0"",""'TP# look up'!A:C""),3,0),"""")"),"")</f>
        <v/>
      </c>
      <c r="AH3265" s="49">
        <f>LEFT(J3265,2)</f>
        <v/>
      </c>
    </row>
    <row r="3266" ht="12.75" customHeight="1">
      <c r="H3266" s="43" t="n"/>
      <c r="AG3266" s="49">
        <f>IFERROR(__xludf.DUMMYFUNCTION("IFNA(vlookup(H3266,IMPORTRANGE(""1vUGwO1n0QQGx9kKbO0_M5gmuhXZ6-LaxQxgrmJnzgP0"",""'TP# look up'!A:C""),3,0),"""")"),"")</f>
        <v/>
      </c>
      <c r="AH3266" s="49">
        <f>LEFT(J3266,2)</f>
        <v/>
      </c>
    </row>
    <row r="3267" ht="12.75" customHeight="1">
      <c r="H3267" s="43" t="n"/>
      <c r="AG3267" s="49">
        <f>IFERROR(__xludf.DUMMYFUNCTION("IFNA(vlookup(H3267,IMPORTRANGE(""1vUGwO1n0QQGx9kKbO0_M5gmuhXZ6-LaxQxgrmJnzgP0"",""'TP# look up'!A:C""),3,0),"""")"),"")</f>
        <v/>
      </c>
      <c r="AH3267" s="49">
        <f>LEFT(J3267,2)</f>
        <v/>
      </c>
    </row>
    <row r="3268" ht="12.75" customHeight="1">
      <c r="H3268" s="43" t="n"/>
      <c r="AG3268" s="49">
        <f>IFERROR(__xludf.DUMMYFUNCTION("IFNA(vlookup(H3268,IMPORTRANGE(""1vUGwO1n0QQGx9kKbO0_M5gmuhXZ6-LaxQxgrmJnzgP0"",""'TP# look up'!A:C""),3,0),"""")"),"")</f>
        <v/>
      </c>
      <c r="AH3268" s="49">
        <f>LEFT(J3268,2)</f>
        <v/>
      </c>
    </row>
    <row r="3269" ht="12.75" customHeight="1">
      <c r="H3269" s="43" t="n"/>
      <c r="AG3269" s="49">
        <f>IFERROR(__xludf.DUMMYFUNCTION("IFNA(vlookup(H3269,IMPORTRANGE(""1vUGwO1n0QQGx9kKbO0_M5gmuhXZ6-LaxQxgrmJnzgP0"",""'TP# look up'!A:C""),3,0),"""")"),"")</f>
        <v/>
      </c>
      <c r="AH3269" s="49">
        <f>LEFT(J3269,2)</f>
        <v/>
      </c>
    </row>
    <row r="3270" ht="12.75" customHeight="1">
      <c r="H3270" s="43" t="n"/>
      <c r="AG3270" s="49">
        <f>IFERROR(__xludf.DUMMYFUNCTION("IFNA(vlookup(H3270,IMPORTRANGE(""1vUGwO1n0QQGx9kKbO0_M5gmuhXZ6-LaxQxgrmJnzgP0"",""'TP# look up'!A:C""),3,0),"""")"),"")</f>
        <v/>
      </c>
      <c r="AH3270" s="49">
        <f>LEFT(J3270,2)</f>
        <v/>
      </c>
    </row>
    <row r="3271" ht="12.75" customHeight="1">
      <c r="H3271" s="43" t="n"/>
      <c r="AG3271" s="49">
        <f>IFERROR(__xludf.DUMMYFUNCTION("IFNA(vlookup(H3271,IMPORTRANGE(""1vUGwO1n0QQGx9kKbO0_M5gmuhXZ6-LaxQxgrmJnzgP0"",""'TP# look up'!A:C""),3,0),"""")"),"")</f>
        <v/>
      </c>
      <c r="AH3271" s="49">
        <f>LEFT(J3271,2)</f>
        <v/>
      </c>
    </row>
    <row r="3272" ht="12.75" customHeight="1">
      <c r="H3272" s="43" t="n"/>
      <c r="AG3272" s="49">
        <f>IFERROR(__xludf.DUMMYFUNCTION("IFNA(vlookup(H3272,IMPORTRANGE(""1vUGwO1n0QQGx9kKbO0_M5gmuhXZ6-LaxQxgrmJnzgP0"",""'TP# look up'!A:C""),3,0),"""")"),"")</f>
        <v/>
      </c>
      <c r="AH3272" s="49">
        <f>LEFT(J3272,2)</f>
        <v/>
      </c>
    </row>
    <row r="3273" ht="12.75" customHeight="1">
      <c r="H3273" s="43" t="n"/>
      <c r="AG3273" s="49">
        <f>IFERROR(__xludf.DUMMYFUNCTION("IFNA(vlookup(H3273,IMPORTRANGE(""1vUGwO1n0QQGx9kKbO0_M5gmuhXZ6-LaxQxgrmJnzgP0"",""'TP# look up'!A:C""),3,0),"""")"),"")</f>
        <v/>
      </c>
      <c r="AH3273" s="49">
        <f>LEFT(J3273,2)</f>
        <v/>
      </c>
    </row>
    <row r="3274" ht="12.75" customHeight="1">
      <c r="H3274" s="43" t="n"/>
      <c r="AG3274" s="49">
        <f>IFERROR(__xludf.DUMMYFUNCTION("IFNA(vlookup(H3274,IMPORTRANGE(""1vUGwO1n0QQGx9kKbO0_M5gmuhXZ6-LaxQxgrmJnzgP0"",""'TP# look up'!A:C""),3,0),"""")"),"")</f>
        <v/>
      </c>
      <c r="AH3274" s="49">
        <f>LEFT(J3274,2)</f>
        <v/>
      </c>
    </row>
    <row r="3275" ht="12.75" customHeight="1">
      <c r="H3275" s="43" t="n"/>
      <c r="AG3275" s="49">
        <f>IFERROR(__xludf.DUMMYFUNCTION("IFNA(vlookup(H3275,IMPORTRANGE(""1vUGwO1n0QQGx9kKbO0_M5gmuhXZ6-LaxQxgrmJnzgP0"",""'TP# look up'!A:C""),3,0),"""")"),"")</f>
        <v/>
      </c>
      <c r="AH3275" s="49">
        <f>LEFT(J3275,2)</f>
        <v/>
      </c>
    </row>
    <row r="3276" ht="12.75" customHeight="1">
      <c r="H3276" s="43" t="n"/>
      <c r="AG3276" s="49">
        <f>IFERROR(__xludf.DUMMYFUNCTION("IFNA(vlookup(H3276,IMPORTRANGE(""1vUGwO1n0QQGx9kKbO0_M5gmuhXZ6-LaxQxgrmJnzgP0"",""'TP# look up'!A:C""),3,0),"""")"),"")</f>
        <v/>
      </c>
      <c r="AH3276" s="49">
        <f>LEFT(J3276,2)</f>
        <v/>
      </c>
    </row>
    <row r="3277" ht="12.75" customHeight="1">
      <c r="H3277" s="43" t="n"/>
      <c r="AG3277" s="49">
        <f>IFERROR(__xludf.DUMMYFUNCTION("IFNA(vlookup(H3277,IMPORTRANGE(""1vUGwO1n0QQGx9kKbO0_M5gmuhXZ6-LaxQxgrmJnzgP0"",""'TP# look up'!A:C""),3,0),"""")"),"")</f>
        <v/>
      </c>
      <c r="AH3277" s="49">
        <f>LEFT(J3277,2)</f>
        <v/>
      </c>
    </row>
    <row r="3278" ht="12.75" customHeight="1">
      <c r="H3278" s="43" t="n"/>
      <c r="AG3278" s="49">
        <f>IFERROR(__xludf.DUMMYFUNCTION("IFNA(vlookup(H3278,IMPORTRANGE(""1vUGwO1n0QQGx9kKbO0_M5gmuhXZ6-LaxQxgrmJnzgP0"",""'TP# look up'!A:C""),3,0),"""")"),"")</f>
        <v/>
      </c>
      <c r="AH3278" s="49">
        <f>LEFT(J3278,2)</f>
        <v/>
      </c>
    </row>
    <row r="3279" ht="12.75" customHeight="1">
      <c r="H3279" s="43" t="n"/>
      <c r="AG3279" s="49">
        <f>IFERROR(__xludf.DUMMYFUNCTION("IFNA(vlookup(H3279,IMPORTRANGE(""1vUGwO1n0QQGx9kKbO0_M5gmuhXZ6-LaxQxgrmJnzgP0"",""'TP# look up'!A:C""),3,0),"""")"),"")</f>
        <v/>
      </c>
      <c r="AH3279" s="49">
        <f>LEFT(J3279,2)</f>
        <v/>
      </c>
    </row>
    <row r="3280" ht="12.75" customHeight="1">
      <c r="H3280" s="43" t="n"/>
      <c r="AG3280" s="49">
        <f>IFERROR(__xludf.DUMMYFUNCTION("IFNA(vlookup(H3280,IMPORTRANGE(""1vUGwO1n0QQGx9kKbO0_M5gmuhXZ6-LaxQxgrmJnzgP0"",""'TP# look up'!A:C""),3,0),"""")"),"")</f>
        <v/>
      </c>
      <c r="AH3280" s="49">
        <f>LEFT(J3280,2)</f>
        <v/>
      </c>
    </row>
    <row r="3281" ht="12.75" customHeight="1">
      <c r="H3281" s="43" t="n"/>
      <c r="AG3281" s="49">
        <f>IFERROR(__xludf.DUMMYFUNCTION("IFNA(vlookup(H3281,IMPORTRANGE(""1vUGwO1n0QQGx9kKbO0_M5gmuhXZ6-LaxQxgrmJnzgP0"",""'TP# look up'!A:C""),3,0),"""")"),"")</f>
        <v/>
      </c>
      <c r="AH3281" s="49">
        <f>LEFT(J3281,2)</f>
        <v/>
      </c>
    </row>
    <row r="3282" ht="12.75" customHeight="1">
      <c r="H3282" s="43" t="n"/>
      <c r="AG3282" s="49">
        <f>IFERROR(__xludf.DUMMYFUNCTION("IFNA(vlookup(H3282,IMPORTRANGE(""1vUGwO1n0QQGx9kKbO0_M5gmuhXZ6-LaxQxgrmJnzgP0"",""'TP# look up'!A:C""),3,0),"""")"),"")</f>
        <v/>
      </c>
      <c r="AH3282" s="49">
        <f>LEFT(J3282,2)</f>
        <v/>
      </c>
    </row>
    <row r="3283" ht="12.75" customHeight="1">
      <c r="H3283" s="43" t="n"/>
      <c r="AG3283" s="49">
        <f>IFERROR(__xludf.DUMMYFUNCTION("IFNA(vlookup(H3283,IMPORTRANGE(""1vUGwO1n0QQGx9kKbO0_M5gmuhXZ6-LaxQxgrmJnzgP0"",""'TP# look up'!A:C""),3,0),"""")"),"")</f>
        <v/>
      </c>
      <c r="AH3283" s="49">
        <f>LEFT(J3283,2)</f>
        <v/>
      </c>
    </row>
    <row r="3284" ht="12.75" customHeight="1">
      <c r="H3284" s="43" t="n"/>
      <c r="AG3284" s="49">
        <f>IFERROR(__xludf.DUMMYFUNCTION("IFNA(vlookup(H3284,IMPORTRANGE(""1vUGwO1n0QQGx9kKbO0_M5gmuhXZ6-LaxQxgrmJnzgP0"",""'TP# look up'!A:C""),3,0),"""")"),"")</f>
        <v/>
      </c>
      <c r="AH3284" s="49">
        <f>LEFT(J3284,2)</f>
        <v/>
      </c>
    </row>
    <row r="3285" ht="12.75" customHeight="1">
      <c r="H3285" s="43" t="n"/>
      <c r="AG3285" s="49">
        <f>IFERROR(__xludf.DUMMYFUNCTION("IFNA(vlookup(H3285,IMPORTRANGE(""1vUGwO1n0QQGx9kKbO0_M5gmuhXZ6-LaxQxgrmJnzgP0"",""'TP# look up'!A:C""),3,0),"""")"),"")</f>
        <v/>
      </c>
      <c r="AH3285" s="49">
        <f>LEFT(J3285,2)</f>
        <v/>
      </c>
    </row>
    <row r="3286" ht="12.75" customHeight="1">
      <c r="H3286" s="43" t="n"/>
      <c r="AG3286" s="49">
        <f>IFERROR(__xludf.DUMMYFUNCTION("IFNA(vlookup(H3286,IMPORTRANGE(""1vUGwO1n0QQGx9kKbO0_M5gmuhXZ6-LaxQxgrmJnzgP0"",""'TP# look up'!A:C""),3,0),"""")"),"")</f>
        <v/>
      </c>
      <c r="AH3286" s="49">
        <f>LEFT(J3286,2)</f>
        <v/>
      </c>
    </row>
    <row r="3287" ht="12.75" customHeight="1">
      <c r="H3287" s="43" t="n"/>
      <c r="AG3287" s="49">
        <f>IFERROR(__xludf.DUMMYFUNCTION("IFNA(vlookup(H3287,IMPORTRANGE(""1vUGwO1n0QQGx9kKbO0_M5gmuhXZ6-LaxQxgrmJnzgP0"",""'TP# look up'!A:C""),3,0),"""")"),"")</f>
        <v/>
      </c>
      <c r="AH3287" s="49">
        <f>LEFT(J3287,2)</f>
        <v/>
      </c>
    </row>
    <row r="3288" ht="12.75" customHeight="1">
      <c r="H3288" s="43" t="n"/>
      <c r="AG3288" s="49">
        <f>IFERROR(__xludf.DUMMYFUNCTION("IFNA(vlookup(H3288,IMPORTRANGE(""1vUGwO1n0QQGx9kKbO0_M5gmuhXZ6-LaxQxgrmJnzgP0"",""'TP# look up'!A:C""),3,0),"""")"),"")</f>
        <v/>
      </c>
      <c r="AH3288" s="49">
        <f>LEFT(J3288,2)</f>
        <v/>
      </c>
    </row>
    <row r="3289" ht="12.75" customHeight="1">
      <c r="H3289" s="43" t="n"/>
      <c r="AG3289" s="49">
        <f>IFERROR(__xludf.DUMMYFUNCTION("IFNA(vlookup(H3289,IMPORTRANGE(""1vUGwO1n0QQGx9kKbO0_M5gmuhXZ6-LaxQxgrmJnzgP0"",""'TP# look up'!A:C""),3,0),"""")"),"")</f>
        <v/>
      </c>
      <c r="AH3289" s="49">
        <f>LEFT(J3289,2)</f>
        <v/>
      </c>
    </row>
    <row r="3290" ht="12.75" customHeight="1">
      <c r="H3290" s="43" t="n"/>
      <c r="AG3290" s="49">
        <f>IFERROR(__xludf.DUMMYFUNCTION("IFNA(vlookup(H3290,IMPORTRANGE(""1vUGwO1n0QQGx9kKbO0_M5gmuhXZ6-LaxQxgrmJnzgP0"",""'TP# look up'!A:C""),3,0),"""")"),"")</f>
        <v/>
      </c>
      <c r="AH3290" s="49">
        <f>LEFT(J3290,2)</f>
        <v/>
      </c>
    </row>
    <row r="3291" ht="12.75" customHeight="1">
      <c r="H3291" s="43" t="n"/>
      <c r="AG3291" s="49">
        <f>IFERROR(__xludf.DUMMYFUNCTION("IFNA(vlookup(H3291,IMPORTRANGE(""1vUGwO1n0QQGx9kKbO0_M5gmuhXZ6-LaxQxgrmJnzgP0"",""'TP# look up'!A:C""),3,0),"""")"),"")</f>
        <v/>
      </c>
      <c r="AH3291" s="49">
        <f>LEFT(J3291,2)</f>
        <v/>
      </c>
    </row>
    <row r="3292" ht="12.75" customHeight="1">
      <c r="H3292" s="43" t="n"/>
      <c r="AG3292" s="49">
        <f>IFERROR(__xludf.DUMMYFUNCTION("IFNA(vlookup(H3292,IMPORTRANGE(""1vUGwO1n0QQGx9kKbO0_M5gmuhXZ6-LaxQxgrmJnzgP0"",""'TP# look up'!A:C""),3,0),"""")"),"")</f>
        <v/>
      </c>
      <c r="AH3292" s="49">
        <f>LEFT(J3292,2)</f>
        <v/>
      </c>
    </row>
    <row r="3293" ht="12.75" customHeight="1">
      <c r="H3293" s="43" t="n"/>
      <c r="AG3293" s="49">
        <f>IFERROR(__xludf.DUMMYFUNCTION("IFNA(vlookup(H3293,IMPORTRANGE(""1vUGwO1n0QQGx9kKbO0_M5gmuhXZ6-LaxQxgrmJnzgP0"",""'TP# look up'!A:C""),3,0),"""")"),"")</f>
        <v/>
      </c>
      <c r="AH3293" s="49">
        <f>LEFT(J3293,2)</f>
        <v/>
      </c>
    </row>
    <row r="3294" ht="12.75" customHeight="1">
      <c r="H3294" s="43" t="n"/>
      <c r="AG3294" s="49">
        <f>IFERROR(__xludf.DUMMYFUNCTION("IFNA(vlookup(H3294,IMPORTRANGE(""1vUGwO1n0QQGx9kKbO0_M5gmuhXZ6-LaxQxgrmJnzgP0"",""'TP# look up'!A:C""),3,0),"""")"),"")</f>
        <v/>
      </c>
      <c r="AH3294" s="49">
        <f>LEFT(J3294,2)</f>
        <v/>
      </c>
    </row>
    <row r="3295" ht="12.75" customHeight="1">
      <c r="H3295" s="43" t="n"/>
      <c r="AG3295" s="49">
        <f>IFERROR(__xludf.DUMMYFUNCTION("IFNA(vlookup(H3295,IMPORTRANGE(""1vUGwO1n0QQGx9kKbO0_M5gmuhXZ6-LaxQxgrmJnzgP0"",""'TP# look up'!A:C""),3,0),"""")"),"")</f>
        <v/>
      </c>
      <c r="AH3295" s="49">
        <f>LEFT(J3295,2)</f>
        <v/>
      </c>
    </row>
    <row r="3296" ht="12.75" customHeight="1">
      <c r="H3296" s="43" t="n"/>
      <c r="AG3296" s="49">
        <f>IFERROR(__xludf.DUMMYFUNCTION("IFNA(vlookup(H3296,IMPORTRANGE(""1vUGwO1n0QQGx9kKbO0_M5gmuhXZ6-LaxQxgrmJnzgP0"",""'TP# look up'!A:C""),3,0),"""")"),"")</f>
        <v/>
      </c>
      <c r="AH3296" s="49">
        <f>LEFT(J3296,2)</f>
        <v/>
      </c>
    </row>
    <row r="3297" ht="12.75" customHeight="1">
      <c r="H3297" s="43" t="n"/>
      <c r="AG3297" s="49">
        <f>IFERROR(__xludf.DUMMYFUNCTION("IFNA(vlookup(H3297,IMPORTRANGE(""1vUGwO1n0QQGx9kKbO0_M5gmuhXZ6-LaxQxgrmJnzgP0"",""'TP# look up'!A:C""),3,0),"""")"),"")</f>
        <v/>
      </c>
      <c r="AH3297" s="49">
        <f>LEFT(J3297,2)</f>
        <v/>
      </c>
    </row>
    <row r="3298" ht="12.75" customHeight="1">
      <c r="H3298" s="43" t="n"/>
      <c r="AG3298" s="49">
        <f>IFERROR(__xludf.DUMMYFUNCTION("IFNA(vlookup(H3298,IMPORTRANGE(""1vUGwO1n0QQGx9kKbO0_M5gmuhXZ6-LaxQxgrmJnzgP0"",""'TP# look up'!A:C""),3,0),"""")"),"")</f>
        <v/>
      </c>
      <c r="AH3298" s="49">
        <f>LEFT(J3298,2)</f>
        <v/>
      </c>
    </row>
    <row r="3299" ht="12.75" customHeight="1">
      <c r="H3299" s="43" t="n"/>
      <c r="AG3299" s="49">
        <f>IFERROR(__xludf.DUMMYFUNCTION("IFNA(vlookup(H3299,IMPORTRANGE(""1vUGwO1n0QQGx9kKbO0_M5gmuhXZ6-LaxQxgrmJnzgP0"",""'TP# look up'!A:C""),3,0),"""")"),"")</f>
        <v/>
      </c>
      <c r="AH3299" s="49">
        <f>LEFT(J3299,2)</f>
        <v/>
      </c>
    </row>
    <row r="3300" ht="12.75" customHeight="1">
      <c r="H3300" s="43" t="n"/>
      <c r="AG3300" s="49">
        <f>IFERROR(__xludf.DUMMYFUNCTION("IFNA(vlookup(H3300,IMPORTRANGE(""1vUGwO1n0QQGx9kKbO0_M5gmuhXZ6-LaxQxgrmJnzgP0"",""'TP# look up'!A:C""),3,0),"""")"),"")</f>
        <v/>
      </c>
      <c r="AH3300" s="49">
        <f>LEFT(J3300,2)</f>
        <v/>
      </c>
    </row>
    <row r="3301" ht="12.75" customHeight="1">
      <c r="H3301" s="43" t="n"/>
      <c r="AG3301" s="49">
        <f>IFERROR(__xludf.DUMMYFUNCTION("IFNA(vlookup(H3301,IMPORTRANGE(""1vUGwO1n0QQGx9kKbO0_M5gmuhXZ6-LaxQxgrmJnzgP0"",""'TP# look up'!A:C""),3,0),"""")"),"")</f>
        <v/>
      </c>
      <c r="AH3301" s="49">
        <f>LEFT(J3301,2)</f>
        <v/>
      </c>
    </row>
    <row r="3302" ht="12.75" customHeight="1">
      <c r="H3302" s="43" t="n"/>
      <c r="AG3302" s="49">
        <f>IFERROR(__xludf.DUMMYFUNCTION("IFNA(vlookup(H3302,IMPORTRANGE(""1vUGwO1n0QQGx9kKbO0_M5gmuhXZ6-LaxQxgrmJnzgP0"",""'TP# look up'!A:C""),3,0),"""")"),"")</f>
        <v/>
      </c>
      <c r="AH3302" s="49">
        <f>LEFT(J3302,2)</f>
        <v/>
      </c>
    </row>
    <row r="3303" ht="12.75" customHeight="1">
      <c r="H3303" s="43" t="n"/>
      <c r="AG3303" s="49">
        <f>IFERROR(__xludf.DUMMYFUNCTION("IFNA(vlookup(H3303,IMPORTRANGE(""1vUGwO1n0QQGx9kKbO0_M5gmuhXZ6-LaxQxgrmJnzgP0"",""'TP# look up'!A:C""),3,0),"""")"),"")</f>
        <v/>
      </c>
      <c r="AH3303" s="49">
        <f>LEFT(J3303,2)</f>
        <v/>
      </c>
    </row>
    <row r="3304" ht="12.75" customHeight="1">
      <c r="H3304" s="43" t="n"/>
      <c r="AG3304" s="49">
        <f>IFERROR(__xludf.DUMMYFUNCTION("IFNA(vlookup(H3304,IMPORTRANGE(""1vUGwO1n0QQGx9kKbO0_M5gmuhXZ6-LaxQxgrmJnzgP0"",""'TP# look up'!A:C""),3,0),"""")"),"")</f>
        <v/>
      </c>
      <c r="AH3304" s="49">
        <f>LEFT(J3304,2)</f>
        <v/>
      </c>
    </row>
    <row r="3305" ht="12.75" customHeight="1">
      <c r="H3305" s="43" t="n"/>
      <c r="AG3305" s="49">
        <f>IFERROR(__xludf.DUMMYFUNCTION("IFNA(vlookup(H3305,IMPORTRANGE(""1vUGwO1n0QQGx9kKbO0_M5gmuhXZ6-LaxQxgrmJnzgP0"",""'TP# look up'!A:C""),3,0),"""")"),"")</f>
        <v/>
      </c>
      <c r="AH3305" s="49">
        <f>LEFT(J3305,2)</f>
        <v/>
      </c>
    </row>
    <row r="3306" ht="12.75" customHeight="1">
      <c r="H3306" s="43" t="n"/>
      <c r="AG3306" s="49">
        <f>IFERROR(__xludf.DUMMYFUNCTION("IFNA(vlookup(H3306,IMPORTRANGE(""1vUGwO1n0QQGx9kKbO0_M5gmuhXZ6-LaxQxgrmJnzgP0"",""'TP# look up'!A:C""),3,0),"""")"),"")</f>
        <v/>
      </c>
      <c r="AH3306" s="49">
        <f>LEFT(J3306,2)</f>
        <v/>
      </c>
    </row>
    <row r="3307" ht="12.75" customHeight="1">
      <c r="H3307" s="43" t="n"/>
      <c r="AG3307" s="49">
        <f>IFERROR(__xludf.DUMMYFUNCTION("IFNA(vlookup(H3307,IMPORTRANGE(""1vUGwO1n0QQGx9kKbO0_M5gmuhXZ6-LaxQxgrmJnzgP0"",""'TP# look up'!A:C""),3,0),"""")"),"")</f>
        <v/>
      </c>
      <c r="AH3307" s="49">
        <f>LEFT(J3307,2)</f>
        <v/>
      </c>
    </row>
    <row r="3308" ht="12.75" customHeight="1">
      <c r="H3308" s="43" t="n"/>
      <c r="AG3308" s="49">
        <f>IFERROR(__xludf.DUMMYFUNCTION("IFNA(vlookup(H3308,IMPORTRANGE(""1vUGwO1n0QQGx9kKbO0_M5gmuhXZ6-LaxQxgrmJnzgP0"",""'TP# look up'!A:C""),3,0),"""")"),"")</f>
        <v/>
      </c>
      <c r="AH3308" s="49">
        <f>LEFT(J3308,2)</f>
        <v/>
      </c>
    </row>
    <row r="3309" ht="12.75" customHeight="1">
      <c r="H3309" s="43" t="n"/>
      <c r="AG3309" s="49">
        <f>IFERROR(__xludf.DUMMYFUNCTION("IFNA(vlookup(H3309,IMPORTRANGE(""1vUGwO1n0QQGx9kKbO0_M5gmuhXZ6-LaxQxgrmJnzgP0"",""'TP# look up'!A:C""),3,0),"""")"),"")</f>
        <v/>
      </c>
      <c r="AH3309" s="49">
        <f>LEFT(J3309,2)</f>
        <v/>
      </c>
    </row>
    <row r="3310" ht="12.75" customHeight="1">
      <c r="H3310" s="43" t="n"/>
      <c r="AG3310" s="49">
        <f>IFERROR(__xludf.DUMMYFUNCTION("IFNA(vlookup(H3310,IMPORTRANGE(""1vUGwO1n0QQGx9kKbO0_M5gmuhXZ6-LaxQxgrmJnzgP0"",""'TP# look up'!A:C""),3,0),"""")"),"")</f>
        <v/>
      </c>
      <c r="AH3310" s="49">
        <f>LEFT(J3310,2)</f>
        <v/>
      </c>
    </row>
    <row r="3311" ht="12.75" customHeight="1">
      <c r="H3311" s="43" t="n"/>
      <c r="AG3311" s="49">
        <f>IFERROR(__xludf.DUMMYFUNCTION("IFNA(vlookup(H3311,IMPORTRANGE(""1vUGwO1n0QQGx9kKbO0_M5gmuhXZ6-LaxQxgrmJnzgP0"",""'TP# look up'!A:C""),3,0),"""")"),"")</f>
        <v/>
      </c>
      <c r="AH3311" s="49">
        <f>LEFT(J3311,2)</f>
        <v/>
      </c>
    </row>
    <row r="3312" ht="12.75" customHeight="1">
      <c r="H3312" s="43" t="n"/>
      <c r="AG3312" s="49">
        <f>IFERROR(__xludf.DUMMYFUNCTION("IFNA(vlookup(H3312,IMPORTRANGE(""1vUGwO1n0QQGx9kKbO0_M5gmuhXZ6-LaxQxgrmJnzgP0"",""'TP# look up'!A:C""),3,0),"""")"),"")</f>
        <v/>
      </c>
      <c r="AH3312" s="49">
        <f>LEFT(J3312,2)</f>
        <v/>
      </c>
    </row>
    <row r="3313" ht="12.75" customHeight="1">
      <c r="H3313" s="43" t="n"/>
      <c r="AG3313" s="49">
        <f>IFERROR(__xludf.DUMMYFUNCTION("IFNA(vlookup(H3313,IMPORTRANGE(""1vUGwO1n0QQGx9kKbO0_M5gmuhXZ6-LaxQxgrmJnzgP0"",""'TP# look up'!A:C""),3,0),"""")"),"")</f>
        <v/>
      </c>
      <c r="AH3313" s="49">
        <f>LEFT(J3313,2)</f>
        <v/>
      </c>
    </row>
    <row r="3314" ht="12.75" customHeight="1">
      <c r="H3314" s="43" t="n"/>
      <c r="AG3314" s="49">
        <f>IFERROR(__xludf.DUMMYFUNCTION("IFNA(vlookup(H3314,IMPORTRANGE(""1vUGwO1n0QQGx9kKbO0_M5gmuhXZ6-LaxQxgrmJnzgP0"",""'TP# look up'!A:C""),3,0),"""")"),"")</f>
        <v/>
      </c>
      <c r="AH3314" s="49">
        <f>LEFT(J3314,2)</f>
        <v/>
      </c>
    </row>
    <row r="3315" ht="12.75" customHeight="1">
      <c r="H3315" s="43" t="n"/>
      <c r="AG3315" s="49">
        <f>IFERROR(__xludf.DUMMYFUNCTION("IFNA(vlookup(H3315,IMPORTRANGE(""1vUGwO1n0QQGx9kKbO0_M5gmuhXZ6-LaxQxgrmJnzgP0"",""'TP# look up'!A:C""),3,0),"""")"),"")</f>
        <v/>
      </c>
      <c r="AH3315" s="49">
        <f>LEFT(J3315,2)</f>
        <v/>
      </c>
    </row>
    <row r="3316" ht="12.75" customHeight="1">
      <c r="H3316" s="43" t="n"/>
      <c r="AG3316" s="49">
        <f>IFERROR(__xludf.DUMMYFUNCTION("IFNA(vlookup(H3316,IMPORTRANGE(""1vUGwO1n0QQGx9kKbO0_M5gmuhXZ6-LaxQxgrmJnzgP0"",""'TP# look up'!A:C""),3,0),"""")"),"")</f>
        <v/>
      </c>
      <c r="AH3316" s="49">
        <f>LEFT(J3316,2)</f>
        <v/>
      </c>
    </row>
    <row r="3317" ht="12.75" customHeight="1">
      <c r="H3317" s="43" t="n"/>
      <c r="AG3317" s="49">
        <f>IFERROR(__xludf.DUMMYFUNCTION("IFNA(vlookup(H3317,IMPORTRANGE(""1vUGwO1n0QQGx9kKbO0_M5gmuhXZ6-LaxQxgrmJnzgP0"",""'TP# look up'!A:C""),3,0),"""")"),"")</f>
        <v/>
      </c>
      <c r="AH3317" s="49">
        <f>LEFT(J3317,2)</f>
        <v/>
      </c>
    </row>
    <row r="3318" ht="12.75" customHeight="1">
      <c r="H3318" s="43" t="n"/>
      <c r="AG3318" s="49">
        <f>IFERROR(__xludf.DUMMYFUNCTION("IFNA(vlookup(H3318,IMPORTRANGE(""1vUGwO1n0QQGx9kKbO0_M5gmuhXZ6-LaxQxgrmJnzgP0"",""'TP# look up'!A:C""),3,0),"""")"),"")</f>
        <v/>
      </c>
      <c r="AH3318" s="49">
        <f>LEFT(J3318,2)</f>
        <v/>
      </c>
    </row>
    <row r="3319" ht="12.75" customHeight="1">
      <c r="H3319" s="43" t="n"/>
      <c r="AG3319" s="49">
        <f>IFERROR(__xludf.DUMMYFUNCTION("IFNA(vlookup(H3319,IMPORTRANGE(""1vUGwO1n0QQGx9kKbO0_M5gmuhXZ6-LaxQxgrmJnzgP0"",""'TP# look up'!A:C""),3,0),"""")"),"")</f>
        <v/>
      </c>
      <c r="AH3319" s="49">
        <f>LEFT(J3319,2)</f>
        <v/>
      </c>
    </row>
    <row r="3320" ht="12.75" customHeight="1">
      <c r="H3320" s="43" t="n"/>
      <c r="AG3320" s="49">
        <f>IFERROR(__xludf.DUMMYFUNCTION("IFNA(vlookup(H3320,IMPORTRANGE(""1vUGwO1n0QQGx9kKbO0_M5gmuhXZ6-LaxQxgrmJnzgP0"",""'TP# look up'!A:C""),3,0),"""")"),"")</f>
        <v/>
      </c>
      <c r="AH3320" s="49">
        <f>LEFT(J3320,2)</f>
        <v/>
      </c>
    </row>
    <row r="3321" ht="12.75" customHeight="1">
      <c r="H3321" s="43" t="n"/>
      <c r="AG3321" s="49">
        <f>IFERROR(__xludf.DUMMYFUNCTION("IFNA(vlookup(H3321,IMPORTRANGE(""1vUGwO1n0QQGx9kKbO0_M5gmuhXZ6-LaxQxgrmJnzgP0"",""'TP# look up'!A:C""),3,0),"""")"),"")</f>
        <v/>
      </c>
      <c r="AH3321" s="49">
        <f>LEFT(J3321,2)</f>
        <v/>
      </c>
    </row>
    <row r="3322" ht="12.75" customHeight="1">
      <c r="H3322" s="43" t="n"/>
      <c r="AG3322" s="49">
        <f>IFERROR(__xludf.DUMMYFUNCTION("IFNA(vlookup(H3322,IMPORTRANGE(""1vUGwO1n0QQGx9kKbO0_M5gmuhXZ6-LaxQxgrmJnzgP0"",""'TP# look up'!A:C""),3,0),"""")"),"")</f>
        <v/>
      </c>
      <c r="AH3322" s="49">
        <f>LEFT(J3322,2)</f>
        <v/>
      </c>
    </row>
    <row r="3323" ht="12.75" customHeight="1">
      <c r="H3323" s="43" t="n"/>
      <c r="AG3323" s="49">
        <f>IFERROR(__xludf.DUMMYFUNCTION("IFNA(vlookup(H3323,IMPORTRANGE(""1vUGwO1n0QQGx9kKbO0_M5gmuhXZ6-LaxQxgrmJnzgP0"",""'TP# look up'!A:C""),3,0),"""")"),"")</f>
        <v/>
      </c>
      <c r="AH3323" s="49">
        <f>LEFT(J3323,2)</f>
        <v/>
      </c>
    </row>
    <row r="3324" ht="12.75" customHeight="1">
      <c r="H3324" s="43" t="n"/>
      <c r="AG3324" s="49">
        <f>IFERROR(__xludf.DUMMYFUNCTION("IFNA(vlookup(H3324,IMPORTRANGE(""1vUGwO1n0QQGx9kKbO0_M5gmuhXZ6-LaxQxgrmJnzgP0"",""'TP# look up'!A:C""),3,0),"""")"),"")</f>
        <v/>
      </c>
      <c r="AH3324" s="49">
        <f>LEFT(J3324,2)</f>
        <v/>
      </c>
    </row>
    <row r="3325" ht="12.75" customHeight="1">
      <c r="H3325" s="43" t="n"/>
      <c r="AG3325" s="49">
        <f>IFERROR(__xludf.DUMMYFUNCTION("IFNA(vlookup(H3325,IMPORTRANGE(""1vUGwO1n0QQGx9kKbO0_M5gmuhXZ6-LaxQxgrmJnzgP0"",""'TP# look up'!A:C""),3,0),"""")"),"")</f>
        <v/>
      </c>
      <c r="AH3325" s="49">
        <f>LEFT(J3325,2)</f>
        <v/>
      </c>
    </row>
    <row r="3326" ht="12.75" customHeight="1">
      <c r="H3326" s="43" t="n"/>
      <c r="AG3326" s="49">
        <f>IFERROR(__xludf.DUMMYFUNCTION("IFNA(vlookup(H3326,IMPORTRANGE(""1vUGwO1n0QQGx9kKbO0_M5gmuhXZ6-LaxQxgrmJnzgP0"",""'TP# look up'!A:C""),3,0),"""")"),"")</f>
        <v/>
      </c>
      <c r="AH3326" s="49">
        <f>LEFT(J3326,2)</f>
        <v/>
      </c>
    </row>
    <row r="3327" ht="12.75" customHeight="1">
      <c r="H3327" s="43" t="n"/>
      <c r="AG3327" s="49">
        <f>IFERROR(__xludf.DUMMYFUNCTION("IFNA(vlookup(H3327,IMPORTRANGE(""1vUGwO1n0QQGx9kKbO0_M5gmuhXZ6-LaxQxgrmJnzgP0"",""'TP# look up'!A:C""),3,0),"""")"),"")</f>
        <v/>
      </c>
      <c r="AH3327" s="49">
        <f>LEFT(J3327,2)</f>
        <v/>
      </c>
    </row>
    <row r="3328" ht="12.75" customHeight="1">
      <c r="H3328" s="43" t="n"/>
      <c r="AG3328" s="49">
        <f>IFERROR(__xludf.DUMMYFUNCTION("IFNA(vlookup(H3328,IMPORTRANGE(""1vUGwO1n0QQGx9kKbO0_M5gmuhXZ6-LaxQxgrmJnzgP0"",""'TP# look up'!A:C""),3,0),"""")"),"")</f>
        <v/>
      </c>
      <c r="AH3328" s="49">
        <f>LEFT(J3328,2)</f>
        <v/>
      </c>
    </row>
    <row r="3329" ht="12.75" customHeight="1">
      <c r="H3329" s="43" t="n"/>
      <c r="AG3329" s="49">
        <f>IFERROR(__xludf.DUMMYFUNCTION("IFNA(vlookup(H3329,IMPORTRANGE(""1vUGwO1n0QQGx9kKbO0_M5gmuhXZ6-LaxQxgrmJnzgP0"",""'TP# look up'!A:C""),3,0),"""")"),"")</f>
        <v/>
      </c>
      <c r="AH3329" s="49">
        <f>LEFT(J3329,2)</f>
        <v/>
      </c>
    </row>
    <row r="3330" ht="12.75" customHeight="1">
      <c r="H3330" s="43" t="n"/>
      <c r="AG3330" s="49">
        <f>IFERROR(__xludf.DUMMYFUNCTION("IFNA(vlookup(H3330,IMPORTRANGE(""1vUGwO1n0QQGx9kKbO0_M5gmuhXZ6-LaxQxgrmJnzgP0"",""'TP# look up'!A:C""),3,0),"""")"),"")</f>
        <v/>
      </c>
      <c r="AH3330" s="49">
        <f>LEFT(J3330,2)</f>
        <v/>
      </c>
    </row>
    <row r="3331" ht="12.75" customHeight="1">
      <c r="H3331" s="43" t="n"/>
      <c r="AG3331" s="49">
        <f>IFERROR(__xludf.DUMMYFUNCTION("IFNA(vlookup(H3331,IMPORTRANGE(""1vUGwO1n0QQGx9kKbO0_M5gmuhXZ6-LaxQxgrmJnzgP0"",""'TP# look up'!A:C""),3,0),"""")"),"")</f>
        <v/>
      </c>
      <c r="AH3331" s="49">
        <f>LEFT(J3331,2)</f>
        <v/>
      </c>
    </row>
    <row r="3332" ht="12.75" customHeight="1">
      <c r="H3332" s="43" t="n"/>
      <c r="AG3332" s="49">
        <f>IFERROR(__xludf.DUMMYFUNCTION("IFNA(vlookup(H3332,IMPORTRANGE(""1vUGwO1n0QQGx9kKbO0_M5gmuhXZ6-LaxQxgrmJnzgP0"",""'TP# look up'!A:C""),3,0),"""")"),"")</f>
        <v/>
      </c>
      <c r="AH3332" s="49">
        <f>LEFT(J3332,2)</f>
        <v/>
      </c>
    </row>
    <row r="3333" ht="12.75" customHeight="1">
      <c r="H3333" s="43" t="n"/>
      <c r="AG3333" s="49">
        <f>IFERROR(__xludf.DUMMYFUNCTION("IFNA(vlookup(H3333,IMPORTRANGE(""1vUGwO1n0QQGx9kKbO0_M5gmuhXZ6-LaxQxgrmJnzgP0"",""'TP# look up'!A:C""),3,0),"""")"),"")</f>
        <v/>
      </c>
      <c r="AH3333" s="49">
        <f>LEFT(J3333,2)</f>
        <v/>
      </c>
    </row>
    <row r="3334" ht="12.75" customHeight="1">
      <c r="H3334" s="43" t="n"/>
      <c r="AG3334" s="49">
        <f>IFERROR(__xludf.DUMMYFUNCTION("IFNA(vlookup(H3334,IMPORTRANGE(""1vUGwO1n0QQGx9kKbO0_M5gmuhXZ6-LaxQxgrmJnzgP0"",""'TP# look up'!A:C""),3,0),"""")"),"")</f>
        <v/>
      </c>
      <c r="AH3334" s="49">
        <f>LEFT(J3334,2)</f>
        <v/>
      </c>
    </row>
    <row r="3335" ht="12.75" customHeight="1">
      <c r="H3335" s="43" t="n"/>
      <c r="AG3335" s="49">
        <f>IFERROR(__xludf.DUMMYFUNCTION("IFNA(vlookup(H3335,IMPORTRANGE(""1vUGwO1n0QQGx9kKbO0_M5gmuhXZ6-LaxQxgrmJnzgP0"",""'TP# look up'!A:C""),3,0),"""")"),"")</f>
        <v/>
      </c>
      <c r="AH3335" s="49">
        <f>LEFT(J3335,2)</f>
        <v/>
      </c>
    </row>
    <row r="3336" ht="12.75" customHeight="1">
      <c r="H3336" s="43" t="n"/>
      <c r="AG3336" s="49">
        <f>IFERROR(__xludf.DUMMYFUNCTION("IFNA(vlookup(H3336,IMPORTRANGE(""1vUGwO1n0QQGx9kKbO0_M5gmuhXZ6-LaxQxgrmJnzgP0"",""'TP# look up'!A:C""),3,0),"""")"),"")</f>
        <v/>
      </c>
      <c r="AH3336" s="49">
        <f>LEFT(J3336,2)</f>
        <v/>
      </c>
    </row>
    <row r="3337" ht="12.75" customHeight="1">
      <c r="H3337" s="43" t="n"/>
      <c r="AG3337" s="49">
        <f>IFERROR(__xludf.DUMMYFUNCTION("IFNA(vlookup(H3337,IMPORTRANGE(""1vUGwO1n0QQGx9kKbO0_M5gmuhXZ6-LaxQxgrmJnzgP0"",""'TP# look up'!A:C""),3,0),"""")"),"")</f>
        <v/>
      </c>
      <c r="AH3337" s="49">
        <f>LEFT(J3337,2)</f>
        <v/>
      </c>
    </row>
    <row r="3338" ht="12.75" customHeight="1">
      <c r="H3338" s="43" t="n"/>
      <c r="AG3338" s="49">
        <f>IFERROR(__xludf.DUMMYFUNCTION("IFNA(vlookup(H3338,IMPORTRANGE(""1vUGwO1n0QQGx9kKbO0_M5gmuhXZ6-LaxQxgrmJnzgP0"",""'TP# look up'!A:C""),3,0),"""")"),"")</f>
        <v/>
      </c>
      <c r="AH3338" s="49">
        <f>LEFT(J3338,2)</f>
        <v/>
      </c>
    </row>
    <row r="3339" ht="12.75" customHeight="1">
      <c r="H3339" s="43" t="n"/>
      <c r="AG3339" s="49">
        <f>IFERROR(__xludf.DUMMYFUNCTION("IFNA(vlookup(H3339,IMPORTRANGE(""1vUGwO1n0QQGx9kKbO0_M5gmuhXZ6-LaxQxgrmJnzgP0"",""'TP# look up'!A:C""),3,0),"""")"),"")</f>
        <v/>
      </c>
      <c r="AH3339" s="49">
        <f>LEFT(J3339,2)</f>
        <v/>
      </c>
    </row>
    <row r="3340" ht="12.75" customHeight="1">
      <c r="H3340" s="43" t="n"/>
      <c r="AG3340" s="49">
        <f>IFERROR(__xludf.DUMMYFUNCTION("IFNA(vlookup(H3340,IMPORTRANGE(""1vUGwO1n0QQGx9kKbO0_M5gmuhXZ6-LaxQxgrmJnzgP0"",""'TP# look up'!A:C""),3,0),"""")"),"")</f>
        <v/>
      </c>
      <c r="AH3340" s="49">
        <f>LEFT(J3340,2)</f>
        <v/>
      </c>
    </row>
    <row r="3341" ht="12.75" customHeight="1">
      <c r="H3341" s="43" t="n"/>
      <c r="AG3341" s="49">
        <f>IFERROR(__xludf.DUMMYFUNCTION("IFNA(vlookup(H3341,IMPORTRANGE(""1vUGwO1n0QQGx9kKbO0_M5gmuhXZ6-LaxQxgrmJnzgP0"",""'TP# look up'!A:C""),3,0),"""")"),"")</f>
        <v/>
      </c>
      <c r="AH3341" s="49">
        <f>LEFT(J3341,2)</f>
        <v/>
      </c>
    </row>
    <row r="3342" ht="12.75" customHeight="1">
      <c r="H3342" s="43" t="n"/>
      <c r="AG3342" s="49">
        <f>IFERROR(__xludf.DUMMYFUNCTION("IFNA(vlookup(H3342,IMPORTRANGE(""1vUGwO1n0QQGx9kKbO0_M5gmuhXZ6-LaxQxgrmJnzgP0"",""'TP# look up'!A:C""),3,0),"""")"),"")</f>
        <v/>
      </c>
      <c r="AH3342" s="49">
        <f>LEFT(J3342,2)</f>
        <v/>
      </c>
    </row>
    <row r="3343" ht="12.75" customHeight="1">
      <c r="H3343" s="43" t="n"/>
      <c r="AG3343" s="49">
        <f>IFERROR(__xludf.DUMMYFUNCTION("IFNA(vlookup(H3343,IMPORTRANGE(""1vUGwO1n0QQGx9kKbO0_M5gmuhXZ6-LaxQxgrmJnzgP0"",""'TP# look up'!A:C""),3,0),"""")"),"")</f>
        <v/>
      </c>
      <c r="AH3343" s="49">
        <f>LEFT(J3343,2)</f>
        <v/>
      </c>
    </row>
    <row r="3344" ht="12.75" customHeight="1">
      <c r="H3344" s="43" t="n"/>
      <c r="AG3344" s="49">
        <f>IFERROR(__xludf.DUMMYFUNCTION("IFNA(vlookup(H3344,IMPORTRANGE(""1vUGwO1n0QQGx9kKbO0_M5gmuhXZ6-LaxQxgrmJnzgP0"",""'TP# look up'!A:C""),3,0),"""")"),"")</f>
        <v/>
      </c>
      <c r="AH3344" s="49">
        <f>LEFT(J3344,2)</f>
        <v/>
      </c>
    </row>
    <row r="3345" ht="12.75" customHeight="1">
      <c r="H3345" s="43" t="n"/>
      <c r="AG3345" s="49">
        <f>IFERROR(__xludf.DUMMYFUNCTION("IFNA(vlookup(H3345,IMPORTRANGE(""1vUGwO1n0QQGx9kKbO0_M5gmuhXZ6-LaxQxgrmJnzgP0"",""'TP# look up'!A:C""),3,0),"""")"),"")</f>
        <v/>
      </c>
      <c r="AH3345" s="49">
        <f>LEFT(J3345,2)</f>
        <v/>
      </c>
    </row>
    <row r="3346" ht="12.75" customHeight="1">
      <c r="H3346" s="43" t="n"/>
      <c r="AG3346" s="49">
        <f>IFERROR(__xludf.DUMMYFUNCTION("IFNA(vlookup(H3346,IMPORTRANGE(""1vUGwO1n0QQGx9kKbO0_M5gmuhXZ6-LaxQxgrmJnzgP0"",""'TP# look up'!A:C""),3,0),"""")"),"")</f>
        <v/>
      </c>
      <c r="AH3346" s="49">
        <f>LEFT(J3346,2)</f>
        <v/>
      </c>
    </row>
    <row r="3347" ht="12.75" customHeight="1">
      <c r="H3347" s="43" t="n"/>
      <c r="AG3347" s="49">
        <f>IFERROR(__xludf.DUMMYFUNCTION("IFNA(vlookup(H3347,IMPORTRANGE(""1vUGwO1n0QQGx9kKbO0_M5gmuhXZ6-LaxQxgrmJnzgP0"",""'TP# look up'!A:C""),3,0),"""")"),"")</f>
        <v/>
      </c>
      <c r="AH3347" s="49">
        <f>LEFT(J3347,2)</f>
        <v/>
      </c>
    </row>
    <row r="3348" ht="12.75" customHeight="1">
      <c r="H3348" s="43" t="n"/>
      <c r="AG3348" s="49">
        <f>IFERROR(__xludf.DUMMYFUNCTION("IFNA(vlookup(H3348,IMPORTRANGE(""1vUGwO1n0QQGx9kKbO0_M5gmuhXZ6-LaxQxgrmJnzgP0"",""'TP# look up'!A:C""),3,0),"""")"),"")</f>
        <v/>
      </c>
      <c r="AH3348" s="49">
        <f>LEFT(J3348,2)</f>
        <v/>
      </c>
    </row>
    <row r="3349" ht="12.75" customHeight="1">
      <c r="H3349" s="43" t="n"/>
      <c r="AG3349" s="49">
        <f>IFERROR(__xludf.DUMMYFUNCTION("IFNA(vlookup(H3349,IMPORTRANGE(""1vUGwO1n0QQGx9kKbO0_M5gmuhXZ6-LaxQxgrmJnzgP0"",""'TP# look up'!A:C""),3,0),"""")"),"")</f>
        <v/>
      </c>
      <c r="AH3349" s="49">
        <f>LEFT(J3349,2)</f>
        <v/>
      </c>
    </row>
    <row r="3350" ht="12.75" customHeight="1">
      <c r="H3350" s="43" t="n"/>
      <c r="AG3350" s="49">
        <f>IFERROR(__xludf.DUMMYFUNCTION("IFNA(vlookup(H3350,IMPORTRANGE(""1vUGwO1n0QQGx9kKbO0_M5gmuhXZ6-LaxQxgrmJnzgP0"",""'TP# look up'!A:C""),3,0),"""")"),"")</f>
        <v/>
      </c>
      <c r="AH3350" s="49">
        <f>LEFT(J3350,2)</f>
        <v/>
      </c>
    </row>
    <row r="3351" ht="12.75" customHeight="1">
      <c r="H3351" s="43" t="n"/>
      <c r="AG3351" s="49">
        <f>IFERROR(__xludf.DUMMYFUNCTION("IFNA(vlookup(H3351,IMPORTRANGE(""1vUGwO1n0QQGx9kKbO0_M5gmuhXZ6-LaxQxgrmJnzgP0"",""'TP# look up'!A:C""),3,0),"""")"),"")</f>
        <v/>
      </c>
      <c r="AH3351" s="49">
        <f>LEFT(J3351,2)</f>
        <v/>
      </c>
    </row>
    <row r="3352" ht="12.75" customHeight="1">
      <c r="H3352" s="43" t="n"/>
      <c r="AG3352" s="49">
        <f>IFERROR(__xludf.DUMMYFUNCTION("IFNA(vlookup(H3352,IMPORTRANGE(""1vUGwO1n0QQGx9kKbO0_M5gmuhXZ6-LaxQxgrmJnzgP0"",""'TP# look up'!A:C""),3,0),"""")"),"")</f>
        <v/>
      </c>
      <c r="AH3352" s="49">
        <f>LEFT(J3352,2)</f>
        <v/>
      </c>
    </row>
    <row r="3353" ht="12.75" customHeight="1">
      <c r="H3353" s="43" t="n"/>
      <c r="AG3353" s="49">
        <f>IFERROR(__xludf.DUMMYFUNCTION("IFNA(vlookup(H3353,IMPORTRANGE(""1vUGwO1n0QQGx9kKbO0_M5gmuhXZ6-LaxQxgrmJnzgP0"",""'TP# look up'!A:C""),3,0),"""")"),"")</f>
        <v/>
      </c>
      <c r="AH3353" s="49">
        <f>LEFT(J3353,2)</f>
        <v/>
      </c>
    </row>
    <row r="3354" ht="12.75" customHeight="1">
      <c r="H3354" s="43" t="n"/>
      <c r="AG3354" s="49">
        <f>IFERROR(__xludf.DUMMYFUNCTION("IFNA(vlookup(H3354,IMPORTRANGE(""1vUGwO1n0QQGx9kKbO0_M5gmuhXZ6-LaxQxgrmJnzgP0"",""'TP# look up'!A:C""),3,0),"""")"),"")</f>
        <v/>
      </c>
      <c r="AH3354" s="49">
        <f>LEFT(J3354,2)</f>
        <v/>
      </c>
    </row>
    <row r="3355" ht="12.75" customHeight="1">
      <c r="H3355" s="43" t="n"/>
      <c r="AG3355" s="49">
        <f>IFERROR(__xludf.DUMMYFUNCTION("IFNA(vlookup(H3355,IMPORTRANGE(""1vUGwO1n0QQGx9kKbO0_M5gmuhXZ6-LaxQxgrmJnzgP0"",""'TP# look up'!A:C""),3,0),"""")"),"")</f>
        <v/>
      </c>
      <c r="AH3355" s="49">
        <f>LEFT(J3355,2)</f>
        <v/>
      </c>
    </row>
    <row r="3356" ht="12.75" customHeight="1">
      <c r="H3356" s="43" t="n"/>
      <c r="AG3356" s="49">
        <f>IFERROR(__xludf.DUMMYFUNCTION("IFNA(vlookup(H3356,IMPORTRANGE(""1vUGwO1n0QQGx9kKbO0_M5gmuhXZ6-LaxQxgrmJnzgP0"",""'TP# look up'!A:C""),3,0),"""")"),"")</f>
        <v/>
      </c>
      <c r="AH3356" s="49">
        <f>LEFT(J3356,2)</f>
        <v/>
      </c>
    </row>
    <row r="3357" ht="12.75" customHeight="1">
      <c r="H3357" s="43" t="n"/>
      <c r="AG3357" s="49">
        <f>IFERROR(__xludf.DUMMYFUNCTION("IFNA(vlookup(H3357,IMPORTRANGE(""1vUGwO1n0QQGx9kKbO0_M5gmuhXZ6-LaxQxgrmJnzgP0"",""'TP# look up'!A:C""),3,0),"""")"),"")</f>
        <v/>
      </c>
      <c r="AH3357" s="49">
        <f>LEFT(J3357,2)</f>
        <v/>
      </c>
    </row>
    <row r="3358" ht="12.75" customHeight="1">
      <c r="H3358" s="43" t="n"/>
      <c r="AG3358" s="49">
        <f>IFERROR(__xludf.DUMMYFUNCTION("IFNA(vlookup(H3358,IMPORTRANGE(""1vUGwO1n0QQGx9kKbO0_M5gmuhXZ6-LaxQxgrmJnzgP0"",""'TP# look up'!A:C""),3,0),"""")"),"")</f>
        <v/>
      </c>
      <c r="AH3358" s="49">
        <f>LEFT(J3358,2)</f>
        <v/>
      </c>
    </row>
    <row r="3359" ht="12.75" customHeight="1">
      <c r="H3359" s="43" t="n"/>
      <c r="AG3359" s="49">
        <f>IFERROR(__xludf.DUMMYFUNCTION("IFNA(vlookup(H3359,IMPORTRANGE(""1vUGwO1n0QQGx9kKbO0_M5gmuhXZ6-LaxQxgrmJnzgP0"",""'TP# look up'!A:C""),3,0),"""")"),"")</f>
        <v/>
      </c>
      <c r="AH3359" s="49">
        <f>LEFT(J3359,2)</f>
        <v/>
      </c>
    </row>
    <row r="3360" ht="12.75" customHeight="1">
      <c r="H3360" s="43" t="n"/>
      <c r="AG3360" s="49">
        <f>IFERROR(__xludf.DUMMYFUNCTION("IFNA(vlookup(H3360,IMPORTRANGE(""1vUGwO1n0QQGx9kKbO0_M5gmuhXZ6-LaxQxgrmJnzgP0"",""'TP# look up'!A:C""),3,0),"""")"),"")</f>
        <v/>
      </c>
      <c r="AH3360" s="49">
        <f>LEFT(J3360,2)</f>
        <v/>
      </c>
    </row>
    <row r="3361" ht="12.75" customHeight="1">
      <c r="H3361" s="43" t="n"/>
      <c r="AG3361" s="49">
        <f>IFERROR(__xludf.DUMMYFUNCTION("IFNA(vlookup(H3361,IMPORTRANGE(""1vUGwO1n0QQGx9kKbO0_M5gmuhXZ6-LaxQxgrmJnzgP0"",""'TP# look up'!A:C""),3,0),"""")"),"")</f>
        <v/>
      </c>
      <c r="AH3361" s="49">
        <f>LEFT(J3361,2)</f>
        <v/>
      </c>
    </row>
    <row r="3362" ht="12.75" customHeight="1">
      <c r="H3362" s="43" t="n"/>
      <c r="AG3362" s="49">
        <f>IFERROR(__xludf.DUMMYFUNCTION("IFNA(vlookup(H3362,IMPORTRANGE(""1vUGwO1n0QQGx9kKbO0_M5gmuhXZ6-LaxQxgrmJnzgP0"",""'TP# look up'!A:C""),3,0),"""")"),"")</f>
        <v/>
      </c>
      <c r="AH3362" s="49">
        <f>LEFT(J3362,2)</f>
        <v/>
      </c>
    </row>
    <row r="3363" ht="12.75" customHeight="1">
      <c r="H3363" s="43" t="n"/>
      <c r="AG3363" s="49">
        <f>IFERROR(__xludf.DUMMYFUNCTION("IFNA(vlookup(H3363,IMPORTRANGE(""1vUGwO1n0QQGx9kKbO0_M5gmuhXZ6-LaxQxgrmJnzgP0"",""'TP# look up'!A:C""),3,0),"""")"),"")</f>
        <v/>
      </c>
      <c r="AH3363" s="49">
        <f>LEFT(J3363,2)</f>
        <v/>
      </c>
    </row>
    <row r="3364" ht="12.75" customHeight="1">
      <c r="H3364" s="43" t="n"/>
      <c r="AG3364" s="49">
        <f>IFERROR(__xludf.DUMMYFUNCTION("IFNA(vlookup(H3364,IMPORTRANGE(""1vUGwO1n0QQGx9kKbO0_M5gmuhXZ6-LaxQxgrmJnzgP0"",""'TP# look up'!A:C""),3,0),"""")"),"")</f>
        <v/>
      </c>
      <c r="AH3364" s="49">
        <f>LEFT(J3364,2)</f>
        <v/>
      </c>
    </row>
    <row r="3365" ht="12.75" customHeight="1">
      <c r="H3365" s="43" t="n"/>
      <c r="AG3365" s="49">
        <f>IFERROR(__xludf.DUMMYFUNCTION("IFNA(vlookup(H3365,IMPORTRANGE(""1vUGwO1n0QQGx9kKbO0_M5gmuhXZ6-LaxQxgrmJnzgP0"",""'TP# look up'!A:C""),3,0),"""")"),"")</f>
        <v/>
      </c>
      <c r="AH3365" s="49">
        <f>LEFT(J3365,2)</f>
        <v/>
      </c>
    </row>
    <row r="3366" ht="12.75" customHeight="1">
      <c r="H3366" s="43" t="n"/>
      <c r="AG3366" s="49">
        <f>IFERROR(__xludf.DUMMYFUNCTION("IFNA(vlookup(H3366,IMPORTRANGE(""1vUGwO1n0QQGx9kKbO0_M5gmuhXZ6-LaxQxgrmJnzgP0"",""'TP# look up'!A:C""),3,0),"""")"),"")</f>
        <v/>
      </c>
      <c r="AH3366" s="49">
        <f>LEFT(J3366,2)</f>
        <v/>
      </c>
    </row>
    <row r="3367" ht="12.75" customHeight="1">
      <c r="H3367" s="43" t="n"/>
      <c r="AG3367" s="49">
        <f>IFERROR(__xludf.DUMMYFUNCTION("IFNA(vlookup(H3367,IMPORTRANGE(""1vUGwO1n0QQGx9kKbO0_M5gmuhXZ6-LaxQxgrmJnzgP0"",""'TP# look up'!A:C""),3,0),"""")"),"")</f>
        <v/>
      </c>
      <c r="AH3367" s="49">
        <f>LEFT(J3367,2)</f>
        <v/>
      </c>
    </row>
    <row r="3368" ht="12.75" customHeight="1">
      <c r="H3368" s="43" t="n"/>
      <c r="AG3368" s="49">
        <f>IFERROR(__xludf.DUMMYFUNCTION("IFNA(vlookup(H3368,IMPORTRANGE(""1vUGwO1n0QQGx9kKbO0_M5gmuhXZ6-LaxQxgrmJnzgP0"",""'TP# look up'!A:C""),3,0),"""")"),"")</f>
        <v/>
      </c>
      <c r="AH3368" s="49">
        <f>LEFT(J3368,2)</f>
        <v/>
      </c>
    </row>
    <row r="3369" ht="12.75" customHeight="1">
      <c r="H3369" s="43" t="n"/>
      <c r="AG3369" s="49">
        <f>IFERROR(__xludf.DUMMYFUNCTION("IFNA(vlookup(H3369,IMPORTRANGE(""1vUGwO1n0QQGx9kKbO0_M5gmuhXZ6-LaxQxgrmJnzgP0"",""'TP# look up'!A:C""),3,0),"""")"),"")</f>
        <v/>
      </c>
      <c r="AH3369" s="49">
        <f>LEFT(J3369,2)</f>
        <v/>
      </c>
    </row>
    <row r="3370" ht="12.75" customHeight="1">
      <c r="H3370" s="43" t="n"/>
      <c r="AG3370" s="49">
        <f>IFERROR(__xludf.DUMMYFUNCTION("IFNA(vlookup(H3370,IMPORTRANGE(""1vUGwO1n0QQGx9kKbO0_M5gmuhXZ6-LaxQxgrmJnzgP0"",""'TP# look up'!A:C""),3,0),"""")"),"")</f>
        <v/>
      </c>
      <c r="AH3370" s="49">
        <f>LEFT(J3370,2)</f>
        <v/>
      </c>
    </row>
    <row r="3371" ht="12.75" customHeight="1">
      <c r="H3371" s="43" t="n"/>
      <c r="AG3371" s="49">
        <f>IFERROR(__xludf.DUMMYFUNCTION("IFNA(vlookup(H3371,IMPORTRANGE(""1vUGwO1n0QQGx9kKbO0_M5gmuhXZ6-LaxQxgrmJnzgP0"",""'TP# look up'!A:C""),3,0),"""")"),"")</f>
        <v/>
      </c>
      <c r="AH3371" s="49">
        <f>LEFT(J3371,2)</f>
        <v/>
      </c>
    </row>
    <row r="3372" ht="12.75" customHeight="1">
      <c r="H3372" s="43" t="n"/>
      <c r="AG3372" s="49">
        <f>IFERROR(__xludf.DUMMYFUNCTION("IFNA(vlookup(H3372,IMPORTRANGE(""1vUGwO1n0QQGx9kKbO0_M5gmuhXZ6-LaxQxgrmJnzgP0"",""'TP# look up'!A:C""),3,0),"""")"),"")</f>
        <v/>
      </c>
      <c r="AH3372" s="49">
        <f>LEFT(J3372,2)</f>
        <v/>
      </c>
    </row>
    <row r="3373" ht="12.75" customHeight="1">
      <c r="H3373" s="43" t="n"/>
      <c r="AG3373" s="49">
        <f>IFERROR(__xludf.DUMMYFUNCTION("IFNA(vlookup(H3373,IMPORTRANGE(""1vUGwO1n0QQGx9kKbO0_M5gmuhXZ6-LaxQxgrmJnzgP0"",""'TP# look up'!A:C""),3,0),"""")"),"")</f>
        <v/>
      </c>
      <c r="AH3373" s="49">
        <f>LEFT(J3373,2)</f>
        <v/>
      </c>
    </row>
    <row r="3374" ht="12.75" customHeight="1">
      <c r="H3374" s="43" t="n"/>
      <c r="AG3374" s="49">
        <f>IFERROR(__xludf.DUMMYFUNCTION("IFNA(vlookup(H3374,IMPORTRANGE(""1vUGwO1n0QQGx9kKbO0_M5gmuhXZ6-LaxQxgrmJnzgP0"",""'TP# look up'!A:C""),3,0),"""")"),"")</f>
        <v/>
      </c>
      <c r="AH3374" s="49">
        <f>LEFT(J3374,2)</f>
        <v/>
      </c>
    </row>
    <row r="3375" ht="12.75" customHeight="1">
      <c r="H3375" s="43" t="n"/>
      <c r="AG3375" s="49">
        <f>IFERROR(__xludf.DUMMYFUNCTION("IFNA(vlookup(H3375,IMPORTRANGE(""1vUGwO1n0QQGx9kKbO0_M5gmuhXZ6-LaxQxgrmJnzgP0"",""'TP# look up'!A:C""),3,0),"""")"),"")</f>
        <v/>
      </c>
      <c r="AH3375" s="49">
        <f>LEFT(J3375,2)</f>
        <v/>
      </c>
    </row>
    <row r="3376" ht="12.75" customHeight="1">
      <c r="H3376" s="43" t="n"/>
      <c r="AG3376" s="49">
        <f>IFERROR(__xludf.DUMMYFUNCTION("IFNA(vlookup(H3376,IMPORTRANGE(""1vUGwO1n0QQGx9kKbO0_M5gmuhXZ6-LaxQxgrmJnzgP0"",""'TP# look up'!A:C""),3,0),"""")"),"")</f>
        <v/>
      </c>
      <c r="AH3376" s="49">
        <f>LEFT(J3376,2)</f>
        <v/>
      </c>
    </row>
    <row r="3377" ht="12.75" customHeight="1">
      <c r="H3377" s="43" t="n"/>
      <c r="AG3377" s="49">
        <f>IFERROR(__xludf.DUMMYFUNCTION("IFNA(vlookup(H3377,IMPORTRANGE(""1vUGwO1n0QQGx9kKbO0_M5gmuhXZ6-LaxQxgrmJnzgP0"",""'TP# look up'!A:C""),3,0),"""")"),"")</f>
        <v/>
      </c>
      <c r="AH3377" s="49">
        <f>LEFT(J3377,2)</f>
        <v/>
      </c>
    </row>
    <row r="3378" ht="12.75" customHeight="1">
      <c r="H3378" s="43" t="n"/>
      <c r="AG3378" s="49">
        <f>IFERROR(__xludf.DUMMYFUNCTION("IFNA(vlookup(H3378,IMPORTRANGE(""1vUGwO1n0QQGx9kKbO0_M5gmuhXZ6-LaxQxgrmJnzgP0"",""'TP# look up'!A:C""),3,0),"""")"),"")</f>
        <v/>
      </c>
      <c r="AH3378" s="49">
        <f>LEFT(J3378,2)</f>
        <v/>
      </c>
    </row>
    <row r="3379" ht="12.75" customHeight="1">
      <c r="H3379" s="43" t="n"/>
      <c r="AG3379" s="49">
        <f>IFERROR(__xludf.DUMMYFUNCTION("IFNA(vlookup(H3379,IMPORTRANGE(""1vUGwO1n0QQGx9kKbO0_M5gmuhXZ6-LaxQxgrmJnzgP0"",""'TP# look up'!A:C""),3,0),"""")"),"")</f>
        <v/>
      </c>
      <c r="AH3379" s="49">
        <f>LEFT(J3379,2)</f>
        <v/>
      </c>
    </row>
    <row r="3380" ht="12.75" customHeight="1">
      <c r="H3380" s="43" t="n"/>
      <c r="AG3380" s="49">
        <f>IFERROR(__xludf.DUMMYFUNCTION("IFNA(vlookup(H3380,IMPORTRANGE(""1vUGwO1n0QQGx9kKbO0_M5gmuhXZ6-LaxQxgrmJnzgP0"",""'TP# look up'!A:C""),3,0),"""")"),"")</f>
        <v/>
      </c>
      <c r="AH3380" s="49">
        <f>LEFT(J3380,2)</f>
        <v/>
      </c>
    </row>
    <row r="3381" ht="12.75" customHeight="1">
      <c r="H3381" s="43" t="n"/>
      <c r="AG3381" s="49">
        <f>IFERROR(__xludf.DUMMYFUNCTION("IFNA(vlookup(H3381,IMPORTRANGE(""1vUGwO1n0QQGx9kKbO0_M5gmuhXZ6-LaxQxgrmJnzgP0"",""'TP# look up'!A:C""),3,0),"""")"),"")</f>
        <v/>
      </c>
      <c r="AH3381" s="49">
        <f>LEFT(J3381,2)</f>
        <v/>
      </c>
    </row>
    <row r="3382" ht="12.75" customHeight="1">
      <c r="H3382" s="43" t="n"/>
      <c r="AG3382" s="49">
        <f>IFERROR(__xludf.DUMMYFUNCTION("IFNA(vlookup(H3382,IMPORTRANGE(""1vUGwO1n0QQGx9kKbO0_M5gmuhXZ6-LaxQxgrmJnzgP0"",""'TP# look up'!A:C""),3,0),"""")"),"")</f>
        <v/>
      </c>
      <c r="AH3382" s="49">
        <f>LEFT(J3382,2)</f>
        <v/>
      </c>
    </row>
    <row r="3383" ht="12.75" customHeight="1">
      <c r="H3383" s="43" t="n"/>
      <c r="AG3383" s="49">
        <f>IFERROR(__xludf.DUMMYFUNCTION("IFNA(vlookup(H3383,IMPORTRANGE(""1vUGwO1n0QQGx9kKbO0_M5gmuhXZ6-LaxQxgrmJnzgP0"",""'TP# look up'!A:C""),3,0),"""")"),"")</f>
        <v/>
      </c>
      <c r="AH3383" s="49">
        <f>LEFT(J3383,2)</f>
        <v/>
      </c>
    </row>
    <row r="3384" ht="12.75" customHeight="1">
      <c r="H3384" s="43" t="n"/>
      <c r="AG3384" s="49">
        <f>IFERROR(__xludf.DUMMYFUNCTION("IFNA(vlookup(H3384,IMPORTRANGE(""1vUGwO1n0QQGx9kKbO0_M5gmuhXZ6-LaxQxgrmJnzgP0"",""'TP# look up'!A:C""),3,0),"""")"),"")</f>
        <v/>
      </c>
      <c r="AH3384" s="49">
        <f>LEFT(J3384,2)</f>
        <v/>
      </c>
    </row>
    <row r="3385" ht="12.75" customHeight="1">
      <c r="H3385" s="43" t="n"/>
      <c r="AG3385" s="49">
        <f>IFERROR(__xludf.DUMMYFUNCTION("IFNA(vlookup(H3385,IMPORTRANGE(""1vUGwO1n0QQGx9kKbO0_M5gmuhXZ6-LaxQxgrmJnzgP0"",""'TP# look up'!A:C""),3,0),"""")"),"")</f>
        <v/>
      </c>
      <c r="AH3385" s="49">
        <f>LEFT(J3385,2)</f>
        <v/>
      </c>
    </row>
    <row r="3386" ht="12.75" customHeight="1">
      <c r="H3386" s="43" t="n"/>
      <c r="AG3386" s="49">
        <f>IFERROR(__xludf.DUMMYFUNCTION("IFNA(vlookup(H3386,IMPORTRANGE(""1vUGwO1n0QQGx9kKbO0_M5gmuhXZ6-LaxQxgrmJnzgP0"",""'TP# look up'!A:C""),3,0),"""")"),"")</f>
        <v/>
      </c>
      <c r="AH3386" s="49">
        <f>LEFT(J3386,2)</f>
        <v/>
      </c>
    </row>
    <row r="3387" ht="12.75" customHeight="1">
      <c r="H3387" s="43" t="n"/>
      <c r="AG3387" s="49">
        <f>IFERROR(__xludf.DUMMYFUNCTION("IFNA(vlookup(H3387,IMPORTRANGE(""1vUGwO1n0QQGx9kKbO0_M5gmuhXZ6-LaxQxgrmJnzgP0"",""'TP# look up'!A:C""),3,0),"""")"),"")</f>
        <v/>
      </c>
      <c r="AH3387" s="49">
        <f>LEFT(J3387,2)</f>
        <v/>
      </c>
    </row>
    <row r="3388" ht="12.75" customHeight="1">
      <c r="H3388" s="43" t="n"/>
      <c r="AG3388" s="49">
        <f>IFERROR(__xludf.DUMMYFUNCTION("IFNA(vlookup(H3388,IMPORTRANGE(""1vUGwO1n0QQGx9kKbO0_M5gmuhXZ6-LaxQxgrmJnzgP0"",""'TP# look up'!A:C""),3,0),"""")"),"")</f>
        <v/>
      </c>
      <c r="AH3388" s="49">
        <f>LEFT(J3388,2)</f>
        <v/>
      </c>
    </row>
    <row r="3389" ht="12.75" customHeight="1">
      <c r="H3389" s="43" t="n"/>
      <c r="AG3389" s="49">
        <f>IFERROR(__xludf.DUMMYFUNCTION("IFNA(vlookup(H3389,IMPORTRANGE(""1vUGwO1n0QQGx9kKbO0_M5gmuhXZ6-LaxQxgrmJnzgP0"",""'TP# look up'!A:C""),3,0),"""")"),"")</f>
        <v/>
      </c>
      <c r="AH3389" s="49">
        <f>LEFT(J3389,2)</f>
        <v/>
      </c>
    </row>
    <row r="3390" ht="12.75" customHeight="1">
      <c r="H3390" s="43" t="n"/>
      <c r="AG3390" s="49">
        <f>IFERROR(__xludf.DUMMYFUNCTION("IFNA(vlookup(H3390,IMPORTRANGE(""1vUGwO1n0QQGx9kKbO0_M5gmuhXZ6-LaxQxgrmJnzgP0"",""'TP# look up'!A:C""),3,0),"""")"),"")</f>
        <v/>
      </c>
      <c r="AH3390" s="49">
        <f>LEFT(J3390,2)</f>
        <v/>
      </c>
    </row>
    <row r="3391" ht="12.75" customHeight="1">
      <c r="H3391" s="43" t="n"/>
      <c r="AG3391" s="49">
        <f>IFERROR(__xludf.DUMMYFUNCTION("IFNA(vlookup(H3391,IMPORTRANGE(""1vUGwO1n0QQGx9kKbO0_M5gmuhXZ6-LaxQxgrmJnzgP0"",""'TP# look up'!A:C""),3,0),"""")"),"")</f>
        <v/>
      </c>
      <c r="AH3391" s="49">
        <f>LEFT(J3391,2)</f>
        <v/>
      </c>
    </row>
    <row r="3392" ht="12.75" customHeight="1">
      <c r="H3392" s="43" t="n"/>
      <c r="AG3392" s="49">
        <f>IFERROR(__xludf.DUMMYFUNCTION("IFNA(vlookup(H3392,IMPORTRANGE(""1vUGwO1n0QQGx9kKbO0_M5gmuhXZ6-LaxQxgrmJnzgP0"",""'TP# look up'!A:C""),3,0),"""")"),"")</f>
        <v/>
      </c>
      <c r="AH3392" s="49">
        <f>LEFT(J3392,2)</f>
        <v/>
      </c>
    </row>
    <row r="3393" ht="12.75" customHeight="1">
      <c r="H3393" s="43" t="n"/>
      <c r="AG3393" s="49">
        <f>IFERROR(__xludf.DUMMYFUNCTION("IFNA(vlookup(H3393,IMPORTRANGE(""1vUGwO1n0QQGx9kKbO0_M5gmuhXZ6-LaxQxgrmJnzgP0"",""'TP# look up'!A:C""),3,0),"""")"),"")</f>
        <v/>
      </c>
      <c r="AH3393" s="49">
        <f>LEFT(J3393,2)</f>
        <v/>
      </c>
    </row>
    <row r="3394" ht="12.75" customHeight="1">
      <c r="H3394" s="43" t="n"/>
      <c r="AG3394" s="49">
        <f>IFERROR(__xludf.DUMMYFUNCTION("IFNA(vlookup(H3394,IMPORTRANGE(""1vUGwO1n0QQGx9kKbO0_M5gmuhXZ6-LaxQxgrmJnzgP0"",""'TP# look up'!A:C""),3,0),"""")"),"")</f>
        <v/>
      </c>
      <c r="AH3394" s="49">
        <f>LEFT(J3394,2)</f>
        <v/>
      </c>
    </row>
    <row r="3395" ht="12.75" customHeight="1">
      <c r="H3395" s="43" t="n"/>
      <c r="AG3395" s="49">
        <f>IFERROR(__xludf.DUMMYFUNCTION("IFNA(vlookup(H3395,IMPORTRANGE(""1vUGwO1n0QQGx9kKbO0_M5gmuhXZ6-LaxQxgrmJnzgP0"",""'TP# look up'!A:C""),3,0),"""")"),"")</f>
        <v/>
      </c>
      <c r="AH3395" s="49">
        <f>LEFT(J3395,2)</f>
        <v/>
      </c>
    </row>
    <row r="3396" ht="12.75" customHeight="1">
      <c r="H3396" s="43" t="n"/>
      <c r="AG3396" s="49">
        <f>IFERROR(__xludf.DUMMYFUNCTION("IFNA(vlookup(H3396,IMPORTRANGE(""1vUGwO1n0QQGx9kKbO0_M5gmuhXZ6-LaxQxgrmJnzgP0"",""'TP# look up'!A:C""),3,0),"""")"),"")</f>
        <v/>
      </c>
      <c r="AH3396" s="49">
        <f>LEFT(J3396,2)</f>
        <v/>
      </c>
    </row>
    <row r="3397" ht="12.75" customHeight="1">
      <c r="H3397" s="43" t="n"/>
      <c r="AG3397" s="49">
        <f>IFERROR(__xludf.DUMMYFUNCTION("IFNA(vlookup(H3397,IMPORTRANGE(""1vUGwO1n0QQGx9kKbO0_M5gmuhXZ6-LaxQxgrmJnzgP0"",""'TP# look up'!A:C""),3,0),"""")"),"")</f>
        <v/>
      </c>
      <c r="AH3397" s="49">
        <f>LEFT(J3397,2)</f>
        <v/>
      </c>
    </row>
    <row r="3398" ht="12.75" customHeight="1">
      <c r="H3398" s="43" t="n"/>
      <c r="AG3398" s="49">
        <f>IFERROR(__xludf.DUMMYFUNCTION("IFNA(vlookup(H3398,IMPORTRANGE(""1vUGwO1n0QQGx9kKbO0_M5gmuhXZ6-LaxQxgrmJnzgP0"",""'TP# look up'!A:C""),3,0),"""")"),"")</f>
        <v/>
      </c>
      <c r="AH3398" s="49">
        <f>LEFT(J3398,2)</f>
        <v/>
      </c>
    </row>
    <row r="3399" ht="12.75" customHeight="1">
      <c r="H3399" s="43" t="n"/>
      <c r="AG3399" s="49">
        <f>IFERROR(__xludf.DUMMYFUNCTION("IFNA(vlookup(H3399,IMPORTRANGE(""1vUGwO1n0QQGx9kKbO0_M5gmuhXZ6-LaxQxgrmJnzgP0"",""'TP# look up'!A:C""),3,0),"""")"),"")</f>
        <v/>
      </c>
      <c r="AH3399" s="49">
        <f>LEFT(J3399,2)</f>
        <v/>
      </c>
    </row>
    <row r="3400" ht="12.75" customHeight="1">
      <c r="H3400" s="43" t="n"/>
      <c r="AG3400" s="49">
        <f>IFERROR(__xludf.DUMMYFUNCTION("IFNA(vlookup(H3400,IMPORTRANGE(""1vUGwO1n0QQGx9kKbO0_M5gmuhXZ6-LaxQxgrmJnzgP0"",""'TP# look up'!A:C""),3,0),"""")"),"")</f>
        <v/>
      </c>
      <c r="AH3400" s="49">
        <f>LEFT(J3400,2)</f>
        <v/>
      </c>
    </row>
    <row r="3401" ht="12.75" customHeight="1">
      <c r="H3401" s="43" t="n"/>
      <c r="AG3401" s="49">
        <f>IFERROR(__xludf.DUMMYFUNCTION("IFNA(vlookup(H3401,IMPORTRANGE(""1vUGwO1n0QQGx9kKbO0_M5gmuhXZ6-LaxQxgrmJnzgP0"",""'TP# look up'!A:C""),3,0),"""")"),"")</f>
        <v/>
      </c>
      <c r="AH3401" s="49">
        <f>LEFT(J3401,2)</f>
        <v/>
      </c>
    </row>
    <row r="3402" ht="12.75" customHeight="1">
      <c r="H3402" s="43" t="n"/>
      <c r="AG3402" s="49">
        <f>IFERROR(__xludf.DUMMYFUNCTION("IFNA(vlookup(H3402,IMPORTRANGE(""1vUGwO1n0QQGx9kKbO0_M5gmuhXZ6-LaxQxgrmJnzgP0"",""'TP# look up'!A:C""),3,0),"""")"),"")</f>
        <v/>
      </c>
      <c r="AH3402" s="49">
        <f>LEFT(J3402,2)</f>
        <v/>
      </c>
    </row>
    <row r="3403" ht="12.75" customHeight="1">
      <c r="H3403" s="43" t="n"/>
      <c r="AG3403" s="49">
        <f>IFERROR(__xludf.DUMMYFUNCTION("IFNA(vlookup(H3403,IMPORTRANGE(""1vUGwO1n0QQGx9kKbO0_M5gmuhXZ6-LaxQxgrmJnzgP0"",""'TP# look up'!A:C""),3,0),"""")"),"")</f>
        <v/>
      </c>
      <c r="AH3403" s="49">
        <f>LEFT(J3403,2)</f>
        <v/>
      </c>
    </row>
    <row r="3404" ht="12.75" customHeight="1">
      <c r="H3404" s="43" t="n"/>
      <c r="AG3404" s="49">
        <f>IFERROR(__xludf.DUMMYFUNCTION("IFNA(vlookup(H3404,IMPORTRANGE(""1vUGwO1n0QQGx9kKbO0_M5gmuhXZ6-LaxQxgrmJnzgP0"",""'TP# look up'!A:C""),3,0),"""")"),"")</f>
        <v/>
      </c>
      <c r="AH3404" s="49">
        <f>LEFT(J3404,2)</f>
        <v/>
      </c>
    </row>
    <row r="3405" ht="12.75" customHeight="1">
      <c r="H3405" s="43" t="n"/>
      <c r="AG3405" s="49">
        <f>IFERROR(__xludf.DUMMYFUNCTION("IFNA(vlookup(H3405,IMPORTRANGE(""1vUGwO1n0QQGx9kKbO0_M5gmuhXZ6-LaxQxgrmJnzgP0"",""'TP# look up'!A:C""),3,0),"""")"),"")</f>
        <v/>
      </c>
      <c r="AH3405" s="49">
        <f>LEFT(J3405,2)</f>
        <v/>
      </c>
    </row>
    <row r="3406" ht="12.75" customHeight="1">
      <c r="H3406" s="43" t="n"/>
      <c r="AG3406" s="49">
        <f>IFERROR(__xludf.DUMMYFUNCTION("IFNA(vlookup(H3406,IMPORTRANGE(""1vUGwO1n0QQGx9kKbO0_M5gmuhXZ6-LaxQxgrmJnzgP0"",""'TP# look up'!A:C""),3,0),"""")"),"")</f>
        <v/>
      </c>
      <c r="AH3406" s="49">
        <f>LEFT(J3406,2)</f>
        <v/>
      </c>
    </row>
    <row r="3407" ht="12.75" customHeight="1">
      <c r="H3407" s="43" t="n"/>
      <c r="AG3407" s="49">
        <f>IFERROR(__xludf.DUMMYFUNCTION("IFNA(vlookup(H3407,IMPORTRANGE(""1vUGwO1n0QQGx9kKbO0_M5gmuhXZ6-LaxQxgrmJnzgP0"",""'TP# look up'!A:C""),3,0),"""")"),"")</f>
        <v/>
      </c>
      <c r="AH3407" s="49">
        <f>LEFT(J3407,2)</f>
        <v/>
      </c>
    </row>
    <row r="3408" ht="12.75" customHeight="1">
      <c r="H3408" s="43" t="n"/>
      <c r="AG3408" s="49">
        <f>IFERROR(__xludf.DUMMYFUNCTION("IFNA(vlookup(H3408,IMPORTRANGE(""1vUGwO1n0QQGx9kKbO0_M5gmuhXZ6-LaxQxgrmJnzgP0"",""'TP# look up'!A:C""),3,0),"""")"),"")</f>
        <v/>
      </c>
      <c r="AH3408" s="49">
        <f>LEFT(J3408,2)</f>
        <v/>
      </c>
    </row>
    <row r="3409" ht="12.75" customHeight="1">
      <c r="H3409" s="43" t="n"/>
      <c r="AG3409" s="49">
        <f>IFERROR(__xludf.DUMMYFUNCTION("IFNA(vlookup(H3409,IMPORTRANGE(""1vUGwO1n0QQGx9kKbO0_M5gmuhXZ6-LaxQxgrmJnzgP0"",""'TP# look up'!A:C""),3,0),"""")"),"")</f>
        <v/>
      </c>
      <c r="AH3409" s="49">
        <f>LEFT(J3409,2)</f>
        <v/>
      </c>
    </row>
    <row r="3410" ht="12.75" customHeight="1">
      <c r="H3410" s="43" t="n"/>
      <c r="AG3410" s="49">
        <f>IFERROR(__xludf.DUMMYFUNCTION("IFNA(vlookup(H3410,IMPORTRANGE(""1vUGwO1n0QQGx9kKbO0_M5gmuhXZ6-LaxQxgrmJnzgP0"",""'TP# look up'!A:C""),3,0),"""")"),"")</f>
        <v/>
      </c>
      <c r="AH3410" s="49">
        <f>LEFT(J3410,2)</f>
        <v/>
      </c>
    </row>
    <row r="3411" ht="12.75" customHeight="1">
      <c r="H3411" s="43" t="n"/>
      <c r="AG3411" s="49">
        <f>IFERROR(__xludf.DUMMYFUNCTION("IFNA(vlookup(H3411,IMPORTRANGE(""1vUGwO1n0QQGx9kKbO0_M5gmuhXZ6-LaxQxgrmJnzgP0"",""'TP# look up'!A:C""),3,0),"""")"),"")</f>
        <v/>
      </c>
      <c r="AH3411" s="49">
        <f>LEFT(J3411,2)</f>
        <v/>
      </c>
    </row>
    <row r="3412" ht="12.75" customHeight="1">
      <c r="H3412" s="43" t="n"/>
      <c r="AG3412" s="49">
        <f>IFERROR(__xludf.DUMMYFUNCTION("IFNA(vlookup(H3412,IMPORTRANGE(""1vUGwO1n0QQGx9kKbO0_M5gmuhXZ6-LaxQxgrmJnzgP0"",""'TP# look up'!A:C""),3,0),"""")"),"")</f>
        <v/>
      </c>
      <c r="AH3412" s="49">
        <f>LEFT(J3412,2)</f>
        <v/>
      </c>
    </row>
    <row r="3413" ht="12.75" customHeight="1">
      <c r="H3413" s="43" t="n"/>
      <c r="AG3413" s="49">
        <f>IFERROR(__xludf.DUMMYFUNCTION("IFNA(vlookup(H3413,IMPORTRANGE(""1vUGwO1n0QQGx9kKbO0_M5gmuhXZ6-LaxQxgrmJnzgP0"",""'TP# look up'!A:C""),3,0),"""")"),"")</f>
        <v/>
      </c>
      <c r="AH3413" s="49">
        <f>LEFT(J3413,2)</f>
        <v/>
      </c>
    </row>
    <row r="3414" ht="12.75" customHeight="1">
      <c r="H3414" s="43" t="n"/>
      <c r="AG3414" s="49">
        <f>IFERROR(__xludf.DUMMYFUNCTION("IFNA(vlookup(H3414,IMPORTRANGE(""1vUGwO1n0QQGx9kKbO0_M5gmuhXZ6-LaxQxgrmJnzgP0"",""'TP# look up'!A:C""),3,0),"""")"),"")</f>
        <v/>
      </c>
      <c r="AH3414" s="49">
        <f>LEFT(J3414,2)</f>
        <v/>
      </c>
    </row>
    <row r="3415" ht="12.75" customHeight="1">
      <c r="H3415" s="43" t="n"/>
      <c r="AG3415" s="49">
        <f>IFERROR(__xludf.DUMMYFUNCTION("IFNA(vlookup(H3415,IMPORTRANGE(""1vUGwO1n0QQGx9kKbO0_M5gmuhXZ6-LaxQxgrmJnzgP0"",""'TP# look up'!A:C""),3,0),"""")"),"")</f>
        <v/>
      </c>
      <c r="AH3415" s="49">
        <f>LEFT(J3415,2)</f>
        <v/>
      </c>
    </row>
    <row r="3416" ht="12.75" customHeight="1">
      <c r="H3416" s="43" t="n"/>
      <c r="AG3416" s="49">
        <f>IFERROR(__xludf.DUMMYFUNCTION("IFNA(vlookup(H3416,IMPORTRANGE(""1vUGwO1n0QQGx9kKbO0_M5gmuhXZ6-LaxQxgrmJnzgP0"",""'TP# look up'!A:C""),3,0),"""")"),"")</f>
        <v/>
      </c>
      <c r="AH3416" s="49">
        <f>LEFT(J3416,2)</f>
        <v/>
      </c>
    </row>
    <row r="3417" ht="12.75" customHeight="1">
      <c r="H3417" s="43" t="n"/>
      <c r="AG3417" s="49">
        <f>IFERROR(__xludf.DUMMYFUNCTION("IFNA(vlookup(H3417,IMPORTRANGE(""1vUGwO1n0QQGx9kKbO0_M5gmuhXZ6-LaxQxgrmJnzgP0"",""'TP# look up'!A:C""),3,0),"""")"),"")</f>
        <v/>
      </c>
      <c r="AH3417" s="49">
        <f>LEFT(J3417,2)</f>
        <v/>
      </c>
    </row>
    <row r="3418" ht="12.75" customHeight="1">
      <c r="H3418" s="43" t="n"/>
      <c r="AG3418" s="49">
        <f>IFERROR(__xludf.DUMMYFUNCTION("IFNA(vlookup(H3418,IMPORTRANGE(""1vUGwO1n0QQGx9kKbO0_M5gmuhXZ6-LaxQxgrmJnzgP0"",""'TP# look up'!A:C""),3,0),"""")"),"")</f>
        <v/>
      </c>
      <c r="AH3418" s="49">
        <f>LEFT(J3418,2)</f>
        <v/>
      </c>
    </row>
    <row r="3419" ht="12.75" customHeight="1">
      <c r="H3419" s="43" t="n"/>
      <c r="AG3419" s="49">
        <f>IFERROR(__xludf.DUMMYFUNCTION("IFNA(vlookup(H3419,IMPORTRANGE(""1vUGwO1n0QQGx9kKbO0_M5gmuhXZ6-LaxQxgrmJnzgP0"",""'TP# look up'!A:C""),3,0),"""")"),"")</f>
        <v/>
      </c>
      <c r="AH3419" s="49">
        <f>LEFT(J3419,2)</f>
        <v/>
      </c>
    </row>
    <row r="3420" ht="12.75" customHeight="1">
      <c r="H3420" s="43" t="n"/>
      <c r="AG3420" s="49">
        <f>IFERROR(__xludf.DUMMYFUNCTION("IFNA(vlookup(H3420,IMPORTRANGE(""1vUGwO1n0QQGx9kKbO0_M5gmuhXZ6-LaxQxgrmJnzgP0"",""'TP# look up'!A:C""),3,0),"""")"),"")</f>
        <v/>
      </c>
      <c r="AH3420" s="49">
        <f>LEFT(J3420,2)</f>
        <v/>
      </c>
    </row>
    <row r="3421" ht="12.75" customHeight="1">
      <c r="H3421" s="43" t="n"/>
      <c r="AG3421" s="49">
        <f>IFERROR(__xludf.DUMMYFUNCTION("IFNA(vlookup(H3421,IMPORTRANGE(""1vUGwO1n0QQGx9kKbO0_M5gmuhXZ6-LaxQxgrmJnzgP0"",""'TP# look up'!A:C""),3,0),"""")"),"")</f>
        <v/>
      </c>
      <c r="AH3421" s="49">
        <f>LEFT(J3421,2)</f>
        <v/>
      </c>
    </row>
    <row r="3422" ht="12.75" customHeight="1">
      <c r="H3422" s="43" t="n"/>
      <c r="AG3422" s="49">
        <f>IFERROR(__xludf.DUMMYFUNCTION("IFNA(vlookup(H3422,IMPORTRANGE(""1vUGwO1n0QQGx9kKbO0_M5gmuhXZ6-LaxQxgrmJnzgP0"",""'TP# look up'!A:C""),3,0),"""")"),"")</f>
        <v/>
      </c>
      <c r="AH3422" s="49">
        <f>LEFT(J3422,2)</f>
        <v/>
      </c>
    </row>
    <row r="3423" ht="12.75" customHeight="1">
      <c r="H3423" s="43" t="n"/>
      <c r="AG3423" s="49">
        <f>IFERROR(__xludf.DUMMYFUNCTION("IFNA(vlookup(H3423,IMPORTRANGE(""1vUGwO1n0QQGx9kKbO0_M5gmuhXZ6-LaxQxgrmJnzgP0"",""'TP# look up'!A:C""),3,0),"""")"),"")</f>
        <v/>
      </c>
      <c r="AH3423" s="49">
        <f>LEFT(J3423,2)</f>
        <v/>
      </c>
    </row>
    <row r="3424" ht="12.75" customHeight="1">
      <c r="H3424" s="43" t="n"/>
      <c r="AG3424" s="49">
        <f>IFERROR(__xludf.DUMMYFUNCTION("IFNA(vlookup(H3424,IMPORTRANGE(""1vUGwO1n0QQGx9kKbO0_M5gmuhXZ6-LaxQxgrmJnzgP0"",""'TP# look up'!A:C""),3,0),"""")"),"")</f>
        <v/>
      </c>
      <c r="AH3424" s="49">
        <f>LEFT(J3424,2)</f>
        <v/>
      </c>
    </row>
    <row r="3425" ht="12.75" customHeight="1">
      <c r="H3425" s="43" t="n"/>
      <c r="AG3425" s="49">
        <f>IFERROR(__xludf.DUMMYFUNCTION("IFNA(vlookup(H3425,IMPORTRANGE(""1vUGwO1n0QQGx9kKbO0_M5gmuhXZ6-LaxQxgrmJnzgP0"",""'TP# look up'!A:C""),3,0),"""")"),"")</f>
        <v/>
      </c>
      <c r="AH3425" s="49">
        <f>LEFT(J3425,2)</f>
        <v/>
      </c>
    </row>
    <row r="3426" ht="12.75" customHeight="1">
      <c r="H3426" s="43" t="n"/>
      <c r="AG3426" s="49">
        <f>IFERROR(__xludf.DUMMYFUNCTION("IFNA(vlookup(H3426,IMPORTRANGE(""1vUGwO1n0QQGx9kKbO0_M5gmuhXZ6-LaxQxgrmJnzgP0"",""'TP# look up'!A:C""),3,0),"""")"),"")</f>
        <v/>
      </c>
      <c r="AH3426" s="49">
        <f>LEFT(J3426,2)</f>
        <v/>
      </c>
    </row>
    <row r="3427" ht="12.75" customHeight="1">
      <c r="H3427" s="43" t="n"/>
      <c r="AG3427" s="49">
        <f>IFERROR(__xludf.DUMMYFUNCTION("IFNA(vlookup(H3427,IMPORTRANGE(""1vUGwO1n0QQGx9kKbO0_M5gmuhXZ6-LaxQxgrmJnzgP0"",""'TP# look up'!A:C""),3,0),"""")"),"")</f>
        <v/>
      </c>
      <c r="AH3427" s="49">
        <f>LEFT(J3427,2)</f>
        <v/>
      </c>
    </row>
    <row r="3428" ht="12.75" customHeight="1">
      <c r="H3428" s="43" t="n"/>
      <c r="AG3428" s="49">
        <f>IFERROR(__xludf.DUMMYFUNCTION("IFNA(vlookup(H3428,IMPORTRANGE(""1vUGwO1n0QQGx9kKbO0_M5gmuhXZ6-LaxQxgrmJnzgP0"",""'TP# look up'!A:C""),3,0),"""")"),"")</f>
        <v/>
      </c>
      <c r="AH3428" s="49">
        <f>LEFT(J3428,2)</f>
        <v/>
      </c>
    </row>
    <row r="3429" ht="12.75" customHeight="1">
      <c r="H3429" s="43" t="n"/>
      <c r="AG3429" s="49">
        <f>IFERROR(__xludf.DUMMYFUNCTION("IFNA(vlookup(H3429,IMPORTRANGE(""1vUGwO1n0QQGx9kKbO0_M5gmuhXZ6-LaxQxgrmJnzgP0"",""'TP# look up'!A:C""),3,0),"""")"),"")</f>
        <v/>
      </c>
      <c r="AH3429" s="49">
        <f>LEFT(J3429,2)</f>
        <v/>
      </c>
    </row>
    <row r="3430" ht="12.75" customHeight="1">
      <c r="H3430" s="43" t="n"/>
      <c r="AG3430" s="49">
        <f>IFERROR(__xludf.DUMMYFUNCTION("IFNA(vlookup(H3430,IMPORTRANGE(""1vUGwO1n0QQGx9kKbO0_M5gmuhXZ6-LaxQxgrmJnzgP0"",""'TP# look up'!A:C""),3,0),"""")"),"")</f>
        <v/>
      </c>
      <c r="AH3430" s="49">
        <f>LEFT(J3430,2)</f>
        <v/>
      </c>
    </row>
    <row r="3431" ht="12.75" customHeight="1">
      <c r="H3431" s="43" t="n"/>
      <c r="AG3431" s="49">
        <f>IFERROR(__xludf.DUMMYFUNCTION("IFNA(vlookup(H3431,IMPORTRANGE(""1vUGwO1n0QQGx9kKbO0_M5gmuhXZ6-LaxQxgrmJnzgP0"",""'TP# look up'!A:C""),3,0),"""")"),"")</f>
        <v/>
      </c>
      <c r="AH3431" s="49">
        <f>LEFT(J3431,2)</f>
        <v/>
      </c>
    </row>
    <row r="3432" ht="12.75" customHeight="1">
      <c r="H3432" s="43" t="n"/>
      <c r="AG3432" s="49">
        <f>IFERROR(__xludf.DUMMYFUNCTION("IFNA(vlookup(H3432,IMPORTRANGE(""1vUGwO1n0QQGx9kKbO0_M5gmuhXZ6-LaxQxgrmJnzgP0"",""'TP# look up'!A:C""),3,0),"""")"),"")</f>
        <v/>
      </c>
      <c r="AH3432" s="49">
        <f>LEFT(J3432,2)</f>
        <v/>
      </c>
    </row>
    <row r="3433" ht="12.75" customHeight="1">
      <c r="H3433" s="43" t="n"/>
      <c r="AG3433" s="49">
        <f>IFERROR(__xludf.DUMMYFUNCTION("IFNA(vlookup(H3433,IMPORTRANGE(""1vUGwO1n0QQGx9kKbO0_M5gmuhXZ6-LaxQxgrmJnzgP0"",""'TP# look up'!A:C""),3,0),"""")"),"")</f>
        <v/>
      </c>
      <c r="AH3433" s="49">
        <f>LEFT(J3433,2)</f>
        <v/>
      </c>
    </row>
    <row r="3434" ht="12.75" customHeight="1">
      <c r="H3434" s="43" t="n"/>
      <c r="AG3434" s="49">
        <f>IFERROR(__xludf.DUMMYFUNCTION("IFNA(vlookup(H3434,IMPORTRANGE(""1vUGwO1n0QQGx9kKbO0_M5gmuhXZ6-LaxQxgrmJnzgP0"",""'TP# look up'!A:C""),3,0),"""")"),"")</f>
        <v/>
      </c>
      <c r="AH3434" s="49">
        <f>LEFT(J3434,2)</f>
        <v/>
      </c>
    </row>
    <row r="3435" ht="12.75" customHeight="1">
      <c r="H3435" s="43" t="n"/>
      <c r="AG3435" s="49">
        <f>IFERROR(__xludf.DUMMYFUNCTION("IFNA(vlookup(H3435,IMPORTRANGE(""1vUGwO1n0QQGx9kKbO0_M5gmuhXZ6-LaxQxgrmJnzgP0"",""'TP# look up'!A:C""),3,0),"""")"),"")</f>
        <v/>
      </c>
      <c r="AH3435" s="49">
        <f>LEFT(J3435,2)</f>
        <v/>
      </c>
    </row>
    <row r="3436" ht="12.75" customHeight="1">
      <c r="H3436" s="43" t="n"/>
      <c r="AG3436" s="49">
        <f>IFERROR(__xludf.DUMMYFUNCTION("IFNA(vlookup(H3436,IMPORTRANGE(""1vUGwO1n0QQGx9kKbO0_M5gmuhXZ6-LaxQxgrmJnzgP0"",""'TP# look up'!A:C""),3,0),"""")"),"")</f>
        <v/>
      </c>
      <c r="AH3436" s="49">
        <f>LEFT(J3436,2)</f>
        <v/>
      </c>
    </row>
    <row r="3437" ht="12.75" customHeight="1">
      <c r="H3437" s="43" t="n"/>
      <c r="AG3437" s="49">
        <f>IFERROR(__xludf.DUMMYFUNCTION("IFNA(vlookup(H3437,IMPORTRANGE(""1vUGwO1n0QQGx9kKbO0_M5gmuhXZ6-LaxQxgrmJnzgP0"",""'TP# look up'!A:C""),3,0),"""")"),"")</f>
        <v/>
      </c>
      <c r="AH3437" s="49">
        <f>LEFT(J3437,2)</f>
        <v/>
      </c>
    </row>
    <row r="3438" ht="12.75" customHeight="1">
      <c r="H3438" s="43" t="n"/>
      <c r="AG3438" s="49">
        <f>IFERROR(__xludf.DUMMYFUNCTION("IFNA(vlookup(H3438,IMPORTRANGE(""1vUGwO1n0QQGx9kKbO0_M5gmuhXZ6-LaxQxgrmJnzgP0"",""'TP# look up'!A:C""),3,0),"""")"),"")</f>
        <v/>
      </c>
      <c r="AH3438" s="49">
        <f>LEFT(J3438,2)</f>
        <v/>
      </c>
    </row>
    <row r="3439" ht="12.75" customHeight="1">
      <c r="H3439" s="43" t="n"/>
      <c r="AG3439" s="49">
        <f>IFERROR(__xludf.DUMMYFUNCTION("IFNA(vlookup(H3439,IMPORTRANGE(""1vUGwO1n0QQGx9kKbO0_M5gmuhXZ6-LaxQxgrmJnzgP0"",""'TP# look up'!A:C""),3,0),"""")"),"")</f>
        <v/>
      </c>
      <c r="AH3439" s="49">
        <f>LEFT(J3439,2)</f>
        <v/>
      </c>
    </row>
    <row r="3440" ht="12.75" customHeight="1">
      <c r="H3440" s="43" t="n"/>
      <c r="AG3440" s="49">
        <f>IFERROR(__xludf.DUMMYFUNCTION("IFNA(vlookup(H3440,IMPORTRANGE(""1vUGwO1n0QQGx9kKbO0_M5gmuhXZ6-LaxQxgrmJnzgP0"",""'TP# look up'!A:C""),3,0),"""")"),"")</f>
        <v/>
      </c>
      <c r="AH3440" s="49">
        <f>LEFT(J3440,2)</f>
        <v/>
      </c>
    </row>
    <row r="3441" ht="12.75" customHeight="1">
      <c r="H3441" s="43" t="n"/>
      <c r="AG3441" s="49">
        <f>IFERROR(__xludf.DUMMYFUNCTION("IFNA(vlookup(H3441,IMPORTRANGE(""1vUGwO1n0QQGx9kKbO0_M5gmuhXZ6-LaxQxgrmJnzgP0"",""'TP# look up'!A:C""),3,0),"""")"),"")</f>
        <v/>
      </c>
      <c r="AH3441" s="49">
        <f>LEFT(J3441,2)</f>
        <v/>
      </c>
    </row>
    <row r="3442" ht="12.75" customHeight="1">
      <c r="H3442" s="43" t="n"/>
      <c r="AG3442" s="49">
        <f>IFERROR(__xludf.DUMMYFUNCTION("IFNA(vlookup(H3442,IMPORTRANGE(""1vUGwO1n0QQGx9kKbO0_M5gmuhXZ6-LaxQxgrmJnzgP0"",""'TP# look up'!A:C""),3,0),"""")"),"")</f>
        <v/>
      </c>
      <c r="AH3442" s="49">
        <f>LEFT(J3442,2)</f>
        <v/>
      </c>
    </row>
    <row r="3443" ht="12.75" customHeight="1">
      <c r="H3443" s="43" t="n"/>
      <c r="AG3443" s="49">
        <f>IFERROR(__xludf.DUMMYFUNCTION("IFNA(vlookup(H3443,IMPORTRANGE(""1vUGwO1n0QQGx9kKbO0_M5gmuhXZ6-LaxQxgrmJnzgP0"",""'TP# look up'!A:C""),3,0),"""")"),"")</f>
        <v/>
      </c>
      <c r="AH3443" s="49">
        <f>LEFT(J3443,2)</f>
        <v/>
      </c>
    </row>
    <row r="3444" ht="12.75" customHeight="1">
      <c r="H3444" s="43" t="n"/>
      <c r="AG3444" s="49">
        <f>IFERROR(__xludf.DUMMYFUNCTION("IFNA(vlookup(H3444,IMPORTRANGE(""1vUGwO1n0QQGx9kKbO0_M5gmuhXZ6-LaxQxgrmJnzgP0"",""'TP# look up'!A:C""),3,0),"""")"),"")</f>
        <v/>
      </c>
      <c r="AH3444" s="49">
        <f>LEFT(J3444,2)</f>
        <v/>
      </c>
    </row>
    <row r="3445" ht="12.75" customHeight="1">
      <c r="H3445" s="43" t="n"/>
      <c r="AG3445" s="49">
        <f>IFERROR(__xludf.DUMMYFUNCTION("IFNA(vlookup(H3445,IMPORTRANGE(""1vUGwO1n0QQGx9kKbO0_M5gmuhXZ6-LaxQxgrmJnzgP0"",""'TP# look up'!A:C""),3,0),"""")"),"")</f>
        <v/>
      </c>
      <c r="AH3445" s="49">
        <f>LEFT(J3445,2)</f>
        <v/>
      </c>
    </row>
    <row r="3446" ht="12.75" customHeight="1">
      <c r="H3446" s="43" t="n"/>
      <c r="AG3446" s="49">
        <f>IFERROR(__xludf.DUMMYFUNCTION("IFNA(vlookup(H3446,IMPORTRANGE(""1vUGwO1n0QQGx9kKbO0_M5gmuhXZ6-LaxQxgrmJnzgP0"",""'TP# look up'!A:C""),3,0),"""")"),"")</f>
        <v/>
      </c>
      <c r="AH3446" s="49">
        <f>LEFT(J3446,2)</f>
        <v/>
      </c>
    </row>
    <row r="3447" ht="12.75" customHeight="1">
      <c r="H3447" s="43" t="n"/>
      <c r="AG3447" s="49">
        <f>IFERROR(__xludf.DUMMYFUNCTION("IFNA(vlookup(H3447,IMPORTRANGE(""1vUGwO1n0QQGx9kKbO0_M5gmuhXZ6-LaxQxgrmJnzgP0"",""'TP# look up'!A:C""),3,0),"""")"),"")</f>
        <v/>
      </c>
      <c r="AH3447" s="49">
        <f>LEFT(J3447,2)</f>
        <v/>
      </c>
    </row>
    <row r="3448" ht="12.75" customHeight="1">
      <c r="H3448" s="43" t="n"/>
      <c r="AG3448" s="49">
        <f>IFERROR(__xludf.DUMMYFUNCTION("IFNA(vlookup(H3448,IMPORTRANGE(""1vUGwO1n0QQGx9kKbO0_M5gmuhXZ6-LaxQxgrmJnzgP0"",""'TP# look up'!A:C""),3,0),"""")"),"")</f>
        <v/>
      </c>
      <c r="AH3448" s="49">
        <f>LEFT(J3448,2)</f>
        <v/>
      </c>
    </row>
    <row r="3449" ht="12.75" customHeight="1">
      <c r="H3449" s="43" t="n"/>
      <c r="AG3449" s="49">
        <f>IFERROR(__xludf.DUMMYFUNCTION("IFNA(vlookup(H3449,IMPORTRANGE(""1vUGwO1n0QQGx9kKbO0_M5gmuhXZ6-LaxQxgrmJnzgP0"",""'TP# look up'!A:C""),3,0),"""")"),"")</f>
        <v/>
      </c>
      <c r="AH3449" s="49">
        <f>LEFT(J3449,2)</f>
        <v/>
      </c>
    </row>
    <row r="3450" ht="12.75" customHeight="1">
      <c r="H3450" s="43" t="n"/>
      <c r="AG3450" s="49">
        <f>IFERROR(__xludf.DUMMYFUNCTION("IFNA(vlookup(H3450,IMPORTRANGE(""1vUGwO1n0QQGx9kKbO0_M5gmuhXZ6-LaxQxgrmJnzgP0"",""'TP# look up'!A:C""),3,0),"""")"),"")</f>
        <v/>
      </c>
      <c r="AH3450" s="49">
        <f>LEFT(J3450,2)</f>
        <v/>
      </c>
    </row>
    <row r="3451" ht="12.75" customHeight="1">
      <c r="H3451" s="43" t="n"/>
      <c r="AG3451" s="49">
        <f>IFERROR(__xludf.DUMMYFUNCTION("IFNA(vlookup(H3451,IMPORTRANGE(""1vUGwO1n0QQGx9kKbO0_M5gmuhXZ6-LaxQxgrmJnzgP0"",""'TP# look up'!A:C""),3,0),"""")"),"")</f>
        <v/>
      </c>
      <c r="AH3451" s="49">
        <f>LEFT(J3451,2)</f>
        <v/>
      </c>
    </row>
    <row r="3452" ht="12.75" customHeight="1">
      <c r="H3452" s="43" t="n"/>
      <c r="AG3452" s="49">
        <f>IFERROR(__xludf.DUMMYFUNCTION("IFNA(vlookup(H3452,IMPORTRANGE(""1vUGwO1n0QQGx9kKbO0_M5gmuhXZ6-LaxQxgrmJnzgP0"",""'TP# look up'!A:C""),3,0),"""")"),"")</f>
        <v/>
      </c>
      <c r="AH3452" s="49">
        <f>LEFT(J3452,2)</f>
        <v/>
      </c>
    </row>
    <row r="3453" ht="12.75" customHeight="1">
      <c r="H3453" s="43" t="n"/>
      <c r="AG3453" s="49">
        <f>IFERROR(__xludf.DUMMYFUNCTION("IFNA(vlookup(H3453,IMPORTRANGE(""1vUGwO1n0QQGx9kKbO0_M5gmuhXZ6-LaxQxgrmJnzgP0"",""'TP# look up'!A:C""),3,0),"""")"),"")</f>
        <v/>
      </c>
      <c r="AH3453" s="49">
        <f>LEFT(J3453,2)</f>
        <v/>
      </c>
    </row>
    <row r="3454" ht="12.75" customHeight="1">
      <c r="H3454" s="43" t="n"/>
      <c r="AG3454" s="49">
        <f>IFERROR(__xludf.DUMMYFUNCTION("IFNA(vlookup(H3454,IMPORTRANGE(""1vUGwO1n0QQGx9kKbO0_M5gmuhXZ6-LaxQxgrmJnzgP0"",""'TP# look up'!A:C""),3,0),"""")"),"")</f>
        <v/>
      </c>
      <c r="AH3454" s="49">
        <f>LEFT(J3454,2)</f>
        <v/>
      </c>
    </row>
    <row r="3455" ht="12.75" customHeight="1">
      <c r="H3455" s="43" t="n"/>
      <c r="AG3455" s="49">
        <f>IFERROR(__xludf.DUMMYFUNCTION("IFNA(vlookup(H3455,IMPORTRANGE(""1vUGwO1n0QQGx9kKbO0_M5gmuhXZ6-LaxQxgrmJnzgP0"",""'TP# look up'!A:C""),3,0),"""")"),"")</f>
        <v/>
      </c>
      <c r="AH3455" s="49">
        <f>LEFT(J3455,2)</f>
        <v/>
      </c>
    </row>
    <row r="3456" ht="12.75" customHeight="1">
      <c r="H3456" s="43" t="n"/>
      <c r="AG3456" s="49">
        <f>IFERROR(__xludf.DUMMYFUNCTION("IFNA(vlookup(H3456,IMPORTRANGE(""1vUGwO1n0QQGx9kKbO0_M5gmuhXZ6-LaxQxgrmJnzgP0"",""'TP# look up'!A:C""),3,0),"""")"),"")</f>
        <v/>
      </c>
      <c r="AH3456" s="49">
        <f>LEFT(J3456,2)</f>
        <v/>
      </c>
    </row>
    <row r="3457" ht="12.75" customHeight="1">
      <c r="H3457" s="43" t="n"/>
      <c r="AG3457" s="49">
        <f>IFERROR(__xludf.DUMMYFUNCTION("IFNA(vlookup(H3457,IMPORTRANGE(""1vUGwO1n0QQGx9kKbO0_M5gmuhXZ6-LaxQxgrmJnzgP0"",""'TP# look up'!A:C""),3,0),"""")"),"")</f>
        <v/>
      </c>
      <c r="AH3457" s="49">
        <f>LEFT(J3457,2)</f>
        <v/>
      </c>
    </row>
    <row r="3458" ht="12.75" customHeight="1">
      <c r="H3458" s="43" t="n"/>
      <c r="AG3458" s="49">
        <f>IFERROR(__xludf.DUMMYFUNCTION("IFNA(vlookup(H3458,IMPORTRANGE(""1vUGwO1n0QQGx9kKbO0_M5gmuhXZ6-LaxQxgrmJnzgP0"",""'TP# look up'!A:C""),3,0),"""")"),"")</f>
        <v/>
      </c>
      <c r="AH3458" s="49">
        <f>LEFT(J3458,2)</f>
        <v/>
      </c>
    </row>
    <row r="3459" ht="12.75" customHeight="1">
      <c r="H3459" s="43" t="n"/>
      <c r="AG3459" s="49">
        <f>IFERROR(__xludf.DUMMYFUNCTION("IFNA(vlookup(H3459,IMPORTRANGE(""1vUGwO1n0QQGx9kKbO0_M5gmuhXZ6-LaxQxgrmJnzgP0"",""'TP# look up'!A:C""),3,0),"""")"),"")</f>
        <v/>
      </c>
      <c r="AH3459" s="49">
        <f>LEFT(J3459,2)</f>
        <v/>
      </c>
    </row>
    <row r="3460" ht="12.75" customHeight="1">
      <c r="H3460" s="43" t="n"/>
      <c r="AG3460" s="49">
        <f>IFERROR(__xludf.DUMMYFUNCTION("IFNA(vlookup(H3460,IMPORTRANGE(""1vUGwO1n0QQGx9kKbO0_M5gmuhXZ6-LaxQxgrmJnzgP0"",""'TP# look up'!A:C""),3,0),"""")"),"")</f>
        <v/>
      </c>
      <c r="AH3460" s="49">
        <f>LEFT(J3460,2)</f>
        <v/>
      </c>
    </row>
    <row r="3461" ht="12.75" customHeight="1">
      <c r="H3461" s="43" t="n"/>
      <c r="AG3461" s="49">
        <f>IFERROR(__xludf.DUMMYFUNCTION("IFNA(vlookup(H3461,IMPORTRANGE(""1vUGwO1n0QQGx9kKbO0_M5gmuhXZ6-LaxQxgrmJnzgP0"",""'TP# look up'!A:C""),3,0),"""")"),"")</f>
        <v/>
      </c>
      <c r="AH3461" s="49">
        <f>LEFT(J3461,2)</f>
        <v/>
      </c>
    </row>
    <row r="3462" ht="12.75" customHeight="1">
      <c r="H3462" s="43" t="n"/>
      <c r="AG3462" s="49">
        <f>IFERROR(__xludf.DUMMYFUNCTION("IFNA(vlookup(H3462,IMPORTRANGE(""1vUGwO1n0QQGx9kKbO0_M5gmuhXZ6-LaxQxgrmJnzgP0"",""'TP# look up'!A:C""),3,0),"""")"),"")</f>
        <v/>
      </c>
      <c r="AH3462" s="49">
        <f>LEFT(J3462,2)</f>
        <v/>
      </c>
    </row>
    <row r="3463" ht="12.75" customHeight="1">
      <c r="H3463" s="43" t="n"/>
      <c r="AG3463" s="49">
        <f>IFERROR(__xludf.DUMMYFUNCTION("IFNA(vlookup(H3463,IMPORTRANGE(""1vUGwO1n0QQGx9kKbO0_M5gmuhXZ6-LaxQxgrmJnzgP0"",""'TP# look up'!A:C""),3,0),"""")"),"")</f>
        <v/>
      </c>
      <c r="AH3463" s="49">
        <f>LEFT(J3463,2)</f>
        <v/>
      </c>
    </row>
    <row r="3464" ht="12.75" customHeight="1">
      <c r="H3464" s="43" t="n"/>
      <c r="AG3464" s="49">
        <f>IFERROR(__xludf.DUMMYFUNCTION("IFNA(vlookup(H3464,IMPORTRANGE(""1vUGwO1n0QQGx9kKbO0_M5gmuhXZ6-LaxQxgrmJnzgP0"",""'TP# look up'!A:C""),3,0),"""")"),"")</f>
        <v/>
      </c>
      <c r="AH3464" s="49">
        <f>LEFT(J3464,2)</f>
        <v/>
      </c>
    </row>
    <row r="3465" ht="12.75" customHeight="1">
      <c r="H3465" s="43" t="n"/>
      <c r="AG3465" s="49">
        <f>IFERROR(__xludf.DUMMYFUNCTION("IFNA(vlookup(H3465,IMPORTRANGE(""1vUGwO1n0QQGx9kKbO0_M5gmuhXZ6-LaxQxgrmJnzgP0"",""'TP# look up'!A:C""),3,0),"""")"),"")</f>
        <v/>
      </c>
      <c r="AH3465" s="49">
        <f>LEFT(J3465,2)</f>
        <v/>
      </c>
    </row>
    <row r="3466" ht="12.75" customHeight="1">
      <c r="H3466" s="43" t="n"/>
      <c r="AG3466" s="49">
        <f>IFERROR(__xludf.DUMMYFUNCTION("IFNA(vlookup(H3466,IMPORTRANGE(""1vUGwO1n0QQGx9kKbO0_M5gmuhXZ6-LaxQxgrmJnzgP0"",""'TP# look up'!A:C""),3,0),"""")"),"")</f>
        <v/>
      </c>
      <c r="AH3466" s="49">
        <f>LEFT(J3466,2)</f>
        <v/>
      </c>
    </row>
    <row r="3467" ht="12.75" customHeight="1">
      <c r="H3467" s="43" t="n"/>
      <c r="AG3467" s="49">
        <f>IFERROR(__xludf.DUMMYFUNCTION("IFNA(vlookup(H3467,IMPORTRANGE(""1vUGwO1n0QQGx9kKbO0_M5gmuhXZ6-LaxQxgrmJnzgP0"",""'TP# look up'!A:C""),3,0),"""")"),"")</f>
        <v/>
      </c>
      <c r="AH3467" s="49">
        <f>LEFT(J3467,2)</f>
        <v/>
      </c>
    </row>
    <row r="3468" ht="12.75" customHeight="1">
      <c r="H3468" s="43" t="n"/>
      <c r="AG3468" s="49">
        <f>IFERROR(__xludf.DUMMYFUNCTION("IFNA(vlookup(H3468,IMPORTRANGE(""1vUGwO1n0QQGx9kKbO0_M5gmuhXZ6-LaxQxgrmJnzgP0"",""'TP# look up'!A:C""),3,0),"""")"),"")</f>
        <v/>
      </c>
      <c r="AH3468" s="49">
        <f>LEFT(J3468,2)</f>
        <v/>
      </c>
    </row>
    <row r="3469" ht="12.75" customHeight="1">
      <c r="H3469" s="43" t="n"/>
      <c r="AG3469" s="49">
        <f>IFERROR(__xludf.DUMMYFUNCTION("IFNA(vlookup(H3469,IMPORTRANGE(""1vUGwO1n0QQGx9kKbO0_M5gmuhXZ6-LaxQxgrmJnzgP0"",""'TP# look up'!A:C""),3,0),"""")"),"")</f>
        <v/>
      </c>
      <c r="AH3469" s="49">
        <f>LEFT(J3469,2)</f>
        <v/>
      </c>
    </row>
    <row r="3470" ht="12.75" customHeight="1">
      <c r="H3470" s="43" t="n"/>
      <c r="AG3470" s="49">
        <f>IFERROR(__xludf.DUMMYFUNCTION("IFNA(vlookup(H3470,IMPORTRANGE(""1vUGwO1n0QQGx9kKbO0_M5gmuhXZ6-LaxQxgrmJnzgP0"",""'TP# look up'!A:C""),3,0),"""")"),"")</f>
        <v/>
      </c>
      <c r="AH3470" s="49">
        <f>LEFT(J3470,2)</f>
        <v/>
      </c>
    </row>
    <row r="3471" ht="12.75" customHeight="1">
      <c r="H3471" s="43" t="n"/>
      <c r="AG3471" s="49">
        <f>IFERROR(__xludf.DUMMYFUNCTION("IFNA(vlookup(H3471,IMPORTRANGE(""1vUGwO1n0QQGx9kKbO0_M5gmuhXZ6-LaxQxgrmJnzgP0"",""'TP# look up'!A:C""),3,0),"""")"),"")</f>
        <v/>
      </c>
      <c r="AH3471" s="49">
        <f>LEFT(J3471,2)</f>
        <v/>
      </c>
    </row>
    <row r="3472" ht="12.75" customHeight="1">
      <c r="H3472" s="43" t="n"/>
      <c r="AG3472" s="49">
        <f>IFERROR(__xludf.DUMMYFUNCTION("IFNA(vlookup(H3472,IMPORTRANGE(""1vUGwO1n0QQGx9kKbO0_M5gmuhXZ6-LaxQxgrmJnzgP0"",""'TP# look up'!A:C""),3,0),"""")"),"")</f>
        <v/>
      </c>
      <c r="AH3472" s="49">
        <f>LEFT(J3472,2)</f>
        <v/>
      </c>
    </row>
    <row r="3473" ht="12.75" customHeight="1">
      <c r="H3473" s="43" t="n"/>
      <c r="AG3473" s="49">
        <f>IFERROR(__xludf.DUMMYFUNCTION("IFNA(vlookup(H3473,IMPORTRANGE(""1vUGwO1n0QQGx9kKbO0_M5gmuhXZ6-LaxQxgrmJnzgP0"",""'TP# look up'!A:C""),3,0),"""")"),"")</f>
        <v/>
      </c>
      <c r="AH3473" s="49">
        <f>LEFT(J3473,2)</f>
        <v/>
      </c>
    </row>
    <row r="3474" ht="12.75" customHeight="1">
      <c r="H3474" s="43" t="n"/>
      <c r="AG3474" s="49">
        <f>IFERROR(__xludf.DUMMYFUNCTION("IFNA(vlookup(H3474,IMPORTRANGE(""1vUGwO1n0QQGx9kKbO0_M5gmuhXZ6-LaxQxgrmJnzgP0"",""'TP# look up'!A:C""),3,0),"""")"),"")</f>
        <v/>
      </c>
      <c r="AH3474" s="49">
        <f>LEFT(J3474,2)</f>
        <v/>
      </c>
    </row>
    <row r="3475" ht="12.75" customHeight="1">
      <c r="H3475" s="43" t="n"/>
      <c r="AG3475" s="49">
        <f>IFERROR(__xludf.DUMMYFUNCTION("IFNA(vlookup(H3475,IMPORTRANGE(""1vUGwO1n0QQGx9kKbO0_M5gmuhXZ6-LaxQxgrmJnzgP0"",""'TP# look up'!A:C""),3,0),"""")"),"")</f>
        <v/>
      </c>
      <c r="AH3475" s="49">
        <f>LEFT(J3475,2)</f>
        <v/>
      </c>
    </row>
    <row r="3476" ht="12.75" customHeight="1">
      <c r="H3476" s="43" t="n"/>
      <c r="AG3476" s="49">
        <f>IFERROR(__xludf.DUMMYFUNCTION("IFNA(vlookup(H3476,IMPORTRANGE(""1vUGwO1n0QQGx9kKbO0_M5gmuhXZ6-LaxQxgrmJnzgP0"",""'TP# look up'!A:C""),3,0),"""")"),"")</f>
        <v/>
      </c>
      <c r="AH3476" s="49">
        <f>LEFT(J3476,2)</f>
        <v/>
      </c>
    </row>
    <row r="3477" ht="12.75" customHeight="1">
      <c r="H3477" s="43" t="n"/>
      <c r="AG3477" s="49">
        <f>IFERROR(__xludf.DUMMYFUNCTION("IFNA(vlookup(H3477,IMPORTRANGE(""1vUGwO1n0QQGx9kKbO0_M5gmuhXZ6-LaxQxgrmJnzgP0"",""'TP# look up'!A:C""),3,0),"""")"),"")</f>
        <v/>
      </c>
      <c r="AH3477" s="49">
        <f>LEFT(J3477,2)</f>
        <v/>
      </c>
    </row>
    <row r="3478" ht="12.75" customHeight="1">
      <c r="H3478" s="43" t="n"/>
      <c r="AG3478" s="49">
        <f>IFERROR(__xludf.DUMMYFUNCTION("IFNA(vlookup(H3478,IMPORTRANGE(""1vUGwO1n0QQGx9kKbO0_M5gmuhXZ6-LaxQxgrmJnzgP0"",""'TP# look up'!A:C""),3,0),"""")"),"")</f>
        <v/>
      </c>
      <c r="AH3478" s="49">
        <f>LEFT(J3478,2)</f>
        <v/>
      </c>
    </row>
    <row r="3479" ht="12.75" customHeight="1">
      <c r="H3479" s="43" t="n"/>
      <c r="AG3479" s="49">
        <f>IFERROR(__xludf.DUMMYFUNCTION("IFNA(vlookup(H3479,IMPORTRANGE(""1vUGwO1n0QQGx9kKbO0_M5gmuhXZ6-LaxQxgrmJnzgP0"",""'TP# look up'!A:C""),3,0),"""")"),"")</f>
        <v/>
      </c>
      <c r="AH3479" s="49">
        <f>LEFT(J3479,2)</f>
        <v/>
      </c>
    </row>
    <row r="3480" ht="12.75" customHeight="1">
      <c r="H3480" s="43" t="n"/>
      <c r="AG3480" s="49">
        <f>IFERROR(__xludf.DUMMYFUNCTION("IFNA(vlookup(H3480,IMPORTRANGE(""1vUGwO1n0QQGx9kKbO0_M5gmuhXZ6-LaxQxgrmJnzgP0"",""'TP# look up'!A:C""),3,0),"""")"),"")</f>
        <v/>
      </c>
      <c r="AH3480" s="49">
        <f>LEFT(J3480,2)</f>
        <v/>
      </c>
    </row>
    <row r="3481" ht="12.75" customHeight="1">
      <c r="H3481" s="43" t="n"/>
      <c r="AG3481" s="49">
        <f>IFERROR(__xludf.DUMMYFUNCTION("IFNA(vlookup(H3481,IMPORTRANGE(""1vUGwO1n0QQGx9kKbO0_M5gmuhXZ6-LaxQxgrmJnzgP0"",""'TP# look up'!A:C""),3,0),"""")"),"")</f>
        <v/>
      </c>
      <c r="AH3481" s="49">
        <f>LEFT(J3481,2)</f>
        <v/>
      </c>
    </row>
    <row r="3482" ht="12.75" customHeight="1">
      <c r="H3482" s="43" t="n"/>
      <c r="AG3482" s="49">
        <f>IFERROR(__xludf.DUMMYFUNCTION("IFNA(vlookup(H3482,IMPORTRANGE(""1vUGwO1n0QQGx9kKbO0_M5gmuhXZ6-LaxQxgrmJnzgP0"",""'TP# look up'!A:C""),3,0),"""")"),"")</f>
        <v/>
      </c>
      <c r="AH3482" s="49">
        <f>LEFT(J3482,2)</f>
        <v/>
      </c>
    </row>
    <row r="3483" ht="12.75" customHeight="1">
      <c r="H3483" s="43" t="n"/>
      <c r="AG3483" s="49">
        <f>IFERROR(__xludf.DUMMYFUNCTION("IFNA(vlookup(H3483,IMPORTRANGE(""1vUGwO1n0QQGx9kKbO0_M5gmuhXZ6-LaxQxgrmJnzgP0"",""'TP# look up'!A:C""),3,0),"""")"),"")</f>
        <v/>
      </c>
      <c r="AH3483" s="49">
        <f>LEFT(J3483,2)</f>
        <v/>
      </c>
    </row>
    <row r="3484" ht="12.75" customHeight="1">
      <c r="H3484" s="43" t="n"/>
      <c r="AG3484" s="49">
        <f>IFERROR(__xludf.DUMMYFUNCTION("IFNA(vlookup(H3484,IMPORTRANGE(""1vUGwO1n0QQGx9kKbO0_M5gmuhXZ6-LaxQxgrmJnzgP0"",""'TP# look up'!A:C""),3,0),"""")"),"")</f>
        <v/>
      </c>
      <c r="AH3484" s="49">
        <f>LEFT(J3484,2)</f>
        <v/>
      </c>
    </row>
    <row r="3485" ht="12.75" customHeight="1">
      <c r="H3485" s="43" t="n"/>
      <c r="AG3485" s="49">
        <f>IFERROR(__xludf.DUMMYFUNCTION("IFNA(vlookup(H3485,IMPORTRANGE(""1vUGwO1n0QQGx9kKbO0_M5gmuhXZ6-LaxQxgrmJnzgP0"",""'TP# look up'!A:C""),3,0),"""")"),"")</f>
        <v/>
      </c>
      <c r="AH3485" s="49">
        <f>LEFT(J3485,2)</f>
        <v/>
      </c>
    </row>
    <row r="3486" ht="12.75" customHeight="1">
      <c r="H3486" s="43" t="n"/>
      <c r="AG3486" s="49">
        <f>IFERROR(__xludf.DUMMYFUNCTION("IFNA(vlookup(H3486,IMPORTRANGE(""1vUGwO1n0QQGx9kKbO0_M5gmuhXZ6-LaxQxgrmJnzgP0"",""'TP# look up'!A:C""),3,0),"""")"),"")</f>
        <v/>
      </c>
      <c r="AH3486" s="49">
        <f>LEFT(J3486,2)</f>
        <v/>
      </c>
    </row>
    <row r="3487" ht="12.75" customHeight="1">
      <c r="H3487" s="43" t="n"/>
      <c r="AG3487" s="49">
        <f>IFERROR(__xludf.DUMMYFUNCTION("IFNA(vlookup(H3487,IMPORTRANGE(""1vUGwO1n0QQGx9kKbO0_M5gmuhXZ6-LaxQxgrmJnzgP0"",""'TP# look up'!A:C""),3,0),"""")"),"")</f>
        <v/>
      </c>
      <c r="AH3487" s="49">
        <f>LEFT(J3487,2)</f>
        <v/>
      </c>
    </row>
    <row r="3488" ht="12.75" customHeight="1">
      <c r="H3488" s="43" t="n"/>
      <c r="AG3488" s="49">
        <f>IFERROR(__xludf.DUMMYFUNCTION("IFNA(vlookup(H3488,IMPORTRANGE(""1vUGwO1n0QQGx9kKbO0_M5gmuhXZ6-LaxQxgrmJnzgP0"",""'TP# look up'!A:C""),3,0),"""")"),"")</f>
        <v/>
      </c>
      <c r="AH3488" s="49">
        <f>LEFT(J3488,2)</f>
        <v/>
      </c>
    </row>
    <row r="3489" ht="12.75" customHeight="1">
      <c r="H3489" s="43" t="n"/>
      <c r="AG3489" s="49">
        <f>IFERROR(__xludf.DUMMYFUNCTION("IFNA(vlookup(H3489,IMPORTRANGE(""1vUGwO1n0QQGx9kKbO0_M5gmuhXZ6-LaxQxgrmJnzgP0"",""'TP# look up'!A:C""),3,0),"""")"),"")</f>
        <v/>
      </c>
      <c r="AH3489" s="49">
        <f>LEFT(J3489,2)</f>
        <v/>
      </c>
    </row>
    <row r="3490" ht="12.75" customHeight="1">
      <c r="H3490" s="43" t="n"/>
      <c r="AG3490" s="49">
        <f>IFERROR(__xludf.DUMMYFUNCTION("IFNA(vlookup(H3490,IMPORTRANGE(""1vUGwO1n0QQGx9kKbO0_M5gmuhXZ6-LaxQxgrmJnzgP0"",""'TP# look up'!A:C""),3,0),"""")"),"")</f>
        <v/>
      </c>
      <c r="AH3490" s="49">
        <f>LEFT(J3490,2)</f>
        <v/>
      </c>
    </row>
    <row r="3491" ht="12.75" customHeight="1">
      <c r="H3491" s="43" t="n"/>
      <c r="AG3491" s="49">
        <f>IFERROR(__xludf.DUMMYFUNCTION("IFNA(vlookup(H3491,IMPORTRANGE(""1vUGwO1n0QQGx9kKbO0_M5gmuhXZ6-LaxQxgrmJnzgP0"",""'TP# look up'!A:C""),3,0),"""")"),"")</f>
        <v/>
      </c>
      <c r="AH3491" s="49">
        <f>LEFT(J3491,2)</f>
        <v/>
      </c>
    </row>
    <row r="3492" ht="12.75" customHeight="1">
      <c r="H3492" s="43" t="n"/>
      <c r="AG3492" s="49">
        <f>IFERROR(__xludf.DUMMYFUNCTION("IFNA(vlookup(H3492,IMPORTRANGE(""1vUGwO1n0QQGx9kKbO0_M5gmuhXZ6-LaxQxgrmJnzgP0"",""'TP# look up'!A:C""),3,0),"""")"),"")</f>
        <v/>
      </c>
      <c r="AH3492" s="49">
        <f>LEFT(J3492,2)</f>
        <v/>
      </c>
    </row>
    <row r="3493" ht="12.75" customHeight="1">
      <c r="H3493" s="43" t="n"/>
      <c r="AG3493" s="49">
        <f>IFERROR(__xludf.DUMMYFUNCTION("IFNA(vlookup(H3493,IMPORTRANGE(""1vUGwO1n0QQGx9kKbO0_M5gmuhXZ6-LaxQxgrmJnzgP0"",""'TP# look up'!A:C""),3,0),"""")"),"")</f>
        <v/>
      </c>
      <c r="AH3493" s="49">
        <f>LEFT(J3493,2)</f>
        <v/>
      </c>
    </row>
    <row r="3494" ht="12.75" customHeight="1">
      <c r="H3494" s="43" t="n"/>
      <c r="AG3494" s="49">
        <f>IFERROR(__xludf.DUMMYFUNCTION("IFNA(vlookup(H3494,IMPORTRANGE(""1vUGwO1n0QQGx9kKbO0_M5gmuhXZ6-LaxQxgrmJnzgP0"",""'TP# look up'!A:C""),3,0),"""")"),"")</f>
        <v/>
      </c>
      <c r="AH3494" s="49">
        <f>LEFT(J3494,2)</f>
        <v/>
      </c>
    </row>
    <row r="3495" ht="12.75" customHeight="1">
      <c r="H3495" s="43" t="n"/>
      <c r="AG3495" s="49">
        <f>IFERROR(__xludf.DUMMYFUNCTION("IFNA(vlookup(H3495,IMPORTRANGE(""1vUGwO1n0QQGx9kKbO0_M5gmuhXZ6-LaxQxgrmJnzgP0"",""'TP# look up'!A:C""),3,0),"""")"),"")</f>
        <v/>
      </c>
      <c r="AH3495" s="49">
        <f>LEFT(J3495,2)</f>
        <v/>
      </c>
    </row>
    <row r="3496" ht="12.75" customHeight="1">
      <c r="H3496" s="43" t="n"/>
      <c r="AG3496" s="49">
        <f>IFERROR(__xludf.DUMMYFUNCTION("IFNA(vlookup(H3496,IMPORTRANGE(""1vUGwO1n0QQGx9kKbO0_M5gmuhXZ6-LaxQxgrmJnzgP0"",""'TP# look up'!A:C""),3,0),"""")"),"")</f>
        <v/>
      </c>
      <c r="AH3496" s="49">
        <f>LEFT(J3496,2)</f>
        <v/>
      </c>
    </row>
    <row r="3497" ht="12.75" customHeight="1">
      <c r="H3497" s="43" t="n"/>
      <c r="AG3497" s="49">
        <f>IFERROR(__xludf.DUMMYFUNCTION("IFNA(vlookup(H3497,IMPORTRANGE(""1vUGwO1n0QQGx9kKbO0_M5gmuhXZ6-LaxQxgrmJnzgP0"",""'TP# look up'!A:C""),3,0),"""")"),"")</f>
        <v/>
      </c>
      <c r="AH3497" s="49">
        <f>LEFT(J3497,2)</f>
        <v/>
      </c>
    </row>
    <row r="3498" ht="12.75" customHeight="1">
      <c r="H3498" s="43" t="n"/>
      <c r="AG3498" s="49">
        <f>IFERROR(__xludf.DUMMYFUNCTION("IFNA(vlookup(H3498,IMPORTRANGE(""1vUGwO1n0QQGx9kKbO0_M5gmuhXZ6-LaxQxgrmJnzgP0"",""'TP# look up'!A:C""),3,0),"""")"),"")</f>
        <v/>
      </c>
      <c r="AH3498" s="49">
        <f>LEFT(J3498,2)</f>
        <v/>
      </c>
    </row>
    <row r="3499" ht="12.75" customHeight="1">
      <c r="H3499" s="43" t="n"/>
      <c r="AG3499" s="49">
        <f>IFERROR(__xludf.DUMMYFUNCTION("IFNA(vlookup(H3499,IMPORTRANGE(""1vUGwO1n0QQGx9kKbO0_M5gmuhXZ6-LaxQxgrmJnzgP0"",""'TP# look up'!A:C""),3,0),"""")"),"")</f>
        <v/>
      </c>
      <c r="AH3499" s="49">
        <f>LEFT(J3499,2)</f>
        <v/>
      </c>
    </row>
    <row r="3500" ht="12.75" customHeight="1">
      <c r="H3500" s="43" t="n"/>
      <c r="AG3500" s="49">
        <f>IFERROR(__xludf.DUMMYFUNCTION("IFNA(vlookup(H3500,IMPORTRANGE(""1vUGwO1n0QQGx9kKbO0_M5gmuhXZ6-LaxQxgrmJnzgP0"",""'TP# look up'!A:C""),3,0),"""")"),"")</f>
        <v/>
      </c>
      <c r="AH3500" s="49">
        <f>LEFT(J3500,2)</f>
        <v/>
      </c>
    </row>
    <row r="3501" ht="12.75" customHeight="1">
      <c r="H3501" s="43" t="n"/>
      <c r="AG3501" s="49">
        <f>IFERROR(__xludf.DUMMYFUNCTION("IFNA(vlookup(H3501,IMPORTRANGE(""1vUGwO1n0QQGx9kKbO0_M5gmuhXZ6-LaxQxgrmJnzgP0"",""'TP# look up'!A:C""),3,0),"""")"),"")</f>
        <v/>
      </c>
      <c r="AH3501" s="49">
        <f>LEFT(J3501,2)</f>
        <v/>
      </c>
    </row>
    <row r="3502" ht="12.75" customHeight="1">
      <c r="H3502" s="43" t="n"/>
      <c r="AG3502" s="49">
        <f>IFERROR(__xludf.DUMMYFUNCTION("IFNA(vlookup(H3502,IMPORTRANGE(""1vUGwO1n0QQGx9kKbO0_M5gmuhXZ6-LaxQxgrmJnzgP0"",""'TP# look up'!A:C""),3,0),"""")"),"")</f>
        <v/>
      </c>
      <c r="AH3502" s="49">
        <f>LEFT(J3502,2)</f>
        <v/>
      </c>
    </row>
    <row r="3503" ht="12.75" customHeight="1">
      <c r="H3503" s="43" t="n"/>
      <c r="AG3503" s="49">
        <f>IFERROR(__xludf.DUMMYFUNCTION("IFNA(vlookup(H3503,IMPORTRANGE(""1vUGwO1n0QQGx9kKbO0_M5gmuhXZ6-LaxQxgrmJnzgP0"",""'TP# look up'!A:C""),3,0),"""")"),"")</f>
        <v/>
      </c>
      <c r="AH3503" s="49">
        <f>LEFT(J3503,2)</f>
        <v/>
      </c>
    </row>
    <row r="3504" ht="12.75" customHeight="1">
      <c r="H3504" s="43" t="n"/>
      <c r="AG3504" s="49">
        <f>IFERROR(__xludf.DUMMYFUNCTION("IFNA(vlookup(H3504,IMPORTRANGE(""1vUGwO1n0QQGx9kKbO0_M5gmuhXZ6-LaxQxgrmJnzgP0"",""'TP# look up'!A:C""),3,0),"""")"),"")</f>
        <v/>
      </c>
      <c r="AH3504" s="49">
        <f>LEFT(J3504,2)</f>
        <v/>
      </c>
    </row>
    <row r="3505" ht="12.75" customHeight="1">
      <c r="H3505" s="43" t="n"/>
      <c r="AG3505" s="49">
        <f>IFERROR(__xludf.DUMMYFUNCTION("IFNA(vlookup(H3505,IMPORTRANGE(""1vUGwO1n0QQGx9kKbO0_M5gmuhXZ6-LaxQxgrmJnzgP0"",""'TP# look up'!A:C""),3,0),"""")"),"")</f>
        <v/>
      </c>
      <c r="AH3505" s="49">
        <f>LEFT(J3505,2)</f>
        <v/>
      </c>
    </row>
    <row r="3506" ht="12.75" customHeight="1">
      <c r="H3506" s="43" t="n"/>
      <c r="AG3506" s="49">
        <f>IFERROR(__xludf.DUMMYFUNCTION("IFNA(vlookup(H3506,IMPORTRANGE(""1vUGwO1n0QQGx9kKbO0_M5gmuhXZ6-LaxQxgrmJnzgP0"",""'TP# look up'!A:C""),3,0),"""")"),"")</f>
        <v/>
      </c>
      <c r="AH3506" s="49">
        <f>LEFT(J3506,2)</f>
        <v/>
      </c>
    </row>
    <row r="3507" ht="12.75" customHeight="1">
      <c r="H3507" s="43" t="n"/>
      <c r="AG3507" s="49">
        <f>IFERROR(__xludf.DUMMYFUNCTION("IFNA(vlookup(H3507,IMPORTRANGE(""1vUGwO1n0QQGx9kKbO0_M5gmuhXZ6-LaxQxgrmJnzgP0"",""'TP# look up'!A:C""),3,0),"""")"),"")</f>
        <v/>
      </c>
      <c r="AH3507" s="49">
        <f>LEFT(J3507,2)</f>
        <v/>
      </c>
    </row>
    <row r="3508" ht="12.75" customHeight="1">
      <c r="H3508" s="43" t="n"/>
      <c r="AG3508" s="49">
        <f>IFERROR(__xludf.DUMMYFUNCTION("IFNA(vlookup(H3508,IMPORTRANGE(""1vUGwO1n0QQGx9kKbO0_M5gmuhXZ6-LaxQxgrmJnzgP0"",""'TP# look up'!A:C""),3,0),"""")"),"")</f>
        <v/>
      </c>
      <c r="AH3508" s="49">
        <f>LEFT(J3508,2)</f>
        <v/>
      </c>
    </row>
    <row r="3509" ht="12.75" customHeight="1">
      <c r="H3509" s="43" t="n"/>
      <c r="AG3509" s="49">
        <f>IFERROR(__xludf.DUMMYFUNCTION("IFNA(vlookup(H3509,IMPORTRANGE(""1vUGwO1n0QQGx9kKbO0_M5gmuhXZ6-LaxQxgrmJnzgP0"",""'TP# look up'!A:C""),3,0),"""")"),"")</f>
        <v/>
      </c>
      <c r="AH3509" s="49">
        <f>LEFT(J3509,2)</f>
        <v/>
      </c>
    </row>
    <row r="3510" ht="12.75" customHeight="1">
      <c r="H3510" s="43" t="n"/>
      <c r="AG3510" s="49">
        <f>IFERROR(__xludf.DUMMYFUNCTION("IFNA(vlookup(H3510,IMPORTRANGE(""1vUGwO1n0QQGx9kKbO0_M5gmuhXZ6-LaxQxgrmJnzgP0"",""'TP# look up'!A:C""),3,0),"""")"),"")</f>
        <v/>
      </c>
      <c r="AH3510" s="49">
        <f>LEFT(J3510,2)</f>
        <v/>
      </c>
    </row>
    <row r="3511" ht="12.75" customHeight="1">
      <c r="H3511" s="43" t="n"/>
      <c r="AG3511" s="49">
        <f>IFERROR(__xludf.DUMMYFUNCTION("IFNA(vlookup(H3511,IMPORTRANGE(""1vUGwO1n0QQGx9kKbO0_M5gmuhXZ6-LaxQxgrmJnzgP0"",""'TP# look up'!A:C""),3,0),"""")"),"")</f>
        <v/>
      </c>
      <c r="AH3511" s="49">
        <f>LEFT(J3511,2)</f>
        <v/>
      </c>
    </row>
    <row r="3512" ht="12.75" customHeight="1">
      <c r="H3512" s="43" t="n"/>
      <c r="AG3512" s="49">
        <f>IFERROR(__xludf.DUMMYFUNCTION("IFNA(vlookup(H3512,IMPORTRANGE(""1vUGwO1n0QQGx9kKbO0_M5gmuhXZ6-LaxQxgrmJnzgP0"",""'TP# look up'!A:C""),3,0),"""")"),"")</f>
        <v/>
      </c>
      <c r="AH3512" s="49">
        <f>LEFT(J3512,2)</f>
        <v/>
      </c>
    </row>
    <row r="3513" ht="12.75" customHeight="1">
      <c r="H3513" s="43" t="n"/>
      <c r="AG3513" s="49">
        <f>IFERROR(__xludf.DUMMYFUNCTION("IFNA(vlookup(H3513,IMPORTRANGE(""1vUGwO1n0QQGx9kKbO0_M5gmuhXZ6-LaxQxgrmJnzgP0"",""'TP# look up'!A:C""),3,0),"""")"),"")</f>
        <v/>
      </c>
      <c r="AH3513" s="49">
        <f>LEFT(J3513,2)</f>
        <v/>
      </c>
    </row>
    <row r="3514" ht="12.75" customHeight="1">
      <c r="H3514" s="43" t="n"/>
      <c r="AG3514" s="49">
        <f>IFERROR(__xludf.DUMMYFUNCTION("IFNA(vlookup(H3514,IMPORTRANGE(""1vUGwO1n0QQGx9kKbO0_M5gmuhXZ6-LaxQxgrmJnzgP0"",""'TP# look up'!A:C""),3,0),"""")"),"")</f>
        <v/>
      </c>
      <c r="AH3514" s="49">
        <f>LEFT(J3514,2)</f>
        <v/>
      </c>
    </row>
    <row r="3515" ht="12.75" customHeight="1">
      <c r="H3515" s="43" t="n"/>
      <c r="AG3515" s="49">
        <f>IFERROR(__xludf.DUMMYFUNCTION("IFNA(vlookup(H3515,IMPORTRANGE(""1vUGwO1n0QQGx9kKbO0_M5gmuhXZ6-LaxQxgrmJnzgP0"",""'TP# look up'!A:C""),3,0),"""")"),"")</f>
        <v/>
      </c>
      <c r="AH3515" s="49">
        <f>LEFT(J3515,2)</f>
        <v/>
      </c>
    </row>
    <row r="3516" ht="12.75" customHeight="1">
      <c r="H3516" s="43" t="n"/>
      <c r="AG3516" s="49">
        <f>IFERROR(__xludf.DUMMYFUNCTION("IFNA(vlookup(H3516,IMPORTRANGE(""1vUGwO1n0QQGx9kKbO0_M5gmuhXZ6-LaxQxgrmJnzgP0"",""'TP# look up'!A:C""),3,0),"""")"),"")</f>
        <v/>
      </c>
      <c r="AH3516" s="49">
        <f>LEFT(J3516,2)</f>
        <v/>
      </c>
    </row>
    <row r="3517" ht="12.75" customHeight="1">
      <c r="H3517" s="43" t="n"/>
      <c r="AG3517" s="49">
        <f>IFERROR(__xludf.DUMMYFUNCTION("IFNA(vlookup(H3517,IMPORTRANGE(""1vUGwO1n0QQGx9kKbO0_M5gmuhXZ6-LaxQxgrmJnzgP0"",""'TP# look up'!A:C""),3,0),"""")"),"")</f>
        <v/>
      </c>
      <c r="AH3517" s="49">
        <f>LEFT(J3517,2)</f>
        <v/>
      </c>
    </row>
    <row r="3518" ht="12.75" customHeight="1">
      <c r="H3518" s="43" t="n"/>
      <c r="AG3518" s="49">
        <f>IFERROR(__xludf.DUMMYFUNCTION("IFNA(vlookup(H3518,IMPORTRANGE(""1vUGwO1n0QQGx9kKbO0_M5gmuhXZ6-LaxQxgrmJnzgP0"",""'TP# look up'!A:C""),3,0),"""")"),"")</f>
        <v/>
      </c>
      <c r="AH3518" s="49">
        <f>LEFT(J3518,2)</f>
        <v/>
      </c>
    </row>
    <row r="3519" ht="12.75" customHeight="1">
      <c r="H3519" s="43" t="n"/>
      <c r="AG3519" s="49">
        <f>IFERROR(__xludf.DUMMYFUNCTION("IFNA(vlookup(H3519,IMPORTRANGE(""1vUGwO1n0QQGx9kKbO0_M5gmuhXZ6-LaxQxgrmJnzgP0"",""'TP# look up'!A:C""),3,0),"""")"),"")</f>
        <v/>
      </c>
      <c r="AH3519" s="49">
        <f>LEFT(J3519,2)</f>
        <v/>
      </c>
    </row>
    <row r="3520" ht="12.75" customHeight="1">
      <c r="H3520" s="43" t="n"/>
      <c r="AG3520" s="49">
        <f>IFERROR(__xludf.DUMMYFUNCTION("IFNA(vlookup(H3520,IMPORTRANGE(""1vUGwO1n0QQGx9kKbO0_M5gmuhXZ6-LaxQxgrmJnzgP0"",""'TP# look up'!A:C""),3,0),"""")"),"")</f>
        <v/>
      </c>
      <c r="AH3520" s="49">
        <f>LEFT(J3520,2)</f>
        <v/>
      </c>
    </row>
    <row r="3521" ht="12.75" customHeight="1">
      <c r="H3521" s="43" t="n"/>
      <c r="AG3521" s="49">
        <f>IFERROR(__xludf.DUMMYFUNCTION("IFNA(vlookup(H3521,IMPORTRANGE(""1vUGwO1n0QQGx9kKbO0_M5gmuhXZ6-LaxQxgrmJnzgP0"",""'TP# look up'!A:C""),3,0),"""")"),"")</f>
        <v/>
      </c>
      <c r="AH3521" s="49">
        <f>LEFT(J3521,2)</f>
        <v/>
      </c>
    </row>
    <row r="3522" ht="12.75" customHeight="1">
      <c r="H3522" s="43" t="n"/>
      <c r="AG3522" s="49">
        <f>IFERROR(__xludf.DUMMYFUNCTION("IFNA(vlookup(H3522,IMPORTRANGE(""1vUGwO1n0QQGx9kKbO0_M5gmuhXZ6-LaxQxgrmJnzgP0"",""'TP# look up'!A:C""),3,0),"""")"),"")</f>
        <v/>
      </c>
      <c r="AH3522" s="49">
        <f>LEFT(J3522,2)</f>
        <v/>
      </c>
    </row>
    <row r="3523" ht="12.75" customHeight="1">
      <c r="H3523" s="43" t="n"/>
      <c r="AG3523" s="49">
        <f>IFERROR(__xludf.DUMMYFUNCTION("IFNA(vlookup(H3523,IMPORTRANGE(""1vUGwO1n0QQGx9kKbO0_M5gmuhXZ6-LaxQxgrmJnzgP0"",""'TP# look up'!A:C""),3,0),"""")"),"")</f>
        <v/>
      </c>
      <c r="AH3523" s="49">
        <f>LEFT(J3523,2)</f>
        <v/>
      </c>
    </row>
    <row r="3524" ht="12.75" customHeight="1">
      <c r="H3524" s="43" t="n"/>
      <c r="AG3524" s="49">
        <f>IFERROR(__xludf.DUMMYFUNCTION("IFNA(vlookup(H3524,IMPORTRANGE(""1vUGwO1n0QQGx9kKbO0_M5gmuhXZ6-LaxQxgrmJnzgP0"",""'TP# look up'!A:C""),3,0),"""")"),"")</f>
        <v/>
      </c>
      <c r="AH3524" s="49">
        <f>LEFT(J3524,2)</f>
        <v/>
      </c>
    </row>
    <row r="3525" ht="12.75" customHeight="1">
      <c r="H3525" s="43" t="n"/>
      <c r="AG3525" s="49">
        <f>IFERROR(__xludf.DUMMYFUNCTION("IFNA(vlookup(H3525,IMPORTRANGE(""1vUGwO1n0QQGx9kKbO0_M5gmuhXZ6-LaxQxgrmJnzgP0"",""'TP# look up'!A:C""),3,0),"""")"),"")</f>
        <v/>
      </c>
      <c r="AH3525" s="49">
        <f>LEFT(J3525,2)</f>
        <v/>
      </c>
    </row>
    <row r="3526" ht="12.75" customHeight="1">
      <c r="H3526" s="43" t="n"/>
      <c r="AG3526" s="49">
        <f>IFERROR(__xludf.DUMMYFUNCTION("IFNA(vlookup(H3526,IMPORTRANGE(""1vUGwO1n0QQGx9kKbO0_M5gmuhXZ6-LaxQxgrmJnzgP0"",""'TP# look up'!A:C""),3,0),"""")"),"")</f>
        <v/>
      </c>
      <c r="AH3526" s="49">
        <f>LEFT(J3526,2)</f>
        <v/>
      </c>
    </row>
    <row r="3527" ht="12.75" customHeight="1">
      <c r="H3527" s="43" t="n"/>
      <c r="AG3527" s="49">
        <f>IFERROR(__xludf.DUMMYFUNCTION("IFNA(vlookup(H3527,IMPORTRANGE(""1vUGwO1n0QQGx9kKbO0_M5gmuhXZ6-LaxQxgrmJnzgP0"",""'TP# look up'!A:C""),3,0),"""")"),"")</f>
        <v/>
      </c>
      <c r="AH3527" s="49">
        <f>LEFT(J3527,2)</f>
        <v/>
      </c>
    </row>
    <row r="3528" ht="12.75" customHeight="1">
      <c r="H3528" s="43" t="n"/>
      <c r="AG3528" s="49">
        <f>IFERROR(__xludf.DUMMYFUNCTION("IFNA(vlookup(H3528,IMPORTRANGE(""1vUGwO1n0QQGx9kKbO0_M5gmuhXZ6-LaxQxgrmJnzgP0"",""'TP# look up'!A:C""),3,0),"""")"),"")</f>
        <v/>
      </c>
      <c r="AH3528" s="49">
        <f>LEFT(J3528,2)</f>
        <v/>
      </c>
    </row>
    <row r="3529" ht="12.75" customHeight="1">
      <c r="H3529" s="43" t="n"/>
      <c r="AG3529" s="49">
        <f>IFERROR(__xludf.DUMMYFUNCTION("IFNA(vlookup(H3529,IMPORTRANGE(""1vUGwO1n0QQGx9kKbO0_M5gmuhXZ6-LaxQxgrmJnzgP0"",""'TP# look up'!A:C""),3,0),"""")"),"")</f>
        <v/>
      </c>
      <c r="AH3529" s="49">
        <f>LEFT(J3529,2)</f>
        <v/>
      </c>
    </row>
    <row r="3530" ht="12.75" customHeight="1">
      <c r="H3530" s="43" t="n"/>
      <c r="AG3530" s="49">
        <f>IFERROR(__xludf.DUMMYFUNCTION("IFNA(vlookup(H3530,IMPORTRANGE(""1vUGwO1n0QQGx9kKbO0_M5gmuhXZ6-LaxQxgrmJnzgP0"",""'TP# look up'!A:C""),3,0),"""")"),"")</f>
        <v/>
      </c>
      <c r="AH3530" s="49">
        <f>LEFT(J3530,2)</f>
        <v/>
      </c>
    </row>
    <row r="3531" ht="12.75" customHeight="1">
      <c r="H3531" s="43" t="n"/>
      <c r="AG3531" s="49">
        <f>IFERROR(__xludf.DUMMYFUNCTION("IFNA(vlookup(H3531,IMPORTRANGE(""1vUGwO1n0QQGx9kKbO0_M5gmuhXZ6-LaxQxgrmJnzgP0"",""'TP# look up'!A:C""),3,0),"""")"),"")</f>
        <v/>
      </c>
      <c r="AH3531" s="49">
        <f>LEFT(J3531,2)</f>
        <v/>
      </c>
    </row>
    <row r="3532" ht="12.75" customHeight="1">
      <c r="H3532" s="43" t="n"/>
      <c r="AG3532" s="49">
        <f>IFERROR(__xludf.DUMMYFUNCTION("IFNA(vlookup(H3532,IMPORTRANGE(""1vUGwO1n0QQGx9kKbO0_M5gmuhXZ6-LaxQxgrmJnzgP0"",""'TP# look up'!A:C""),3,0),"""")"),"")</f>
        <v/>
      </c>
      <c r="AH3532" s="49">
        <f>LEFT(J3532,2)</f>
        <v/>
      </c>
    </row>
    <row r="3533" ht="12.75" customHeight="1">
      <c r="H3533" s="43" t="n"/>
      <c r="AG3533" s="49">
        <f>IFERROR(__xludf.DUMMYFUNCTION("IFNA(vlookup(H3533,IMPORTRANGE(""1vUGwO1n0QQGx9kKbO0_M5gmuhXZ6-LaxQxgrmJnzgP0"",""'TP# look up'!A:C""),3,0),"""")"),"")</f>
        <v/>
      </c>
      <c r="AH3533" s="49">
        <f>LEFT(J3533,2)</f>
        <v/>
      </c>
    </row>
    <row r="3534" ht="12.75" customHeight="1">
      <c r="H3534" s="43" t="n"/>
      <c r="AG3534" s="49">
        <f>IFERROR(__xludf.DUMMYFUNCTION("IFNA(vlookup(H3534,IMPORTRANGE(""1vUGwO1n0QQGx9kKbO0_M5gmuhXZ6-LaxQxgrmJnzgP0"",""'TP# look up'!A:C""),3,0),"""")"),"")</f>
        <v/>
      </c>
      <c r="AH3534" s="49">
        <f>LEFT(J3534,2)</f>
        <v/>
      </c>
    </row>
    <row r="3535" ht="12.75" customHeight="1">
      <c r="H3535" s="43" t="n"/>
      <c r="AG3535" s="49">
        <f>IFERROR(__xludf.DUMMYFUNCTION("IFNA(vlookup(H3535,IMPORTRANGE(""1vUGwO1n0QQGx9kKbO0_M5gmuhXZ6-LaxQxgrmJnzgP0"",""'TP# look up'!A:C""),3,0),"""")"),"")</f>
        <v/>
      </c>
      <c r="AH3535" s="49">
        <f>LEFT(J3535,2)</f>
        <v/>
      </c>
    </row>
    <row r="3536" ht="12.75" customHeight="1">
      <c r="H3536" s="43" t="n"/>
      <c r="AG3536" s="49">
        <f>IFERROR(__xludf.DUMMYFUNCTION("IFNA(vlookup(H3536,IMPORTRANGE(""1vUGwO1n0QQGx9kKbO0_M5gmuhXZ6-LaxQxgrmJnzgP0"",""'TP# look up'!A:C""),3,0),"""")"),"")</f>
        <v/>
      </c>
      <c r="AH3536" s="49">
        <f>LEFT(J3536,2)</f>
        <v/>
      </c>
    </row>
    <row r="3537" ht="12.75" customHeight="1">
      <c r="H3537" s="43" t="n"/>
      <c r="AG3537" s="49">
        <f>IFERROR(__xludf.DUMMYFUNCTION("IFNA(vlookup(H3537,IMPORTRANGE(""1vUGwO1n0QQGx9kKbO0_M5gmuhXZ6-LaxQxgrmJnzgP0"",""'TP# look up'!A:C""),3,0),"""")"),"")</f>
        <v/>
      </c>
      <c r="AH3537" s="49">
        <f>LEFT(J3537,2)</f>
        <v/>
      </c>
    </row>
    <row r="3538" ht="12.75" customHeight="1">
      <c r="H3538" s="43" t="n"/>
      <c r="AG3538" s="49">
        <f>IFERROR(__xludf.DUMMYFUNCTION("IFNA(vlookup(H3538,IMPORTRANGE(""1vUGwO1n0QQGx9kKbO0_M5gmuhXZ6-LaxQxgrmJnzgP0"",""'TP# look up'!A:C""),3,0),"""")"),"")</f>
        <v/>
      </c>
      <c r="AH3538" s="49">
        <f>LEFT(J3538,2)</f>
        <v/>
      </c>
    </row>
    <row r="3539" ht="12.75" customHeight="1">
      <c r="H3539" s="43" t="n"/>
      <c r="AG3539" s="49">
        <f>IFERROR(__xludf.DUMMYFUNCTION("IFNA(vlookup(H3539,IMPORTRANGE(""1vUGwO1n0QQGx9kKbO0_M5gmuhXZ6-LaxQxgrmJnzgP0"",""'TP# look up'!A:C""),3,0),"""")"),"")</f>
        <v/>
      </c>
      <c r="AH3539" s="49">
        <f>LEFT(J3539,2)</f>
        <v/>
      </c>
    </row>
    <row r="3540" ht="12.75" customHeight="1">
      <c r="H3540" s="43" t="n"/>
      <c r="AG3540" s="49">
        <f>IFERROR(__xludf.DUMMYFUNCTION("IFNA(vlookup(H3540,IMPORTRANGE(""1vUGwO1n0QQGx9kKbO0_M5gmuhXZ6-LaxQxgrmJnzgP0"",""'TP# look up'!A:C""),3,0),"""")"),"")</f>
        <v/>
      </c>
      <c r="AH3540" s="49">
        <f>LEFT(J3540,2)</f>
        <v/>
      </c>
    </row>
    <row r="3541" ht="12.75" customHeight="1">
      <c r="H3541" s="43" t="n"/>
      <c r="AG3541" s="49">
        <f>IFERROR(__xludf.DUMMYFUNCTION("IFNA(vlookup(H3541,IMPORTRANGE(""1vUGwO1n0QQGx9kKbO0_M5gmuhXZ6-LaxQxgrmJnzgP0"",""'TP# look up'!A:C""),3,0),"""")"),"")</f>
        <v/>
      </c>
      <c r="AH3541" s="49">
        <f>LEFT(J3541,2)</f>
        <v/>
      </c>
    </row>
    <row r="3542" ht="12.75" customHeight="1">
      <c r="H3542" s="43" t="n"/>
      <c r="AG3542" s="49">
        <f>IFERROR(__xludf.DUMMYFUNCTION("IFNA(vlookup(H3542,IMPORTRANGE(""1vUGwO1n0QQGx9kKbO0_M5gmuhXZ6-LaxQxgrmJnzgP0"",""'TP# look up'!A:C""),3,0),"""")"),"")</f>
        <v/>
      </c>
      <c r="AH3542" s="49">
        <f>LEFT(J3542,2)</f>
        <v/>
      </c>
    </row>
    <row r="3543" ht="12.75" customHeight="1">
      <c r="H3543" s="43" t="n"/>
      <c r="AG3543" s="49">
        <f>IFERROR(__xludf.DUMMYFUNCTION("IFNA(vlookup(H3543,IMPORTRANGE(""1vUGwO1n0QQGx9kKbO0_M5gmuhXZ6-LaxQxgrmJnzgP0"",""'TP# look up'!A:C""),3,0),"""")"),"")</f>
        <v/>
      </c>
      <c r="AH3543" s="49">
        <f>LEFT(J3543,2)</f>
        <v/>
      </c>
    </row>
    <row r="3544" ht="12.75" customHeight="1">
      <c r="H3544" s="43" t="n"/>
      <c r="AG3544" s="49">
        <f>IFERROR(__xludf.DUMMYFUNCTION("IFNA(vlookup(H3544,IMPORTRANGE(""1vUGwO1n0QQGx9kKbO0_M5gmuhXZ6-LaxQxgrmJnzgP0"",""'TP# look up'!A:C""),3,0),"""")"),"")</f>
        <v/>
      </c>
      <c r="AH3544" s="49">
        <f>LEFT(J3544,2)</f>
        <v/>
      </c>
    </row>
    <row r="3545" ht="12.75" customHeight="1">
      <c r="H3545" s="43" t="n"/>
      <c r="AG3545" s="49">
        <f>IFERROR(__xludf.DUMMYFUNCTION("IFNA(vlookup(H3545,IMPORTRANGE(""1vUGwO1n0QQGx9kKbO0_M5gmuhXZ6-LaxQxgrmJnzgP0"",""'TP# look up'!A:C""),3,0),"""")"),"")</f>
        <v/>
      </c>
      <c r="AH3545" s="49">
        <f>LEFT(J3545,2)</f>
        <v/>
      </c>
    </row>
    <row r="3546" ht="12.75" customHeight="1">
      <c r="H3546" s="43" t="n"/>
      <c r="AG3546" s="49">
        <f>IFERROR(__xludf.DUMMYFUNCTION("IFNA(vlookup(H3546,IMPORTRANGE(""1vUGwO1n0QQGx9kKbO0_M5gmuhXZ6-LaxQxgrmJnzgP0"",""'TP# look up'!A:C""),3,0),"""")"),"")</f>
        <v/>
      </c>
      <c r="AH3546" s="49">
        <f>LEFT(J3546,2)</f>
        <v/>
      </c>
    </row>
    <row r="3547" ht="12.75" customHeight="1">
      <c r="H3547" s="43" t="n"/>
      <c r="AG3547" s="49">
        <f>IFERROR(__xludf.DUMMYFUNCTION("IFNA(vlookup(H3547,IMPORTRANGE(""1vUGwO1n0QQGx9kKbO0_M5gmuhXZ6-LaxQxgrmJnzgP0"",""'TP# look up'!A:C""),3,0),"""")"),"")</f>
        <v/>
      </c>
      <c r="AH3547" s="49">
        <f>LEFT(J3547,2)</f>
        <v/>
      </c>
    </row>
    <row r="3548" ht="12.75" customHeight="1">
      <c r="H3548" s="43" t="n"/>
      <c r="AG3548" s="49">
        <f>IFERROR(__xludf.DUMMYFUNCTION("IFNA(vlookup(H3548,IMPORTRANGE(""1vUGwO1n0QQGx9kKbO0_M5gmuhXZ6-LaxQxgrmJnzgP0"",""'TP# look up'!A:C""),3,0),"""")"),"")</f>
        <v/>
      </c>
      <c r="AH3548" s="49">
        <f>LEFT(J3548,2)</f>
        <v/>
      </c>
    </row>
    <row r="3549" ht="12.75" customHeight="1">
      <c r="H3549" s="43" t="n"/>
      <c r="AG3549" s="49">
        <f>IFERROR(__xludf.DUMMYFUNCTION("IFNA(vlookup(H3549,IMPORTRANGE(""1vUGwO1n0QQGx9kKbO0_M5gmuhXZ6-LaxQxgrmJnzgP0"",""'TP# look up'!A:C""),3,0),"""")"),"")</f>
        <v/>
      </c>
      <c r="AH3549" s="49">
        <f>LEFT(J3549,2)</f>
        <v/>
      </c>
    </row>
    <row r="3550" ht="12.75" customHeight="1">
      <c r="H3550" s="43" t="n"/>
      <c r="AG3550" s="49">
        <f>IFERROR(__xludf.DUMMYFUNCTION("IFNA(vlookup(H3550,IMPORTRANGE(""1vUGwO1n0QQGx9kKbO0_M5gmuhXZ6-LaxQxgrmJnzgP0"",""'TP# look up'!A:C""),3,0),"""")"),"")</f>
        <v/>
      </c>
      <c r="AH3550" s="49">
        <f>LEFT(J3550,2)</f>
        <v/>
      </c>
    </row>
    <row r="3551" ht="12.75" customHeight="1">
      <c r="H3551" s="43" t="n"/>
      <c r="AG3551" s="49">
        <f>IFERROR(__xludf.DUMMYFUNCTION("IFNA(vlookup(H3551,IMPORTRANGE(""1vUGwO1n0QQGx9kKbO0_M5gmuhXZ6-LaxQxgrmJnzgP0"",""'TP# look up'!A:C""),3,0),"""")"),"")</f>
        <v/>
      </c>
      <c r="AH3551" s="49">
        <f>LEFT(J3551,2)</f>
        <v/>
      </c>
    </row>
    <row r="3552" ht="12.75" customHeight="1">
      <c r="H3552" s="43" t="n"/>
      <c r="AG3552" s="49">
        <f>IFERROR(__xludf.DUMMYFUNCTION("IFNA(vlookup(H3552,IMPORTRANGE(""1vUGwO1n0QQGx9kKbO0_M5gmuhXZ6-LaxQxgrmJnzgP0"",""'TP# look up'!A:C""),3,0),"""")"),"")</f>
        <v/>
      </c>
      <c r="AH3552" s="49">
        <f>LEFT(J3552,2)</f>
        <v/>
      </c>
    </row>
    <row r="3553" ht="12.75" customHeight="1">
      <c r="H3553" s="43" t="n"/>
      <c r="AG3553" s="49">
        <f>IFERROR(__xludf.DUMMYFUNCTION("IFNA(vlookup(H3553,IMPORTRANGE(""1vUGwO1n0QQGx9kKbO0_M5gmuhXZ6-LaxQxgrmJnzgP0"",""'TP# look up'!A:C""),3,0),"""")"),"")</f>
        <v/>
      </c>
      <c r="AH3553" s="49">
        <f>LEFT(J3553,2)</f>
        <v/>
      </c>
    </row>
    <row r="3554" ht="12.75" customHeight="1">
      <c r="H3554" s="43" t="n"/>
      <c r="AG3554" s="49">
        <f>IFERROR(__xludf.DUMMYFUNCTION("IFNA(vlookup(H3554,IMPORTRANGE(""1vUGwO1n0QQGx9kKbO0_M5gmuhXZ6-LaxQxgrmJnzgP0"",""'TP# look up'!A:C""),3,0),"""")"),"")</f>
        <v/>
      </c>
      <c r="AH3554" s="49">
        <f>LEFT(J3554,2)</f>
        <v/>
      </c>
    </row>
    <row r="3555" ht="12.75" customHeight="1">
      <c r="H3555" s="43" t="n"/>
      <c r="AG3555" s="49">
        <f>IFERROR(__xludf.DUMMYFUNCTION("IFNA(vlookup(H3555,IMPORTRANGE(""1vUGwO1n0QQGx9kKbO0_M5gmuhXZ6-LaxQxgrmJnzgP0"",""'TP# look up'!A:C""),3,0),"""")"),"")</f>
        <v/>
      </c>
      <c r="AH3555" s="49">
        <f>LEFT(J3555,2)</f>
        <v/>
      </c>
    </row>
    <row r="3556" ht="12.75" customHeight="1">
      <c r="H3556" s="43" t="n"/>
      <c r="AG3556" s="49">
        <f>IFERROR(__xludf.DUMMYFUNCTION("IFNA(vlookup(H3556,IMPORTRANGE(""1vUGwO1n0QQGx9kKbO0_M5gmuhXZ6-LaxQxgrmJnzgP0"",""'TP# look up'!A:C""),3,0),"""")"),"")</f>
        <v/>
      </c>
      <c r="AH3556" s="49">
        <f>LEFT(J3556,2)</f>
        <v/>
      </c>
    </row>
    <row r="3557" ht="12.75" customHeight="1">
      <c r="H3557" s="43" t="n"/>
      <c r="AG3557" s="49">
        <f>IFERROR(__xludf.DUMMYFUNCTION("IFNA(vlookup(H3557,IMPORTRANGE(""1vUGwO1n0QQGx9kKbO0_M5gmuhXZ6-LaxQxgrmJnzgP0"",""'TP# look up'!A:C""),3,0),"""")"),"")</f>
        <v/>
      </c>
      <c r="AH3557" s="49">
        <f>LEFT(J3557,2)</f>
        <v/>
      </c>
    </row>
    <row r="3558" ht="12.75" customHeight="1">
      <c r="H3558" s="43" t="n"/>
      <c r="AG3558" s="49">
        <f>IFERROR(__xludf.DUMMYFUNCTION("IFNA(vlookup(H3558,IMPORTRANGE(""1vUGwO1n0QQGx9kKbO0_M5gmuhXZ6-LaxQxgrmJnzgP0"",""'TP# look up'!A:C""),3,0),"""")"),"")</f>
        <v/>
      </c>
      <c r="AH3558" s="49">
        <f>LEFT(J3558,2)</f>
        <v/>
      </c>
    </row>
    <row r="3559" ht="12.75" customHeight="1">
      <c r="H3559" s="43" t="n"/>
      <c r="AG3559" s="49">
        <f>IFERROR(__xludf.DUMMYFUNCTION("IFNA(vlookup(H3559,IMPORTRANGE(""1vUGwO1n0QQGx9kKbO0_M5gmuhXZ6-LaxQxgrmJnzgP0"",""'TP# look up'!A:C""),3,0),"""")"),"")</f>
        <v/>
      </c>
      <c r="AH3559" s="49">
        <f>LEFT(J3559,2)</f>
        <v/>
      </c>
    </row>
    <row r="3560" ht="12.75" customHeight="1">
      <c r="H3560" s="43" t="n"/>
      <c r="AG3560" s="49">
        <f>IFERROR(__xludf.DUMMYFUNCTION("IFNA(vlookup(H3560,IMPORTRANGE(""1vUGwO1n0QQGx9kKbO0_M5gmuhXZ6-LaxQxgrmJnzgP0"",""'TP# look up'!A:C""),3,0),"""")"),"")</f>
        <v/>
      </c>
      <c r="AH3560" s="49">
        <f>LEFT(J3560,2)</f>
        <v/>
      </c>
    </row>
    <row r="3561" ht="12.75" customHeight="1">
      <c r="H3561" s="43" t="n"/>
      <c r="AG3561" s="49">
        <f>IFERROR(__xludf.DUMMYFUNCTION("IFNA(vlookup(H3561,IMPORTRANGE(""1vUGwO1n0QQGx9kKbO0_M5gmuhXZ6-LaxQxgrmJnzgP0"",""'TP# look up'!A:C""),3,0),"""")"),"")</f>
        <v/>
      </c>
      <c r="AH3561" s="49">
        <f>LEFT(J3561,2)</f>
        <v/>
      </c>
    </row>
    <row r="3562" ht="12.75" customHeight="1">
      <c r="H3562" s="43" t="n"/>
      <c r="AG3562" s="49">
        <f>IFERROR(__xludf.DUMMYFUNCTION("IFNA(vlookup(H3562,IMPORTRANGE(""1vUGwO1n0QQGx9kKbO0_M5gmuhXZ6-LaxQxgrmJnzgP0"",""'TP# look up'!A:C""),3,0),"""")"),"")</f>
        <v/>
      </c>
      <c r="AH3562" s="49">
        <f>LEFT(J3562,2)</f>
        <v/>
      </c>
    </row>
    <row r="3563" ht="12.75" customHeight="1">
      <c r="H3563" s="43" t="n"/>
      <c r="AG3563" s="49">
        <f>IFERROR(__xludf.DUMMYFUNCTION("IFNA(vlookup(H3563,IMPORTRANGE(""1vUGwO1n0QQGx9kKbO0_M5gmuhXZ6-LaxQxgrmJnzgP0"",""'TP# look up'!A:C""),3,0),"""")"),"")</f>
        <v/>
      </c>
      <c r="AH3563" s="49">
        <f>LEFT(J3563,2)</f>
        <v/>
      </c>
    </row>
    <row r="3564" ht="12.75" customHeight="1">
      <c r="H3564" s="43" t="n"/>
      <c r="AG3564" s="49">
        <f>IFERROR(__xludf.DUMMYFUNCTION("IFNA(vlookup(H3564,IMPORTRANGE(""1vUGwO1n0QQGx9kKbO0_M5gmuhXZ6-LaxQxgrmJnzgP0"",""'TP# look up'!A:C""),3,0),"""")"),"")</f>
        <v/>
      </c>
      <c r="AH3564" s="49">
        <f>LEFT(J3564,2)</f>
        <v/>
      </c>
    </row>
    <row r="3565" ht="12.75" customHeight="1">
      <c r="H3565" s="43" t="n"/>
      <c r="AG3565" s="49">
        <f>IFERROR(__xludf.DUMMYFUNCTION("IFNA(vlookup(H3565,IMPORTRANGE(""1vUGwO1n0QQGx9kKbO0_M5gmuhXZ6-LaxQxgrmJnzgP0"",""'TP# look up'!A:C""),3,0),"""")"),"")</f>
        <v/>
      </c>
      <c r="AH3565" s="49">
        <f>LEFT(J3565,2)</f>
        <v/>
      </c>
    </row>
    <row r="3566" ht="12.75" customHeight="1">
      <c r="H3566" s="43" t="n"/>
      <c r="AG3566" s="49">
        <f>IFERROR(__xludf.DUMMYFUNCTION("IFNA(vlookup(H3566,IMPORTRANGE(""1vUGwO1n0QQGx9kKbO0_M5gmuhXZ6-LaxQxgrmJnzgP0"",""'TP# look up'!A:C""),3,0),"""")"),"")</f>
        <v/>
      </c>
      <c r="AH3566" s="49">
        <f>LEFT(J3566,2)</f>
        <v/>
      </c>
    </row>
    <row r="3567" ht="12.75" customHeight="1">
      <c r="H3567" s="43" t="n"/>
      <c r="AG3567" s="49">
        <f>IFERROR(__xludf.DUMMYFUNCTION("IFNA(vlookup(H3567,IMPORTRANGE(""1vUGwO1n0QQGx9kKbO0_M5gmuhXZ6-LaxQxgrmJnzgP0"",""'TP# look up'!A:C""),3,0),"""")"),"")</f>
        <v/>
      </c>
      <c r="AH3567" s="49">
        <f>LEFT(J3567,2)</f>
        <v/>
      </c>
    </row>
    <row r="3568" ht="12.75" customHeight="1">
      <c r="H3568" s="43" t="n"/>
      <c r="AG3568" s="49">
        <f>IFERROR(__xludf.DUMMYFUNCTION("IFNA(vlookup(H3568,IMPORTRANGE(""1vUGwO1n0QQGx9kKbO0_M5gmuhXZ6-LaxQxgrmJnzgP0"",""'TP# look up'!A:C""),3,0),"""")"),"")</f>
        <v/>
      </c>
      <c r="AH3568" s="49">
        <f>LEFT(J3568,2)</f>
        <v/>
      </c>
    </row>
    <row r="3569" ht="12.75" customHeight="1">
      <c r="H3569" s="43" t="n"/>
      <c r="AG3569" s="49">
        <f>IFERROR(__xludf.DUMMYFUNCTION("IFNA(vlookup(H3569,IMPORTRANGE(""1vUGwO1n0QQGx9kKbO0_M5gmuhXZ6-LaxQxgrmJnzgP0"",""'TP# look up'!A:C""),3,0),"""")"),"")</f>
        <v/>
      </c>
      <c r="AH3569" s="49">
        <f>LEFT(J3569,2)</f>
        <v/>
      </c>
    </row>
    <row r="3570" ht="12.75" customHeight="1">
      <c r="H3570" s="43" t="n"/>
      <c r="AG3570" s="49">
        <f>IFERROR(__xludf.DUMMYFUNCTION("IFNA(vlookup(H3570,IMPORTRANGE(""1vUGwO1n0QQGx9kKbO0_M5gmuhXZ6-LaxQxgrmJnzgP0"",""'TP# look up'!A:C""),3,0),"""")"),"")</f>
        <v/>
      </c>
      <c r="AH3570" s="49">
        <f>LEFT(J3570,2)</f>
        <v/>
      </c>
    </row>
    <row r="3571" ht="12.75" customHeight="1">
      <c r="H3571" s="43" t="n"/>
      <c r="AG3571" s="49">
        <f>IFERROR(__xludf.DUMMYFUNCTION("IFNA(vlookup(H3571,IMPORTRANGE(""1vUGwO1n0QQGx9kKbO0_M5gmuhXZ6-LaxQxgrmJnzgP0"",""'TP# look up'!A:C""),3,0),"""")"),"")</f>
        <v/>
      </c>
      <c r="AH3571" s="49">
        <f>LEFT(J3571,2)</f>
        <v/>
      </c>
    </row>
    <row r="3572" ht="12.75" customHeight="1">
      <c r="H3572" s="43" t="n"/>
      <c r="AG3572" s="49">
        <f>IFERROR(__xludf.DUMMYFUNCTION("IFNA(vlookup(H3572,IMPORTRANGE(""1vUGwO1n0QQGx9kKbO0_M5gmuhXZ6-LaxQxgrmJnzgP0"",""'TP# look up'!A:C""),3,0),"""")"),"")</f>
        <v/>
      </c>
      <c r="AH3572" s="49">
        <f>LEFT(J3572,2)</f>
        <v/>
      </c>
    </row>
    <row r="3573" ht="12.75" customHeight="1">
      <c r="H3573" s="43" t="n"/>
      <c r="AG3573" s="49">
        <f>IFERROR(__xludf.DUMMYFUNCTION("IFNA(vlookup(H3573,IMPORTRANGE(""1vUGwO1n0QQGx9kKbO0_M5gmuhXZ6-LaxQxgrmJnzgP0"",""'TP# look up'!A:C""),3,0),"""")"),"")</f>
        <v/>
      </c>
      <c r="AH3573" s="49">
        <f>LEFT(J3573,2)</f>
        <v/>
      </c>
    </row>
    <row r="3574" ht="12.75" customHeight="1">
      <c r="H3574" s="43" t="n"/>
      <c r="AG3574" s="49">
        <f>IFERROR(__xludf.DUMMYFUNCTION("IFNA(vlookup(H3574,IMPORTRANGE(""1vUGwO1n0QQGx9kKbO0_M5gmuhXZ6-LaxQxgrmJnzgP0"",""'TP# look up'!A:C""),3,0),"""")"),"")</f>
        <v/>
      </c>
      <c r="AH3574" s="49">
        <f>LEFT(J3574,2)</f>
        <v/>
      </c>
    </row>
    <row r="3575" ht="12.75" customHeight="1">
      <c r="H3575" s="43" t="n"/>
      <c r="AG3575" s="49">
        <f>IFERROR(__xludf.DUMMYFUNCTION("IFNA(vlookup(H3575,IMPORTRANGE(""1vUGwO1n0QQGx9kKbO0_M5gmuhXZ6-LaxQxgrmJnzgP0"",""'TP# look up'!A:C""),3,0),"""")"),"")</f>
        <v/>
      </c>
      <c r="AH3575" s="49">
        <f>LEFT(J3575,2)</f>
        <v/>
      </c>
    </row>
    <row r="3576" ht="12.75" customHeight="1">
      <c r="H3576" s="43" t="n"/>
      <c r="AG3576" s="49">
        <f>IFERROR(__xludf.DUMMYFUNCTION("IFNA(vlookup(H3576,IMPORTRANGE(""1vUGwO1n0QQGx9kKbO0_M5gmuhXZ6-LaxQxgrmJnzgP0"",""'TP# look up'!A:C""),3,0),"""")"),"")</f>
        <v/>
      </c>
      <c r="AH3576" s="49">
        <f>LEFT(J3576,2)</f>
        <v/>
      </c>
    </row>
    <row r="3577" ht="12.75" customHeight="1">
      <c r="H3577" s="43" t="n"/>
      <c r="AG3577" s="49">
        <f>IFERROR(__xludf.DUMMYFUNCTION("IFNA(vlookup(H3577,IMPORTRANGE(""1vUGwO1n0QQGx9kKbO0_M5gmuhXZ6-LaxQxgrmJnzgP0"",""'TP# look up'!A:C""),3,0),"""")"),"")</f>
        <v/>
      </c>
      <c r="AH3577" s="49">
        <f>LEFT(J3577,2)</f>
        <v/>
      </c>
    </row>
    <row r="3578" ht="12.75" customHeight="1">
      <c r="H3578" s="43" t="n"/>
      <c r="AG3578" s="49">
        <f>IFERROR(__xludf.DUMMYFUNCTION("IFNA(vlookup(H3578,IMPORTRANGE(""1vUGwO1n0QQGx9kKbO0_M5gmuhXZ6-LaxQxgrmJnzgP0"",""'TP# look up'!A:C""),3,0),"""")"),"")</f>
        <v/>
      </c>
      <c r="AH3578" s="49">
        <f>LEFT(J3578,2)</f>
        <v/>
      </c>
    </row>
    <row r="3579" ht="12.75" customHeight="1">
      <c r="H3579" s="43" t="n"/>
      <c r="AG3579" s="49">
        <f>IFERROR(__xludf.DUMMYFUNCTION("IFNA(vlookup(H3579,IMPORTRANGE(""1vUGwO1n0QQGx9kKbO0_M5gmuhXZ6-LaxQxgrmJnzgP0"",""'TP# look up'!A:C""),3,0),"""")"),"")</f>
        <v/>
      </c>
      <c r="AH3579" s="49">
        <f>LEFT(J3579,2)</f>
        <v/>
      </c>
    </row>
    <row r="3580" ht="12.75" customHeight="1">
      <c r="H3580" s="43" t="n"/>
      <c r="AG3580" s="49">
        <f>IFERROR(__xludf.DUMMYFUNCTION("IFNA(vlookup(H3580,IMPORTRANGE(""1vUGwO1n0QQGx9kKbO0_M5gmuhXZ6-LaxQxgrmJnzgP0"",""'TP# look up'!A:C""),3,0),"""")"),"")</f>
        <v/>
      </c>
      <c r="AH3580" s="49">
        <f>LEFT(J3580,2)</f>
        <v/>
      </c>
    </row>
    <row r="3581" ht="12.75" customHeight="1">
      <c r="H3581" s="43" t="n"/>
      <c r="AG3581" s="49">
        <f>IFERROR(__xludf.DUMMYFUNCTION("IFNA(vlookup(H3581,IMPORTRANGE(""1vUGwO1n0QQGx9kKbO0_M5gmuhXZ6-LaxQxgrmJnzgP0"",""'TP# look up'!A:C""),3,0),"""")"),"")</f>
        <v/>
      </c>
      <c r="AH3581" s="49">
        <f>LEFT(J3581,2)</f>
        <v/>
      </c>
    </row>
    <row r="3582" ht="12.75" customHeight="1">
      <c r="H3582" s="43" t="n"/>
      <c r="AG3582" s="49">
        <f>IFERROR(__xludf.DUMMYFUNCTION("IFNA(vlookup(H3582,IMPORTRANGE(""1vUGwO1n0QQGx9kKbO0_M5gmuhXZ6-LaxQxgrmJnzgP0"",""'TP# look up'!A:C""),3,0),"""")"),"")</f>
        <v/>
      </c>
      <c r="AH3582" s="49">
        <f>LEFT(J3582,2)</f>
        <v/>
      </c>
    </row>
    <row r="3583" ht="12.75" customHeight="1">
      <c r="H3583" s="43" t="n"/>
      <c r="AG3583" s="49">
        <f>IFERROR(__xludf.DUMMYFUNCTION("IFNA(vlookup(H3583,IMPORTRANGE(""1vUGwO1n0QQGx9kKbO0_M5gmuhXZ6-LaxQxgrmJnzgP0"",""'TP# look up'!A:C""),3,0),"""")"),"")</f>
        <v/>
      </c>
      <c r="AH3583" s="49">
        <f>LEFT(J3583,2)</f>
        <v/>
      </c>
    </row>
    <row r="3584" ht="12.75" customHeight="1">
      <c r="H3584" s="43" t="n"/>
      <c r="AG3584" s="49">
        <f>IFERROR(__xludf.DUMMYFUNCTION("IFNA(vlookup(H3584,IMPORTRANGE(""1vUGwO1n0QQGx9kKbO0_M5gmuhXZ6-LaxQxgrmJnzgP0"",""'TP# look up'!A:C""),3,0),"""")"),"")</f>
        <v/>
      </c>
      <c r="AH3584" s="49">
        <f>LEFT(J3584,2)</f>
        <v/>
      </c>
    </row>
    <row r="3585" ht="12.75" customHeight="1">
      <c r="H3585" s="43" t="n"/>
      <c r="AG3585" s="49">
        <f>IFERROR(__xludf.DUMMYFUNCTION("IFNA(vlookup(H3585,IMPORTRANGE(""1vUGwO1n0QQGx9kKbO0_M5gmuhXZ6-LaxQxgrmJnzgP0"",""'TP# look up'!A:C""),3,0),"""")"),"")</f>
        <v/>
      </c>
      <c r="AH3585" s="49">
        <f>LEFT(J3585,2)</f>
        <v/>
      </c>
    </row>
    <row r="3586" ht="12.75" customHeight="1">
      <c r="H3586" s="43" t="n"/>
      <c r="AG3586" s="49">
        <f>IFERROR(__xludf.DUMMYFUNCTION("IFNA(vlookup(H3586,IMPORTRANGE(""1vUGwO1n0QQGx9kKbO0_M5gmuhXZ6-LaxQxgrmJnzgP0"",""'TP# look up'!A:C""),3,0),"""")"),"")</f>
        <v/>
      </c>
      <c r="AH3586" s="49">
        <f>LEFT(J3586,2)</f>
        <v/>
      </c>
    </row>
    <row r="3587" ht="12.75" customHeight="1">
      <c r="H3587" s="43" t="n"/>
      <c r="AG3587" s="49">
        <f>IFERROR(__xludf.DUMMYFUNCTION("IFNA(vlookup(H3587,IMPORTRANGE(""1vUGwO1n0QQGx9kKbO0_M5gmuhXZ6-LaxQxgrmJnzgP0"",""'TP# look up'!A:C""),3,0),"""")"),"")</f>
        <v/>
      </c>
      <c r="AH3587" s="49">
        <f>LEFT(J3587,2)</f>
        <v/>
      </c>
    </row>
    <row r="3588" ht="12.75" customHeight="1">
      <c r="H3588" s="43" t="n"/>
      <c r="AG3588" s="49">
        <f>IFERROR(__xludf.DUMMYFUNCTION("IFNA(vlookup(H3588,IMPORTRANGE(""1vUGwO1n0QQGx9kKbO0_M5gmuhXZ6-LaxQxgrmJnzgP0"",""'TP# look up'!A:C""),3,0),"""")"),"")</f>
        <v/>
      </c>
      <c r="AH3588" s="49">
        <f>LEFT(J3588,2)</f>
        <v/>
      </c>
    </row>
    <row r="3589" ht="12.75" customHeight="1">
      <c r="H3589" s="43" t="n"/>
      <c r="AG3589" s="49">
        <f>IFERROR(__xludf.DUMMYFUNCTION("IFNA(vlookup(H3589,IMPORTRANGE(""1vUGwO1n0QQGx9kKbO0_M5gmuhXZ6-LaxQxgrmJnzgP0"",""'TP# look up'!A:C""),3,0),"""")"),"")</f>
        <v/>
      </c>
      <c r="AH3589" s="49">
        <f>LEFT(J3589,2)</f>
        <v/>
      </c>
    </row>
    <row r="3590" ht="12.75" customHeight="1">
      <c r="H3590" s="43" t="n"/>
      <c r="AG3590" s="49">
        <f>IFERROR(__xludf.DUMMYFUNCTION("IFNA(vlookup(H3590,IMPORTRANGE(""1vUGwO1n0QQGx9kKbO0_M5gmuhXZ6-LaxQxgrmJnzgP0"",""'TP# look up'!A:C""),3,0),"""")"),"")</f>
        <v/>
      </c>
      <c r="AH3590" s="49">
        <f>LEFT(J3590,2)</f>
        <v/>
      </c>
    </row>
    <row r="3591" ht="12.75" customHeight="1">
      <c r="H3591" s="43" t="n"/>
      <c r="AG3591" s="49">
        <f>IFERROR(__xludf.DUMMYFUNCTION("IFNA(vlookup(H3591,IMPORTRANGE(""1vUGwO1n0QQGx9kKbO0_M5gmuhXZ6-LaxQxgrmJnzgP0"",""'TP# look up'!A:C""),3,0),"""")"),"")</f>
        <v/>
      </c>
      <c r="AH3591" s="49">
        <f>LEFT(J3591,2)</f>
        <v/>
      </c>
    </row>
    <row r="3592" ht="12.75" customHeight="1">
      <c r="H3592" s="43" t="n"/>
      <c r="AG3592" s="49">
        <f>IFERROR(__xludf.DUMMYFUNCTION("IFNA(vlookup(H3592,IMPORTRANGE(""1vUGwO1n0QQGx9kKbO0_M5gmuhXZ6-LaxQxgrmJnzgP0"",""'TP# look up'!A:C""),3,0),"""")"),"")</f>
        <v/>
      </c>
      <c r="AH3592" s="49">
        <f>LEFT(J3592,2)</f>
        <v/>
      </c>
    </row>
    <row r="3593" ht="12.75" customHeight="1">
      <c r="H3593" s="43" t="n"/>
      <c r="AG3593" s="49">
        <f>IFERROR(__xludf.DUMMYFUNCTION("IFNA(vlookup(H3593,IMPORTRANGE(""1vUGwO1n0QQGx9kKbO0_M5gmuhXZ6-LaxQxgrmJnzgP0"",""'TP# look up'!A:C""),3,0),"""")"),"")</f>
        <v/>
      </c>
      <c r="AH3593" s="49">
        <f>LEFT(J3593,2)</f>
        <v/>
      </c>
    </row>
    <row r="3594" ht="12.75" customHeight="1">
      <c r="H3594" s="43" t="n"/>
      <c r="AG3594" s="49">
        <f>IFERROR(__xludf.DUMMYFUNCTION("IFNA(vlookup(H3594,IMPORTRANGE(""1vUGwO1n0QQGx9kKbO0_M5gmuhXZ6-LaxQxgrmJnzgP0"",""'TP# look up'!A:C""),3,0),"""")"),"")</f>
        <v/>
      </c>
      <c r="AH3594" s="49">
        <f>LEFT(J3594,2)</f>
        <v/>
      </c>
    </row>
    <row r="3595" ht="12.75" customHeight="1">
      <c r="H3595" s="43" t="n"/>
      <c r="AG3595" s="49">
        <f>IFERROR(__xludf.DUMMYFUNCTION("IFNA(vlookup(H3595,IMPORTRANGE(""1vUGwO1n0QQGx9kKbO0_M5gmuhXZ6-LaxQxgrmJnzgP0"",""'TP# look up'!A:C""),3,0),"""")"),"")</f>
        <v/>
      </c>
      <c r="AH3595" s="49">
        <f>LEFT(J3595,2)</f>
        <v/>
      </c>
    </row>
    <row r="3596" ht="12.75" customHeight="1">
      <c r="H3596" s="43" t="n"/>
      <c r="AG3596" s="49">
        <f>IFERROR(__xludf.DUMMYFUNCTION("IFNA(vlookup(H3596,IMPORTRANGE(""1vUGwO1n0QQGx9kKbO0_M5gmuhXZ6-LaxQxgrmJnzgP0"",""'TP# look up'!A:C""),3,0),"""")"),"")</f>
        <v/>
      </c>
      <c r="AH3596" s="49">
        <f>LEFT(J3596,2)</f>
        <v/>
      </c>
    </row>
    <row r="3597" ht="12.75" customHeight="1">
      <c r="H3597" s="43" t="n"/>
      <c r="AG3597" s="49">
        <f>IFERROR(__xludf.DUMMYFUNCTION("IFNA(vlookup(H3597,IMPORTRANGE(""1vUGwO1n0QQGx9kKbO0_M5gmuhXZ6-LaxQxgrmJnzgP0"",""'TP# look up'!A:C""),3,0),"""")"),"")</f>
        <v/>
      </c>
      <c r="AH3597" s="49">
        <f>LEFT(J3597,2)</f>
        <v/>
      </c>
    </row>
    <row r="3598" ht="12.75" customHeight="1">
      <c r="H3598" s="43" t="n"/>
      <c r="AG3598" s="49">
        <f>IFERROR(__xludf.DUMMYFUNCTION("IFNA(vlookup(H3598,IMPORTRANGE(""1vUGwO1n0QQGx9kKbO0_M5gmuhXZ6-LaxQxgrmJnzgP0"",""'TP# look up'!A:C""),3,0),"""")"),"")</f>
        <v/>
      </c>
      <c r="AH3598" s="49">
        <f>LEFT(J3598,2)</f>
        <v/>
      </c>
    </row>
    <row r="3599" ht="12.75" customHeight="1">
      <c r="H3599" s="43" t="n"/>
      <c r="AG3599" s="49">
        <f>IFERROR(__xludf.DUMMYFUNCTION("IFNA(vlookup(H3599,IMPORTRANGE(""1vUGwO1n0QQGx9kKbO0_M5gmuhXZ6-LaxQxgrmJnzgP0"",""'TP# look up'!A:C""),3,0),"""")"),"")</f>
        <v/>
      </c>
      <c r="AH3599" s="49">
        <f>LEFT(J3599,2)</f>
        <v/>
      </c>
    </row>
    <row r="3600" ht="12.75" customHeight="1">
      <c r="H3600" s="43" t="n"/>
      <c r="AG3600" s="49">
        <f>IFERROR(__xludf.DUMMYFUNCTION("IFNA(vlookup(H3600,IMPORTRANGE(""1vUGwO1n0QQGx9kKbO0_M5gmuhXZ6-LaxQxgrmJnzgP0"",""'TP# look up'!A:C""),3,0),"""")"),"")</f>
        <v/>
      </c>
      <c r="AH3600" s="49">
        <f>LEFT(J3600,2)</f>
        <v/>
      </c>
    </row>
    <row r="3601" ht="12.75" customHeight="1">
      <c r="H3601" s="43" t="n"/>
      <c r="AG3601" s="49">
        <f>IFERROR(__xludf.DUMMYFUNCTION("IFNA(vlookup(H3601,IMPORTRANGE(""1vUGwO1n0QQGx9kKbO0_M5gmuhXZ6-LaxQxgrmJnzgP0"",""'TP# look up'!A:C""),3,0),"""")"),"")</f>
        <v/>
      </c>
      <c r="AH3601" s="49">
        <f>LEFT(J3601,2)</f>
        <v/>
      </c>
    </row>
    <row r="3602" ht="12.75" customHeight="1">
      <c r="H3602" s="43" t="n"/>
      <c r="AG3602" s="49">
        <f>IFERROR(__xludf.DUMMYFUNCTION("IFNA(vlookup(H3602,IMPORTRANGE(""1vUGwO1n0QQGx9kKbO0_M5gmuhXZ6-LaxQxgrmJnzgP0"",""'TP# look up'!A:C""),3,0),"""")"),"")</f>
        <v/>
      </c>
      <c r="AH3602" s="49">
        <f>LEFT(J3602,2)</f>
        <v/>
      </c>
    </row>
    <row r="3603" ht="12.75" customHeight="1">
      <c r="H3603" s="43" t="n"/>
      <c r="AG3603" s="49">
        <f>IFERROR(__xludf.DUMMYFUNCTION("IFNA(vlookup(H3603,IMPORTRANGE(""1vUGwO1n0QQGx9kKbO0_M5gmuhXZ6-LaxQxgrmJnzgP0"",""'TP# look up'!A:C""),3,0),"""")"),"")</f>
        <v/>
      </c>
      <c r="AH3603" s="49">
        <f>LEFT(J3603,2)</f>
        <v/>
      </c>
    </row>
    <row r="3604" ht="12.75" customHeight="1">
      <c r="H3604" s="43" t="n"/>
      <c r="AG3604" s="49">
        <f>IFERROR(__xludf.DUMMYFUNCTION("IFNA(vlookup(H3604,IMPORTRANGE(""1vUGwO1n0QQGx9kKbO0_M5gmuhXZ6-LaxQxgrmJnzgP0"",""'TP# look up'!A:C""),3,0),"""")"),"")</f>
        <v/>
      </c>
      <c r="AH3604" s="49">
        <f>LEFT(J3604,2)</f>
        <v/>
      </c>
    </row>
    <row r="3605" ht="12.75" customHeight="1">
      <c r="H3605" s="43" t="n"/>
      <c r="AG3605" s="49">
        <f>IFERROR(__xludf.DUMMYFUNCTION("IFNA(vlookup(H3605,IMPORTRANGE(""1vUGwO1n0QQGx9kKbO0_M5gmuhXZ6-LaxQxgrmJnzgP0"",""'TP# look up'!A:C""),3,0),"""")"),"")</f>
        <v/>
      </c>
      <c r="AH3605" s="49">
        <f>LEFT(J3605,2)</f>
        <v/>
      </c>
    </row>
    <row r="3606" ht="12.75" customHeight="1">
      <c r="H3606" s="43" t="n"/>
      <c r="AG3606" s="49">
        <f>IFERROR(__xludf.DUMMYFUNCTION("IFNA(vlookup(H3606,IMPORTRANGE(""1vUGwO1n0QQGx9kKbO0_M5gmuhXZ6-LaxQxgrmJnzgP0"",""'TP# look up'!A:C""),3,0),"""")"),"")</f>
        <v/>
      </c>
      <c r="AH3606" s="49">
        <f>LEFT(J3606,2)</f>
        <v/>
      </c>
    </row>
    <row r="3607" ht="12.75" customHeight="1">
      <c r="H3607" s="43" t="n"/>
      <c r="AG3607" s="49">
        <f>IFERROR(__xludf.DUMMYFUNCTION("IFNA(vlookup(H3607,IMPORTRANGE(""1vUGwO1n0QQGx9kKbO0_M5gmuhXZ6-LaxQxgrmJnzgP0"",""'TP# look up'!A:C""),3,0),"""")"),"")</f>
        <v/>
      </c>
      <c r="AH3607" s="49">
        <f>LEFT(J3607,2)</f>
        <v/>
      </c>
    </row>
    <row r="3608" ht="12.75" customHeight="1">
      <c r="H3608" s="43" t="n"/>
      <c r="AG3608" s="49">
        <f>IFERROR(__xludf.DUMMYFUNCTION("IFNA(vlookup(H3608,IMPORTRANGE(""1vUGwO1n0QQGx9kKbO0_M5gmuhXZ6-LaxQxgrmJnzgP0"",""'TP# look up'!A:C""),3,0),"""")"),"")</f>
        <v/>
      </c>
      <c r="AH3608" s="49">
        <f>LEFT(J3608,2)</f>
        <v/>
      </c>
    </row>
    <row r="3609" ht="12.75" customHeight="1">
      <c r="H3609" s="43" t="n"/>
      <c r="AG3609" s="49">
        <f>IFERROR(__xludf.DUMMYFUNCTION("IFNA(vlookup(H3609,IMPORTRANGE(""1vUGwO1n0QQGx9kKbO0_M5gmuhXZ6-LaxQxgrmJnzgP0"",""'TP# look up'!A:C""),3,0),"""")"),"")</f>
        <v/>
      </c>
      <c r="AH3609" s="49">
        <f>LEFT(J3609,2)</f>
        <v/>
      </c>
    </row>
    <row r="3610" ht="12.75" customHeight="1">
      <c r="H3610" s="43" t="n"/>
      <c r="AG3610" s="49">
        <f>IFERROR(__xludf.DUMMYFUNCTION("IFNA(vlookup(H3610,IMPORTRANGE(""1vUGwO1n0QQGx9kKbO0_M5gmuhXZ6-LaxQxgrmJnzgP0"",""'TP# look up'!A:C""),3,0),"""")"),"")</f>
        <v/>
      </c>
      <c r="AH3610" s="49">
        <f>LEFT(J3610,2)</f>
        <v/>
      </c>
    </row>
    <row r="3611" ht="12.75" customHeight="1">
      <c r="H3611" s="43" t="n"/>
      <c r="AG3611" s="49">
        <f>IFERROR(__xludf.DUMMYFUNCTION("IFNA(vlookup(H3611,IMPORTRANGE(""1vUGwO1n0QQGx9kKbO0_M5gmuhXZ6-LaxQxgrmJnzgP0"",""'TP# look up'!A:C""),3,0),"""")"),"")</f>
        <v/>
      </c>
      <c r="AH3611" s="49">
        <f>LEFT(J3611,2)</f>
        <v/>
      </c>
    </row>
    <row r="3612" ht="12.75" customHeight="1">
      <c r="H3612" s="43" t="n"/>
      <c r="AG3612" s="49">
        <f>IFERROR(__xludf.DUMMYFUNCTION("IFNA(vlookup(H3612,IMPORTRANGE(""1vUGwO1n0QQGx9kKbO0_M5gmuhXZ6-LaxQxgrmJnzgP0"",""'TP# look up'!A:C""),3,0),"""")"),"")</f>
        <v/>
      </c>
      <c r="AH3612" s="49">
        <f>LEFT(J3612,2)</f>
        <v/>
      </c>
    </row>
    <row r="3613" ht="12.75" customHeight="1">
      <c r="H3613" s="43" t="n"/>
      <c r="AG3613" s="49">
        <f>IFERROR(__xludf.DUMMYFUNCTION("IFNA(vlookup(H3613,IMPORTRANGE(""1vUGwO1n0QQGx9kKbO0_M5gmuhXZ6-LaxQxgrmJnzgP0"",""'TP# look up'!A:C""),3,0),"""")"),"")</f>
        <v/>
      </c>
      <c r="AH3613" s="49">
        <f>LEFT(J3613,2)</f>
        <v/>
      </c>
    </row>
    <row r="3614" ht="12.75" customHeight="1">
      <c r="H3614" s="43" t="n"/>
      <c r="AG3614" s="49">
        <f>IFERROR(__xludf.DUMMYFUNCTION("IFNA(vlookup(H3614,IMPORTRANGE(""1vUGwO1n0QQGx9kKbO0_M5gmuhXZ6-LaxQxgrmJnzgP0"",""'TP# look up'!A:C""),3,0),"""")"),"")</f>
        <v/>
      </c>
      <c r="AH3614" s="49">
        <f>LEFT(J3614,2)</f>
        <v/>
      </c>
    </row>
    <row r="3615" ht="12.75" customHeight="1">
      <c r="H3615" s="43" t="n"/>
      <c r="AG3615" s="49">
        <f>IFERROR(__xludf.DUMMYFUNCTION("IFNA(vlookup(H3615,IMPORTRANGE(""1vUGwO1n0QQGx9kKbO0_M5gmuhXZ6-LaxQxgrmJnzgP0"",""'TP# look up'!A:C""),3,0),"""")"),"")</f>
        <v/>
      </c>
      <c r="AH3615" s="49">
        <f>LEFT(J3615,2)</f>
        <v/>
      </c>
    </row>
    <row r="3616" ht="12.75" customHeight="1">
      <c r="H3616" s="43" t="n"/>
      <c r="AG3616" s="49">
        <f>IFERROR(__xludf.DUMMYFUNCTION("IFNA(vlookup(H3616,IMPORTRANGE(""1vUGwO1n0QQGx9kKbO0_M5gmuhXZ6-LaxQxgrmJnzgP0"",""'TP# look up'!A:C""),3,0),"""")"),"")</f>
        <v/>
      </c>
      <c r="AH3616" s="49">
        <f>LEFT(J3616,2)</f>
        <v/>
      </c>
    </row>
    <row r="3617" ht="12.75" customHeight="1">
      <c r="H3617" s="43" t="n"/>
      <c r="AG3617" s="49">
        <f>IFERROR(__xludf.DUMMYFUNCTION("IFNA(vlookup(H3617,IMPORTRANGE(""1vUGwO1n0QQGx9kKbO0_M5gmuhXZ6-LaxQxgrmJnzgP0"",""'TP# look up'!A:C""),3,0),"""")"),"")</f>
        <v/>
      </c>
      <c r="AH3617" s="49">
        <f>LEFT(J3617,2)</f>
        <v/>
      </c>
    </row>
    <row r="3618" ht="12.75" customHeight="1">
      <c r="H3618" s="43" t="n"/>
      <c r="AG3618" s="49">
        <f>IFERROR(__xludf.DUMMYFUNCTION("IFNA(vlookup(H3618,IMPORTRANGE(""1vUGwO1n0QQGx9kKbO0_M5gmuhXZ6-LaxQxgrmJnzgP0"",""'TP# look up'!A:C""),3,0),"""")"),"")</f>
        <v/>
      </c>
      <c r="AH3618" s="49">
        <f>LEFT(J3618,2)</f>
        <v/>
      </c>
    </row>
    <row r="3619" ht="12.75" customHeight="1">
      <c r="H3619" s="43" t="n"/>
      <c r="AG3619" s="49">
        <f>IFERROR(__xludf.DUMMYFUNCTION("IFNA(vlookup(H3619,IMPORTRANGE(""1vUGwO1n0QQGx9kKbO0_M5gmuhXZ6-LaxQxgrmJnzgP0"",""'TP# look up'!A:C""),3,0),"""")"),"")</f>
        <v/>
      </c>
      <c r="AH3619" s="49">
        <f>LEFT(J3619,2)</f>
        <v/>
      </c>
    </row>
    <row r="3620" ht="12.75" customHeight="1">
      <c r="H3620" s="43" t="n"/>
      <c r="AG3620" s="49">
        <f>IFERROR(__xludf.DUMMYFUNCTION("IFNA(vlookup(H3620,IMPORTRANGE(""1vUGwO1n0QQGx9kKbO0_M5gmuhXZ6-LaxQxgrmJnzgP0"",""'TP# look up'!A:C""),3,0),"""")"),"")</f>
        <v/>
      </c>
      <c r="AH3620" s="49">
        <f>LEFT(J3620,2)</f>
        <v/>
      </c>
    </row>
    <row r="3621" ht="12.75" customHeight="1">
      <c r="H3621" s="43" t="n"/>
      <c r="AG3621" s="49">
        <f>IFERROR(__xludf.DUMMYFUNCTION("IFNA(vlookup(H3621,IMPORTRANGE(""1vUGwO1n0QQGx9kKbO0_M5gmuhXZ6-LaxQxgrmJnzgP0"",""'TP# look up'!A:C""),3,0),"""")"),"")</f>
        <v/>
      </c>
      <c r="AH3621" s="49">
        <f>LEFT(J3621,2)</f>
        <v/>
      </c>
    </row>
    <row r="3622" ht="12.75" customHeight="1">
      <c r="H3622" s="43" t="n"/>
      <c r="AG3622" s="49">
        <f>IFERROR(__xludf.DUMMYFUNCTION("IFNA(vlookup(H3622,IMPORTRANGE(""1vUGwO1n0QQGx9kKbO0_M5gmuhXZ6-LaxQxgrmJnzgP0"",""'TP# look up'!A:C""),3,0),"""")"),"")</f>
        <v/>
      </c>
      <c r="AH3622" s="49">
        <f>LEFT(J3622,2)</f>
        <v/>
      </c>
    </row>
    <row r="3623" ht="12.75" customHeight="1">
      <c r="H3623" s="43" t="n"/>
      <c r="AG3623" s="49">
        <f>IFERROR(__xludf.DUMMYFUNCTION("IFNA(vlookup(H3623,IMPORTRANGE(""1vUGwO1n0QQGx9kKbO0_M5gmuhXZ6-LaxQxgrmJnzgP0"",""'TP# look up'!A:C""),3,0),"""")"),"")</f>
        <v/>
      </c>
      <c r="AH3623" s="49">
        <f>LEFT(J3623,2)</f>
        <v/>
      </c>
    </row>
    <row r="3624" ht="12.75" customHeight="1">
      <c r="H3624" s="43" t="n"/>
      <c r="AG3624" s="49">
        <f>IFERROR(__xludf.DUMMYFUNCTION("IFNA(vlookup(H3624,IMPORTRANGE(""1vUGwO1n0QQGx9kKbO0_M5gmuhXZ6-LaxQxgrmJnzgP0"",""'TP# look up'!A:C""),3,0),"""")"),"")</f>
        <v/>
      </c>
      <c r="AH3624" s="49">
        <f>LEFT(J3624,2)</f>
        <v/>
      </c>
    </row>
    <row r="3625" ht="12.75" customHeight="1">
      <c r="H3625" s="43" t="n"/>
      <c r="AG3625" s="49">
        <f>IFERROR(__xludf.DUMMYFUNCTION("IFNA(vlookup(H3625,IMPORTRANGE(""1vUGwO1n0QQGx9kKbO0_M5gmuhXZ6-LaxQxgrmJnzgP0"",""'TP# look up'!A:C""),3,0),"""")"),"")</f>
        <v/>
      </c>
      <c r="AH3625" s="49">
        <f>LEFT(J3625,2)</f>
        <v/>
      </c>
    </row>
    <row r="3626" ht="12.75" customHeight="1">
      <c r="H3626" s="43" t="n"/>
      <c r="AG3626" s="49">
        <f>IFERROR(__xludf.DUMMYFUNCTION("IFNA(vlookup(H3626,IMPORTRANGE(""1vUGwO1n0QQGx9kKbO0_M5gmuhXZ6-LaxQxgrmJnzgP0"",""'TP# look up'!A:C""),3,0),"""")"),"")</f>
        <v/>
      </c>
      <c r="AH3626" s="49">
        <f>LEFT(J3626,2)</f>
        <v/>
      </c>
    </row>
    <row r="3627" ht="12.75" customHeight="1">
      <c r="H3627" s="43" t="n"/>
      <c r="AG3627" s="49">
        <f>IFERROR(__xludf.DUMMYFUNCTION("IFNA(vlookup(H3627,IMPORTRANGE(""1vUGwO1n0QQGx9kKbO0_M5gmuhXZ6-LaxQxgrmJnzgP0"",""'TP# look up'!A:C""),3,0),"""")"),"")</f>
        <v/>
      </c>
      <c r="AH3627" s="49">
        <f>LEFT(J3627,2)</f>
        <v/>
      </c>
    </row>
    <row r="3628" ht="12.75" customHeight="1">
      <c r="H3628" s="43" t="n"/>
      <c r="AG3628" s="49">
        <f>IFERROR(__xludf.DUMMYFUNCTION("IFNA(vlookup(H3628,IMPORTRANGE(""1vUGwO1n0QQGx9kKbO0_M5gmuhXZ6-LaxQxgrmJnzgP0"",""'TP# look up'!A:C""),3,0),"""")"),"")</f>
        <v/>
      </c>
      <c r="AH3628" s="49">
        <f>LEFT(J3628,2)</f>
        <v/>
      </c>
    </row>
    <row r="3629" ht="12.75" customHeight="1">
      <c r="H3629" s="43" t="n"/>
      <c r="AG3629" s="49">
        <f>IFERROR(__xludf.DUMMYFUNCTION("IFNA(vlookup(H3629,IMPORTRANGE(""1vUGwO1n0QQGx9kKbO0_M5gmuhXZ6-LaxQxgrmJnzgP0"",""'TP# look up'!A:C""),3,0),"""")"),"")</f>
        <v/>
      </c>
      <c r="AH3629" s="49">
        <f>LEFT(J3629,2)</f>
        <v/>
      </c>
    </row>
    <row r="3630" ht="12.75" customHeight="1">
      <c r="H3630" s="43" t="n"/>
      <c r="AG3630" s="49">
        <f>IFERROR(__xludf.DUMMYFUNCTION("IFNA(vlookup(H3630,IMPORTRANGE(""1vUGwO1n0QQGx9kKbO0_M5gmuhXZ6-LaxQxgrmJnzgP0"",""'TP# look up'!A:C""),3,0),"""")"),"")</f>
        <v/>
      </c>
      <c r="AH3630" s="49">
        <f>LEFT(J3630,2)</f>
        <v/>
      </c>
    </row>
    <row r="3631" ht="12.75" customHeight="1">
      <c r="H3631" s="43" t="n"/>
      <c r="AG3631" s="49">
        <f>IFERROR(__xludf.DUMMYFUNCTION("IFNA(vlookup(H3631,IMPORTRANGE(""1vUGwO1n0QQGx9kKbO0_M5gmuhXZ6-LaxQxgrmJnzgP0"",""'TP# look up'!A:C""),3,0),"""")"),"")</f>
        <v/>
      </c>
      <c r="AH3631" s="49">
        <f>LEFT(J3631,2)</f>
        <v/>
      </c>
    </row>
    <row r="3632" ht="12.75" customHeight="1">
      <c r="H3632" s="43" t="n"/>
      <c r="AG3632" s="49">
        <f>IFERROR(__xludf.DUMMYFUNCTION("IFNA(vlookup(H3632,IMPORTRANGE(""1vUGwO1n0QQGx9kKbO0_M5gmuhXZ6-LaxQxgrmJnzgP0"",""'TP# look up'!A:C""),3,0),"""")"),"")</f>
        <v/>
      </c>
      <c r="AH3632" s="49">
        <f>LEFT(J3632,2)</f>
        <v/>
      </c>
    </row>
    <row r="3633" ht="12.75" customHeight="1">
      <c r="H3633" s="43" t="n"/>
      <c r="AG3633" s="49">
        <f>IFERROR(__xludf.DUMMYFUNCTION("IFNA(vlookup(H3633,IMPORTRANGE(""1vUGwO1n0QQGx9kKbO0_M5gmuhXZ6-LaxQxgrmJnzgP0"",""'TP# look up'!A:C""),3,0),"""")"),"")</f>
        <v/>
      </c>
      <c r="AH3633" s="49">
        <f>LEFT(J3633,2)</f>
        <v/>
      </c>
    </row>
    <row r="3634" ht="12.75" customHeight="1">
      <c r="H3634" s="43" t="n"/>
      <c r="AG3634" s="49">
        <f>IFERROR(__xludf.DUMMYFUNCTION("IFNA(vlookup(H3634,IMPORTRANGE(""1vUGwO1n0QQGx9kKbO0_M5gmuhXZ6-LaxQxgrmJnzgP0"",""'TP# look up'!A:C""),3,0),"""")"),"")</f>
        <v/>
      </c>
      <c r="AH3634" s="49">
        <f>LEFT(J3634,2)</f>
        <v/>
      </c>
    </row>
    <row r="3635" ht="12.75" customHeight="1">
      <c r="H3635" s="43" t="n"/>
      <c r="AG3635" s="49">
        <f>IFERROR(__xludf.DUMMYFUNCTION("IFNA(vlookup(H3635,IMPORTRANGE(""1vUGwO1n0QQGx9kKbO0_M5gmuhXZ6-LaxQxgrmJnzgP0"",""'TP# look up'!A:C""),3,0),"""")"),"")</f>
        <v/>
      </c>
      <c r="AH3635" s="49">
        <f>LEFT(J3635,2)</f>
        <v/>
      </c>
    </row>
    <row r="3636" ht="12.75" customHeight="1">
      <c r="H3636" s="43" t="n"/>
      <c r="AG3636" s="49">
        <f>IFERROR(__xludf.DUMMYFUNCTION("IFNA(vlookup(H3636,IMPORTRANGE(""1vUGwO1n0QQGx9kKbO0_M5gmuhXZ6-LaxQxgrmJnzgP0"",""'TP# look up'!A:C""),3,0),"""")"),"")</f>
        <v/>
      </c>
      <c r="AH3636" s="49">
        <f>LEFT(J3636,2)</f>
        <v/>
      </c>
    </row>
    <row r="3637" ht="12.75" customHeight="1">
      <c r="H3637" s="43" t="n"/>
      <c r="AG3637" s="49">
        <f>IFERROR(__xludf.DUMMYFUNCTION("IFNA(vlookup(H3637,IMPORTRANGE(""1vUGwO1n0QQGx9kKbO0_M5gmuhXZ6-LaxQxgrmJnzgP0"",""'TP# look up'!A:C""),3,0),"""")"),"")</f>
        <v/>
      </c>
      <c r="AH3637" s="49">
        <f>LEFT(J3637,2)</f>
        <v/>
      </c>
    </row>
    <row r="3638" ht="12.75" customHeight="1">
      <c r="H3638" s="43" t="n"/>
      <c r="AG3638" s="49">
        <f>IFERROR(__xludf.DUMMYFUNCTION("IFNA(vlookup(H3638,IMPORTRANGE(""1vUGwO1n0QQGx9kKbO0_M5gmuhXZ6-LaxQxgrmJnzgP0"",""'TP# look up'!A:C""),3,0),"""")"),"")</f>
        <v/>
      </c>
      <c r="AH3638" s="49">
        <f>LEFT(J3638,2)</f>
        <v/>
      </c>
    </row>
    <row r="3639" ht="12.75" customHeight="1">
      <c r="H3639" s="43" t="n"/>
      <c r="AG3639" s="49">
        <f>IFERROR(__xludf.DUMMYFUNCTION("IFNA(vlookup(H3639,IMPORTRANGE(""1vUGwO1n0QQGx9kKbO0_M5gmuhXZ6-LaxQxgrmJnzgP0"",""'TP# look up'!A:C""),3,0),"""")"),"")</f>
        <v/>
      </c>
      <c r="AH3639" s="49">
        <f>LEFT(J3639,2)</f>
        <v/>
      </c>
    </row>
    <row r="3640" ht="12.75" customHeight="1">
      <c r="H3640" s="43" t="n"/>
      <c r="AG3640" s="49">
        <f>IFERROR(__xludf.DUMMYFUNCTION("IFNA(vlookup(H3640,IMPORTRANGE(""1vUGwO1n0QQGx9kKbO0_M5gmuhXZ6-LaxQxgrmJnzgP0"",""'TP# look up'!A:C""),3,0),"""")"),"")</f>
        <v/>
      </c>
      <c r="AH3640" s="49">
        <f>LEFT(J3640,2)</f>
        <v/>
      </c>
    </row>
    <row r="3641" ht="12.75" customHeight="1">
      <c r="H3641" s="43" t="n"/>
      <c r="AG3641" s="49">
        <f>IFERROR(__xludf.DUMMYFUNCTION("IFNA(vlookup(H3641,IMPORTRANGE(""1vUGwO1n0QQGx9kKbO0_M5gmuhXZ6-LaxQxgrmJnzgP0"",""'TP# look up'!A:C""),3,0),"""")"),"")</f>
        <v/>
      </c>
      <c r="AH3641" s="49">
        <f>LEFT(J3641,2)</f>
        <v/>
      </c>
    </row>
    <row r="3642" ht="12.75" customHeight="1">
      <c r="H3642" s="43" t="n"/>
      <c r="AG3642" s="49">
        <f>IFERROR(__xludf.DUMMYFUNCTION("IFNA(vlookup(H3642,IMPORTRANGE(""1vUGwO1n0QQGx9kKbO0_M5gmuhXZ6-LaxQxgrmJnzgP0"",""'TP# look up'!A:C""),3,0),"""")"),"")</f>
        <v/>
      </c>
      <c r="AH3642" s="49">
        <f>LEFT(J3642,2)</f>
        <v/>
      </c>
    </row>
    <row r="3643" ht="12.75" customHeight="1">
      <c r="H3643" s="43" t="n"/>
      <c r="AG3643" s="49">
        <f>IFERROR(__xludf.DUMMYFUNCTION("IFNA(vlookup(H3643,IMPORTRANGE(""1vUGwO1n0QQGx9kKbO0_M5gmuhXZ6-LaxQxgrmJnzgP0"",""'TP# look up'!A:C""),3,0),"""")"),"")</f>
        <v/>
      </c>
      <c r="AH3643" s="49">
        <f>LEFT(J3643,2)</f>
        <v/>
      </c>
    </row>
    <row r="3644" ht="12.75" customHeight="1">
      <c r="H3644" s="43" t="n"/>
      <c r="AG3644" s="49">
        <f>IFERROR(__xludf.DUMMYFUNCTION("IFNA(vlookup(H3644,IMPORTRANGE(""1vUGwO1n0QQGx9kKbO0_M5gmuhXZ6-LaxQxgrmJnzgP0"",""'TP# look up'!A:C""),3,0),"""")"),"")</f>
        <v/>
      </c>
      <c r="AH3644" s="49">
        <f>LEFT(J3644,2)</f>
        <v/>
      </c>
    </row>
    <row r="3645" ht="12.75" customHeight="1">
      <c r="H3645" s="43" t="n"/>
      <c r="AG3645" s="49">
        <f>IFERROR(__xludf.DUMMYFUNCTION("IFNA(vlookup(H3645,IMPORTRANGE(""1vUGwO1n0QQGx9kKbO0_M5gmuhXZ6-LaxQxgrmJnzgP0"",""'TP# look up'!A:C""),3,0),"""")"),"")</f>
        <v/>
      </c>
      <c r="AH3645" s="49">
        <f>LEFT(J3645,2)</f>
        <v/>
      </c>
    </row>
    <row r="3646" ht="12.75" customHeight="1">
      <c r="H3646" s="43" t="n"/>
      <c r="AG3646" s="49">
        <f>IFERROR(__xludf.DUMMYFUNCTION("IFNA(vlookup(H3646,IMPORTRANGE(""1vUGwO1n0QQGx9kKbO0_M5gmuhXZ6-LaxQxgrmJnzgP0"",""'TP# look up'!A:C""),3,0),"""")"),"")</f>
        <v/>
      </c>
      <c r="AH3646" s="49">
        <f>LEFT(J3646,2)</f>
        <v/>
      </c>
    </row>
    <row r="3647" ht="12.75" customHeight="1">
      <c r="H3647" s="43" t="n"/>
      <c r="AG3647" s="49">
        <f>IFERROR(__xludf.DUMMYFUNCTION("IFNA(vlookup(H3647,IMPORTRANGE(""1vUGwO1n0QQGx9kKbO0_M5gmuhXZ6-LaxQxgrmJnzgP0"",""'TP# look up'!A:C""),3,0),"""")"),"")</f>
        <v/>
      </c>
      <c r="AH3647" s="49">
        <f>LEFT(J3647,2)</f>
        <v/>
      </c>
    </row>
    <row r="3648" ht="12.75" customHeight="1">
      <c r="H3648" s="43" t="n"/>
      <c r="AG3648" s="49">
        <f>IFERROR(__xludf.DUMMYFUNCTION("IFNA(vlookup(H3648,IMPORTRANGE(""1vUGwO1n0QQGx9kKbO0_M5gmuhXZ6-LaxQxgrmJnzgP0"",""'TP# look up'!A:C""),3,0),"""")"),"")</f>
        <v/>
      </c>
      <c r="AH3648" s="49">
        <f>LEFT(J3648,2)</f>
        <v/>
      </c>
    </row>
    <row r="3649" ht="12.75" customHeight="1">
      <c r="H3649" s="43" t="n"/>
      <c r="AG3649" s="49">
        <f>IFERROR(__xludf.DUMMYFUNCTION("IFNA(vlookup(H3649,IMPORTRANGE(""1vUGwO1n0QQGx9kKbO0_M5gmuhXZ6-LaxQxgrmJnzgP0"",""'TP# look up'!A:C""),3,0),"""")"),"")</f>
        <v/>
      </c>
      <c r="AH3649" s="49">
        <f>LEFT(J3649,2)</f>
        <v/>
      </c>
    </row>
    <row r="3650" ht="12.75" customHeight="1">
      <c r="H3650" s="43" t="n"/>
      <c r="AG3650" s="49">
        <f>IFERROR(__xludf.DUMMYFUNCTION("IFNA(vlookup(H3650,IMPORTRANGE(""1vUGwO1n0QQGx9kKbO0_M5gmuhXZ6-LaxQxgrmJnzgP0"",""'TP# look up'!A:C""),3,0),"""")"),"")</f>
        <v/>
      </c>
      <c r="AH3650" s="49">
        <f>LEFT(J3650,2)</f>
        <v/>
      </c>
    </row>
    <row r="3651" ht="12.75" customHeight="1">
      <c r="H3651" s="43" t="n"/>
      <c r="AG3651" s="49">
        <f>IFERROR(__xludf.DUMMYFUNCTION("IFNA(vlookup(H3651,IMPORTRANGE(""1vUGwO1n0QQGx9kKbO0_M5gmuhXZ6-LaxQxgrmJnzgP0"",""'TP# look up'!A:C""),3,0),"""")"),"")</f>
        <v/>
      </c>
      <c r="AH3651" s="49">
        <f>LEFT(J3651,2)</f>
        <v/>
      </c>
    </row>
    <row r="3652" ht="12.75" customHeight="1">
      <c r="H3652" s="43" t="n"/>
      <c r="AG3652" s="49">
        <f>IFERROR(__xludf.DUMMYFUNCTION("IFNA(vlookup(H3652,IMPORTRANGE(""1vUGwO1n0QQGx9kKbO0_M5gmuhXZ6-LaxQxgrmJnzgP0"",""'TP# look up'!A:C""),3,0),"""")"),"")</f>
        <v/>
      </c>
      <c r="AH3652" s="49">
        <f>LEFT(J3652,2)</f>
        <v/>
      </c>
    </row>
    <row r="3653" ht="12.75" customHeight="1">
      <c r="H3653" s="43" t="n"/>
      <c r="AG3653" s="49">
        <f>IFERROR(__xludf.DUMMYFUNCTION("IFNA(vlookup(H3653,IMPORTRANGE(""1vUGwO1n0QQGx9kKbO0_M5gmuhXZ6-LaxQxgrmJnzgP0"",""'TP# look up'!A:C""),3,0),"""")"),"")</f>
        <v/>
      </c>
      <c r="AH3653" s="49">
        <f>LEFT(J3653,2)</f>
        <v/>
      </c>
    </row>
    <row r="3654" ht="12.75" customHeight="1">
      <c r="H3654" s="43" t="n"/>
      <c r="AG3654" s="49">
        <f>IFERROR(__xludf.DUMMYFUNCTION("IFNA(vlookup(H3654,IMPORTRANGE(""1vUGwO1n0QQGx9kKbO0_M5gmuhXZ6-LaxQxgrmJnzgP0"",""'TP# look up'!A:C""),3,0),"""")"),"")</f>
        <v/>
      </c>
      <c r="AH3654" s="49">
        <f>LEFT(J3654,2)</f>
        <v/>
      </c>
    </row>
    <row r="3655" ht="12.75" customHeight="1">
      <c r="H3655" s="43" t="n"/>
      <c r="AG3655" s="49">
        <f>IFERROR(__xludf.DUMMYFUNCTION("IFNA(vlookup(H3655,IMPORTRANGE(""1vUGwO1n0QQGx9kKbO0_M5gmuhXZ6-LaxQxgrmJnzgP0"",""'TP# look up'!A:C""),3,0),"""")"),"")</f>
        <v/>
      </c>
      <c r="AH3655" s="49">
        <f>LEFT(J3655,2)</f>
        <v/>
      </c>
    </row>
    <row r="3656" ht="12.75" customHeight="1">
      <c r="H3656" s="43" t="n"/>
      <c r="AG3656" s="49">
        <f>IFERROR(__xludf.DUMMYFUNCTION("IFNA(vlookup(H3656,IMPORTRANGE(""1vUGwO1n0QQGx9kKbO0_M5gmuhXZ6-LaxQxgrmJnzgP0"",""'TP# look up'!A:C""),3,0),"""")"),"")</f>
        <v/>
      </c>
      <c r="AH3656" s="49">
        <f>LEFT(J3656,2)</f>
        <v/>
      </c>
    </row>
    <row r="3657" ht="12.75" customHeight="1">
      <c r="H3657" s="43" t="n"/>
      <c r="AG3657" s="49">
        <f>IFERROR(__xludf.DUMMYFUNCTION("IFNA(vlookup(H3657,IMPORTRANGE(""1vUGwO1n0QQGx9kKbO0_M5gmuhXZ6-LaxQxgrmJnzgP0"",""'TP# look up'!A:C""),3,0),"""")"),"")</f>
        <v/>
      </c>
      <c r="AH3657" s="49">
        <f>LEFT(J3657,2)</f>
        <v/>
      </c>
    </row>
    <row r="3658" ht="12.75" customHeight="1">
      <c r="H3658" s="43" t="n"/>
      <c r="AG3658" s="49">
        <f>IFERROR(__xludf.DUMMYFUNCTION("IFNA(vlookup(H3658,IMPORTRANGE(""1vUGwO1n0QQGx9kKbO0_M5gmuhXZ6-LaxQxgrmJnzgP0"",""'TP# look up'!A:C""),3,0),"""")"),"")</f>
        <v/>
      </c>
      <c r="AH3658" s="49">
        <f>LEFT(J3658,2)</f>
        <v/>
      </c>
    </row>
    <row r="3659" ht="12.75" customHeight="1">
      <c r="H3659" s="43" t="n"/>
      <c r="AG3659" s="49">
        <f>IFERROR(__xludf.DUMMYFUNCTION("IFNA(vlookup(H3659,IMPORTRANGE(""1vUGwO1n0QQGx9kKbO0_M5gmuhXZ6-LaxQxgrmJnzgP0"",""'TP# look up'!A:C""),3,0),"""")"),"")</f>
        <v/>
      </c>
      <c r="AH3659" s="49">
        <f>LEFT(J3659,2)</f>
        <v/>
      </c>
    </row>
    <row r="3660" ht="12.75" customHeight="1">
      <c r="H3660" s="43" t="n"/>
      <c r="AG3660" s="49">
        <f>IFERROR(__xludf.DUMMYFUNCTION("IFNA(vlookup(H3660,IMPORTRANGE(""1vUGwO1n0QQGx9kKbO0_M5gmuhXZ6-LaxQxgrmJnzgP0"",""'TP# look up'!A:C""),3,0),"""")"),"")</f>
        <v/>
      </c>
      <c r="AH3660" s="49">
        <f>LEFT(J3660,2)</f>
        <v/>
      </c>
    </row>
    <row r="3661" ht="12.75" customHeight="1">
      <c r="H3661" s="43" t="n"/>
      <c r="AG3661" s="49">
        <f>IFERROR(__xludf.DUMMYFUNCTION("IFNA(vlookup(H3661,IMPORTRANGE(""1vUGwO1n0QQGx9kKbO0_M5gmuhXZ6-LaxQxgrmJnzgP0"",""'TP# look up'!A:C""),3,0),"""")"),"")</f>
        <v/>
      </c>
      <c r="AH3661" s="49">
        <f>LEFT(J3661,2)</f>
        <v/>
      </c>
    </row>
    <row r="3662" ht="12.75" customHeight="1">
      <c r="H3662" s="43" t="n"/>
      <c r="AG3662" s="49">
        <f>IFERROR(__xludf.DUMMYFUNCTION("IFNA(vlookup(H3662,IMPORTRANGE(""1vUGwO1n0QQGx9kKbO0_M5gmuhXZ6-LaxQxgrmJnzgP0"",""'TP# look up'!A:C""),3,0),"""")"),"")</f>
        <v/>
      </c>
      <c r="AH3662" s="49">
        <f>LEFT(J3662,2)</f>
        <v/>
      </c>
    </row>
    <row r="3663" ht="12.75" customHeight="1">
      <c r="H3663" s="43" t="n"/>
      <c r="AG3663" s="49">
        <f>IFERROR(__xludf.DUMMYFUNCTION("IFNA(vlookup(H3663,IMPORTRANGE(""1vUGwO1n0QQGx9kKbO0_M5gmuhXZ6-LaxQxgrmJnzgP0"",""'TP# look up'!A:C""),3,0),"""")"),"")</f>
        <v/>
      </c>
      <c r="AH3663" s="49">
        <f>LEFT(J3663,2)</f>
        <v/>
      </c>
    </row>
    <row r="3664" ht="12.75" customHeight="1">
      <c r="H3664" s="43" t="n"/>
      <c r="AG3664" s="49">
        <f>IFERROR(__xludf.DUMMYFUNCTION("IFNA(vlookup(H3664,IMPORTRANGE(""1vUGwO1n0QQGx9kKbO0_M5gmuhXZ6-LaxQxgrmJnzgP0"",""'TP# look up'!A:C""),3,0),"""")"),"")</f>
        <v/>
      </c>
      <c r="AH3664" s="49">
        <f>LEFT(J3664,2)</f>
        <v/>
      </c>
    </row>
    <row r="3665" ht="12.75" customHeight="1">
      <c r="H3665" s="43" t="n"/>
      <c r="AG3665" s="49">
        <f>IFERROR(__xludf.DUMMYFUNCTION("IFNA(vlookup(H3665,IMPORTRANGE(""1vUGwO1n0QQGx9kKbO0_M5gmuhXZ6-LaxQxgrmJnzgP0"",""'TP# look up'!A:C""),3,0),"""")"),"")</f>
        <v/>
      </c>
      <c r="AH3665" s="49">
        <f>LEFT(J3665,2)</f>
        <v/>
      </c>
    </row>
    <row r="3666" ht="12.75" customHeight="1">
      <c r="H3666" s="43" t="n"/>
      <c r="AG3666" s="49">
        <f>IFERROR(__xludf.DUMMYFUNCTION("IFNA(vlookup(H3666,IMPORTRANGE(""1vUGwO1n0QQGx9kKbO0_M5gmuhXZ6-LaxQxgrmJnzgP0"",""'TP# look up'!A:C""),3,0),"""")"),"")</f>
        <v/>
      </c>
      <c r="AH3666" s="49">
        <f>LEFT(J3666,2)</f>
        <v/>
      </c>
    </row>
    <row r="3667" ht="12.75" customHeight="1">
      <c r="H3667" s="43" t="n"/>
      <c r="AG3667" s="49">
        <f>IFERROR(__xludf.DUMMYFUNCTION("IFNA(vlookup(H3667,IMPORTRANGE(""1vUGwO1n0QQGx9kKbO0_M5gmuhXZ6-LaxQxgrmJnzgP0"",""'TP# look up'!A:C""),3,0),"""")"),"")</f>
        <v/>
      </c>
      <c r="AH3667" s="49">
        <f>LEFT(J3667,2)</f>
        <v/>
      </c>
    </row>
    <row r="3668" ht="12.75" customHeight="1">
      <c r="H3668" s="43" t="n"/>
      <c r="AG3668" s="49">
        <f>IFERROR(__xludf.DUMMYFUNCTION("IFNA(vlookup(H3668,IMPORTRANGE(""1vUGwO1n0QQGx9kKbO0_M5gmuhXZ6-LaxQxgrmJnzgP0"",""'TP# look up'!A:C""),3,0),"""")"),"")</f>
        <v/>
      </c>
      <c r="AH3668" s="49">
        <f>LEFT(J3668,2)</f>
        <v/>
      </c>
    </row>
    <row r="3669" ht="12.75" customHeight="1">
      <c r="H3669" s="43" t="n"/>
      <c r="AG3669" s="49">
        <f>IFERROR(__xludf.DUMMYFUNCTION("IFNA(vlookup(H3669,IMPORTRANGE(""1vUGwO1n0QQGx9kKbO0_M5gmuhXZ6-LaxQxgrmJnzgP0"",""'TP# look up'!A:C""),3,0),"""")"),"")</f>
        <v/>
      </c>
      <c r="AH3669" s="49">
        <f>LEFT(J3669,2)</f>
        <v/>
      </c>
    </row>
    <row r="3670" ht="12.75" customHeight="1">
      <c r="H3670" s="43" t="n"/>
      <c r="AG3670" s="49">
        <f>IFERROR(__xludf.DUMMYFUNCTION("IFNA(vlookup(H3670,IMPORTRANGE(""1vUGwO1n0QQGx9kKbO0_M5gmuhXZ6-LaxQxgrmJnzgP0"",""'TP# look up'!A:C""),3,0),"""")"),"")</f>
        <v/>
      </c>
      <c r="AH3670" s="49">
        <f>LEFT(J3670,2)</f>
        <v/>
      </c>
    </row>
    <row r="3671" ht="12.75" customHeight="1">
      <c r="H3671" s="43" t="n"/>
      <c r="AG3671" s="49">
        <f>IFERROR(__xludf.DUMMYFUNCTION("IFNA(vlookup(H3671,IMPORTRANGE(""1vUGwO1n0QQGx9kKbO0_M5gmuhXZ6-LaxQxgrmJnzgP0"",""'TP# look up'!A:C""),3,0),"""")"),"")</f>
        <v/>
      </c>
      <c r="AH3671" s="49">
        <f>LEFT(J3671,2)</f>
        <v/>
      </c>
    </row>
    <row r="3672" ht="12.75" customHeight="1">
      <c r="H3672" s="43" t="n"/>
      <c r="AG3672" s="49">
        <f>IFERROR(__xludf.DUMMYFUNCTION("IFNA(vlookup(H3672,IMPORTRANGE(""1vUGwO1n0QQGx9kKbO0_M5gmuhXZ6-LaxQxgrmJnzgP0"",""'TP# look up'!A:C""),3,0),"""")"),"")</f>
        <v/>
      </c>
      <c r="AH3672" s="49">
        <f>LEFT(J3672,2)</f>
        <v/>
      </c>
    </row>
    <row r="3673" ht="12.75" customHeight="1">
      <c r="H3673" s="43" t="n"/>
      <c r="AG3673" s="49">
        <f>IFERROR(__xludf.DUMMYFUNCTION("IFNA(vlookup(H3673,IMPORTRANGE(""1vUGwO1n0QQGx9kKbO0_M5gmuhXZ6-LaxQxgrmJnzgP0"",""'TP# look up'!A:C""),3,0),"""")"),"")</f>
        <v/>
      </c>
      <c r="AH3673" s="49">
        <f>LEFT(J3673,2)</f>
        <v/>
      </c>
    </row>
    <row r="3674" ht="12.75" customHeight="1">
      <c r="H3674" s="43" t="n"/>
      <c r="AG3674" s="49">
        <f>IFERROR(__xludf.DUMMYFUNCTION("IFNA(vlookup(H3674,IMPORTRANGE(""1vUGwO1n0QQGx9kKbO0_M5gmuhXZ6-LaxQxgrmJnzgP0"",""'TP# look up'!A:C""),3,0),"""")"),"")</f>
        <v/>
      </c>
      <c r="AH3674" s="49">
        <f>LEFT(J3674,2)</f>
        <v/>
      </c>
    </row>
    <row r="3675" ht="12.75" customHeight="1">
      <c r="H3675" s="43" t="n"/>
      <c r="AG3675" s="49">
        <f>IFERROR(__xludf.DUMMYFUNCTION("IFNA(vlookup(H3675,IMPORTRANGE(""1vUGwO1n0QQGx9kKbO0_M5gmuhXZ6-LaxQxgrmJnzgP0"",""'TP# look up'!A:C""),3,0),"""")"),"")</f>
        <v/>
      </c>
      <c r="AH3675" s="49">
        <f>LEFT(J3675,2)</f>
        <v/>
      </c>
    </row>
    <row r="3676" ht="12.75" customHeight="1">
      <c r="H3676" s="43" t="n"/>
      <c r="AG3676" s="49">
        <f>IFERROR(__xludf.DUMMYFUNCTION("IFNA(vlookup(H3676,IMPORTRANGE(""1vUGwO1n0QQGx9kKbO0_M5gmuhXZ6-LaxQxgrmJnzgP0"",""'TP# look up'!A:C""),3,0),"""")"),"")</f>
        <v/>
      </c>
      <c r="AH3676" s="49">
        <f>LEFT(J3676,2)</f>
        <v/>
      </c>
    </row>
    <row r="3677" ht="12.75" customHeight="1">
      <c r="H3677" s="43" t="n"/>
      <c r="AG3677" s="49">
        <f>IFERROR(__xludf.DUMMYFUNCTION("IFNA(vlookup(H3677,IMPORTRANGE(""1vUGwO1n0QQGx9kKbO0_M5gmuhXZ6-LaxQxgrmJnzgP0"",""'TP# look up'!A:C""),3,0),"""")"),"")</f>
        <v/>
      </c>
      <c r="AH3677" s="49">
        <f>LEFT(J3677,2)</f>
        <v/>
      </c>
    </row>
    <row r="3678" ht="12.75" customHeight="1">
      <c r="H3678" s="43" t="n"/>
      <c r="AG3678" s="49">
        <f>IFERROR(__xludf.DUMMYFUNCTION("IFNA(vlookup(H3678,IMPORTRANGE(""1vUGwO1n0QQGx9kKbO0_M5gmuhXZ6-LaxQxgrmJnzgP0"",""'TP# look up'!A:C""),3,0),"""")"),"")</f>
        <v/>
      </c>
      <c r="AH3678" s="49">
        <f>LEFT(J3678,2)</f>
        <v/>
      </c>
    </row>
    <row r="3679" ht="12.75" customHeight="1">
      <c r="H3679" s="43" t="n"/>
      <c r="AG3679" s="49">
        <f>IFERROR(__xludf.DUMMYFUNCTION("IFNA(vlookup(H3679,IMPORTRANGE(""1vUGwO1n0QQGx9kKbO0_M5gmuhXZ6-LaxQxgrmJnzgP0"",""'TP# look up'!A:C""),3,0),"""")"),"")</f>
        <v/>
      </c>
      <c r="AH3679" s="49">
        <f>LEFT(J3679,2)</f>
        <v/>
      </c>
    </row>
    <row r="3680" ht="12.75" customHeight="1">
      <c r="H3680" s="43" t="n"/>
      <c r="AG3680" s="49">
        <f>IFERROR(__xludf.DUMMYFUNCTION("IFNA(vlookup(H3680,IMPORTRANGE(""1vUGwO1n0QQGx9kKbO0_M5gmuhXZ6-LaxQxgrmJnzgP0"",""'TP# look up'!A:C""),3,0),"""")"),"")</f>
        <v/>
      </c>
      <c r="AH3680" s="49">
        <f>LEFT(J3680,2)</f>
        <v/>
      </c>
    </row>
    <row r="3681" ht="12.75" customHeight="1">
      <c r="H3681" s="43" t="n"/>
      <c r="AG3681" s="49">
        <f>IFERROR(__xludf.DUMMYFUNCTION("IFNA(vlookup(H3681,IMPORTRANGE(""1vUGwO1n0QQGx9kKbO0_M5gmuhXZ6-LaxQxgrmJnzgP0"",""'TP# look up'!A:C""),3,0),"""")"),"")</f>
        <v/>
      </c>
      <c r="AH3681" s="49">
        <f>LEFT(J3681,2)</f>
        <v/>
      </c>
    </row>
    <row r="3682" ht="12.75" customHeight="1">
      <c r="H3682" s="43" t="n"/>
      <c r="AG3682" s="49">
        <f>IFERROR(__xludf.DUMMYFUNCTION("IFNA(vlookup(H3682,IMPORTRANGE(""1vUGwO1n0QQGx9kKbO0_M5gmuhXZ6-LaxQxgrmJnzgP0"",""'TP# look up'!A:C""),3,0),"""")"),"")</f>
        <v/>
      </c>
      <c r="AH3682" s="49">
        <f>LEFT(J3682,2)</f>
        <v/>
      </c>
    </row>
    <row r="3683" ht="12.75" customHeight="1">
      <c r="H3683" s="43" t="n"/>
      <c r="AG3683" s="49">
        <f>IFERROR(__xludf.DUMMYFUNCTION("IFNA(vlookup(H3683,IMPORTRANGE(""1vUGwO1n0QQGx9kKbO0_M5gmuhXZ6-LaxQxgrmJnzgP0"",""'TP# look up'!A:C""),3,0),"""")"),"")</f>
        <v/>
      </c>
      <c r="AH3683" s="49">
        <f>LEFT(J3683,2)</f>
        <v/>
      </c>
    </row>
    <row r="3684" ht="12.75" customHeight="1">
      <c r="H3684" s="43" t="n"/>
      <c r="AG3684" s="49">
        <f>IFERROR(__xludf.DUMMYFUNCTION("IFNA(vlookup(H3684,IMPORTRANGE(""1vUGwO1n0QQGx9kKbO0_M5gmuhXZ6-LaxQxgrmJnzgP0"",""'TP# look up'!A:C""),3,0),"""")"),"")</f>
        <v/>
      </c>
      <c r="AH3684" s="49">
        <f>LEFT(J3684,2)</f>
        <v/>
      </c>
    </row>
    <row r="3685" ht="12.75" customHeight="1">
      <c r="H3685" s="43" t="n"/>
      <c r="AG3685" s="49">
        <f>IFERROR(__xludf.DUMMYFUNCTION("IFNA(vlookup(H3685,IMPORTRANGE(""1vUGwO1n0QQGx9kKbO0_M5gmuhXZ6-LaxQxgrmJnzgP0"",""'TP# look up'!A:C""),3,0),"""")"),"")</f>
        <v/>
      </c>
      <c r="AH3685" s="49">
        <f>LEFT(J3685,2)</f>
        <v/>
      </c>
    </row>
    <row r="3686" ht="12.75" customHeight="1">
      <c r="H3686" s="43" t="n"/>
      <c r="AG3686" s="49">
        <f>IFERROR(__xludf.DUMMYFUNCTION("IFNA(vlookup(H3686,IMPORTRANGE(""1vUGwO1n0QQGx9kKbO0_M5gmuhXZ6-LaxQxgrmJnzgP0"",""'TP# look up'!A:C""),3,0),"""")"),"")</f>
        <v/>
      </c>
      <c r="AH3686" s="49">
        <f>LEFT(J3686,2)</f>
        <v/>
      </c>
    </row>
    <row r="3687" ht="12.75" customHeight="1">
      <c r="H3687" s="43" t="n"/>
      <c r="AG3687" s="49">
        <f>IFERROR(__xludf.DUMMYFUNCTION("IFNA(vlookup(H3687,IMPORTRANGE(""1vUGwO1n0QQGx9kKbO0_M5gmuhXZ6-LaxQxgrmJnzgP0"",""'TP# look up'!A:C""),3,0),"""")"),"")</f>
        <v/>
      </c>
      <c r="AH3687" s="49">
        <f>LEFT(J3687,2)</f>
        <v/>
      </c>
    </row>
    <row r="3688" ht="12.75" customHeight="1">
      <c r="H3688" s="43" t="n"/>
      <c r="AG3688" s="49">
        <f>IFERROR(__xludf.DUMMYFUNCTION("IFNA(vlookup(H3688,IMPORTRANGE(""1vUGwO1n0QQGx9kKbO0_M5gmuhXZ6-LaxQxgrmJnzgP0"",""'TP# look up'!A:C""),3,0),"""")"),"")</f>
        <v/>
      </c>
      <c r="AH3688" s="49">
        <f>LEFT(J3688,2)</f>
        <v/>
      </c>
    </row>
    <row r="3689" ht="12.75" customHeight="1">
      <c r="H3689" s="43" t="n"/>
      <c r="AG3689" s="49">
        <f>IFERROR(__xludf.DUMMYFUNCTION("IFNA(vlookup(H3689,IMPORTRANGE(""1vUGwO1n0QQGx9kKbO0_M5gmuhXZ6-LaxQxgrmJnzgP0"",""'TP# look up'!A:C""),3,0),"""")"),"")</f>
        <v/>
      </c>
      <c r="AH3689" s="49">
        <f>LEFT(J3689,2)</f>
        <v/>
      </c>
    </row>
    <row r="3690" ht="12.75" customHeight="1">
      <c r="H3690" s="43" t="n"/>
      <c r="AG3690" s="49">
        <f>IFERROR(__xludf.DUMMYFUNCTION("IFNA(vlookup(H3690,IMPORTRANGE(""1vUGwO1n0QQGx9kKbO0_M5gmuhXZ6-LaxQxgrmJnzgP0"",""'TP# look up'!A:C""),3,0),"""")"),"")</f>
        <v/>
      </c>
      <c r="AH3690" s="49">
        <f>LEFT(J3690,2)</f>
        <v/>
      </c>
    </row>
    <row r="3691" ht="12.75" customHeight="1">
      <c r="H3691" s="43" t="n"/>
      <c r="AG3691" s="49">
        <f>IFERROR(__xludf.DUMMYFUNCTION("IFNA(vlookup(H3691,IMPORTRANGE(""1vUGwO1n0QQGx9kKbO0_M5gmuhXZ6-LaxQxgrmJnzgP0"",""'TP# look up'!A:C""),3,0),"""")"),"")</f>
        <v/>
      </c>
      <c r="AH3691" s="49">
        <f>LEFT(J3691,2)</f>
        <v/>
      </c>
    </row>
    <row r="3692" ht="12.75" customHeight="1">
      <c r="H3692" s="43" t="n"/>
      <c r="AG3692" s="49">
        <f>IFERROR(__xludf.DUMMYFUNCTION("IFNA(vlookup(H3692,IMPORTRANGE(""1vUGwO1n0QQGx9kKbO0_M5gmuhXZ6-LaxQxgrmJnzgP0"",""'TP# look up'!A:C""),3,0),"""")"),"")</f>
        <v/>
      </c>
      <c r="AH3692" s="49">
        <f>LEFT(J3692,2)</f>
        <v/>
      </c>
    </row>
    <row r="3693" ht="12.75" customHeight="1">
      <c r="H3693" s="43" t="n"/>
      <c r="AG3693" s="49">
        <f>IFERROR(__xludf.DUMMYFUNCTION("IFNA(vlookup(H3693,IMPORTRANGE(""1vUGwO1n0QQGx9kKbO0_M5gmuhXZ6-LaxQxgrmJnzgP0"",""'TP# look up'!A:C""),3,0),"""")"),"")</f>
        <v/>
      </c>
      <c r="AH3693" s="49">
        <f>LEFT(J3693,2)</f>
        <v/>
      </c>
    </row>
    <row r="3694" ht="12.75" customHeight="1">
      <c r="H3694" s="43" t="n"/>
      <c r="AG3694" s="49">
        <f>IFERROR(__xludf.DUMMYFUNCTION("IFNA(vlookup(H3694,IMPORTRANGE(""1vUGwO1n0QQGx9kKbO0_M5gmuhXZ6-LaxQxgrmJnzgP0"",""'TP# look up'!A:C""),3,0),"""")"),"")</f>
        <v/>
      </c>
      <c r="AH3694" s="49">
        <f>LEFT(J3694,2)</f>
        <v/>
      </c>
    </row>
    <row r="3695" ht="12.75" customHeight="1">
      <c r="H3695" s="43" t="n"/>
      <c r="AG3695" s="49">
        <f>IFERROR(__xludf.DUMMYFUNCTION("IFNA(vlookup(H3695,IMPORTRANGE(""1vUGwO1n0QQGx9kKbO0_M5gmuhXZ6-LaxQxgrmJnzgP0"",""'TP# look up'!A:C""),3,0),"""")"),"")</f>
        <v/>
      </c>
      <c r="AH3695" s="49">
        <f>LEFT(J3695,2)</f>
        <v/>
      </c>
    </row>
    <row r="3696" ht="12.75" customHeight="1">
      <c r="H3696" s="43" t="n"/>
      <c r="AG3696" s="49">
        <f>IFERROR(__xludf.DUMMYFUNCTION("IFNA(vlookup(H3696,IMPORTRANGE(""1vUGwO1n0QQGx9kKbO0_M5gmuhXZ6-LaxQxgrmJnzgP0"",""'TP# look up'!A:C""),3,0),"""")"),"")</f>
        <v/>
      </c>
      <c r="AH3696" s="49">
        <f>LEFT(J3696,2)</f>
        <v/>
      </c>
    </row>
    <row r="3697" ht="12.75" customHeight="1">
      <c r="H3697" s="43" t="n"/>
      <c r="AG3697" s="49">
        <f>IFERROR(__xludf.DUMMYFUNCTION("IFNA(vlookup(H3697,IMPORTRANGE(""1vUGwO1n0QQGx9kKbO0_M5gmuhXZ6-LaxQxgrmJnzgP0"",""'TP# look up'!A:C""),3,0),"""")"),"")</f>
        <v/>
      </c>
      <c r="AH3697" s="49">
        <f>LEFT(J3697,2)</f>
        <v/>
      </c>
    </row>
    <row r="3698" ht="12.75" customHeight="1">
      <c r="H3698" s="43" t="n"/>
      <c r="AG3698" s="49">
        <f>IFERROR(__xludf.DUMMYFUNCTION("IFNA(vlookup(H3698,IMPORTRANGE(""1vUGwO1n0QQGx9kKbO0_M5gmuhXZ6-LaxQxgrmJnzgP0"",""'TP# look up'!A:C""),3,0),"""")"),"")</f>
        <v/>
      </c>
      <c r="AH3698" s="49">
        <f>LEFT(J3698,2)</f>
        <v/>
      </c>
    </row>
    <row r="3699" ht="12.75" customHeight="1">
      <c r="H3699" s="43" t="n"/>
      <c r="AG3699" s="49">
        <f>IFERROR(__xludf.DUMMYFUNCTION("IFNA(vlookup(H3699,IMPORTRANGE(""1vUGwO1n0QQGx9kKbO0_M5gmuhXZ6-LaxQxgrmJnzgP0"",""'TP# look up'!A:C""),3,0),"""")"),"")</f>
        <v/>
      </c>
      <c r="AH3699" s="49">
        <f>LEFT(J3699,2)</f>
        <v/>
      </c>
    </row>
    <row r="3700" ht="12.75" customHeight="1">
      <c r="H3700" s="43" t="n"/>
      <c r="AG3700" s="49">
        <f>IFERROR(__xludf.DUMMYFUNCTION("IFNA(vlookup(H3700,IMPORTRANGE(""1vUGwO1n0QQGx9kKbO0_M5gmuhXZ6-LaxQxgrmJnzgP0"",""'TP# look up'!A:C""),3,0),"""")"),"")</f>
        <v/>
      </c>
      <c r="AH3700" s="49">
        <f>LEFT(J3700,2)</f>
        <v/>
      </c>
    </row>
    <row r="3701" ht="12.75" customHeight="1">
      <c r="H3701" s="43" t="n"/>
      <c r="AG3701" s="49">
        <f>IFERROR(__xludf.DUMMYFUNCTION("IFNA(vlookup(H3701,IMPORTRANGE(""1vUGwO1n0QQGx9kKbO0_M5gmuhXZ6-LaxQxgrmJnzgP0"",""'TP# look up'!A:C""),3,0),"""")"),"")</f>
        <v/>
      </c>
      <c r="AH3701" s="49">
        <f>LEFT(J3701,2)</f>
        <v/>
      </c>
    </row>
    <row r="3702" ht="12.75" customHeight="1">
      <c r="H3702" s="43" t="n"/>
      <c r="AG3702" s="49">
        <f>IFERROR(__xludf.DUMMYFUNCTION("IFNA(vlookup(H3702,IMPORTRANGE(""1vUGwO1n0QQGx9kKbO0_M5gmuhXZ6-LaxQxgrmJnzgP0"",""'TP# look up'!A:C""),3,0),"""")"),"")</f>
        <v/>
      </c>
      <c r="AH3702" s="49">
        <f>LEFT(J3702,2)</f>
        <v/>
      </c>
    </row>
    <row r="3703" ht="12.75" customHeight="1">
      <c r="H3703" s="43" t="n"/>
      <c r="AG3703" s="49">
        <f>IFERROR(__xludf.DUMMYFUNCTION("IFNA(vlookup(H3703,IMPORTRANGE(""1vUGwO1n0QQGx9kKbO0_M5gmuhXZ6-LaxQxgrmJnzgP0"",""'TP# look up'!A:C""),3,0),"""")"),"")</f>
        <v/>
      </c>
      <c r="AH3703" s="49">
        <f>LEFT(J3703,2)</f>
        <v/>
      </c>
    </row>
    <row r="3704" ht="12.75" customHeight="1">
      <c r="H3704" s="43" t="n"/>
      <c r="AG3704" s="49">
        <f>IFERROR(__xludf.DUMMYFUNCTION("IFNA(vlookup(H3704,IMPORTRANGE(""1vUGwO1n0QQGx9kKbO0_M5gmuhXZ6-LaxQxgrmJnzgP0"",""'TP# look up'!A:C""),3,0),"""")"),"")</f>
        <v/>
      </c>
      <c r="AH3704" s="49">
        <f>LEFT(J3704,2)</f>
        <v/>
      </c>
    </row>
    <row r="3705" ht="12.75" customHeight="1">
      <c r="H3705" s="43" t="n"/>
      <c r="AG3705" s="49">
        <f>IFERROR(__xludf.DUMMYFUNCTION("IFNA(vlookup(H3705,IMPORTRANGE(""1vUGwO1n0QQGx9kKbO0_M5gmuhXZ6-LaxQxgrmJnzgP0"",""'TP# look up'!A:C""),3,0),"""")"),"")</f>
        <v/>
      </c>
      <c r="AH3705" s="49">
        <f>LEFT(J3705,2)</f>
        <v/>
      </c>
    </row>
    <row r="3706" ht="12.75" customHeight="1">
      <c r="H3706" s="43" t="n"/>
      <c r="AG3706" s="49">
        <f>IFERROR(__xludf.DUMMYFUNCTION("IFNA(vlookup(H3706,IMPORTRANGE(""1vUGwO1n0QQGx9kKbO0_M5gmuhXZ6-LaxQxgrmJnzgP0"",""'TP# look up'!A:C""),3,0),"""")"),"")</f>
        <v/>
      </c>
      <c r="AH3706" s="49">
        <f>LEFT(J3706,2)</f>
        <v/>
      </c>
    </row>
    <row r="3707" ht="12.75" customHeight="1">
      <c r="H3707" s="43" t="n"/>
      <c r="AG3707" s="49">
        <f>IFERROR(__xludf.DUMMYFUNCTION("IFNA(vlookup(H3707,IMPORTRANGE(""1vUGwO1n0QQGx9kKbO0_M5gmuhXZ6-LaxQxgrmJnzgP0"",""'TP# look up'!A:C""),3,0),"""")"),"")</f>
        <v/>
      </c>
      <c r="AH3707" s="49">
        <f>LEFT(J3707,2)</f>
        <v/>
      </c>
    </row>
    <row r="3708" ht="12.75" customHeight="1">
      <c r="H3708" s="43" t="n"/>
      <c r="AG3708" s="49">
        <f>IFERROR(__xludf.DUMMYFUNCTION("IFNA(vlookup(H3708,IMPORTRANGE(""1vUGwO1n0QQGx9kKbO0_M5gmuhXZ6-LaxQxgrmJnzgP0"",""'TP# look up'!A:C""),3,0),"""")"),"")</f>
        <v/>
      </c>
      <c r="AH3708" s="49">
        <f>LEFT(J3708,2)</f>
        <v/>
      </c>
    </row>
    <row r="3709" ht="12.75" customHeight="1">
      <c r="H3709" s="43" t="n"/>
      <c r="AG3709" s="49">
        <f>IFERROR(__xludf.DUMMYFUNCTION("IFNA(vlookup(H3709,IMPORTRANGE(""1vUGwO1n0QQGx9kKbO0_M5gmuhXZ6-LaxQxgrmJnzgP0"",""'TP# look up'!A:C""),3,0),"""")"),"")</f>
        <v/>
      </c>
      <c r="AH3709" s="49">
        <f>LEFT(J3709,2)</f>
        <v/>
      </c>
    </row>
    <row r="3710" ht="12.75" customHeight="1">
      <c r="H3710" s="43" t="n"/>
      <c r="AG3710" s="49">
        <f>IFERROR(__xludf.DUMMYFUNCTION("IFNA(vlookup(H3710,IMPORTRANGE(""1vUGwO1n0QQGx9kKbO0_M5gmuhXZ6-LaxQxgrmJnzgP0"",""'TP# look up'!A:C""),3,0),"""")"),"")</f>
        <v/>
      </c>
      <c r="AH3710" s="49">
        <f>LEFT(J3710,2)</f>
        <v/>
      </c>
    </row>
    <row r="3711" ht="12.75" customHeight="1">
      <c r="H3711" s="43" t="n"/>
      <c r="AG3711" s="49">
        <f>IFERROR(__xludf.DUMMYFUNCTION("IFNA(vlookup(H3711,IMPORTRANGE(""1vUGwO1n0QQGx9kKbO0_M5gmuhXZ6-LaxQxgrmJnzgP0"",""'TP# look up'!A:C""),3,0),"""")"),"")</f>
        <v/>
      </c>
      <c r="AH3711" s="49">
        <f>LEFT(J3711,2)</f>
        <v/>
      </c>
    </row>
    <row r="3712" ht="12.75" customHeight="1">
      <c r="H3712" s="43" t="n"/>
      <c r="AG3712" s="49">
        <f>IFERROR(__xludf.DUMMYFUNCTION("IFNA(vlookup(H3712,IMPORTRANGE(""1vUGwO1n0QQGx9kKbO0_M5gmuhXZ6-LaxQxgrmJnzgP0"",""'TP# look up'!A:C""),3,0),"""")"),"")</f>
        <v/>
      </c>
      <c r="AH3712" s="49">
        <f>LEFT(J3712,2)</f>
        <v/>
      </c>
    </row>
    <row r="3713" ht="12.75" customHeight="1">
      <c r="H3713" s="43" t="n"/>
      <c r="AG3713" s="49">
        <f>IFERROR(__xludf.DUMMYFUNCTION("IFNA(vlookup(H3713,IMPORTRANGE(""1vUGwO1n0QQGx9kKbO0_M5gmuhXZ6-LaxQxgrmJnzgP0"",""'TP# look up'!A:C""),3,0),"""")"),"")</f>
        <v/>
      </c>
      <c r="AH3713" s="49">
        <f>LEFT(J3713,2)</f>
        <v/>
      </c>
    </row>
    <row r="3714" ht="12.75" customHeight="1">
      <c r="H3714" s="43" t="n"/>
      <c r="AG3714" s="49">
        <f>IFERROR(__xludf.DUMMYFUNCTION("IFNA(vlookup(H3714,IMPORTRANGE(""1vUGwO1n0QQGx9kKbO0_M5gmuhXZ6-LaxQxgrmJnzgP0"",""'TP# look up'!A:C""),3,0),"""")"),"")</f>
        <v/>
      </c>
      <c r="AH3714" s="49">
        <f>LEFT(J3714,2)</f>
        <v/>
      </c>
    </row>
    <row r="3715" ht="12.75" customHeight="1">
      <c r="H3715" s="43" t="n"/>
      <c r="AG3715" s="49">
        <f>IFERROR(__xludf.DUMMYFUNCTION("IFNA(vlookup(H3715,IMPORTRANGE(""1vUGwO1n0QQGx9kKbO0_M5gmuhXZ6-LaxQxgrmJnzgP0"",""'TP# look up'!A:C""),3,0),"""")"),"")</f>
        <v/>
      </c>
      <c r="AH3715" s="49">
        <f>LEFT(J3715,2)</f>
        <v/>
      </c>
    </row>
    <row r="3716" ht="12.75" customHeight="1">
      <c r="H3716" s="43" t="n"/>
      <c r="AG3716" s="49">
        <f>IFERROR(__xludf.DUMMYFUNCTION("IFNA(vlookup(H3716,IMPORTRANGE(""1vUGwO1n0QQGx9kKbO0_M5gmuhXZ6-LaxQxgrmJnzgP0"",""'TP# look up'!A:C""),3,0),"""")"),"")</f>
        <v/>
      </c>
      <c r="AH3716" s="49">
        <f>LEFT(J3716,2)</f>
        <v/>
      </c>
    </row>
    <row r="3717" ht="12.75" customHeight="1">
      <c r="H3717" s="43" t="n"/>
      <c r="AG3717" s="49">
        <f>IFERROR(__xludf.DUMMYFUNCTION("IFNA(vlookup(H3717,IMPORTRANGE(""1vUGwO1n0QQGx9kKbO0_M5gmuhXZ6-LaxQxgrmJnzgP0"",""'TP# look up'!A:C""),3,0),"""")"),"")</f>
        <v/>
      </c>
      <c r="AH3717" s="49">
        <f>LEFT(J3717,2)</f>
        <v/>
      </c>
    </row>
    <row r="3718" ht="12.75" customHeight="1">
      <c r="H3718" s="43" t="n"/>
      <c r="AG3718" s="49">
        <f>IFERROR(__xludf.DUMMYFUNCTION("IFNA(vlookup(H3718,IMPORTRANGE(""1vUGwO1n0QQGx9kKbO0_M5gmuhXZ6-LaxQxgrmJnzgP0"",""'TP# look up'!A:C""),3,0),"""")"),"")</f>
        <v/>
      </c>
      <c r="AH3718" s="49">
        <f>LEFT(J3718,2)</f>
        <v/>
      </c>
    </row>
    <row r="3719" ht="12.75" customHeight="1">
      <c r="H3719" s="43" t="n"/>
      <c r="AG3719" s="49">
        <f>IFERROR(__xludf.DUMMYFUNCTION("IFNA(vlookup(H3719,IMPORTRANGE(""1vUGwO1n0QQGx9kKbO0_M5gmuhXZ6-LaxQxgrmJnzgP0"",""'TP# look up'!A:C""),3,0),"""")"),"")</f>
        <v/>
      </c>
      <c r="AH3719" s="49">
        <f>LEFT(J3719,2)</f>
        <v/>
      </c>
    </row>
    <row r="3720" ht="12.75" customHeight="1">
      <c r="H3720" s="43" t="n"/>
      <c r="AG3720" s="49">
        <f>IFERROR(__xludf.DUMMYFUNCTION("IFNA(vlookup(H3720,IMPORTRANGE(""1vUGwO1n0QQGx9kKbO0_M5gmuhXZ6-LaxQxgrmJnzgP0"",""'TP# look up'!A:C""),3,0),"""")"),"")</f>
        <v/>
      </c>
      <c r="AH3720" s="49">
        <f>LEFT(J3720,2)</f>
        <v/>
      </c>
    </row>
    <row r="3721" ht="12.75" customHeight="1">
      <c r="H3721" s="43" t="n"/>
      <c r="AG3721" s="49">
        <f>IFERROR(__xludf.DUMMYFUNCTION("IFNA(vlookup(H3721,IMPORTRANGE(""1vUGwO1n0QQGx9kKbO0_M5gmuhXZ6-LaxQxgrmJnzgP0"",""'TP# look up'!A:C""),3,0),"""")"),"")</f>
        <v/>
      </c>
      <c r="AH3721" s="49">
        <f>LEFT(J3721,2)</f>
        <v/>
      </c>
    </row>
    <row r="3722" ht="12.75" customHeight="1">
      <c r="H3722" s="43" t="n"/>
      <c r="AG3722" s="49">
        <f>IFERROR(__xludf.DUMMYFUNCTION("IFNA(vlookup(H3722,IMPORTRANGE(""1vUGwO1n0QQGx9kKbO0_M5gmuhXZ6-LaxQxgrmJnzgP0"",""'TP# look up'!A:C""),3,0),"""")"),"")</f>
        <v/>
      </c>
      <c r="AH3722" s="49">
        <f>LEFT(J3722,2)</f>
        <v/>
      </c>
    </row>
    <row r="3723" ht="12.75" customHeight="1">
      <c r="H3723" s="43" t="n"/>
      <c r="AG3723" s="49">
        <f>IFERROR(__xludf.DUMMYFUNCTION("IFNA(vlookup(H3723,IMPORTRANGE(""1vUGwO1n0QQGx9kKbO0_M5gmuhXZ6-LaxQxgrmJnzgP0"",""'TP# look up'!A:C""),3,0),"""")"),"")</f>
        <v/>
      </c>
      <c r="AH3723" s="49">
        <f>LEFT(J3723,2)</f>
        <v/>
      </c>
    </row>
    <row r="3724" ht="12.75" customHeight="1">
      <c r="H3724" s="43" t="n"/>
      <c r="AG3724" s="49">
        <f>IFERROR(__xludf.DUMMYFUNCTION("IFNA(vlookup(H3724,IMPORTRANGE(""1vUGwO1n0QQGx9kKbO0_M5gmuhXZ6-LaxQxgrmJnzgP0"",""'TP# look up'!A:C""),3,0),"""")"),"")</f>
        <v/>
      </c>
      <c r="AH3724" s="49">
        <f>LEFT(J3724,2)</f>
        <v/>
      </c>
    </row>
    <row r="3725" ht="12.75" customHeight="1">
      <c r="H3725" s="43" t="n"/>
      <c r="AG3725" s="49">
        <f>IFERROR(__xludf.DUMMYFUNCTION("IFNA(vlookup(H3725,IMPORTRANGE(""1vUGwO1n0QQGx9kKbO0_M5gmuhXZ6-LaxQxgrmJnzgP0"",""'TP# look up'!A:C""),3,0),"""")"),"")</f>
        <v/>
      </c>
      <c r="AH3725" s="49">
        <f>LEFT(J3725,2)</f>
        <v/>
      </c>
    </row>
    <row r="3726" ht="12.75" customHeight="1">
      <c r="H3726" s="43" t="n"/>
      <c r="AG3726" s="49">
        <f>IFERROR(__xludf.DUMMYFUNCTION("IFNA(vlookup(H3726,IMPORTRANGE(""1vUGwO1n0QQGx9kKbO0_M5gmuhXZ6-LaxQxgrmJnzgP0"",""'TP# look up'!A:C""),3,0),"""")"),"")</f>
        <v/>
      </c>
      <c r="AH3726" s="49">
        <f>LEFT(J3726,2)</f>
        <v/>
      </c>
    </row>
    <row r="3727" ht="12.75" customHeight="1">
      <c r="H3727" s="43" t="n"/>
      <c r="AG3727" s="49">
        <f>IFERROR(__xludf.DUMMYFUNCTION("IFNA(vlookup(H3727,IMPORTRANGE(""1vUGwO1n0QQGx9kKbO0_M5gmuhXZ6-LaxQxgrmJnzgP0"",""'TP# look up'!A:C""),3,0),"""")"),"")</f>
        <v/>
      </c>
      <c r="AH3727" s="49">
        <f>LEFT(J3727,2)</f>
        <v/>
      </c>
    </row>
    <row r="3728" ht="12.75" customHeight="1">
      <c r="H3728" s="43" t="n"/>
      <c r="AG3728" s="49">
        <f>IFERROR(__xludf.DUMMYFUNCTION("IFNA(vlookup(H3728,IMPORTRANGE(""1vUGwO1n0QQGx9kKbO0_M5gmuhXZ6-LaxQxgrmJnzgP0"",""'TP# look up'!A:C""),3,0),"""")"),"")</f>
        <v/>
      </c>
      <c r="AH3728" s="49">
        <f>LEFT(J3728,2)</f>
        <v/>
      </c>
    </row>
    <row r="3729" ht="12.75" customHeight="1">
      <c r="H3729" s="43" t="n"/>
      <c r="AG3729" s="49">
        <f>IFERROR(__xludf.DUMMYFUNCTION("IFNA(vlookup(H3729,IMPORTRANGE(""1vUGwO1n0QQGx9kKbO0_M5gmuhXZ6-LaxQxgrmJnzgP0"",""'TP# look up'!A:C""),3,0),"""")"),"")</f>
        <v/>
      </c>
      <c r="AH3729" s="49">
        <f>LEFT(J3729,2)</f>
        <v/>
      </c>
    </row>
    <row r="3730" ht="12.75" customHeight="1">
      <c r="H3730" s="43" t="n"/>
      <c r="AG3730" s="49">
        <f>IFERROR(__xludf.DUMMYFUNCTION("IFNA(vlookup(H3730,IMPORTRANGE(""1vUGwO1n0QQGx9kKbO0_M5gmuhXZ6-LaxQxgrmJnzgP0"",""'TP# look up'!A:C""),3,0),"""")"),"")</f>
        <v/>
      </c>
      <c r="AH3730" s="49">
        <f>LEFT(J3730,2)</f>
        <v/>
      </c>
    </row>
    <row r="3731" ht="12.75" customHeight="1">
      <c r="H3731" s="43" t="n"/>
      <c r="AG3731" s="49">
        <f>IFERROR(__xludf.DUMMYFUNCTION("IFNA(vlookup(H3731,IMPORTRANGE(""1vUGwO1n0QQGx9kKbO0_M5gmuhXZ6-LaxQxgrmJnzgP0"",""'TP# look up'!A:C""),3,0),"""")"),"")</f>
        <v/>
      </c>
      <c r="AH3731" s="49">
        <f>LEFT(J3731,2)</f>
        <v/>
      </c>
    </row>
    <row r="3732" ht="12.75" customHeight="1">
      <c r="H3732" s="43" t="n"/>
      <c r="AG3732" s="49">
        <f>IFERROR(__xludf.DUMMYFUNCTION("IFNA(vlookup(H3732,IMPORTRANGE(""1vUGwO1n0QQGx9kKbO0_M5gmuhXZ6-LaxQxgrmJnzgP0"",""'TP# look up'!A:C""),3,0),"""")"),"")</f>
        <v/>
      </c>
      <c r="AH3732" s="49">
        <f>LEFT(J3732,2)</f>
        <v/>
      </c>
    </row>
    <row r="3733" ht="12.75" customHeight="1">
      <c r="H3733" s="43" t="n"/>
      <c r="AG3733" s="49">
        <f>IFERROR(__xludf.DUMMYFUNCTION("IFNA(vlookup(H3733,IMPORTRANGE(""1vUGwO1n0QQGx9kKbO0_M5gmuhXZ6-LaxQxgrmJnzgP0"",""'TP# look up'!A:C""),3,0),"""")"),"")</f>
        <v/>
      </c>
      <c r="AH3733" s="49">
        <f>LEFT(J3733,2)</f>
        <v/>
      </c>
    </row>
    <row r="3734" ht="12.75" customHeight="1">
      <c r="H3734" s="43" t="n"/>
      <c r="AG3734" s="49">
        <f>IFERROR(__xludf.DUMMYFUNCTION("IFNA(vlookup(H3734,IMPORTRANGE(""1vUGwO1n0QQGx9kKbO0_M5gmuhXZ6-LaxQxgrmJnzgP0"",""'TP# look up'!A:C""),3,0),"""")"),"")</f>
        <v/>
      </c>
      <c r="AH3734" s="49">
        <f>LEFT(J3734,2)</f>
        <v/>
      </c>
    </row>
    <row r="3735" ht="12.75" customHeight="1">
      <c r="H3735" s="43" t="n"/>
      <c r="AG3735" s="49">
        <f>IFERROR(__xludf.DUMMYFUNCTION("IFNA(vlookup(H3735,IMPORTRANGE(""1vUGwO1n0QQGx9kKbO0_M5gmuhXZ6-LaxQxgrmJnzgP0"",""'TP# look up'!A:C""),3,0),"""")"),"")</f>
        <v/>
      </c>
      <c r="AH3735" s="49">
        <f>LEFT(J3735,2)</f>
        <v/>
      </c>
    </row>
    <row r="3736" ht="12.75" customHeight="1">
      <c r="H3736" s="43" t="n"/>
      <c r="AG3736" s="49">
        <f>IFERROR(__xludf.DUMMYFUNCTION("IFNA(vlookup(H3736,IMPORTRANGE(""1vUGwO1n0QQGx9kKbO0_M5gmuhXZ6-LaxQxgrmJnzgP0"",""'TP# look up'!A:C""),3,0),"""")"),"")</f>
        <v/>
      </c>
      <c r="AH3736" s="49">
        <f>LEFT(J3736,2)</f>
        <v/>
      </c>
    </row>
    <row r="3737" ht="12.75" customHeight="1">
      <c r="H3737" s="43" t="n"/>
      <c r="AG3737" s="49">
        <f>IFERROR(__xludf.DUMMYFUNCTION("IFNA(vlookup(H3737,IMPORTRANGE(""1vUGwO1n0QQGx9kKbO0_M5gmuhXZ6-LaxQxgrmJnzgP0"",""'TP# look up'!A:C""),3,0),"""")"),"")</f>
        <v/>
      </c>
      <c r="AH3737" s="49">
        <f>LEFT(J3737,2)</f>
        <v/>
      </c>
    </row>
    <row r="3738" ht="12.75" customHeight="1">
      <c r="H3738" s="43" t="n"/>
      <c r="AG3738" s="49">
        <f>IFERROR(__xludf.DUMMYFUNCTION("IFNA(vlookup(H3738,IMPORTRANGE(""1vUGwO1n0QQGx9kKbO0_M5gmuhXZ6-LaxQxgrmJnzgP0"",""'TP# look up'!A:C""),3,0),"""")"),"")</f>
        <v/>
      </c>
      <c r="AH3738" s="49">
        <f>LEFT(J3738,2)</f>
        <v/>
      </c>
    </row>
    <row r="3739" ht="12.75" customHeight="1">
      <c r="H3739" s="43" t="n"/>
      <c r="AG3739" s="49">
        <f>IFERROR(__xludf.DUMMYFUNCTION("IFNA(vlookup(H3739,IMPORTRANGE(""1vUGwO1n0QQGx9kKbO0_M5gmuhXZ6-LaxQxgrmJnzgP0"",""'TP# look up'!A:C""),3,0),"""")"),"")</f>
        <v/>
      </c>
      <c r="AH3739" s="49">
        <f>LEFT(J3739,2)</f>
        <v/>
      </c>
    </row>
    <row r="3740" ht="12.75" customHeight="1">
      <c r="H3740" s="43" t="n"/>
      <c r="AG3740" s="49">
        <f>IFERROR(__xludf.DUMMYFUNCTION("IFNA(vlookup(H3740,IMPORTRANGE(""1vUGwO1n0QQGx9kKbO0_M5gmuhXZ6-LaxQxgrmJnzgP0"",""'TP# look up'!A:C""),3,0),"""")"),"")</f>
        <v/>
      </c>
      <c r="AH3740" s="49">
        <f>LEFT(J3740,2)</f>
        <v/>
      </c>
    </row>
    <row r="3741" ht="12.75" customHeight="1">
      <c r="H3741" s="43" t="n"/>
      <c r="AG3741" s="49">
        <f>IFERROR(__xludf.DUMMYFUNCTION("IFNA(vlookup(H3741,IMPORTRANGE(""1vUGwO1n0QQGx9kKbO0_M5gmuhXZ6-LaxQxgrmJnzgP0"",""'TP# look up'!A:C""),3,0),"""")"),"")</f>
        <v/>
      </c>
      <c r="AH3741" s="49">
        <f>LEFT(J3741,2)</f>
        <v/>
      </c>
    </row>
    <row r="3742" ht="12.75" customHeight="1">
      <c r="H3742" s="43" t="n"/>
      <c r="AG3742" s="49">
        <f>IFERROR(__xludf.DUMMYFUNCTION("IFNA(vlookup(H3742,IMPORTRANGE(""1vUGwO1n0QQGx9kKbO0_M5gmuhXZ6-LaxQxgrmJnzgP0"",""'TP# look up'!A:C""),3,0),"""")"),"")</f>
        <v/>
      </c>
      <c r="AH3742" s="49">
        <f>LEFT(J3742,2)</f>
        <v/>
      </c>
    </row>
    <row r="3743" ht="12.75" customHeight="1">
      <c r="H3743" s="43" t="n"/>
      <c r="AG3743" s="49">
        <f>IFERROR(__xludf.DUMMYFUNCTION("IFNA(vlookup(H3743,IMPORTRANGE(""1vUGwO1n0QQGx9kKbO0_M5gmuhXZ6-LaxQxgrmJnzgP0"",""'TP# look up'!A:C""),3,0),"""")"),"")</f>
        <v/>
      </c>
      <c r="AH3743" s="49">
        <f>LEFT(J3743,2)</f>
        <v/>
      </c>
    </row>
    <row r="3744" ht="12.75" customHeight="1">
      <c r="H3744" s="43" t="n"/>
      <c r="AG3744" s="49">
        <f>IFERROR(__xludf.DUMMYFUNCTION("IFNA(vlookup(H3744,IMPORTRANGE(""1vUGwO1n0QQGx9kKbO0_M5gmuhXZ6-LaxQxgrmJnzgP0"",""'TP# look up'!A:C""),3,0),"""")"),"")</f>
        <v/>
      </c>
      <c r="AH3744" s="49">
        <f>LEFT(J3744,2)</f>
        <v/>
      </c>
    </row>
    <row r="3745" ht="12.75" customHeight="1">
      <c r="H3745" s="43" t="n"/>
      <c r="AG3745" s="49">
        <f>IFERROR(__xludf.DUMMYFUNCTION("IFNA(vlookup(H3745,IMPORTRANGE(""1vUGwO1n0QQGx9kKbO0_M5gmuhXZ6-LaxQxgrmJnzgP0"",""'TP# look up'!A:C""),3,0),"""")"),"")</f>
        <v/>
      </c>
      <c r="AH3745" s="49">
        <f>LEFT(J3745,2)</f>
        <v/>
      </c>
    </row>
    <row r="3746" ht="12.75" customHeight="1">
      <c r="H3746" s="43" t="n"/>
      <c r="AG3746" s="49">
        <f>IFERROR(__xludf.DUMMYFUNCTION("IFNA(vlookup(H3746,IMPORTRANGE(""1vUGwO1n0QQGx9kKbO0_M5gmuhXZ6-LaxQxgrmJnzgP0"",""'TP# look up'!A:C""),3,0),"""")"),"")</f>
        <v/>
      </c>
      <c r="AH3746" s="49">
        <f>LEFT(J3746,2)</f>
        <v/>
      </c>
    </row>
    <row r="3747" ht="12.75" customHeight="1">
      <c r="H3747" s="43" t="n"/>
      <c r="AG3747" s="49">
        <f>IFERROR(__xludf.DUMMYFUNCTION("IFNA(vlookup(H3747,IMPORTRANGE(""1vUGwO1n0QQGx9kKbO0_M5gmuhXZ6-LaxQxgrmJnzgP0"",""'TP# look up'!A:C""),3,0),"""")"),"")</f>
        <v/>
      </c>
      <c r="AH3747" s="49">
        <f>LEFT(J3747,2)</f>
        <v/>
      </c>
    </row>
    <row r="3748" ht="12.75" customHeight="1">
      <c r="H3748" s="43" t="n"/>
      <c r="AG3748" s="49">
        <f>IFERROR(__xludf.DUMMYFUNCTION("IFNA(vlookup(H3748,IMPORTRANGE(""1vUGwO1n0QQGx9kKbO0_M5gmuhXZ6-LaxQxgrmJnzgP0"",""'TP# look up'!A:C""),3,0),"""")"),"")</f>
        <v/>
      </c>
      <c r="AH3748" s="49">
        <f>LEFT(J3748,2)</f>
        <v/>
      </c>
    </row>
    <row r="3749" ht="12.75" customHeight="1">
      <c r="H3749" s="43" t="n"/>
      <c r="AG3749" s="49">
        <f>IFERROR(__xludf.DUMMYFUNCTION("IFNA(vlookup(H3749,IMPORTRANGE(""1vUGwO1n0QQGx9kKbO0_M5gmuhXZ6-LaxQxgrmJnzgP0"",""'TP# look up'!A:C""),3,0),"""")"),"")</f>
        <v/>
      </c>
      <c r="AH3749" s="49">
        <f>LEFT(J3749,2)</f>
        <v/>
      </c>
    </row>
    <row r="3750" ht="12.75" customHeight="1">
      <c r="H3750" s="43" t="n"/>
      <c r="AG3750" s="49">
        <f>IFERROR(__xludf.DUMMYFUNCTION("IFNA(vlookup(H3750,IMPORTRANGE(""1vUGwO1n0QQGx9kKbO0_M5gmuhXZ6-LaxQxgrmJnzgP0"",""'TP# look up'!A:C""),3,0),"""")"),"")</f>
        <v/>
      </c>
      <c r="AH3750" s="49">
        <f>LEFT(J3750,2)</f>
        <v/>
      </c>
    </row>
    <row r="3751" ht="12.75" customHeight="1">
      <c r="H3751" s="43" t="n"/>
      <c r="AG3751" s="49">
        <f>IFERROR(__xludf.DUMMYFUNCTION("IFNA(vlookup(H3751,IMPORTRANGE(""1vUGwO1n0QQGx9kKbO0_M5gmuhXZ6-LaxQxgrmJnzgP0"",""'TP# look up'!A:C""),3,0),"""")"),"")</f>
        <v/>
      </c>
      <c r="AH3751" s="49">
        <f>LEFT(J3751,2)</f>
        <v/>
      </c>
    </row>
    <row r="3752" ht="12.75" customHeight="1">
      <c r="H3752" s="43" t="n"/>
      <c r="AG3752" s="49">
        <f>IFERROR(__xludf.DUMMYFUNCTION("IFNA(vlookup(H3752,IMPORTRANGE(""1vUGwO1n0QQGx9kKbO0_M5gmuhXZ6-LaxQxgrmJnzgP0"",""'TP# look up'!A:C""),3,0),"""")"),"")</f>
        <v/>
      </c>
      <c r="AH3752" s="49">
        <f>LEFT(J3752,2)</f>
        <v/>
      </c>
    </row>
    <row r="3753" ht="12.75" customHeight="1">
      <c r="H3753" s="43" t="n"/>
      <c r="AG3753" s="49">
        <f>IFERROR(__xludf.DUMMYFUNCTION("IFNA(vlookup(H3753,IMPORTRANGE(""1vUGwO1n0QQGx9kKbO0_M5gmuhXZ6-LaxQxgrmJnzgP0"",""'TP# look up'!A:C""),3,0),"""")"),"")</f>
        <v/>
      </c>
      <c r="AH3753" s="49">
        <f>LEFT(J3753,2)</f>
        <v/>
      </c>
    </row>
    <row r="3754" ht="12.75" customHeight="1">
      <c r="H3754" s="43" t="n"/>
      <c r="AG3754" s="49">
        <f>IFERROR(__xludf.DUMMYFUNCTION("IFNA(vlookup(H3754,IMPORTRANGE(""1vUGwO1n0QQGx9kKbO0_M5gmuhXZ6-LaxQxgrmJnzgP0"",""'TP# look up'!A:C""),3,0),"""")"),"")</f>
        <v/>
      </c>
      <c r="AH3754" s="49">
        <f>LEFT(J3754,2)</f>
        <v/>
      </c>
    </row>
    <row r="3755" ht="12.75" customHeight="1">
      <c r="H3755" s="43" t="n"/>
      <c r="AG3755" s="49">
        <f>IFERROR(__xludf.DUMMYFUNCTION("IFNA(vlookup(H3755,IMPORTRANGE(""1vUGwO1n0QQGx9kKbO0_M5gmuhXZ6-LaxQxgrmJnzgP0"",""'TP# look up'!A:C""),3,0),"""")"),"")</f>
        <v/>
      </c>
      <c r="AH3755" s="49">
        <f>LEFT(J3755,2)</f>
        <v/>
      </c>
    </row>
    <row r="3756" ht="12.75" customHeight="1">
      <c r="H3756" s="43" t="n"/>
      <c r="AG3756" s="49">
        <f>IFERROR(__xludf.DUMMYFUNCTION("IFNA(vlookup(H3756,IMPORTRANGE(""1vUGwO1n0QQGx9kKbO0_M5gmuhXZ6-LaxQxgrmJnzgP0"",""'TP# look up'!A:C""),3,0),"""")"),"")</f>
        <v/>
      </c>
      <c r="AH3756" s="49">
        <f>LEFT(J3756,2)</f>
        <v/>
      </c>
    </row>
    <row r="3757" ht="12.75" customHeight="1">
      <c r="H3757" s="43" t="n"/>
      <c r="AG3757" s="49">
        <f>IFERROR(__xludf.DUMMYFUNCTION("IFNA(vlookup(H3757,IMPORTRANGE(""1vUGwO1n0QQGx9kKbO0_M5gmuhXZ6-LaxQxgrmJnzgP0"",""'TP# look up'!A:C""),3,0),"""")"),"")</f>
        <v/>
      </c>
      <c r="AH3757" s="49">
        <f>LEFT(J3757,2)</f>
        <v/>
      </c>
    </row>
    <row r="3758" ht="12.75" customHeight="1">
      <c r="H3758" s="43" t="n"/>
      <c r="AG3758" s="49">
        <f>IFERROR(__xludf.DUMMYFUNCTION("IFNA(vlookup(H3758,IMPORTRANGE(""1vUGwO1n0QQGx9kKbO0_M5gmuhXZ6-LaxQxgrmJnzgP0"",""'TP# look up'!A:C""),3,0),"""")"),"")</f>
        <v/>
      </c>
      <c r="AH3758" s="49">
        <f>LEFT(J3758,2)</f>
        <v/>
      </c>
    </row>
    <row r="3759" ht="12.75" customHeight="1">
      <c r="H3759" s="43" t="n"/>
      <c r="AG3759" s="49">
        <f>IFERROR(__xludf.DUMMYFUNCTION("IFNA(vlookup(H3759,IMPORTRANGE(""1vUGwO1n0QQGx9kKbO0_M5gmuhXZ6-LaxQxgrmJnzgP0"",""'TP# look up'!A:C""),3,0),"""")"),"")</f>
        <v/>
      </c>
      <c r="AH3759" s="49">
        <f>LEFT(J3759,2)</f>
        <v/>
      </c>
    </row>
    <row r="3760" ht="12.75" customHeight="1">
      <c r="H3760" s="43" t="n"/>
      <c r="AG3760" s="49">
        <f>IFERROR(__xludf.DUMMYFUNCTION("IFNA(vlookup(H3760,IMPORTRANGE(""1vUGwO1n0QQGx9kKbO0_M5gmuhXZ6-LaxQxgrmJnzgP0"",""'TP# look up'!A:C""),3,0),"""")"),"")</f>
        <v/>
      </c>
      <c r="AH3760" s="49">
        <f>LEFT(J3760,2)</f>
        <v/>
      </c>
    </row>
    <row r="3761" ht="12.75" customHeight="1">
      <c r="H3761" s="43" t="n"/>
      <c r="AG3761" s="49">
        <f>IFERROR(__xludf.DUMMYFUNCTION("IFNA(vlookup(H3761,IMPORTRANGE(""1vUGwO1n0QQGx9kKbO0_M5gmuhXZ6-LaxQxgrmJnzgP0"",""'TP# look up'!A:C""),3,0),"""")"),"")</f>
        <v/>
      </c>
      <c r="AH3761" s="49">
        <f>LEFT(J3761,2)</f>
        <v/>
      </c>
    </row>
    <row r="3762" ht="12.75" customHeight="1">
      <c r="H3762" s="43" t="n"/>
      <c r="AG3762" s="49">
        <f>IFERROR(__xludf.DUMMYFUNCTION("IFNA(vlookup(H3762,IMPORTRANGE(""1vUGwO1n0QQGx9kKbO0_M5gmuhXZ6-LaxQxgrmJnzgP0"",""'TP# look up'!A:C""),3,0),"""")"),"")</f>
        <v/>
      </c>
      <c r="AH3762" s="49">
        <f>LEFT(J3762,2)</f>
        <v/>
      </c>
    </row>
    <row r="3763" ht="12.75" customHeight="1">
      <c r="H3763" s="43" t="n"/>
      <c r="AG3763" s="49">
        <f>IFERROR(__xludf.DUMMYFUNCTION("IFNA(vlookup(H3763,IMPORTRANGE(""1vUGwO1n0QQGx9kKbO0_M5gmuhXZ6-LaxQxgrmJnzgP0"",""'TP# look up'!A:C""),3,0),"""")"),"")</f>
        <v/>
      </c>
      <c r="AH3763" s="49">
        <f>LEFT(J3763,2)</f>
        <v/>
      </c>
    </row>
    <row r="3764" ht="12.75" customHeight="1">
      <c r="H3764" s="43" t="n"/>
      <c r="AG3764" s="49">
        <f>IFERROR(__xludf.DUMMYFUNCTION("IFNA(vlookup(H3764,IMPORTRANGE(""1vUGwO1n0QQGx9kKbO0_M5gmuhXZ6-LaxQxgrmJnzgP0"",""'TP# look up'!A:C""),3,0),"""")"),"")</f>
        <v/>
      </c>
      <c r="AH3764" s="49">
        <f>LEFT(J3764,2)</f>
        <v/>
      </c>
    </row>
    <row r="3765" ht="12.75" customHeight="1">
      <c r="H3765" s="43" t="n"/>
      <c r="AG3765" s="49">
        <f>IFERROR(__xludf.DUMMYFUNCTION("IFNA(vlookup(H3765,IMPORTRANGE(""1vUGwO1n0QQGx9kKbO0_M5gmuhXZ6-LaxQxgrmJnzgP0"",""'TP# look up'!A:C""),3,0),"""")"),"")</f>
        <v/>
      </c>
      <c r="AH3765" s="49">
        <f>LEFT(J3765,2)</f>
        <v/>
      </c>
    </row>
    <row r="3766" ht="12.75" customHeight="1">
      <c r="H3766" s="43" t="n"/>
      <c r="AG3766" s="49">
        <f>IFERROR(__xludf.DUMMYFUNCTION("IFNA(vlookup(H3766,IMPORTRANGE(""1vUGwO1n0QQGx9kKbO0_M5gmuhXZ6-LaxQxgrmJnzgP0"",""'TP# look up'!A:C""),3,0),"""")"),"")</f>
        <v/>
      </c>
      <c r="AH3766" s="49">
        <f>LEFT(J3766,2)</f>
        <v/>
      </c>
    </row>
    <row r="3767" ht="12.75" customHeight="1">
      <c r="H3767" s="43" t="n"/>
      <c r="AG3767" s="49">
        <f>IFERROR(__xludf.DUMMYFUNCTION("IFNA(vlookup(H3767,IMPORTRANGE(""1vUGwO1n0QQGx9kKbO0_M5gmuhXZ6-LaxQxgrmJnzgP0"",""'TP# look up'!A:C""),3,0),"""")"),"")</f>
        <v/>
      </c>
      <c r="AH3767" s="49">
        <f>LEFT(J3767,2)</f>
        <v/>
      </c>
    </row>
    <row r="3768" ht="12.75" customHeight="1">
      <c r="H3768" s="43" t="n"/>
      <c r="AG3768" s="49">
        <f>IFERROR(__xludf.DUMMYFUNCTION("IFNA(vlookup(H3768,IMPORTRANGE(""1vUGwO1n0QQGx9kKbO0_M5gmuhXZ6-LaxQxgrmJnzgP0"",""'TP# look up'!A:C""),3,0),"""")"),"")</f>
        <v/>
      </c>
      <c r="AH3768" s="49">
        <f>LEFT(J3768,2)</f>
        <v/>
      </c>
    </row>
    <row r="3769" ht="12.75" customHeight="1">
      <c r="H3769" s="43" t="n"/>
      <c r="AG3769" s="49">
        <f>IFERROR(__xludf.DUMMYFUNCTION("IFNA(vlookup(H3769,IMPORTRANGE(""1vUGwO1n0QQGx9kKbO0_M5gmuhXZ6-LaxQxgrmJnzgP0"",""'TP# look up'!A:C""),3,0),"""")"),"")</f>
        <v/>
      </c>
      <c r="AH3769" s="49">
        <f>LEFT(J3769,2)</f>
        <v/>
      </c>
    </row>
    <row r="3770" ht="12.75" customHeight="1">
      <c r="H3770" s="43" t="n"/>
      <c r="AG3770" s="49">
        <f>IFERROR(__xludf.DUMMYFUNCTION("IFNA(vlookup(H3770,IMPORTRANGE(""1vUGwO1n0QQGx9kKbO0_M5gmuhXZ6-LaxQxgrmJnzgP0"",""'TP# look up'!A:C""),3,0),"""")"),"")</f>
        <v/>
      </c>
      <c r="AH3770" s="49">
        <f>LEFT(J3770,2)</f>
        <v/>
      </c>
    </row>
    <row r="3771" ht="12.75" customHeight="1">
      <c r="H3771" s="43" t="n"/>
      <c r="AG3771" s="49">
        <f>IFERROR(__xludf.DUMMYFUNCTION("IFNA(vlookup(H3771,IMPORTRANGE(""1vUGwO1n0QQGx9kKbO0_M5gmuhXZ6-LaxQxgrmJnzgP0"",""'TP# look up'!A:C""),3,0),"""")"),"")</f>
        <v/>
      </c>
      <c r="AH3771" s="49">
        <f>LEFT(J3771,2)</f>
        <v/>
      </c>
    </row>
    <row r="3772" ht="12.75" customHeight="1">
      <c r="H3772" s="43" t="n"/>
      <c r="AG3772" s="49">
        <f>IFERROR(__xludf.DUMMYFUNCTION("IFNA(vlookup(H3772,IMPORTRANGE(""1vUGwO1n0QQGx9kKbO0_M5gmuhXZ6-LaxQxgrmJnzgP0"",""'TP# look up'!A:C""),3,0),"""")"),"")</f>
        <v/>
      </c>
      <c r="AH3772" s="49">
        <f>LEFT(J3772,2)</f>
        <v/>
      </c>
    </row>
    <row r="3773" ht="12.75" customHeight="1">
      <c r="H3773" s="43" t="n"/>
      <c r="AG3773" s="49">
        <f>IFERROR(__xludf.DUMMYFUNCTION("IFNA(vlookup(H3773,IMPORTRANGE(""1vUGwO1n0QQGx9kKbO0_M5gmuhXZ6-LaxQxgrmJnzgP0"",""'TP# look up'!A:C""),3,0),"""")"),"")</f>
        <v/>
      </c>
      <c r="AH3773" s="49">
        <f>LEFT(J3773,2)</f>
        <v/>
      </c>
    </row>
    <row r="3774" ht="12.75" customHeight="1">
      <c r="H3774" s="43" t="n"/>
      <c r="AG3774" s="49">
        <f>IFERROR(__xludf.DUMMYFUNCTION("IFNA(vlookup(H3774,IMPORTRANGE(""1vUGwO1n0QQGx9kKbO0_M5gmuhXZ6-LaxQxgrmJnzgP0"",""'TP# look up'!A:C""),3,0),"""")"),"")</f>
        <v/>
      </c>
      <c r="AH3774" s="49">
        <f>LEFT(J3774,2)</f>
        <v/>
      </c>
    </row>
    <row r="3775" ht="12.75" customHeight="1">
      <c r="H3775" s="43" t="n"/>
      <c r="AG3775" s="49">
        <f>IFERROR(__xludf.DUMMYFUNCTION("IFNA(vlookup(H3775,IMPORTRANGE(""1vUGwO1n0QQGx9kKbO0_M5gmuhXZ6-LaxQxgrmJnzgP0"",""'TP# look up'!A:C""),3,0),"""")"),"")</f>
        <v/>
      </c>
      <c r="AH3775" s="49">
        <f>LEFT(J3775,2)</f>
        <v/>
      </c>
    </row>
    <row r="3776" ht="12.75" customHeight="1">
      <c r="H3776" s="43" t="n"/>
      <c r="AG3776" s="49">
        <f>IFERROR(__xludf.DUMMYFUNCTION("IFNA(vlookup(H3776,IMPORTRANGE(""1vUGwO1n0QQGx9kKbO0_M5gmuhXZ6-LaxQxgrmJnzgP0"",""'TP# look up'!A:C""),3,0),"""")"),"")</f>
        <v/>
      </c>
      <c r="AH3776" s="49">
        <f>LEFT(J3776,2)</f>
        <v/>
      </c>
    </row>
    <row r="3777" ht="12.75" customHeight="1">
      <c r="H3777" s="43" t="n"/>
      <c r="AG3777" s="49">
        <f>IFERROR(__xludf.DUMMYFUNCTION("IFNA(vlookup(H3777,IMPORTRANGE(""1vUGwO1n0QQGx9kKbO0_M5gmuhXZ6-LaxQxgrmJnzgP0"",""'TP# look up'!A:C""),3,0),"""")"),"")</f>
        <v/>
      </c>
      <c r="AH3777" s="49">
        <f>LEFT(J3777,2)</f>
        <v/>
      </c>
    </row>
    <row r="3778" ht="12.75" customHeight="1">
      <c r="H3778" s="43" t="n"/>
      <c r="AG3778" s="49">
        <f>IFERROR(__xludf.DUMMYFUNCTION("IFNA(vlookup(H3778,IMPORTRANGE(""1vUGwO1n0QQGx9kKbO0_M5gmuhXZ6-LaxQxgrmJnzgP0"",""'TP# look up'!A:C""),3,0),"""")"),"")</f>
        <v/>
      </c>
      <c r="AH3778" s="49">
        <f>LEFT(J3778,2)</f>
        <v/>
      </c>
    </row>
    <row r="3779" ht="12.75" customHeight="1">
      <c r="H3779" s="43" t="n"/>
      <c r="AG3779" s="49">
        <f>IFERROR(__xludf.DUMMYFUNCTION("IFNA(vlookup(H3779,IMPORTRANGE(""1vUGwO1n0QQGx9kKbO0_M5gmuhXZ6-LaxQxgrmJnzgP0"",""'TP# look up'!A:C""),3,0),"""")"),"")</f>
        <v/>
      </c>
      <c r="AH3779" s="49">
        <f>LEFT(J3779,2)</f>
        <v/>
      </c>
    </row>
    <row r="3780" ht="12.75" customHeight="1">
      <c r="H3780" s="43" t="n"/>
      <c r="AG3780" s="49">
        <f>IFERROR(__xludf.DUMMYFUNCTION("IFNA(vlookup(H3780,IMPORTRANGE(""1vUGwO1n0QQGx9kKbO0_M5gmuhXZ6-LaxQxgrmJnzgP0"",""'TP# look up'!A:C""),3,0),"""")"),"")</f>
        <v/>
      </c>
      <c r="AH3780" s="49">
        <f>LEFT(J3780,2)</f>
        <v/>
      </c>
    </row>
    <row r="3781" ht="12.75" customHeight="1">
      <c r="H3781" s="43" t="n"/>
      <c r="AG3781" s="49">
        <f>IFERROR(__xludf.DUMMYFUNCTION("IFNA(vlookup(H3781,IMPORTRANGE(""1vUGwO1n0QQGx9kKbO0_M5gmuhXZ6-LaxQxgrmJnzgP0"",""'TP# look up'!A:C""),3,0),"""")"),"")</f>
        <v/>
      </c>
      <c r="AH3781" s="49">
        <f>LEFT(J3781,2)</f>
        <v/>
      </c>
    </row>
    <row r="3782" ht="12.75" customHeight="1">
      <c r="H3782" s="43" t="n"/>
      <c r="AG3782" s="49">
        <f>IFERROR(__xludf.DUMMYFUNCTION("IFNA(vlookup(H3782,IMPORTRANGE(""1vUGwO1n0QQGx9kKbO0_M5gmuhXZ6-LaxQxgrmJnzgP0"",""'TP# look up'!A:C""),3,0),"""")"),"")</f>
        <v/>
      </c>
      <c r="AH3782" s="49">
        <f>LEFT(J3782,2)</f>
        <v/>
      </c>
    </row>
    <row r="3783" ht="12.75" customHeight="1">
      <c r="H3783" s="43" t="n"/>
      <c r="AG3783" s="49">
        <f>IFERROR(__xludf.DUMMYFUNCTION("IFNA(vlookup(H3783,IMPORTRANGE(""1vUGwO1n0QQGx9kKbO0_M5gmuhXZ6-LaxQxgrmJnzgP0"",""'TP# look up'!A:C""),3,0),"""")"),"")</f>
        <v/>
      </c>
      <c r="AH3783" s="49">
        <f>LEFT(J3783,2)</f>
        <v/>
      </c>
    </row>
    <row r="3784" ht="12.75" customHeight="1">
      <c r="H3784" s="43" t="n"/>
      <c r="AG3784" s="49">
        <f>IFERROR(__xludf.DUMMYFUNCTION("IFNA(vlookup(H3784,IMPORTRANGE(""1vUGwO1n0QQGx9kKbO0_M5gmuhXZ6-LaxQxgrmJnzgP0"",""'TP# look up'!A:C""),3,0),"""")"),"")</f>
        <v/>
      </c>
      <c r="AH3784" s="49">
        <f>LEFT(J3784,2)</f>
        <v/>
      </c>
    </row>
    <row r="3785" ht="12.75" customHeight="1">
      <c r="H3785" s="43" t="n"/>
      <c r="AG3785" s="49">
        <f>IFERROR(__xludf.DUMMYFUNCTION("IFNA(vlookup(H3785,IMPORTRANGE(""1vUGwO1n0QQGx9kKbO0_M5gmuhXZ6-LaxQxgrmJnzgP0"",""'TP# look up'!A:C""),3,0),"""")"),"")</f>
        <v/>
      </c>
      <c r="AH3785" s="49">
        <f>LEFT(J3785,2)</f>
        <v/>
      </c>
    </row>
    <row r="3786" ht="12.75" customHeight="1">
      <c r="H3786" s="43" t="n"/>
      <c r="AG3786" s="49">
        <f>IFERROR(__xludf.DUMMYFUNCTION("IFNA(vlookup(H3786,IMPORTRANGE(""1vUGwO1n0QQGx9kKbO0_M5gmuhXZ6-LaxQxgrmJnzgP0"",""'TP# look up'!A:C""),3,0),"""")"),"")</f>
        <v/>
      </c>
      <c r="AH3786" s="49">
        <f>LEFT(J3786,2)</f>
        <v/>
      </c>
    </row>
    <row r="3787" ht="12.75" customHeight="1">
      <c r="H3787" s="43" t="n"/>
      <c r="AG3787" s="49">
        <f>IFERROR(__xludf.DUMMYFUNCTION("IFNA(vlookup(H3787,IMPORTRANGE(""1vUGwO1n0QQGx9kKbO0_M5gmuhXZ6-LaxQxgrmJnzgP0"",""'TP# look up'!A:C""),3,0),"""")"),"")</f>
        <v/>
      </c>
      <c r="AH3787" s="49">
        <f>LEFT(J3787,2)</f>
        <v/>
      </c>
    </row>
    <row r="3788" ht="12.75" customHeight="1">
      <c r="H3788" s="43" t="n"/>
      <c r="AG3788" s="49">
        <f>IFERROR(__xludf.DUMMYFUNCTION("IFNA(vlookup(H3788,IMPORTRANGE(""1vUGwO1n0QQGx9kKbO0_M5gmuhXZ6-LaxQxgrmJnzgP0"",""'TP# look up'!A:C""),3,0),"""")"),"")</f>
        <v/>
      </c>
      <c r="AH3788" s="49">
        <f>LEFT(J3788,2)</f>
        <v/>
      </c>
    </row>
    <row r="3789" ht="12.75" customHeight="1">
      <c r="H3789" s="43" t="n"/>
      <c r="AG3789" s="49">
        <f>IFERROR(__xludf.DUMMYFUNCTION("IFNA(vlookup(H3789,IMPORTRANGE(""1vUGwO1n0QQGx9kKbO0_M5gmuhXZ6-LaxQxgrmJnzgP0"",""'TP# look up'!A:C""),3,0),"""")"),"")</f>
        <v/>
      </c>
      <c r="AH3789" s="49">
        <f>LEFT(J3789,2)</f>
        <v/>
      </c>
    </row>
    <row r="3790" ht="12.75" customHeight="1">
      <c r="H3790" s="43" t="n"/>
      <c r="AG3790" s="49">
        <f>IFERROR(__xludf.DUMMYFUNCTION("IFNA(vlookup(H3790,IMPORTRANGE(""1vUGwO1n0QQGx9kKbO0_M5gmuhXZ6-LaxQxgrmJnzgP0"",""'TP# look up'!A:C""),3,0),"""")"),"")</f>
        <v/>
      </c>
      <c r="AH3790" s="49">
        <f>LEFT(J3790,2)</f>
        <v/>
      </c>
    </row>
    <row r="3791" ht="12.75" customHeight="1">
      <c r="H3791" s="43" t="n"/>
      <c r="AG3791" s="49">
        <f>IFERROR(__xludf.DUMMYFUNCTION("IFNA(vlookup(H3791,IMPORTRANGE(""1vUGwO1n0QQGx9kKbO0_M5gmuhXZ6-LaxQxgrmJnzgP0"",""'TP# look up'!A:C""),3,0),"""")"),"")</f>
        <v/>
      </c>
      <c r="AH3791" s="49">
        <f>LEFT(J3791,2)</f>
        <v/>
      </c>
    </row>
    <row r="3792" ht="12.75" customHeight="1">
      <c r="H3792" s="43" t="n"/>
      <c r="AG3792" s="49">
        <f>IFERROR(__xludf.DUMMYFUNCTION("IFNA(vlookup(H3792,IMPORTRANGE(""1vUGwO1n0QQGx9kKbO0_M5gmuhXZ6-LaxQxgrmJnzgP0"",""'TP# look up'!A:C""),3,0),"""")"),"")</f>
        <v/>
      </c>
      <c r="AH3792" s="49">
        <f>LEFT(J3792,2)</f>
        <v/>
      </c>
    </row>
    <row r="3793" ht="12.75" customHeight="1">
      <c r="H3793" s="43" t="n"/>
      <c r="AG3793" s="49">
        <f>IFERROR(__xludf.DUMMYFUNCTION("IFNA(vlookup(H3793,IMPORTRANGE(""1vUGwO1n0QQGx9kKbO0_M5gmuhXZ6-LaxQxgrmJnzgP0"",""'TP# look up'!A:C""),3,0),"""")"),"")</f>
        <v/>
      </c>
      <c r="AH3793" s="49">
        <f>LEFT(J3793,2)</f>
        <v/>
      </c>
    </row>
    <row r="3794" ht="12.75" customHeight="1">
      <c r="H3794" s="43" t="n"/>
      <c r="AG3794" s="49">
        <f>IFERROR(__xludf.DUMMYFUNCTION("IFNA(vlookup(H3794,IMPORTRANGE(""1vUGwO1n0QQGx9kKbO0_M5gmuhXZ6-LaxQxgrmJnzgP0"",""'TP# look up'!A:C""),3,0),"""")"),"")</f>
        <v/>
      </c>
      <c r="AH3794" s="49">
        <f>LEFT(J3794,2)</f>
        <v/>
      </c>
    </row>
    <row r="3795" ht="12.75" customHeight="1">
      <c r="H3795" s="43" t="n"/>
      <c r="AG3795" s="49">
        <f>IFERROR(__xludf.DUMMYFUNCTION("IFNA(vlookup(H3795,IMPORTRANGE(""1vUGwO1n0QQGx9kKbO0_M5gmuhXZ6-LaxQxgrmJnzgP0"",""'TP# look up'!A:C""),3,0),"""")"),"")</f>
        <v/>
      </c>
      <c r="AH3795" s="49">
        <f>LEFT(J3795,2)</f>
        <v/>
      </c>
    </row>
    <row r="3796" ht="12.75" customHeight="1">
      <c r="H3796" s="43" t="n"/>
      <c r="AG3796" s="49">
        <f>IFERROR(__xludf.DUMMYFUNCTION("IFNA(vlookup(H3796,IMPORTRANGE(""1vUGwO1n0QQGx9kKbO0_M5gmuhXZ6-LaxQxgrmJnzgP0"",""'TP# look up'!A:C""),3,0),"""")"),"")</f>
        <v/>
      </c>
      <c r="AH3796" s="49">
        <f>LEFT(J3796,2)</f>
        <v/>
      </c>
    </row>
    <row r="3797" ht="12.75" customHeight="1">
      <c r="H3797" s="43" t="n"/>
      <c r="AG3797" s="49">
        <f>IFERROR(__xludf.DUMMYFUNCTION("IFNA(vlookup(H3797,IMPORTRANGE(""1vUGwO1n0QQGx9kKbO0_M5gmuhXZ6-LaxQxgrmJnzgP0"",""'TP# look up'!A:C""),3,0),"""")"),"")</f>
        <v/>
      </c>
      <c r="AH3797" s="49">
        <f>LEFT(J3797,2)</f>
        <v/>
      </c>
    </row>
    <row r="3798" ht="12.75" customHeight="1">
      <c r="H3798" s="43" t="n"/>
      <c r="AG3798" s="49">
        <f>IFERROR(__xludf.DUMMYFUNCTION("IFNA(vlookup(H3798,IMPORTRANGE(""1vUGwO1n0QQGx9kKbO0_M5gmuhXZ6-LaxQxgrmJnzgP0"",""'TP# look up'!A:C""),3,0),"""")"),"")</f>
        <v/>
      </c>
      <c r="AH3798" s="49">
        <f>LEFT(J3798,2)</f>
        <v/>
      </c>
    </row>
    <row r="3799" ht="12.75" customHeight="1">
      <c r="H3799" s="43" t="n"/>
      <c r="AG3799" s="49">
        <f>IFERROR(__xludf.DUMMYFUNCTION("IFNA(vlookup(H3799,IMPORTRANGE(""1vUGwO1n0QQGx9kKbO0_M5gmuhXZ6-LaxQxgrmJnzgP0"",""'TP# look up'!A:C""),3,0),"""")"),"")</f>
        <v/>
      </c>
      <c r="AH3799" s="49">
        <f>LEFT(J3799,2)</f>
        <v/>
      </c>
    </row>
    <row r="3800" ht="12.75" customHeight="1">
      <c r="H3800" s="43" t="n"/>
      <c r="AG3800" s="49">
        <f>IFERROR(__xludf.DUMMYFUNCTION("IFNA(vlookup(H3800,IMPORTRANGE(""1vUGwO1n0QQGx9kKbO0_M5gmuhXZ6-LaxQxgrmJnzgP0"",""'TP# look up'!A:C""),3,0),"""")"),"")</f>
        <v/>
      </c>
      <c r="AH3800" s="49">
        <f>LEFT(J3800,2)</f>
        <v/>
      </c>
    </row>
    <row r="3801" ht="12.75" customHeight="1">
      <c r="H3801" s="43" t="n"/>
      <c r="AG3801" s="49">
        <f>IFERROR(__xludf.DUMMYFUNCTION("IFNA(vlookup(H3801,IMPORTRANGE(""1vUGwO1n0QQGx9kKbO0_M5gmuhXZ6-LaxQxgrmJnzgP0"",""'TP# look up'!A:C""),3,0),"""")"),"")</f>
        <v/>
      </c>
      <c r="AH3801" s="49">
        <f>LEFT(J3801,2)</f>
        <v/>
      </c>
    </row>
    <row r="3802" ht="12.75" customHeight="1">
      <c r="H3802" s="43" t="n"/>
      <c r="AG3802" s="49">
        <f>IFERROR(__xludf.DUMMYFUNCTION("IFNA(vlookup(H3802,IMPORTRANGE(""1vUGwO1n0QQGx9kKbO0_M5gmuhXZ6-LaxQxgrmJnzgP0"",""'TP# look up'!A:C""),3,0),"""")"),"")</f>
        <v/>
      </c>
      <c r="AH3802" s="49">
        <f>LEFT(J3802,2)</f>
        <v/>
      </c>
    </row>
    <row r="3803" ht="12.75" customHeight="1">
      <c r="H3803" s="43" t="n"/>
      <c r="AG3803" s="49">
        <f>IFERROR(__xludf.DUMMYFUNCTION("IFNA(vlookup(H3803,IMPORTRANGE(""1vUGwO1n0QQGx9kKbO0_M5gmuhXZ6-LaxQxgrmJnzgP0"",""'TP# look up'!A:C""),3,0),"""")"),"")</f>
        <v/>
      </c>
      <c r="AH3803" s="49">
        <f>LEFT(J3803,2)</f>
        <v/>
      </c>
    </row>
    <row r="3804" ht="12.75" customHeight="1">
      <c r="H3804" s="43" t="n"/>
      <c r="AG3804" s="49">
        <f>IFERROR(__xludf.DUMMYFUNCTION("IFNA(vlookup(H3804,IMPORTRANGE(""1vUGwO1n0QQGx9kKbO0_M5gmuhXZ6-LaxQxgrmJnzgP0"",""'TP# look up'!A:C""),3,0),"""")"),"")</f>
        <v/>
      </c>
      <c r="AH3804" s="49">
        <f>LEFT(J3804,2)</f>
        <v/>
      </c>
    </row>
    <row r="3805" ht="12.75" customHeight="1">
      <c r="H3805" s="43" t="n"/>
      <c r="AG3805" s="49">
        <f>IFERROR(__xludf.DUMMYFUNCTION("IFNA(vlookup(H3805,IMPORTRANGE(""1vUGwO1n0QQGx9kKbO0_M5gmuhXZ6-LaxQxgrmJnzgP0"",""'TP# look up'!A:C""),3,0),"""")"),"")</f>
        <v/>
      </c>
      <c r="AH3805" s="49">
        <f>LEFT(J3805,2)</f>
        <v/>
      </c>
    </row>
    <row r="3806" ht="12.75" customHeight="1">
      <c r="H3806" s="43" t="n"/>
      <c r="AG3806" s="49">
        <f>IFERROR(__xludf.DUMMYFUNCTION("IFNA(vlookup(H3806,IMPORTRANGE(""1vUGwO1n0QQGx9kKbO0_M5gmuhXZ6-LaxQxgrmJnzgP0"",""'TP# look up'!A:C""),3,0),"""")"),"")</f>
        <v/>
      </c>
      <c r="AH3806" s="49">
        <f>LEFT(J3806,2)</f>
        <v/>
      </c>
    </row>
    <row r="3807" ht="12.75" customHeight="1">
      <c r="H3807" s="43" t="n"/>
      <c r="AG3807" s="49">
        <f>IFERROR(__xludf.DUMMYFUNCTION("IFNA(vlookup(H3807,IMPORTRANGE(""1vUGwO1n0QQGx9kKbO0_M5gmuhXZ6-LaxQxgrmJnzgP0"",""'TP# look up'!A:C""),3,0),"""")"),"")</f>
        <v/>
      </c>
      <c r="AH3807" s="49">
        <f>LEFT(J3807,2)</f>
        <v/>
      </c>
    </row>
    <row r="3808" ht="12.75" customHeight="1">
      <c r="H3808" s="43" t="n"/>
      <c r="AG3808" s="49">
        <f>IFERROR(__xludf.DUMMYFUNCTION("IFNA(vlookup(H3808,IMPORTRANGE(""1vUGwO1n0QQGx9kKbO0_M5gmuhXZ6-LaxQxgrmJnzgP0"",""'TP# look up'!A:C""),3,0),"""")"),"")</f>
        <v/>
      </c>
      <c r="AH3808" s="49">
        <f>LEFT(J3808,2)</f>
        <v/>
      </c>
    </row>
    <row r="3809" ht="12.75" customHeight="1">
      <c r="H3809" s="43" t="n"/>
      <c r="AG3809" s="49">
        <f>IFERROR(__xludf.DUMMYFUNCTION("IFNA(vlookup(H3809,IMPORTRANGE(""1vUGwO1n0QQGx9kKbO0_M5gmuhXZ6-LaxQxgrmJnzgP0"",""'TP# look up'!A:C""),3,0),"""")"),"")</f>
        <v/>
      </c>
      <c r="AH3809" s="49">
        <f>LEFT(J3809,2)</f>
        <v/>
      </c>
    </row>
    <row r="3810" ht="12.75" customHeight="1">
      <c r="H3810" s="43" t="n"/>
      <c r="AG3810" s="49">
        <f>IFERROR(__xludf.DUMMYFUNCTION("IFNA(vlookup(H3810,IMPORTRANGE(""1vUGwO1n0QQGx9kKbO0_M5gmuhXZ6-LaxQxgrmJnzgP0"",""'TP# look up'!A:C""),3,0),"""")"),"")</f>
        <v/>
      </c>
      <c r="AH3810" s="49">
        <f>LEFT(J3810,2)</f>
        <v/>
      </c>
    </row>
    <row r="3811" ht="12.75" customHeight="1">
      <c r="H3811" s="43" t="n"/>
      <c r="AG3811" s="49">
        <f>IFERROR(__xludf.DUMMYFUNCTION("IFNA(vlookup(H3811,IMPORTRANGE(""1vUGwO1n0QQGx9kKbO0_M5gmuhXZ6-LaxQxgrmJnzgP0"",""'TP# look up'!A:C""),3,0),"""")"),"")</f>
        <v/>
      </c>
      <c r="AH3811" s="49">
        <f>LEFT(J3811,2)</f>
        <v/>
      </c>
    </row>
    <row r="3812" ht="12.75" customHeight="1">
      <c r="H3812" s="43" t="n"/>
      <c r="AG3812" s="49">
        <f>IFERROR(__xludf.DUMMYFUNCTION("IFNA(vlookup(H3812,IMPORTRANGE(""1vUGwO1n0QQGx9kKbO0_M5gmuhXZ6-LaxQxgrmJnzgP0"",""'TP# look up'!A:C""),3,0),"""")"),"")</f>
        <v/>
      </c>
      <c r="AH3812" s="49">
        <f>LEFT(J3812,2)</f>
        <v/>
      </c>
    </row>
    <row r="3813" ht="12.75" customHeight="1">
      <c r="H3813" s="43" t="n"/>
      <c r="AG3813" s="49">
        <f>IFERROR(__xludf.DUMMYFUNCTION("IFNA(vlookup(H3813,IMPORTRANGE(""1vUGwO1n0QQGx9kKbO0_M5gmuhXZ6-LaxQxgrmJnzgP0"",""'TP# look up'!A:C""),3,0),"""")"),"")</f>
        <v/>
      </c>
      <c r="AH3813" s="49">
        <f>LEFT(J3813,2)</f>
        <v/>
      </c>
    </row>
    <row r="3814" ht="12.75" customHeight="1">
      <c r="H3814" s="43" t="n"/>
      <c r="AG3814" s="49">
        <f>IFERROR(__xludf.DUMMYFUNCTION("IFNA(vlookup(H3814,IMPORTRANGE(""1vUGwO1n0QQGx9kKbO0_M5gmuhXZ6-LaxQxgrmJnzgP0"",""'TP# look up'!A:C""),3,0),"""")"),"")</f>
        <v/>
      </c>
      <c r="AH3814" s="49">
        <f>LEFT(J3814,2)</f>
        <v/>
      </c>
    </row>
    <row r="3815" ht="12.75" customHeight="1">
      <c r="H3815" s="43" t="n"/>
      <c r="AG3815" s="49">
        <f>IFERROR(__xludf.DUMMYFUNCTION("IFNA(vlookup(H3815,IMPORTRANGE(""1vUGwO1n0QQGx9kKbO0_M5gmuhXZ6-LaxQxgrmJnzgP0"",""'TP# look up'!A:C""),3,0),"""")"),"")</f>
        <v/>
      </c>
      <c r="AH3815" s="49">
        <f>LEFT(J3815,2)</f>
        <v/>
      </c>
    </row>
    <row r="3816" ht="12.75" customHeight="1">
      <c r="H3816" s="43" t="n"/>
      <c r="AG3816" s="49">
        <f>IFERROR(__xludf.DUMMYFUNCTION("IFNA(vlookup(H3816,IMPORTRANGE(""1vUGwO1n0QQGx9kKbO0_M5gmuhXZ6-LaxQxgrmJnzgP0"",""'TP# look up'!A:C""),3,0),"""")"),"")</f>
        <v/>
      </c>
      <c r="AH3816" s="49">
        <f>LEFT(J3816,2)</f>
        <v/>
      </c>
    </row>
    <row r="3817" ht="12.75" customHeight="1">
      <c r="H3817" s="43" t="n"/>
      <c r="AG3817" s="49">
        <f>IFERROR(__xludf.DUMMYFUNCTION("IFNA(vlookup(H3817,IMPORTRANGE(""1vUGwO1n0QQGx9kKbO0_M5gmuhXZ6-LaxQxgrmJnzgP0"",""'TP# look up'!A:C""),3,0),"""")"),"")</f>
        <v/>
      </c>
      <c r="AH3817" s="49">
        <f>LEFT(J3817,2)</f>
        <v/>
      </c>
    </row>
    <row r="3818" ht="12.75" customHeight="1">
      <c r="H3818" s="43" t="n"/>
      <c r="AG3818" s="49">
        <f>IFERROR(__xludf.DUMMYFUNCTION("IFNA(vlookup(H3818,IMPORTRANGE(""1vUGwO1n0QQGx9kKbO0_M5gmuhXZ6-LaxQxgrmJnzgP0"",""'TP# look up'!A:C""),3,0),"""")"),"")</f>
        <v/>
      </c>
      <c r="AH3818" s="49">
        <f>LEFT(J3818,2)</f>
        <v/>
      </c>
    </row>
    <row r="3819" ht="12.75" customHeight="1">
      <c r="H3819" s="43" t="n"/>
      <c r="AG3819" s="49">
        <f>IFERROR(__xludf.DUMMYFUNCTION("IFNA(vlookup(H3819,IMPORTRANGE(""1vUGwO1n0QQGx9kKbO0_M5gmuhXZ6-LaxQxgrmJnzgP0"",""'TP# look up'!A:C""),3,0),"""")"),"")</f>
        <v/>
      </c>
      <c r="AH3819" s="49">
        <f>LEFT(J3819,2)</f>
        <v/>
      </c>
    </row>
    <row r="3820" ht="12.75" customHeight="1">
      <c r="H3820" s="43" t="n"/>
      <c r="AG3820" s="49">
        <f>IFERROR(__xludf.DUMMYFUNCTION("IFNA(vlookup(H3820,IMPORTRANGE(""1vUGwO1n0QQGx9kKbO0_M5gmuhXZ6-LaxQxgrmJnzgP0"",""'TP# look up'!A:C""),3,0),"""")"),"")</f>
        <v/>
      </c>
      <c r="AH3820" s="49">
        <f>LEFT(J3820,2)</f>
        <v/>
      </c>
    </row>
    <row r="3821" ht="12.75" customHeight="1">
      <c r="H3821" s="43" t="n"/>
      <c r="AG3821" s="49">
        <f>IFERROR(__xludf.DUMMYFUNCTION("IFNA(vlookup(H3821,IMPORTRANGE(""1vUGwO1n0QQGx9kKbO0_M5gmuhXZ6-LaxQxgrmJnzgP0"",""'TP# look up'!A:C""),3,0),"""")"),"")</f>
        <v/>
      </c>
      <c r="AH3821" s="49">
        <f>LEFT(J3821,2)</f>
        <v/>
      </c>
    </row>
    <row r="3822" ht="12.75" customHeight="1">
      <c r="H3822" s="43" t="n"/>
      <c r="AG3822" s="49">
        <f>IFERROR(__xludf.DUMMYFUNCTION("IFNA(vlookup(H3822,IMPORTRANGE(""1vUGwO1n0QQGx9kKbO0_M5gmuhXZ6-LaxQxgrmJnzgP0"",""'TP# look up'!A:C""),3,0),"""")"),"")</f>
        <v/>
      </c>
      <c r="AH3822" s="49">
        <f>LEFT(J3822,2)</f>
        <v/>
      </c>
    </row>
    <row r="3823" ht="12.75" customHeight="1">
      <c r="H3823" s="43" t="n"/>
      <c r="AG3823" s="49">
        <f>IFERROR(__xludf.DUMMYFUNCTION("IFNA(vlookup(H3823,IMPORTRANGE(""1vUGwO1n0QQGx9kKbO0_M5gmuhXZ6-LaxQxgrmJnzgP0"",""'TP# look up'!A:C""),3,0),"""")"),"")</f>
        <v/>
      </c>
      <c r="AH3823" s="49">
        <f>LEFT(J3823,2)</f>
        <v/>
      </c>
    </row>
    <row r="3824" ht="12.75" customHeight="1">
      <c r="H3824" s="43" t="n"/>
      <c r="AG3824" s="49">
        <f>IFERROR(__xludf.DUMMYFUNCTION("IFNA(vlookup(H3824,IMPORTRANGE(""1vUGwO1n0QQGx9kKbO0_M5gmuhXZ6-LaxQxgrmJnzgP0"",""'TP# look up'!A:C""),3,0),"""")"),"")</f>
        <v/>
      </c>
      <c r="AH3824" s="49">
        <f>LEFT(J3824,2)</f>
        <v/>
      </c>
    </row>
    <row r="3825" ht="12.75" customHeight="1">
      <c r="H3825" s="43" t="n"/>
      <c r="AG3825" s="49">
        <f>IFERROR(__xludf.DUMMYFUNCTION("IFNA(vlookup(H3825,IMPORTRANGE(""1vUGwO1n0QQGx9kKbO0_M5gmuhXZ6-LaxQxgrmJnzgP0"",""'TP# look up'!A:C""),3,0),"""")"),"")</f>
        <v/>
      </c>
      <c r="AH3825" s="49">
        <f>LEFT(J3825,2)</f>
        <v/>
      </c>
    </row>
    <row r="3826" ht="12.75" customHeight="1">
      <c r="H3826" s="43" t="n"/>
      <c r="AG3826" s="49">
        <f>IFERROR(__xludf.DUMMYFUNCTION("IFNA(vlookup(H3826,IMPORTRANGE(""1vUGwO1n0QQGx9kKbO0_M5gmuhXZ6-LaxQxgrmJnzgP0"",""'TP# look up'!A:C""),3,0),"""")"),"")</f>
        <v/>
      </c>
      <c r="AH3826" s="49">
        <f>LEFT(J3826,2)</f>
        <v/>
      </c>
    </row>
    <row r="3827" ht="12.75" customHeight="1">
      <c r="H3827" s="43" t="n"/>
      <c r="AG3827" s="49">
        <f>IFERROR(__xludf.DUMMYFUNCTION("IFNA(vlookup(H3827,IMPORTRANGE(""1vUGwO1n0QQGx9kKbO0_M5gmuhXZ6-LaxQxgrmJnzgP0"",""'TP# look up'!A:C""),3,0),"""")"),"")</f>
        <v/>
      </c>
      <c r="AH3827" s="49">
        <f>LEFT(J3827,2)</f>
        <v/>
      </c>
    </row>
    <row r="3828" ht="12.75" customHeight="1">
      <c r="H3828" s="43" t="n"/>
      <c r="AG3828" s="49">
        <f>IFERROR(__xludf.DUMMYFUNCTION("IFNA(vlookup(H3828,IMPORTRANGE(""1vUGwO1n0QQGx9kKbO0_M5gmuhXZ6-LaxQxgrmJnzgP0"",""'TP# look up'!A:C""),3,0),"""")"),"")</f>
        <v/>
      </c>
      <c r="AH3828" s="49">
        <f>LEFT(J3828,2)</f>
        <v/>
      </c>
    </row>
    <row r="3829" ht="12.75" customHeight="1">
      <c r="H3829" s="43" t="n"/>
      <c r="AG3829" s="49">
        <f>IFERROR(__xludf.DUMMYFUNCTION("IFNA(vlookup(H3829,IMPORTRANGE(""1vUGwO1n0QQGx9kKbO0_M5gmuhXZ6-LaxQxgrmJnzgP0"",""'TP# look up'!A:C""),3,0),"""")"),"")</f>
        <v/>
      </c>
      <c r="AH3829" s="49">
        <f>LEFT(J3829,2)</f>
        <v/>
      </c>
    </row>
    <row r="3830" ht="12.75" customHeight="1">
      <c r="H3830" s="43" t="n"/>
      <c r="AG3830" s="49">
        <f>IFERROR(__xludf.DUMMYFUNCTION("IFNA(vlookup(H3830,IMPORTRANGE(""1vUGwO1n0QQGx9kKbO0_M5gmuhXZ6-LaxQxgrmJnzgP0"",""'TP# look up'!A:C""),3,0),"""")"),"")</f>
        <v/>
      </c>
      <c r="AH3830" s="49">
        <f>LEFT(J3830,2)</f>
        <v/>
      </c>
    </row>
    <row r="3831" ht="12.75" customHeight="1">
      <c r="H3831" s="43" t="n"/>
      <c r="AG3831" s="49">
        <f>IFERROR(__xludf.DUMMYFUNCTION("IFNA(vlookup(H3831,IMPORTRANGE(""1vUGwO1n0QQGx9kKbO0_M5gmuhXZ6-LaxQxgrmJnzgP0"",""'TP# look up'!A:C""),3,0),"""")"),"")</f>
        <v/>
      </c>
      <c r="AH3831" s="49">
        <f>LEFT(J3831,2)</f>
        <v/>
      </c>
    </row>
    <row r="3832" ht="12.75" customHeight="1">
      <c r="H3832" s="43" t="n"/>
      <c r="AG3832" s="49">
        <f>IFERROR(__xludf.DUMMYFUNCTION("IFNA(vlookup(H3832,IMPORTRANGE(""1vUGwO1n0QQGx9kKbO0_M5gmuhXZ6-LaxQxgrmJnzgP0"",""'TP# look up'!A:C""),3,0),"""")"),"")</f>
        <v/>
      </c>
      <c r="AH3832" s="49">
        <f>LEFT(J3832,2)</f>
        <v/>
      </c>
    </row>
    <row r="3833" ht="12.75" customHeight="1">
      <c r="H3833" s="43" t="n"/>
      <c r="AG3833" s="49">
        <f>IFERROR(__xludf.DUMMYFUNCTION("IFNA(vlookup(H3833,IMPORTRANGE(""1vUGwO1n0QQGx9kKbO0_M5gmuhXZ6-LaxQxgrmJnzgP0"",""'TP# look up'!A:C""),3,0),"""")"),"")</f>
        <v/>
      </c>
      <c r="AH3833" s="49">
        <f>LEFT(J3833,2)</f>
        <v/>
      </c>
    </row>
    <row r="3834" ht="12.75" customHeight="1">
      <c r="H3834" s="43" t="n"/>
      <c r="AG3834" s="49">
        <f>IFERROR(__xludf.DUMMYFUNCTION("IFNA(vlookup(H3834,IMPORTRANGE(""1vUGwO1n0QQGx9kKbO0_M5gmuhXZ6-LaxQxgrmJnzgP0"",""'TP# look up'!A:C""),3,0),"""")"),"")</f>
        <v/>
      </c>
      <c r="AH3834" s="49">
        <f>LEFT(J3834,2)</f>
        <v/>
      </c>
    </row>
    <row r="3835" ht="12.75" customHeight="1">
      <c r="H3835" s="43" t="n"/>
      <c r="AG3835" s="49">
        <f>IFERROR(__xludf.DUMMYFUNCTION("IFNA(vlookup(H3835,IMPORTRANGE(""1vUGwO1n0QQGx9kKbO0_M5gmuhXZ6-LaxQxgrmJnzgP0"",""'TP# look up'!A:C""),3,0),"""")"),"")</f>
        <v/>
      </c>
      <c r="AH3835" s="49">
        <f>LEFT(J3835,2)</f>
        <v/>
      </c>
    </row>
    <row r="3836" ht="12.75" customHeight="1">
      <c r="H3836" s="43" t="n"/>
      <c r="AG3836" s="49">
        <f>IFERROR(__xludf.DUMMYFUNCTION("IFNA(vlookup(H3836,IMPORTRANGE(""1vUGwO1n0QQGx9kKbO0_M5gmuhXZ6-LaxQxgrmJnzgP0"",""'TP# look up'!A:C""),3,0),"""")"),"")</f>
        <v/>
      </c>
      <c r="AH3836" s="49">
        <f>LEFT(J3836,2)</f>
        <v/>
      </c>
    </row>
    <row r="3837" ht="12.75" customHeight="1">
      <c r="H3837" s="43" t="n"/>
      <c r="AG3837" s="49">
        <f>IFERROR(__xludf.DUMMYFUNCTION("IFNA(vlookup(H3837,IMPORTRANGE(""1vUGwO1n0QQGx9kKbO0_M5gmuhXZ6-LaxQxgrmJnzgP0"",""'TP# look up'!A:C""),3,0),"""")"),"")</f>
        <v/>
      </c>
      <c r="AH3837" s="49">
        <f>LEFT(J3837,2)</f>
        <v/>
      </c>
    </row>
    <row r="3838" ht="12.75" customHeight="1">
      <c r="H3838" s="43" t="n"/>
      <c r="AG3838" s="49">
        <f>IFERROR(__xludf.DUMMYFUNCTION("IFNA(vlookup(H3838,IMPORTRANGE(""1vUGwO1n0QQGx9kKbO0_M5gmuhXZ6-LaxQxgrmJnzgP0"",""'TP# look up'!A:C""),3,0),"""")"),"")</f>
        <v/>
      </c>
      <c r="AH3838" s="49">
        <f>LEFT(J3838,2)</f>
        <v/>
      </c>
    </row>
    <row r="3839" ht="12.75" customHeight="1">
      <c r="H3839" s="43" t="n"/>
      <c r="AG3839" s="49">
        <f>IFERROR(__xludf.DUMMYFUNCTION("IFNA(vlookup(H3839,IMPORTRANGE(""1vUGwO1n0QQGx9kKbO0_M5gmuhXZ6-LaxQxgrmJnzgP0"",""'TP# look up'!A:C""),3,0),"""")"),"")</f>
        <v/>
      </c>
      <c r="AH3839" s="49">
        <f>LEFT(J3839,2)</f>
        <v/>
      </c>
    </row>
    <row r="3840" ht="12.75" customHeight="1">
      <c r="H3840" s="43" t="n"/>
      <c r="AG3840" s="49">
        <f>IFERROR(__xludf.DUMMYFUNCTION("IFNA(vlookup(H3840,IMPORTRANGE(""1vUGwO1n0QQGx9kKbO0_M5gmuhXZ6-LaxQxgrmJnzgP0"",""'TP# look up'!A:C""),3,0),"""")"),"")</f>
        <v/>
      </c>
      <c r="AH3840" s="49">
        <f>LEFT(J3840,2)</f>
        <v/>
      </c>
    </row>
    <row r="3841" ht="12.75" customHeight="1">
      <c r="H3841" s="43" t="n"/>
      <c r="AG3841" s="49">
        <f>IFERROR(__xludf.DUMMYFUNCTION("IFNA(vlookup(H3841,IMPORTRANGE(""1vUGwO1n0QQGx9kKbO0_M5gmuhXZ6-LaxQxgrmJnzgP0"",""'TP# look up'!A:C""),3,0),"""")"),"")</f>
        <v/>
      </c>
      <c r="AH3841" s="49">
        <f>LEFT(J3841,2)</f>
        <v/>
      </c>
    </row>
    <row r="3842" ht="12.75" customHeight="1">
      <c r="H3842" s="43" t="n"/>
      <c r="AG3842" s="49">
        <f>IFERROR(__xludf.DUMMYFUNCTION("IFNA(vlookup(H3842,IMPORTRANGE(""1vUGwO1n0QQGx9kKbO0_M5gmuhXZ6-LaxQxgrmJnzgP0"",""'TP# look up'!A:C""),3,0),"""")"),"")</f>
        <v/>
      </c>
      <c r="AH3842" s="49">
        <f>LEFT(J3842,2)</f>
        <v/>
      </c>
    </row>
    <row r="3843" ht="12.75" customHeight="1">
      <c r="H3843" s="43" t="n"/>
      <c r="AG3843" s="49">
        <f>IFERROR(__xludf.DUMMYFUNCTION("IFNA(vlookup(H3843,IMPORTRANGE(""1vUGwO1n0QQGx9kKbO0_M5gmuhXZ6-LaxQxgrmJnzgP0"",""'TP# look up'!A:C""),3,0),"""")"),"")</f>
        <v/>
      </c>
      <c r="AH3843" s="49">
        <f>LEFT(J3843,2)</f>
        <v/>
      </c>
    </row>
    <row r="3844" ht="12.75" customHeight="1">
      <c r="H3844" s="43" t="n"/>
      <c r="AG3844" s="49">
        <f>IFERROR(__xludf.DUMMYFUNCTION("IFNA(vlookup(H3844,IMPORTRANGE(""1vUGwO1n0QQGx9kKbO0_M5gmuhXZ6-LaxQxgrmJnzgP0"",""'TP# look up'!A:C""),3,0),"""")"),"")</f>
        <v/>
      </c>
      <c r="AH3844" s="49">
        <f>LEFT(J3844,2)</f>
        <v/>
      </c>
    </row>
    <row r="3845" ht="12.75" customHeight="1">
      <c r="H3845" s="43" t="n"/>
      <c r="AG3845" s="49">
        <f>IFERROR(__xludf.DUMMYFUNCTION("IFNA(vlookup(H3845,IMPORTRANGE(""1vUGwO1n0QQGx9kKbO0_M5gmuhXZ6-LaxQxgrmJnzgP0"",""'TP# look up'!A:C""),3,0),"""")"),"")</f>
        <v/>
      </c>
      <c r="AH3845" s="49">
        <f>LEFT(J3845,2)</f>
        <v/>
      </c>
    </row>
    <row r="3846" ht="12.75" customHeight="1">
      <c r="H3846" s="43" t="n"/>
      <c r="AG3846" s="49">
        <f>IFERROR(__xludf.DUMMYFUNCTION("IFNA(vlookup(H3846,IMPORTRANGE(""1vUGwO1n0QQGx9kKbO0_M5gmuhXZ6-LaxQxgrmJnzgP0"",""'TP# look up'!A:C""),3,0),"""")"),"")</f>
        <v/>
      </c>
      <c r="AH3846" s="49">
        <f>LEFT(J3846,2)</f>
        <v/>
      </c>
    </row>
    <row r="3847" ht="12.75" customHeight="1">
      <c r="H3847" s="43" t="n"/>
      <c r="AG3847" s="49">
        <f>IFERROR(__xludf.DUMMYFUNCTION("IFNA(vlookup(H3847,IMPORTRANGE(""1vUGwO1n0QQGx9kKbO0_M5gmuhXZ6-LaxQxgrmJnzgP0"",""'TP# look up'!A:C""),3,0),"""")"),"")</f>
        <v/>
      </c>
      <c r="AH3847" s="49">
        <f>LEFT(J3847,2)</f>
        <v/>
      </c>
    </row>
    <row r="3848" ht="12.75" customHeight="1">
      <c r="H3848" s="43" t="n"/>
      <c r="AG3848" s="49">
        <f>IFERROR(__xludf.DUMMYFUNCTION("IFNA(vlookup(H3848,IMPORTRANGE(""1vUGwO1n0QQGx9kKbO0_M5gmuhXZ6-LaxQxgrmJnzgP0"",""'TP# look up'!A:C""),3,0),"""")"),"")</f>
        <v/>
      </c>
      <c r="AH3848" s="49">
        <f>LEFT(J3848,2)</f>
        <v/>
      </c>
    </row>
    <row r="3849" ht="12.75" customHeight="1">
      <c r="H3849" s="43" t="n"/>
      <c r="AG3849" s="49">
        <f>IFERROR(__xludf.DUMMYFUNCTION("IFNA(vlookup(H3849,IMPORTRANGE(""1vUGwO1n0QQGx9kKbO0_M5gmuhXZ6-LaxQxgrmJnzgP0"",""'TP# look up'!A:C""),3,0),"""")"),"")</f>
        <v/>
      </c>
      <c r="AH3849" s="49">
        <f>LEFT(J3849,2)</f>
        <v/>
      </c>
    </row>
    <row r="3850" ht="12.75" customHeight="1">
      <c r="H3850" s="43" t="n"/>
      <c r="AG3850" s="49">
        <f>IFERROR(__xludf.DUMMYFUNCTION("IFNA(vlookup(H3850,IMPORTRANGE(""1vUGwO1n0QQGx9kKbO0_M5gmuhXZ6-LaxQxgrmJnzgP0"",""'TP# look up'!A:C""),3,0),"""")"),"")</f>
        <v/>
      </c>
      <c r="AH3850" s="49">
        <f>LEFT(J3850,2)</f>
        <v/>
      </c>
    </row>
    <row r="3851" ht="12.75" customHeight="1">
      <c r="H3851" s="43" t="n"/>
      <c r="AG3851" s="49">
        <f>IFERROR(__xludf.DUMMYFUNCTION("IFNA(vlookup(H3851,IMPORTRANGE(""1vUGwO1n0QQGx9kKbO0_M5gmuhXZ6-LaxQxgrmJnzgP0"",""'TP# look up'!A:C""),3,0),"""")"),"")</f>
        <v/>
      </c>
      <c r="AH3851" s="49">
        <f>LEFT(J3851,2)</f>
        <v/>
      </c>
    </row>
    <row r="3852" ht="12.75" customHeight="1">
      <c r="H3852" s="43" t="n"/>
      <c r="AG3852" s="49">
        <f>IFERROR(__xludf.DUMMYFUNCTION("IFNA(vlookup(H3852,IMPORTRANGE(""1vUGwO1n0QQGx9kKbO0_M5gmuhXZ6-LaxQxgrmJnzgP0"",""'TP# look up'!A:C""),3,0),"""")"),"")</f>
        <v/>
      </c>
      <c r="AH3852" s="49">
        <f>LEFT(J3852,2)</f>
        <v/>
      </c>
    </row>
    <row r="3853" ht="12.75" customHeight="1">
      <c r="H3853" s="43" t="n"/>
      <c r="AG3853" s="49">
        <f>IFERROR(__xludf.DUMMYFUNCTION("IFNA(vlookup(H3853,IMPORTRANGE(""1vUGwO1n0QQGx9kKbO0_M5gmuhXZ6-LaxQxgrmJnzgP0"",""'TP# look up'!A:C""),3,0),"""")"),"")</f>
        <v/>
      </c>
      <c r="AH3853" s="49">
        <f>LEFT(J3853,2)</f>
        <v/>
      </c>
    </row>
    <row r="3854" ht="12.75" customHeight="1">
      <c r="H3854" s="43" t="n"/>
      <c r="AG3854" s="49">
        <f>IFERROR(__xludf.DUMMYFUNCTION("IFNA(vlookup(H3854,IMPORTRANGE(""1vUGwO1n0QQGx9kKbO0_M5gmuhXZ6-LaxQxgrmJnzgP0"",""'TP# look up'!A:C""),3,0),"""")"),"")</f>
        <v/>
      </c>
      <c r="AH3854" s="49">
        <f>LEFT(J3854,2)</f>
        <v/>
      </c>
    </row>
    <row r="3855" ht="12.75" customHeight="1">
      <c r="H3855" s="43" t="n"/>
      <c r="AG3855" s="49">
        <f>IFERROR(__xludf.DUMMYFUNCTION("IFNA(vlookup(H3855,IMPORTRANGE(""1vUGwO1n0QQGx9kKbO0_M5gmuhXZ6-LaxQxgrmJnzgP0"",""'TP# look up'!A:C""),3,0),"""")"),"")</f>
        <v/>
      </c>
      <c r="AH3855" s="49">
        <f>LEFT(J3855,2)</f>
        <v/>
      </c>
    </row>
    <row r="3856" ht="12.75" customHeight="1">
      <c r="H3856" s="43" t="n"/>
      <c r="AG3856" s="49">
        <f>IFERROR(__xludf.DUMMYFUNCTION("IFNA(vlookup(H3856,IMPORTRANGE(""1vUGwO1n0QQGx9kKbO0_M5gmuhXZ6-LaxQxgrmJnzgP0"",""'TP# look up'!A:C""),3,0),"""")"),"")</f>
        <v/>
      </c>
      <c r="AH3856" s="49">
        <f>LEFT(J3856,2)</f>
        <v/>
      </c>
    </row>
    <row r="3857" ht="12.75" customHeight="1">
      <c r="H3857" s="43" t="n"/>
      <c r="AG3857" s="49">
        <f>IFERROR(__xludf.DUMMYFUNCTION("IFNA(vlookup(H3857,IMPORTRANGE(""1vUGwO1n0QQGx9kKbO0_M5gmuhXZ6-LaxQxgrmJnzgP0"",""'TP# look up'!A:C""),3,0),"""")"),"")</f>
        <v/>
      </c>
      <c r="AH3857" s="49">
        <f>LEFT(J3857,2)</f>
        <v/>
      </c>
    </row>
    <row r="3858" ht="12.75" customHeight="1">
      <c r="H3858" s="43" t="n"/>
      <c r="AG3858" s="49">
        <f>IFERROR(__xludf.DUMMYFUNCTION("IFNA(vlookup(H3858,IMPORTRANGE(""1vUGwO1n0QQGx9kKbO0_M5gmuhXZ6-LaxQxgrmJnzgP0"",""'TP# look up'!A:C""),3,0),"""")"),"")</f>
        <v/>
      </c>
      <c r="AH3858" s="49">
        <f>LEFT(J3858,2)</f>
        <v/>
      </c>
    </row>
    <row r="3859" ht="12.75" customHeight="1">
      <c r="H3859" s="43" t="n"/>
      <c r="AG3859" s="49">
        <f>IFERROR(__xludf.DUMMYFUNCTION("IFNA(vlookup(H3859,IMPORTRANGE(""1vUGwO1n0QQGx9kKbO0_M5gmuhXZ6-LaxQxgrmJnzgP0"",""'TP# look up'!A:C""),3,0),"""")"),"")</f>
        <v/>
      </c>
      <c r="AH3859" s="49">
        <f>LEFT(J3859,2)</f>
        <v/>
      </c>
    </row>
    <row r="3860" ht="12.75" customHeight="1">
      <c r="H3860" s="43" t="n"/>
      <c r="AG3860" s="49">
        <f>IFERROR(__xludf.DUMMYFUNCTION("IFNA(vlookup(H3860,IMPORTRANGE(""1vUGwO1n0QQGx9kKbO0_M5gmuhXZ6-LaxQxgrmJnzgP0"",""'TP# look up'!A:C""),3,0),"""")"),"")</f>
        <v/>
      </c>
      <c r="AH3860" s="49">
        <f>LEFT(J3860,2)</f>
        <v/>
      </c>
    </row>
    <row r="3861" ht="12.75" customHeight="1">
      <c r="H3861" s="43" t="n"/>
      <c r="AG3861" s="49">
        <f>IFERROR(__xludf.DUMMYFUNCTION("IFNA(vlookup(H3861,IMPORTRANGE(""1vUGwO1n0QQGx9kKbO0_M5gmuhXZ6-LaxQxgrmJnzgP0"",""'TP# look up'!A:C""),3,0),"""")"),"")</f>
        <v/>
      </c>
      <c r="AH3861" s="49">
        <f>LEFT(J3861,2)</f>
        <v/>
      </c>
    </row>
    <row r="3862" ht="12.75" customHeight="1">
      <c r="H3862" s="43" t="n"/>
      <c r="AG3862" s="49">
        <f>IFERROR(__xludf.DUMMYFUNCTION("IFNA(vlookup(H3862,IMPORTRANGE(""1vUGwO1n0QQGx9kKbO0_M5gmuhXZ6-LaxQxgrmJnzgP0"",""'TP# look up'!A:C""),3,0),"""")"),"")</f>
        <v/>
      </c>
      <c r="AH3862" s="49">
        <f>LEFT(J3862,2)</f>
        <v/>
      </c>
    </row>
    <row r="3863" ht="12.75" customHeight="1">
      <c r="H3863" s="43" t="n"/>
      <c r="AG3863" s="49">
        <f>IFERROR(__xludf.DUMMYFUNCTION("IFNA(vlookup(H3863,IMPORTRANGE(""1vUGwO1n0QQGx9kKbO0_M5gmuhXZ6-LaxQxgrmJnzgP0"",""'TP# look up'!A:C""),3,0),"""")"),"")</f>
        <v/>
      </c>
      <c r="AH3863" s="49">
        <f>LEFT(J3863,2)</f>
        <v/>
      </c>
    </row>
    <row r="3864" ht="12.75" customHeight="1">
      <c r="H3864" s="43" t="n"/>
      <c r="AG3864" s="49">
        <f>IFERROR(__xludf.DUMMYFUNCTION("IFNA(vlookup(H3864,IMPORTRANGE(""1vUGwO1n0QQGx9kKbO0_M5gmuhXZ6-LaxQxgrmJnzgP0"",""'TP# look up'!A:C""),3,0),"""")"),"")</f>
        <v/>
      </c>
      <c r="AH3864" s="49">
        <f>LEFT(J3864,2)</f>
        <v/>
      </c>
    </row>
    <row r="3865" ht="12.75" customHeight="1">
      <c r="H3865" s="43" t="n"/>
      <c r="AG3865" s="49">
        <f>IFERROR(__xludf.DUMMYFUNCTION("IFNA(vlookup(H3865,IMPORTRANGE(""1vUGwO1n0QQGx9kKbO0_M5gmuhXZ6-LaxQxgrmJnzgP0"",""'TP# look up'!A:C""),3,0),"""")"),"")</f>
        <v/>
      </c>
      <c r="AH3865" s="49">
        <f>LEFT(J3865,2)</f>
        <v/>
      </c>
    </row>
    <row r="3866" ht="12.75" customHeight="1">
      <c r="H3866" s="43" t="n"/>
      <c r="AG3866" s="49">
        <f>IFERROR(__xludf.DUMMYFUNCTION("IFNA(vlookup(H3866,IMPORTRANGE(""1vUGwO1n0QQGx9kKbO0_M5gmuhXZ6-LaxQxgrmJnzgP0"",""'TP# look up'!A:C""),3,0),"""")"),"")</f>
        <v/>
      </c>
      <c r="AH3866" s="49">
        <f>LEFT(J3866,2)</f>
        <v/>
      </c>
    </row>
    <row r="3867" ht="12.75" customHeight="1">
      <c r="H3867" s="43" t="n"/>
      <c r="AG3867" s="49">
        <f>IFERROR(__xludf.DUMMYFUNCTION("IFNA(vlookup(H3867,IMPORTRANGE(""1vUGwO1n0QQGx9kKbO0_M5gmuhXZ6-LaxQxgrmJnzgP0"",""'TP# look up'!A:C""),3,0),"""")"),"")</f>
        <v/>
      </c>
      <c r="AH3867" s="49">
        <f>LEFT(J3867,2)</f>
        <v/>
      </c>
    </row>
    <row r="3868" ht="12.75" customHeight="1">
      <c r="H3868" s="43" t="n"/>
      <c r="AG3868" s="49">
        <f>IFERROR(__xludf.DUMMYFUNCTION("IFNA(vlookup(H3868,IMPORTRANGE(""1vUGwO1n0QQGx9kKbO0_M5gmuhXZ6-LaxQxgrmJnzgP0"",""'TP# look up'!A:C""),3,0),"""")"),"")</f>
        <v/>
      </c>
      <c r="AH3868" s="49">
        <f>LEFT(J3868,2)</f>
        <v/>
      </c>
    </row>
    <row r="3869" ht="12.75" customHeight="1">
      <c r="H3869" s="43" t="n"/>
      <c r="AG3869" s="49">
        <f>IFERROR(__xludf.DUMMYFUNCTION("IFNA(vlookup(H3869,IMPORTRANGE(""1vUGwO1n0QQGx9kKbO0_M5gmuhXZ6-LaxQxgrmJnzgP0"",""'TP# look up'!A:C""),3,0),"""")"),"")</f>
        <v/>
      </c>
      <c r="AH3869" s="49">
        <f>LEFT(J3869,2)</f>
        <v/>
      </c>
    </row>
    <row r="3870" ht="12.75" customHeight="1">
      <c r="H3870" s="43" t="n"/>
      <c r="AG3870" s="49">
        <f>IFERROR(__xludf.DUMMYFUNCTION("IFNA(vlookup(H3870,IMPORTRANGE(""1vUGwO1n0QQGx9kKbO0_M5gmuhXZ6-LaxQxgrmJnzgP0"",""'TP# look up'!A:C""),3,0),"""")"),"")</f>
        <v/>
      </c>
      <c r="AH3870" s="49">
        <f>LEFT(J3870,2)</f>
        <v/>
      </c>
    </row>
    <row r="3871" ht="12.75" customHeight="1">
      <c r="H3871" s="43" t="n"/>
      <c r="AG3871" s="49">
        <f>IFERROR(__xludf.DUMMYFUNCTION("IFNA(vlookup(H3871,IMPORTRANGE(""1vUGwO1n0QQGx9kKbO0_M5gmuhXZ6-LaxQxgrmJnzgP0"",""'TP# look up'!A:C""),3,0),"""")"),"")</f>
        <v/>
      </c>
      <c r="AH3871" s="49">
        <f>LEFT(J3871,2)</f>
        <v/>
      </c>
    </row>
    <row r="3872" ht="12.75" customHeight="1">
      <c r="H3872" s="43" t="n"/>
      <c r="AG3872" s="49">
        <f>IFERROR(__xludf.DUMMYFUNCTION("IFNA(vlookup(H3872,IMPORTRANGE(""1vUGwO1n0QQGx9kKbO0_M5gmuhXZ6-LaxQxgrmJnzgP0"",""'TP# look up'!A:C""),3,0),"""")"),"")</f>
        <v/>
      </c>
      <c r="AH3872" s="49">
        <f>LEFT(J3872,2)</f>
        <v/>
      </c>
    </row>
    <row r="3873" ht="12.75" customHeight="1">
      <c r="H3873" s="43" t="n"/>
      <c r="AG3873" s="49">
        <f>IFERROR(__xludf.DUMMYFUNCTION("IFNA(vlookup(H3873,IMPORTRANGE(""1vUGwO1n0QQGx9kKbO0_M5gmuhXZ6-LaxQxgrmJnzgP0"",""'TP# look up'!A:C""),3,0),"""")"),"")</f>
        <v/>
      </c>
      <c r="AH3873" s="49">
        <f>LEFT(J3873,2)</f>
        <v/>
      </c>
    </row>
    <row r="3874" ht="12.75" customHeight="1">
      <c r="H3874" s="43" t="n"/>
      <c r="AG3874" s="49">
        <f>IFERROR(__xludf.DUMMYFUNCTION("IFNA(vlookup(H3874,IMPORTRANGE(""1vUGwO1n0QQGx9kKbO0_M5gmuhXZ6-LaxQxgrmJnzgP0"",""'TP# look up'!A:C""),3,0),"""")"),"")</f>
        <v/>
      </c>
      <c r="AH3874" s="49">
        <f>LEFT(J3874,2)</f>
        <v/>
      </c>
    </row>
    <row r="3875" ht="12.75" customHeight="1">
      <c r="H3875" s="43" t="n"/>
      <c r="AG3875" s="49">
        <f>IFERROR(__xludf.DUMMYFUNCTION("IFNA(vlookup(H3875,IMPORTRANGE(""1vUGwO1n0QQGx9kKbO0_M5gmuhXZ6-LaxQxgrmJnzgP0"",""'TP# look up'!A:C""),3,0),"""")"),"")</f>
        <v/>
      </c>
      <c r="AH3875" s="49">
        <f>LEFT(J3875,2)</f>
        <v/>
      </c>
    </row>
    <row r="3876" ht="12.75" customHeight="1">
      <c r="H3876" s="43" t="n"/>
      <c r="AG3876" s="49">
        <f>IFERROR(__xludf.DUMMYFUNCTION("IFNA(vlookup(H3876,IMPORTRANGE(""1vUGwO1n0QQGx9kKbO0_M5gmuhXZ6-LaxQxgrmJnzgP0"",""'TP# look up'!A:C""),3,0),"""")"),"")</f>
        <v/>
      </c>
      <c r="AH3876" s="49">
        <f>LEFT(J3876,2)</f>
        <v/>
      </c>
    </row>
    <row r="3877" ht="12.75" customHeight="1">
      <c r="H3877" s="43" t="n"/>
      <c r="AG3877" s="49">
        <f>IFERROR(__xludf.DUMMYFUNCTION("IFNA(vlookup(H3877,IMPORTRANGE(""1vUGwO1n0QQGx9kKbO0_M5gmuhXZ6-LaxQxgrmJnzgP0"",""'TP# look up'!A:C""),3,0),"""")"),"")</f>
        <v/>
      </c>
      <c r="AH3877" s="49">
        <f>LEFT(J3877,2)</f>
        <v/>
      </c>
    </row>
    <row r="3878" ht="12.75" customHeight="1">
      <c r="H3878" s="43" t="n"/>
      <c r="AG3878" s="49">
        <f>IFERROR(__xludf.DUMMYFUNCTION("IFNA(vlookup(H3878,IMPORTRANGE(""1vUGwO1n0QQGx9kKbO0_M5gmuhXZ6-LaxQxgrmJnzgP0"",""'TP# look up'!A:C""),3,0),"""")"),"")</f>
        <v/>
      </c>
      <c r="AH3878" s="49">
        <f>LEFT(J3878,2)</f>
        <v/>
      </c>
    </row>
    <row r="3879" ht="12.75" customHeight="1">
      <c r="H3879" s="43" t="n"/>
      <c r="AG3879" s="49">
        <f>IFERROR(__xludf.DUMMYFUNCTION("IFNA(vlookup(H3879,IMPORTRANGE(""1vUGwO1n0QQGx9kKbO0_M5gmuhXZ6-LaxQxgrmJnzgP0"",""'TP# look up'!A:C""),3,0),"""")"),"")</f>
        <v/>
      </c>
      <c r="AH3879" s="49">
        <f>LEFT(J3879,2)</f>
        <v/>
      </c>
    </row>
    <row r="3880" ht="12.75" customHeight="1">
      <c r="H3880" s="43" t="n"/>
      <c r="AG3880" s="49">
        <f>IFERROR(__xludf.DUMMYFUNCTION("IFNA(vlookup(H3880,IMPORTRANGE(""1vUGwO1n0QQGx9kKbO0_M5gmuhXZ6-LaxQxgrmJnzgP0"",""'TP# look up'!A:C""),3,0),"""")"),"")</f>
        <v/>
      </c>
      <c r="AH3880" s="49">
        <f>LEFT(J3880,2)</f>
        <v/>
      </c>
    </row>
    <row r="3881" ht="12.75" customHeight="1">
      <c r="H3881" s="43" t="n"/>
      <c r="AG3881" s="49">
        <f>IFERROR(__xludf.DUMMYFUNCTION("IFNA(vlookup(H3881,IMPORTRANGE(""1vUGwO1n0QQGx9kKbO0_M5gmuhXZ6-LaxQxgrmJnzgP0"",""'TP# look up'!A:C""),3,0),"""")"),"")</f>
        <v/>
      </c>
      <c r="AH3881" s="49">
        <f>LEFT(J3881,2)</f>
        <v/>
      </c>
    </row>
    <row r="3882" ht="12.75" customHeight="1">
      <c r="H3882" s="43" t="n"/>
      <c r="AG3882" s="49">
        <f>IFERROR(__xludf.DUMMYFUNCTION("IFNA(vlookup(H3882,IMPORTRANGE(""1vUGwO1n0QQGx9kKbO0_M5gmuhXZ6-LaxQxgrmJnzgP0"",""'TP# look up'!A:C""),3,0),"""")"),"")</f>
        <v/>
      </c>
      <c r="AH3882" s="49">
        <f>LEFT(J3882,2)</f>
        <v/>
      </c>
    </row>
    <row r="3883" ht="12.75" customHeight="1">
      <c r="H3883" s="43" t="n"/>
      <c r="AG3883" s="49">
        <f>IFERROR(__xludf.DUMMYFUNCTION("IFNA(vlookup(H3883,IMPORTRANGE(""1vUGwO1n0QQGx9kKbO0_M5gmuhXZ6-LaxQxgrmJnzgP0"",""'TP# look up'!A:C""),3,0),"""")"),"")</f>
        <v/>
      </c>
      <c r="AH3883" s="49">
        <f>LEFT(J3883,2)</f>
        <v/>
      </c>
    </row>
    <row r="3884" ht="12.75" customHeight="1">
      <c r="H3884" s="43" t="n"/>
      <c r="AG3884" s="49">
        <f>IFERROR(__xludf.DUMMYFUNCTION("IFNA(vlookup(H3884,IMPORTRANGE(""1vUGwO1n0QQGx9kKbO0_M5gmuhXZ6-LaxQxgrmJnzgP0"",""'TP# look up'!A:C""),3,0),"""")"),"")</f>
        <v/>
      </c>
      <c r="AH3884" s="49">
        <f>LEFT(J3884,2)</f>
        <v/>
      </c>
    </row>
    <row r="3885" ht="12.75" customHeight="1">
      <c r="H3885" s="43" t="n"/>
      <c r="AG3885" s="49">
        <f>IFERROR(__xludf.DUMMYFUNCTION("IFNA(vlookup(H3885,IMPORTRANGE(""1vUGwO1n0QQGx9kKbO0_M5gmuhXZ6-LaxQxgrmJnzgP0"",""'TP# look up'!A:C""),3,0),"""")"),"")</f>
        <v/>
      </c>
      <c r="AH3885" s="49">
        <f>LEFT(J3885,2)</f>
        <v/>
      </c>
    </row>
    <row r="3886" ht="12.75" customHeight="1">
      <c r="H3886" s="43" t="n"/>
      <c r="AG3886" s="49">
        <f>IFERROR(__xludf.DUMMYFUNCTION("IFNA(vlookup(H3886,IMPORTRANGE(""1vUGwO1n0QQGx9kKbO0_M5gmuhXZ6-LaxQxgrmJnzgP0"",""'TP# look up'!A:C""),3,0),"""")"),"")</f>
        <v/>
      </c>
      <c r="AH3886" s="49">
        <f>LEFT(J3886,2)</f>
        <v/>
      </c>
    </row>
    <row r="3887" ht="12.75" customHeight="1">
      <c r="H3887" s="43" t="n"/>
      <c r="AG3887" s="49">
        <f>IFERROR(__xludf.DUMMYFUNCTION("IFNA(vlookup(H3887,IMPORTRANGE(""1vUGwO1n0QQGx9kKbO0_M5gmuhXZ6-LaxQxgrmJnzgP0"",""'TP# look up'!A:C""),3,0),"""")"),"")</f>
        <v/>
      </c>
      <c r="AH3887" s="49">
        <f>LEFT(J3887,2)</f>
        <v/>
      </c>
    </row>
    <row r="3888" ht="12.75" customHeight="1">
      <c r="H3888" s="43" t="n"/>
      <c r="AG3888" s="49">
        <f>IFERROR(__xludf.DUMMYFUNCTION("IFNA(vlookup(H3888,IMPORTRANGE(""1vUGwO1n0QQGx9kKbO0_M5gmuhXZ6-LaxQxgrmJnzgP0"",""'TP# look up'!A:C""),3,0),"""")"),"")</f>
        <v/>
      </c>
      <c r="AH3888" s="49">
        <f>LEFT(J3888,2)</f>
        <v/>
      </c>
    </row>
    <row r="3889" ht="12.75" customHeight="1">
      <c r="H3889" s="43" t="n"/>
      <c r="AG3889" s="49">
        <f>IFERROR(__xludf.DUMMYFUNCTION("IFNA(vlookup(H3889,IMPORTRANGE(""1vUGwO1n0QQGx9kKbO0_M5gmuhXZ6-LaxQxgrmJnzgP0"",""'TP# look up'!A:C""),3,0),"""")"),"")</f>
        <v/>
      </c>
      <c r="AH3889" s="49">
        <f>LEFT(J3889,2)</f>
        <v/>
      </c>
    </row>
    <row r="3890" ht="12.75" customHeight="1">
      <c r="H3890" s="43" t="n"/>
      <c r="AG3890" s="49">
        <f>IFERROR(__xludf.DUMMYFUNCTION("IFNA(vlookup(H3890,IMPORTRANGE(""1vUGwO1n0QQGx9kKbO0_M5gmuhXZ6-LaxQxgrmJnzgP0"",""'TP# look up'!A:C""),3,0),"""")"),"")</f>
        <v/>
      </c>
      <c r="AH3890" s="49">
        <f>LEFT(J3890,2)</f>
        <v/>
      </c>
    </row>
    <row r="3891" ht="12.75" customHeight="1">
      <c r="H3891" s="43" t="n"/>
      <c r="AG3891" s="49">
        <f>IFERROR(__xludf.DUMMYFUNCTION("IFNA(vlookup(H3891,IMPORTRANGE(""1vUGwO1n0QQGx9kKbO0_M5gmuhXZ6-LaxQxgrmJnzgP0"",""'TP# look up'!A:C""),3,0),"""")"),"")</f>
        <v/>
      </c>
      <c r="AH3891" s="49">
        <f>LEFT(J3891,2)</f>
        <v/>
      </c>
    </row>
    <row r="3892" ht="12.75" customHeight="1">
      <c r="H3892" s="43" t="n"/>
      <c r="AG3892" s="49">
        <f>IFERROR(__xludf.DUMMYFUNCTION("IFNA(vlookup(H3892,IMPORTRANGE(""1vUGwO1n0QQGx9kKbO0_M5gmuhXZ6-LaxQxgrmJnzgP0"",""'TP# look up'!A:C""),3,0),"""")"),"")</f>
        <v/>
      </c>
      <c r="AH3892" s="49">
        <f>LEFT(J3892,2)</f>
        <v/>
      </c>
    </row>
    <row r="3893" ht="12.75" customHeight="1">
      <c r="H3893" s="43" t="n"/>
      <c r="AG3893" s="49">
        <f>IFERROR(__xludf.DUMMYFUNCTION("IFNA(vlookup(H3893,IMPORTRANGE(""1vUGwO1n0QQGx9kKbO0_M5gmuhXZ6-LaxQxgrmJnzgP0"",""'TP# look up'!A:C""),3,0),"""")"),"")</f>
        <v/>
      </c>
      <c r="AH3893" s="49">
        <f>LEFT(J3893,2)</f>
        <v/>
      </c>
    </row>
    <row r="3894" ht="12.75" customHeight="1">
      <c r="H3894" s="43" t="n"/>
      <c r="AG3894" s="49">
        <f>IFERROR(__xludf.DUMMYFUNCTION("IFNA(vlookup(H3894,IMPORTRANGE(""1vUGwO1n0QQGx9kKbO0_M5gmuhXZ6-LaxQxgrmJnzgP0"",""'TP# look up'!A:C""),3,0),"""")"),"")</f>
        <v/>
      </c>
      <c r="AH3894" s="49">
        <f>LEFT(J3894,2)</f>
        <v/>
      </c>
    </row>
    <row r="3895" ht="12.75" customHeight="1">
      <c r="H3895" s="43" t="n"/>
      <c r="AG3895" s="49">
        <f>IFERROR(__xludf.DUMMYFUNCTION("IFNA(vlookup(H3895,IMPORTRANGE(""1vUGwO1n0QQGx9kKbO0_M5gmuhXZ6-LaxQxgrmJnzgP0"",""'TP# look up'!A:C""),3,0),"""")"),"")</f>
        <v/>
      </c>
      <c r="AH3895" s="49">
        <f>LEFT(J3895,2)</f>
        <v/>
      </c>
    </row>
    <row r="3896" ht="12.75" customHeight="1">
      <c r="H3896" s="43" t="n"/>
      <c r="AG3896" s="49">
        <f>IFERROR(__xludf.DUMMYFUNCTION("IFNA(vlookup(H3896,IMPORTRANGE(""1vUGwO1n0QQGx9kKbO0_M5gmuhXZ6-LaxQxgrmJnzgP0"",""'TP# look up'!A:C""),3,0),"""")"),"")</f>
        <v/>
      </c>
      <c r="AH3896" s="49">
        <f>LEFT(J3896,2)</f>
        <v/>
      </c>
    </row>
    <row r="3897" ht="12.75" customHeight="1">
      <c r="H3897" s="43" t="n"/>
      <c r="AG3897" s="49">
        <f>IFERROR(__xludf.DUMMYFUNCTION("IFNA(vlookup(H3897,IMPORTRANGE(""1vUGwO1n0QQGx9kKbO0_M5gmuhXZ6-LaxQxgrmJnzgP0"",""'TP# look up'!A:C""),3,0),"""")"),"")</f>
        <v/>
      </c>
      <c r="AH3897" s="49">
        <f>LEFT(J3897,2)</f>
        <v/>
      </c>
    </row>
    <row r="3898" ht="12.75" customHeight="1">
      <c r="H3898" s="43" t="n"/>
      <c r="AG3898" s="49">
        <f>IFERROR(__xludf.DUMMYFUNCTION("IFNA(vlookup(H3898,IMPORTRANGE(""1vUGwO1n0QQGx9kKbO0_M5gmuhXZ6-LaxQxgrmJnzgP0"",""'TP# look up'!A:C""),3,0),"""")"),"")</f>
        <v/>
      </c>
      <c r="AH3898" s="49">
        <f>LEFT(J3898,2)</f>
        <v/>
      </c>
    </row>
    <row r="3899" ht="12.75" customHeight="1">
      <c r="H3899" s="43" t="n"/>
      <c r="AG3899" s="49">
        <f>IFERROR(__xludf.DUMMYFUNCTION("IFNA(vlookup(H3899,IMPORTRANGE(""1vUGwO1n0QQGx9kKbO0_M5gmuhXZ6-LaxQxgrmJnzgP0"",""'TP# look up'!A:C""),3,0),"""")"),"")</f>
        <v/>
      </c>
      <c r="AH3899" s="49">
        <f>LEFT(J3899,2)</f>
        <v/>
      </c>
    </row>
    <row r="3900" ht="12.75" customHeight="1">
      <c r="H3900" s="43" t="n"/>
      <c r="AG3900" s="49">
        <f>IFERROR(__xludf.DUMMYFUNCTION("IFNA(vlookup(H3900,IMPORTRANGE(""1vUGwO1n0QQGx9kKbO0_M5gmuhXZ6-LaxQxgrmJnzgP0"",""'TP# look up'!A:C""),3,0),"""")"),"")</f>
        <v/>
      </c>
      <c r="AH3900" s="49">
        <f>LEFT(J3900,2)</f>
        <v/>
      </c>
    </row>
    <row r="3901" ht="12.75" customHeight="1">
      <c r="H3901" s="43" t="n"/>
      <c r="AG3901" s="49">
        <f>IFERROR(__xludf.DUMMYFUNCTION("IFNA(vlookup(H3901,IMPORTRANGE(""1vUGwO1n0QQGx9kKbO0_M5gmuhXZ6-LaxQxgrmJnzgP0"",""'TP# look up'!A:C""),3,0),"""")"),"")</f>
        <v/>
      </c>
      <c r="AH3901" s="49">
        <f>LEFT(J3901,2)</f>
        <v/>
      </c>
    </row>
    <row r="3902" ht="12.75" customHeight="1">
      <c r="H3902" s="43" t="n"/>
      <c r="AG3902" s="49">
        <f>IFERROR(__xludf.DUMMYFUNCTION("IFNA(vlookup(H3902,IMPORTRANGE(""1vUGwO1n0QQGx9kKbO0_M5gmuhXZ6-LaxQxgrmJnzgP0"",""'TP# look up'!A:C""),3,0),"""")"),"")</f>
        <v/>
      </c>
      <c r="AH3902" s="49">
        <f>LEFT(J3902,2)</f>
        <v/>
      </c>
    </row>
    <row r="3903" ht="12.75" customHeight="1">
      <c r="H3903" s="43" t="n"/>
      <c r="AG3903" s="49">
        <f>IFERROR(__xludf.DUMMYFUNCTION("IFNA(vlookup(H3903,IMPORTRANGE(""1vUGwO1n0QQGx9kKbO0_M5gmuhXZ6-LaxQxgrmJnzgP0"",""'TP# look up'!A:C""),3,0),"""")"),"")</f>
        <v/>
      </c>
      <c r="AH3903" s="49">
        <f>LEFT(J3903,2)</f>
        <v/>
      </c>
    </row>
    <row r="3904" ht="12.75" customHeight="1">
      <c r="H3904" s="43" t="n"/>
      <c r="AG3904" s="49">
        <f>IFERROR(__xludf.DUMMYFUNCTION("IFNA(vlookup(H3904,IMPORTRANGE(""1vUGwO1n0QQGx9kKbO0_M5gmuhXZ6-LaxQxgrmJnzgP0"",""'TP# look up'!A:C""),3,0),"""")"),"")</f>
        <v/>
      </c>
      <c r="AH3904" s="49">
        <f>LEFT(J3904,2)</f>
        <v/>
      </c>
    </row>
    <row r="3905" ht="12.75" customHeight="1">
      <c r="H3905" s="43" t="n"/>
      <c r="AG3905" s="49">
        <f>IFERROR(__xludf.DUMMYFUNCTION("IFNA(vlookup(H3905,IMPORTRANGE(""1vUGwO1n0QQGx9kKbO0_M5gmuhXZ6-LaxQxgrmJnzgP0"",""'TP# look up'!A:C""),3,0),"""")"),"")</f>
        <v/>
      </c>
      <c r="AH3905" s="49">
        <f>LEFT(J3905,2)</f>
        <v/>
      </c>
    </row>
    <row r="3906" ht="12.75" customHeight="1">
      <c r="H3906" s="43" t="n"/>
      <c r="AG3906" s="49">
        <f>IFERROR(__xludf.DUMMYFUNCTION("IFNA(vlookup(H3906,IMPORTRANGE(""1vUGwO1n0QQGx9kKbO0_M5gmuhXZ6-LaxQxgrmJnzgP0"",""'TP# look up'!A:C""),3,0),"""")"),"")</f>
        <v/>
      </c>
      <c r="AH3906" s="49">
        <f>LEFT(J3906,2)</f>
        <v/>
      </c>
    </row>
    <row r="3907" ht="12.75" customHeight="1">
      <c r="H3907" s="43" t="n"/>
      <c r="AG3907" s="49">
        <f>IFERROR(__xludf.DUMMYFUNCTION("IFNA(vlookup(H3907,IMPORTRANGE(""1vUGwO1n0QQGx9kKbO0_M5gmuhXZ6-LaxQxgrmJnzgP0"",""'TP# look up'!A:C""),3,0),"""")"),"")</f>
        <v/>
      </c>
      <c r="AH3907" s="49">
        <f>LEFT(J3907,2)</f>
        <v/>
      </c>
    </row>
    <row r="3908" ht="12.75" customHeight="1">
      <c r="H3908" s="43" t="n"/>
      <c r="AG3908" s="49">
        <f>IFERROR(__xludf.DUMMYFUNCTION("IFNA(vlookup(H3908,IMPORTRANGE(""1vUGwO1n0QQGx9kKbO0_M5gmuhXZ6-LaxQxgrmJnzgP0"",""'TP# look up'!A:C""),3,0),"""")"),"")</f>
        <v/>
      </c>
      <c r="AH3908" s="49">
        <f>LEFT(J3908,2)</f>
        <v/>
      </c>
    </row>
    <row r="3909" ht="12.75" customHeight="1">
      <c r="H3909" s="43" t="n"/>
      <c r="AG3909" s="49">
        <f>IFERROR(__xludf.DUMMYFUNCTION("IFNA(vlookup(H3909,IMPORTRANGE(""1vUGwO1n0QQGx9kKbO0_M5gmuhXZ6-LaxQxgrmJnzgP0"",""'TP# look up'!A:C""),3,0),"""")"),"")</f>
        <v/>
      </c>
      <c r="AH3909" s="49">
        <f>LEFT(J3909,2)</f>
        <v/>
      </c>
    </row>
    <row r="3910" ht="12.75" customHeight="1">
      <c r="H3910" s="43" t="n"/>
      <c r="AG3910" s="49">
        <f>IFERROR(__xludf.DUMMYFUNCTION("IFNA(vlookup(H3910,IMPORTRANGE(""1vUGwO1n0QQGx9kKbO0_M5gmuhXZ6-LaxQxgrmJnzgP0"",""'TP# look up'!A:C""),3,0),"""")"),"")</f>
        <v/>
      </c>
      <c r="AH3910" s="49">
        <f>LEFT(J3910,2)</f>
        <v/>
      </c>
    </row>
    <row r="3911" ht="12.75" customHeight="1">
      <c r="H3911" s="43" t="n"/>
      <c r="AG3911" s="49">
        <f>IFERROR(__xludf.DUMMYFUNCTION("IFNA(vlookup(H3911,IMPORTRANGE(""1vUGwO1n0QQGx9kKbO0_M5gmuhXZ6-LaxQxgrmJnzgP0"",""'TP# look up'!A:C""),3,0),"""")"),"")</f>
        <v/>
      </c>
      <c r="AH3911" s="49">
        <f>LEFT(J3911,2)</f>
        <v/>
      </c>
    </row>
    <row r="3912" ht="12.75" customHeight="1">
      <c r="H3912" s="43" t="n"/>
      <c r="AG3912" s="49">
        <f>IFERROR(__xludf.DUMMYFUNCTION("IFNA(vlookup(H3912,IMPORTRANGE(""1vUGwO1n0QQGx9kKbO0_M5gmuhXZ6-LaxQxgrmJnzgP0"",""'TP# look up'!A:C""),3,0),"""")"),"")</f>
        <v/>
      </c>
      <c r="AH3912" s="49">
        <f>LEFT(J3912,2)</f>
        <v/>
      </c>
    </row>
    <row r="3913" ht="12.75" customHeight="1">
      <c r="H3913" s="43" t="n"/>
      <c r="AG3913" s="49">
        <f>IFERROR(__xludf.DUMMYFUNCTION("IFNA(vlookup(H3913,IMPORTRANGE(""1vUGwO1n0QQGx9kKbO0_M5gmuhXZ6-LaxQxgrmJnzgP0"",""'TP# look up'!A:C""),3,0),"""")"),"")</f>
        <v/>
      </c>
      <c r="AH3913" s="49">
        <f>LEFT(J3913,2)</f>
        <v/>
      </c>
    </row>
    <row r="3914" ht="12.75" customHeight="1">
      <c r="H3914" s="43" t="n"/>
      <c r="AG3914" s="49">
        <f>IFERROR(__xludf.DUMMYFUNCTION("IFNA(vlookup(H3914,IMPORTRANGE(""1vUGwO1n0QQGx9kKbO0_M5gmuhXZ6-LaxQxgrmJnzgP0"",""'TP# look up'!A:C""),3,0),"""")"),"")</f>
        <v/>
      </c>
      <c r="AH3914" s="49">
        <f>LEFT(J3914,2)</f>
        <v/>
      </c>
    </row>
    <row r="3915" ht="12.75" customHeight="1">
      <c r="H3915" s="43" t="n"/>
      <c r="AG3915" s="49">
        <f>IFERROR(__xludf.DUMMYFUNCTION("IFNA(vlookup(H3915,IMPORTRANGE(""1vUGwO1n0QQGx9kKbO0_M5gmuhXZ6-LaxQxgrmJnzgP0"",""'TP# look up'!A:C""),3,0),"""")"),"")</f>
        <v/>
      </c>
      <c r="AH3915" s="49">
        <f>LEFT(J3915,2)</f>
        <v/>
      </c>
    </row>
    <row r="3916" ht="12.75" customHeight="1">
      <c r="H3916" s="43" t="n"/>
      <c r="AG3916" s="49">
        <f>IFERROR(__xludf.DUMMYFUNCTION("IFNA(vlookup(H3916,IMPORTRANGE(""1vUGwO1n0QQGx9kKbO0_M5gmuhXZ6-LaxQxgrmJnzgP0"",""'TP# look up'!A:C""),3,0),"""")"),"")</f>
        <v/>
      </c>
      <c r="AH3916" s="49">
        <f>LEFT(J3916,2)</f>
        <v/>
      </c>
    </row>
    <row r="3917" ht="12.75" customHeight="1">
      <c r="H3917" s="43" t="n"/>
      <c r="AG3917" s="49">
        <f>IFERROR(__xludf.DUMMYFUNCTION("IFNA(vlookup(H3917,IMPORTRANGE(""1vUGwO1n0QQGx9kKbO0_M5gmuhXZ6-LaxQxgrmJnzgP0"",""'TP# look up'!A:C""),3,0),"""")"),"")</f>
        <v/>
      </c>
      <c r="AH3917" s="49">
        <f>LEFT(J3917,2)</f>
        <v/>
      </c>
    </row>
    <row r="3918" ht="12.75" customHeight="1">
      <c r="H3918" s="43" t="n"/>
      <c r="AG3918" s="49">
        <f>IFERROR(__xludf.DUMMYFUNCTION("IFNA(vlookup(H3918,IMPORTRANGE(""1vUGwO1n0QQGx9kKbO0_M5gmuhXZ6-LaxQxgrmJnzgP0"",""'TP# look up'!A:C""),3,0),"""")"),"")</f>
        <v/>
      </c>
      <c r="AH3918" s="49">
        <f>LEFT(J3918,2)</f>
        <v/>
      </c>
    </row>
    <row r="3919" ht="12.75" customHeight="1">
      <c r="H3919" s="43" t="n"/>
      <c r="AG3919" s="49">
        <f>IFERROR(__xludf.DUMMYFUNCTION("IFNA(vlookup(H3919,IMPORTRANGE(""1vUGwO1n0QQGx9kKbO0_M5gmuhXZ6-LaxQxgrmJnzgP0"",""'TP# look up'!A:C""),3,0),"""")"),"")</f>
        <v/>
      </c>
      <c r="AH3919" s="49">
        <f>LEFT(J3919,2)</f>
        <v/>
      </c>
    </row>
    <row r="3920" ht="12.75" customHeight="1">
      <c r="H3920" s="43" t="n"/>
      <c r="AG3920" s="49">
        <f>IFERROR(__xludf.DUMMYFUNCTION("IFNA(vlookup(H3920,IMPORTRANGE(""1vUGwO1n0QQGx9kKbO0_M5gmuhXZ6-LaxQxgrmJnzgP0"",""'TP# look up'!A:C""),3,0),"""")"),"")</f>
        <v/>
      </c>
      <c r="AH3920" s="49">
        <f>LEFT(J3920,2)</f>
        <v/>
      </c>
    </row>
    <row r="3921" ht="12.75" customHeight="1">
      <c r="H3921" s="43" t="n"/>
      <c r="AG3921" s="49">
        <f>IFERROR(__xludf.DUMMYFUNCTION("IFNA(vlookup(H3921,IMPORTRANGE(""1vUGwO1n0QQGx9kKbO0_M5gmuhXZ6-LaxQxgrmJnzgP0"",""'TP# look up'!A:C""),3,0),"""")"),"")</f>
        <v/>
      </c>
      <c r="AH3921" s="49">
        <f>LEFT(J3921,2)</f>
        <v/>
      </c>
    </row>
    <row r="3922" ht="12.75" customHeight="1">
      <c r="H3922" s="43" t="n"/>
      <c r="AG3922" s="49">
        <f>IFERROR(__xludf.DUMMYFUNCTION("IFNA(vlookup(H3922,IMPORTRANGE(""1vUGwO1n0QQGx9kKbO0_M5gmuhXZ6-LaxQxgrmJnzgP0"",""'TP# look up'!A:C""),3,0),"""")"),"")</f>
        <v/>
      </c>
      <c r="AH3922" s="49">
        <f>LEFT(J3922,2)</f>
        <v/>
      </c>
    </row>
    <row r="3923" ht="12.75" customHeight="1">
      <c r="H3923" s="43" t="n"/>
      <c r="AG3923" s="49">
        <f>IFERROR(__xludf.DUMMYFUNCTION("IFNA(vlookup(H3923,IMPORTRANGE(""1vUGwO1n0QQGx9kKbO0_M5gmuhXZ6-LaxQxgrmJnzgP0"",""'TP# look up'!A:C""),3,0),"""")"),"")</f>
        <v/>
      </c>
      <c r="AH3923" s="49">
        <f>LEFT(J3923,2)</f>
        <v/>
      </c>
    </row>
    <row r="3924" ht="12.75" customHeight="1">
      <c r="H3924" s="43" t="n"/>
      <c r="AG3924" s="49">
        <f>IFERROR(__xludf.DUMMYFUNCTION("IFNA(vlookup(H3924,IMPORTRANGE(""1vUGwO1n0QQGx9kKbO0_M5gmuhXZ6-LaxQxgrmJnzgP0"",""'TP# look up'!A:C""),3,0),"""")"),"")</f>
        <v/>
      </c>
      <c r="AH3924" s="49">
        <f>LEFT(J3924,2)</f>
        <v/>
      </c>
    </row>
    <row r="3925" ht="12.75" customHeight="1">
      <c r="H3925" s="43" t="n"/>
      <c r="AG3925" s="49">
        <f>IFERROR(__xludf.DUMMYFUNCTION("IFNA(vlookup(H3925,IMPORTRANGE(""1vUGwO1n0QQGx9kKbO0_M5gmuhXZ6-LaxQxgrmJnzgP0"",""'TP# look up'!A:C""),3,0),"""")"),"")</f>
        <v/>
      </c>
      <c r="AH3925" s="49">
        <f>LEFT(J3925,2)</f>
        <v/>
      </c>
    </row>
    <row r="3926" ht="12.75" customHeight="1">
      <c r="H3926" s="43" t="n"/>
      <c r="AG3926" s="49">
        <f>IFERROR(__xludf.DUMMYFUNCTION("IFNA(vlookup(H3926,IMPORTRANGE(""1vUGwO1n0QQGx9kKbO0_M5gmuhXZ6-LaxQxgrmJnzgP0"",""'TP# look up'!A:C""),3,0),"""")"),"")</f>
        <v/>
      </c>
      <c r="AH3926" s="49">
        <f>LEFT(J3926,2)</f>
        <v/>
      </c>
    </row>
    <row r="3927" ht="12.75" customHeight="1">
      <c r="H3927" s="43" t="n"/>
      <c r="AG3927" s="49">
        <f>IFERROR(__xludf.DUMMYFUNCTION("IFNA(vlookup(H3927,IMPORTRANGE(""1vUGwO1n0QQGx9kKbO0_M5gmuhXZ6-LaxQxgrmJnzgP0"",""'TP# look up'!A:C""),3,0),"""")"),"")</f>
        <v/>
      </c>
      <c r="AH3927" s="49">
        <f>LEFT(J3927,2)</f>
        <v/>
      </c>
    </row>
    <row r="3928" ht="12.75" customHeight="1">
      <c r="H3928" s="43" t="n"/>
      <c r="AG3928" s="49">
        <f>IFERROR(__xludf.DUMMYFUNCTION("IFNA(vlookup(H3928,IMPORTRANGE(""1vUGwO1n0QQGx9kKbO0_M5gmuhXZ6-LaxQxgrmJnzgP0"",""'TP# look up'!A:C""),3,0),"""")"),"")</f>
        <v/>
      </c>
      <c r="AH3928" s="49">
        <f>LEFT(J3928,2)</f>
        <v/>
      </c>
    </row>
    <row r="3929" ht="12.75" customHeight="1">
      <c r="H3929" s="43" t="n"/>
      <c r="AG3929" s="49">
        <f>IFERROR(__xludf.DUMMYFUNCTION("IFNA(vlookup(H3929,IMPORTRANGE(""1vUGwO1n0QQGx9kKbO0_M5gmuhXZ6-LaxQxgrmJnzgP0"",""'TP# look up'!A:C""),3,0),"""")"),"")</f>
        <v/>
      </c>
      <c r="AH3929" s="49">
        <f>LEFT(J3929,2)</f>
        <v/>
      </c>
    </row>
    <row r="3930" ht="12.75" customHeight="1">
      <c r="H3930" s="43" t="n"/>
      <c r="AG3930" s="49">
        <f>IFERROR(__xludf.DUMMYFUNCTION("IFNA(vlookup(H3930,IMPORTRANGE(""1vUGwO1n0QQGx9kKbO0_M5gmuhXZ6-LaxQxgrmJnzgP0"",""'TP# look up'!A:C""),3,0),"""")"),"")</f>
        <v/>
      </c>
      <c r="AH3930" s="49">
        <f>LEFT(J3930,2)</f>
        <v/>
      </c>
    </row>
    <row r="3931" ht="12.75" customHeight="1">
      <c r="H3931" s="43" t="n"/>
      <c r="AG3931" s="49">
        <f>IFERROR(__xludf.DUMMYFUNCTION("IFNA(vlookup(H3931,IMPORTRANGE(""1vUGwO1n0QQGx9kKbO0_M5gmuhXZ6-LaxQxgrmJnzgP0"",""'TP# look up'!A:C""),3,0),"""")"),"")</f>
        <v/>
      </c>
      <c r="AH3931" s="49">
        <f>LEFT(J3931,2)</f>
        <v/>
      </c>
    </row>
    <row r="3932" ht="12.75" customHeight="1">
      <c r="H3932" s="43" t="n"/>
      <c r="AG3932" s="49">
        <f>IFERROR(__xludf.DUMMYFUNCTION("IFNA(vlookup(H3932,IMPORTRANGE(""1vUGwO1n0QQGx9kKbO0_M5gmuhXZ6-LaxQxgrmJnzgP0"",""'TP# look up'!A:C""),3,0),"""")"),"")</f>
        <v/>
      </c>
      <c r="AH3932" s="49">
        <f>LEFT(J3932,2)</f>
        <v/>
      </c>
    </row>
    <row r="3933" ht="12.75" customHeight="1">
      <c r="H3933" s="43" t="n"/>
      <c r="AG3933" s="49">
        <f>IFERROR(__xludf.DUMMYFUNCTION("IFNA(vlookup(H3933,IMPORTRANGE(""1vUGwO1n0QQGx9kKbO0_M5gmuhXZ6-LaxQxgrmJnzgP0"",""'TP# look up'!A:C""),3,0),"""")"),"")</f>
        <v/>
      </c>
      <c r="AH3933" s="49">
        <f>LEFT(J3933,2)</f>
        <v/>
      </c>
    </row>
    <row r="3934" ht="12.75" customHeight="1">
      <c r="H3934" s="43" t="n"/>
      <c r="AG3934" s="49">
        <f>IFERROR(__xludf.DUMMYFUNCTION("IFNA(vlookup(H3934,IMPORTRANGE(""1vUGwO1n0QQGx9kKbO0_M5gmuhXZ6-LaxQxgrmJnzgP0"",""'TP# look up'!A:C""),3,0),"""")"),"")</f>
        <v/>
      </c>
      <c r="AH3934" s="49">
        <f>LEFT(J3934,2)</f>
        <v/>
      </c>
    </row>
    <row r="3935" ht="12.75" customHeight="1">
      <c r="H3935" s="43" t="n"/>
      <c r="AG3935" s="49">
        <f>IFERROR(__xludf.DUMMYFUNCTION("IFNA(vlookup(H3935,IMPORTRANGE(""1vUGwO1n0QQGx9kKbO0_M5gmuhXZ6-LaxQxgrmJnzgP0"",""'TP# look up'!A:C""),3,0),"""")"),"")</f>
        <v/>
      </c>
      <c r="AH3935" s="49">
        <f>LEFT(J3935,2)</f>
        <v/>
      </c>
    </row>
    <row r="3936" ht="12.75" customHeight="1">
      <c r="H3936" s="43" t="n"/>
      <c r="AG3936" s="49">
        <f>IFERROR(__xludf.DUMMYFUNCTION("IFNA(vlookup(H3936,IMPORTRANGE(""1vUGwO1n0QQGx9kKbO0_M5gmuhXZ6-LaxQxgrmJnzgP0"",""'TP# look up'!A:C""),3,0),"""")"),"")</f>
        <v/>
      </c>
      <c r="AH3936" s="49">
        <f>LEFT(J3936,2)</f>
        <v/>
      </c>
    </row>
    <row r="3937" ht="12.75" customHeight="1">
      <c r="H3937" s="43" t="n"/>
      <c r="AG3937" s="49">
        <f>IFERROR(__xludf.DUMMYFUNCTION("IFNA(vlookup(H3937,IMPORTRANGE(""1vUGwO1n0QQGx9kKbO0_M5gmuhXZ6-LaxQxgrmJnzgP0"",""'TP# look up'!A:C""),3,0),"""")"),"")</f>
        <v/>
      </c>
      <c r="AH3937" s="49">
        <f>LEFT(J3937,2)</f>
        <v/>
      </c>
    </row>
    <row r="3938" ht="12.75" customHeight="1">
      <c r="H3938" s="43" t="n"/>
      <c r="AG3938" s="49">
        <f>IFERROR(__xludf.DUMMYFUNCTION("IFNA(vlookup(H3938,IMPORTRANGE(""1vUGwO1n0QQGx9kKbO0_M5gmuhXZ6-LaxQxgrmJnzgP0"",""'TP# look up'!A:C""),3,0),"""")"),"")</f>
        <v/>
      </c>
      <c r="AH3938" s="49">
        <f>LEFT(J3938,2)</f>
        <v/>
      </c>
    </row>
    <row r="3939" ht="12.75" customHeight="1">
      <c r="H3939" s="43" t="n"/>
      <c r="AG3939" s="49">
        <f>IFERROR(__xludf.DUMMYFUNCTION("IFNA(vlookup(H3939,IMPORTRANGE(""1vUGwO1n0QQGx9kKbO0_M5gmuhXZ6-LaxQxgrmJnzgP0"",""'TP# look up'!A:C""),3,0),"""")"),"")</f>
        <v/>
      </c>
      <c r="AH3939" s="49">
        <f>LEFT(J3939,2)</f>
        <v/>
      </c>
    </row>
    <row r="3940" ht="12.75" customHeight="1">
      <c r="H3940" s="43" t="n"/>
      <c r="AG3940" s="49">
        <f>IFERROR(__xludf.DUMMYFUNCTION("IFNA(vlookup(H3940,IMPORTRANGE(""1vUGwO1n0QQGx9kKbO0_M5gmuhXZ6-LaxQxgrmJnzgP0"",""'TP# look up'!A:C""),3,0),"""")"),"")</f>
        <v/>
      </c>
      <c r="AH3940" s="49">
        <f>LEFT(J3940,2)</f>
        <v/>
      </c>
    </row>
    <row r="3941" ht="12.75" customHeight="1">
      <c r="H3941" s="43" t="n"/>
      <c r="AG3941" s="49">
        <f>IFERROR(__xludf.DUMMYFUNCTION("IFNA(vlookup(H3941,IMPORTRANGE(""1vUGwO1n0QQGx9kKbO0_M5gmuhXZ6-LaxQxgrmJnzgP0"",""'TP# look up'!A:C""),3,0),"""")"),"")</f>
        <v/>
      </c>
      <c r="AH3941" s="49">
        <f>LEFT(J3941,2)</f>
        <v/>
      </c>
    </row>
    <row r="3942" ht="12.75" customHeight="1">
      <c r="H3942" s="43" t="n"/>
      <c r="AG3942" s="49">
        <f>IFERROR(__xludf.DUMMYFUNCTION("IFNA(vlookup(H3942,IMPORTRANGE(""1vUGwO1n0QQGx9kKbO0_M5gmuhXZ6-LaxQxgrmJnzgP0"",""'TP# look up'!A:C""),3,0),"""")"),"")</f>
        <v/>
      </c>
      <c r="AH3942" s="49">
        <f>LEFT(J3942,2)</f>
        <v/>
      </c>
    </row>
    <row r="3943" ht="12.75" customHeight="1">
      <c r="H3943" s="43" t="n"/>
      <c r="AG3943" s="49">
        <f>IFERROR(__xludf.DUMMYFUNCTION("IFNA(vlookup(H3943,IMPORTRANGE(""1vUGwO1n0QQGx9kKbO0_M5gmuhXZ6-LaxQxgrmJnzgP0"",""'TP# look up'!A:C""),3,0),"""")"),"")</f>
        <v/>
      </c>
      <c r="AH3943" s="49">
        <f>LEFT(J3943,2)</f>
        <v/>
      </c>
    </row>
    <row r="3944" ht="12.75" customHeight="1">
      <c r="H3944" s="43" t="n"/>
      <c r="AG3944" s="49">
        <f>IFERROR(__xludf.DUMMYFUNCTION("IFNA(vlookup(H3944,IMPORTRANGE(""1vUGwO1n0QQGx9kKbO0_M5gmuhXZ6-LaxQxgrmJnzgP0"",""'TP# look up'!A:C""),3,0),"""")"),"")</f>
        <v/>
      </c>
      <c r="AH3944" s="49">
        <f>LEFT(J3944,2)</f>
        <v/>
      </c>
    </row>
    <row r="3945" ht="12.75" customHeight="1">
      <c r="H3945" s="43" t="n"/>
      <c r="AG3945" s="49">
        <f>IFERROR(__xludf.DUMMYFUNCTION("IFNA(vlookup(H3945,IMPORTRANGE(""1vUGwO1n0QQGx9kKbO0_M5gmuhXZ6-LaxQxgrmJnzgP0"",""'TP# look up'!A:C""),3,0),"""")"),"")</f>
        <v/>
      </c>
      <c r="AH3945" s="49">
        <f>LEFT(J3945,2)</f>
        <v/>
      </c>
    </row>
    <row r="3946" ht="12.75" customHeight="1">
      <c r="H3946" s="43" t="n"/>
      <c r="AG3946" s="49">
        <f>IFERROR(__xludf.DUMMYFUNCTION("IFNA(vlookup(H3946,IMPORTRANGE(""1vUGwO1n0QQGx9kKbO0_M5gmuhXZ6-LaxQxgrmJnzgP0"",""'TP# look up'!A:C""),3,0),"""")"),"")</f>
        <v/>
      </c>
      <c r="AH3946" s="49">
        <f>LEFT(J3946,2)</f>
        <v/>
      </c>
    </row>
    <row r="3947" ht="12.75" customHeight="1">
      <c r="H3947" s="43" t="n"/>
      <c r="AG3947" s="49">
        <f>IFERROR(__xludf.DUMMYFUNCTION("IFNA(vlookup(H3947,IMPORTRANGE(""1vUGwO1n0QQGx9kKbO0_M5gmuhXZ6-LaxQxgrmJnzgP0"",""'TP# look up'!A:C""),3,0),"""")"),"")</f>
        <v/>
      </c>
      <c r="AH3947" s="49">
        <f>LEFT(J3947,2)</f>
        <v/>
      </c>
    </row>
    <row r="3948" ht="12.75" customHeight="1">
      <c r="H3948" s="43" t="n"/>
      <c r="AG3948" s="49">
        <f>IFERROR(__xludf.DUMMYFUNCTION("IFNA(vlookup(H3948,IMPORTRANGE(""1vUGwO1n0QQGx9kKbO0_M5gmuhXZ6-LaxQxgrmJnzgP0"",""'TP# look up'!A:C""),3,0),"""")"),"")</f>
        <v/>
      </c>
      <c r="AH3948" s="49">
        <f>LEFT(J3948,2)</f>
        <v/>
      </c>
    </row>
    <row r="3949" ht="12.75" customHeight="1">
      <c r="H3949" s="43" t="n"/>
      <c r="AG3949" s="49">
        <f>IFERROR(__xludf.DUMMYFUNCTION("IFNA(vlookup(H3949,IMPORTRANGE(""1vUGwO1n0QQGx9kKbO0_M5gmuhXZ6-LaxQxgrmJnzgP0"",""'TP# look up'!A:C""),3,0),"""")"),"")</f>
        <v/>
      </c>
      <c r="AH3949" s="49">
        <f>LEFT(J3949,2)</f>
        <v/>
      </c>
    </row>
    <row r="3950" ht="12.75" customHeight="1">
      <c r="H3950" s="43" t="n"/>
      <c r="AG3950" s="49">
        <f>IFERROR(__xludf.DUMMYFUNCTION("IFNA(vlookup(H3950,IMPORTRANGE(""1vUGwO1n0QQGx9kKbO0_M5gmuhXZ6-LaxQxgrmJnzgP0"",""'TP# look up'!A:C""),3,0),"""")"),"")</f>
        <v/>
      </c>
      <c r="AH3950" s="49">
        <f>LEFT(J3950,2)</f>
        <v/>
      </c>
    </row>
    <row r="3951" ht="12.75" customHeight="1">
      <c r="H3951" s="43" t="n"/>
      <c r="AG3951" s="49">
        <f>IFERROR(__xludf.DUMMYFUNCTION("IFNA(vlookup(H3951,IMPORTRANGE(""1vUGwO1n0QQGx9kKbO0_M5gmuhXZ6-LaxQxgrmJnzgP0"",""'TP# look up'!A:C""),3,0),"""")"),"")</f>
        <v/>
      </c>
      <c r="AH3951" s="49">
        <f>LEFT(J3951,2)</f>
        <v/>
      </c>
    </row>
    <row r="3952" ht="12.75" customHeight="1">
      <c r="H3952" s="43" t="n"/>
      <c r="AG3952" s="49">
        <f>IFERROR(__xludf.DUMMYFUNCTION("IFNA(vlookup(H3952,IMPORTRANGE(""1vUGwO1n0QQGx9kKbO0_M5gmuhXZ6-LaxQxgrmJnzgP0"",""'TP# look up'!A:C""),3,0),"""")"),"")</f>
        <v/>
      </c>
      <c r="AH3952" s="49">
        <f>LEFT(J3952,2)</f>
        <v/>
      </c>
    </row>
    <row r="3953" ht="12.75" customHeight="1">
      <c r="H3953" s="43" t="n"/>
      <c r="AG3953" s="49">
        <f>IFERROR(__xludf.DUMMYFUNCTION("IFNA(vlookup(H3953,IMPORTRANGE(""1vUGwO1n0QQGx9kKbO0_M5gmuhXZ6-LaxQxgrmJnzgP0"",""'TP# look up'!A:C""),3,0),"""")"),"")</f>
        <v/>
      </c>
      <c r="AH3953" s="49">
        <f>LEFT(J3953,2)</f>
        <v/>
      </c>
    </row>
    <row r="3954" ht="12.75" customHeight="1">
      <c r="H3954" s="43" t="n"/>
      <c r="AG3954" s="49">
        <f>IFERROR(__xludf.DUMMYFUNCTION("IFNA(vlookup(H3954,IMPORTRANGE(""1vUGwO1n0QQGx9kKbO0_M5gmuhXZ6-LaxQxgrmJnzgP0"",""'TP# look up'!A:C""),3,0),"""")"),"")</f>
        <v/>
      </c>
      <c r="AH3954" s="49">
        <f>LEFT(J3954,2)</f>
        <v/>
      </c>
    </row>
    <row r="3955" ht="12.75" customHeight="1">
      <c r="H3955" s="43" t="n"/>
      <c r="AG3955" s="49">
        <f>IFERROR(__xludf.DUMMYFUNCTION("IFNA(vlookup(H3955,IMPORTRANGE(""1vUGwO1n0QQGx9kKbO0_M5gmuhXZ6-LaxQxgrmJnzgP0"",""'TP# look up'!A:C""),3,0),"""")"),"")</f>
        <v/>
      </c>
      <c r="AH3955" s="49">
        <f>LEFT(J3955,2)</f>
        <v/>
      </c>
    </row>
    <row r="3956" ht="12.75" customHeight="1">
      <c r="H3956" s="43" t="n"/>
      <c r="AG3956" s="49">
        <f>IFERROR(__xludf.DUMMYFUNCTION("IFNA(vlookup(H3956,IMPORTRANGE(""1vUGwO1n0QQGx9kKbO0_M5gmuhXZ6-LaxQxgrmJnzgP0"",""'TP# look up'!A:C""),3,0),"""")"),"")</f>
        <v/>
      </c>
      <c r="AH3956" s="49">
        <f>LEFT(J3956,2)</f>
        <v/>
      </c>
    </row>
    <row r="3957" ht="12.75" customHeight="1">
      <c r="H3957" s="43" t="n"/>
      <c r="AG3957" s="49">
        <f>IFERROR(__xludf.DUMMYFUNCTION("IFNA(vlookup(H3957,IMPORTRANGE(""1vUGwO1n0QQGx9kKbO0_M5gmuhXZ6-LaxQxgrmJnzgP0"",""'TP# look up'!A:C""),3,0),"""")"),"")</f>
        <v/>
      </c>
      <c r="AH3957" s="49">
        <f>LEFT(J3957,2)</f>
        <v/>
      </c>
    </row>
    <row r="3958" ht="12.75" customHeight="1">
      <c r="H3958" s="43" t="n"/>
      <c r="AG3958" s="49">
        <f>IFERROR(__xludf.DUMMYFUNCTION("IFNA(vlookup(H3958,IMPORTRANGE(""1vUGwO1n0QQGx9kKbO0_M5gmuhXZ6-LaxQxgrmJnzgP0"",""'TP# look up'!A:C""),3,0),"""")"),"")</f>
        <v/>
      </c>
      <c r="AH3958" s="49">
        <f>LEFT(J3958,2)</f>
        <v/>
      </c>
    </row>
    <row r="3959" ht="12.75" customHeight="1">
      <c r="H3959" s="43" t="n"/>
      <c r="AG3959" s="49">
        <f>IFERROR(__xludf.DUMMYFUNCTION("IFNA(vlookup(H3959,IMPORTRANGE(""1vUGwO1n0QQGx9kKbO0_M5gmuhXZ6-LaxQxgrmJnzgP0"",""'TP# look up'!A:C""),3,0),"""")"),"")</f>
        <v/>
      </c>
      <c r="AH3959" s="49">
        <f>LEFT(J3959,2)</f>
        <v/>
      </c>
    </row>
    <row r="3960" ht="12.75" customHeight="1">
      <c r="H3960" s="43" t="n"/>
      <c r="AG3960" s="49">
        <f>IFERROR(__xludf.DUMMYFUNCTION("IFNA(vlookup(H3960,IMPORTRANGE(""1vUGwO1n0QQGx9kKbO0_M5gmuhXZ6-LaxQxgrmJnzgP0"",""'TP# look up'!A:C""),3,0),"""")"),"")</f>
        <v/>
      </c>
      <c r="AH3960" s="49">
        <f>LEFT(J3960,2)</f>
        <v/>
      </c>
    </row>
    <row r="3961" ht="12.75" customHeight="1">
      <c r="H3961" s="43" t="n"/>
      <c r="AG3961" s="49">
        <f>IFERROR(__xludf.DUMMYFUNCTION("IFNA(vlookup(H3961,IMPORTRANGE(""1vUGwO1n0QQGx9kKbO0_M5gmuhXZ6-LaxQxgrmJnzgP0"",""'TP# look up'!A:C""),3,0),"""")"),"")</f>
        <v/>
      </c>
      <c r="AH3961" s="49">
        <f>LEFT(J3961,2)</f>
        <v/>
      </c>
    </row>
    <row r="3962" ht="12.75" customHeight="1">
      <c r="H3962" s="43" t="n"/>
      <c r="AG3962" s="49">
        <f>IFERROR(__xludf.DUMMYFUNCTION("IFNA(vlookup(H3962,IMPORTRANGE(""1vUGwO1n0QQGx9kKbO0_M5gmuhXZ6-LaxQxgrmJnzgP0"",""'TP# look up'!A:C""),3,0),"""")"),"")</f>
        <v/>
      </c>
      <c r="AH3962" s="49">
        <f>LEFT(J3962,2)</f>
        <v/>
      </c>
    </row>
    <row r="3963" ht="12.75" customHeight="1">
      <c r="H3963" s="43" t="n"/>
      <c r="AG3963" s="49">
        <f>IFERROR(__xludf.DUMMYFUNCTION("IFNA(vlookup(H3963,IMPORTRANGE(""1vUGwO1n0QQGx9kKbO0_M5gmuhXZ6-LaxQxgrmJnzgP0"",""'TP# look up'!A:C""),3,0),"""")"),"")</f>
        <v/>
      </c>
      <c r="AH3963" s="49">
        <f>LEFT(J3963,2)</f>
        <v/>
      </c>
    </row>
    <row r="3964" ht="12.75" customHeight="1">
      <c r="H3964" s="43" t="n"/>
      <c r="AG3964" s="49">
        <f>IFERROR(__xludf.DUMMYFUNCTION("IFNA(vlookup(H3964,IMPORTRANGE(""1vUGwO1n0QQGx9kKbO0_M5gmuhXZ6-LaxQxgrmJnzgP0"",""'TP# look up'!A:C""),3,0),"""")"),"")</f>
        <v/>
      </c>
      <c r="AH3964" s="49">
        <f>LEFT(J3964,2)</f>
        <v/>
      </c>
    </row>
    <row r="3965" ht="12.75" customHeight="1">
      <c r="H3965" s="43" t="n"/>
      <c r="AG3965" s="49">
        <f>IFERROR(__xludf.DUMMYFUNCTION("IFNA(vlookup(H3965,IMPORTRANGE(""1vUGwO1n0QQGx9kKbO0_M5gmuhXZ6-LaxQxgrmJnzgP0"",""'TP# look up'!A:C""),3,0),"""")"),"")</f>
        <v/>
      </c>
      <c r="AH3965" s="49">
        <f>LEFT(J3965,2)</f>
        <v/>
      </c>
    </row>
    <row r="3966" ht="12.75" customHeight="1">
      <c r="H3966" s="43" t="n"/>
      <c r="AG3966" s="49">
        <f>IFERROR(__xludf.DUMMYFUNCTION("IFNA(vlookup(H3966,IMPORTRANGE(""1vUGwO1n0QQGx9kKbO0_M5gmuhXZ6-LaxQxgrmJnzgP0"",""'TP# look up'!A:C""),3,0),"""")"),"")</f>
        <v/>
      </c>
      <c r="AH3966" s="49">
        <f>LEFT(J3966,2)</f>
        <v/>
      </c>
    </row>
    <row r="3967" ht="12.75" customHeight="1">
      <c r="H3967" s="43" t="n"/>
      <c r="AG3967" s="49">
        <f>IFERROR(__xludf.DUMMYFUNCTION("IFNA(vlookup(H3967,IMPORTRANGE(""1vUGwO1n0QQGx9kKbO0_M5gmuhXZ6-LaxQxgrmJnzgP0"",""'TP# look up'!A:C""),3,0),"""")"),"")</f>
        <v/>
      </c>
      <c r="AH3967" s="49">
        <f>LEFT(J3967,2)</f>
        <v/>
      </c>
    </row>
    <row r="3968" ht="12.75" customHeight="1">
      <c r="H3968" s="43" t="n"/>
      <c r="AG3968" s="49">
        <f>IFERROR(__xludf.DUMMYFUNCTION("IFNA(vlookup(H3968,IMPORTRANGE(""1vUGwO1n0QQGx9kKbO0_M5gmuhXZ6-LaxQxgrmJnzgP0"",""'TP# look up'!A:C""),3,0),"""")"),"")</f>
        <v/>
      </c>
      <c r="AH3968" s="49">
        <f>LEFT(J3968,2)</f>
        <v/>
      </c>
    </row>
    <row r="3969" ht="12.75" customHeight="1">
      <c r="H3969" s="43" t="n"/>
      <c r="AG3969" s="49">
        <f>IFERROR(__xludf.DUMMYFUNCTION("IFNA(vlookup(H3969,IMPORTRANGE(""1vUGwO1n0QQGx9kKbO0_M5gmuhXZ6-LaxQxgrmJnzgP0"",""'TP# look up'!A:C""),3,0),"""")"),"")</f>
        <v/>
      </c>
      <c r="AH3969" s="49">
        <f>LEFT(J3969,2)</f>
        <v/>
      </c>
    </row>
    <row r="3970" ht="12.75" customHeight="1">
      <c r="H3970" s="43" t="n"/>
      <c r="AG3970" s="49">
        <f>IFERROR(__xludf.DUMMYFUNCTION("IFNA(vlookup(H3970,IMPORTRANGE(""1vUGwO1n0QQGx9kKbO0_M5gmuhXZ6-LaxQxgrmJnzgP0"",""'TP# look up'!A:C""),3,0),"""")"),"")</f>
        <v/>
      </c>
      <c r="AH3970" s="49">
        <f>LEFT(J3970,2)</f>
        <v/>
      </c>
    </row>
    <row r="3971" ht="12.75" customHeight="1">
      <c r="H3971" s="43" t="n"/>
      <c r="AG3971" s="49">
        <f>IFERROR(__xludf.DUMMYFUNCTION("IFNA(vlookup(H3971,IMPORTRANGE(""1vUGwO1n0QQGx9kKbO0_M5gmuhXZ6-LaxQxgrmJnzgP0"",""'TP# look up'!A:C""),3,0),"""")"),"")</f>
        <v/>
      </c>
      <c r="AH3971" s="49">
        <f>LEFT(J3971,2)</f>
        <v/>
      </c>
    </row>
    <row r="3972" ht="12.75" customHeight="1">
      <c r="H3972" s="43" t="n"/>
      <c r="AG3972" s="49">
        <f>IFERROR(__xludf.DUMMYFUNCTION("IFNA(vlookup(H3972,IMPORTRANGE(""1vUGwO1n0QQGx9kKbO0_M5gmuhXZ6-LaxQxgrmJnzgP0"",""'TP# look up'!A:C""),3,0),"""")"),"")</f>
        <v/>
      </c>
      <c r="AH3972" s="49">
        <f>LEFT(J3972,2)</f>
        <v/>
      </c>
    </row>
    <row r="3973" ht="12.75" customHeight="1">
      <c r="H3973" s="43" t="n"/>
      <c r="AG3973" s="49">
        <f>IFERROR(__xludf.DUMMYFUNCTION("IFNA(vlookup(H3973,IMPORTRANGE(""1vUGwO1n0QQGx9kKbO0_M5gmuhXZ6-LaxQxgrmJnzgP0"",""'TP# look up'!A:C""),3,0),"""")"),"")</f>
        <v/>
      </c>
      <c r="AH3973" s="49">
        <f>LEFT(J3973,2)</f>
        <v/>
      </c>
    </row>
    <row r="3974" ht="12.75" customHeight="1">
      <c r="H3974" s="43" t="n"/>
      <c r="AG3974" s="49">
        <f>IFERROR(__xludf.DUMMYFUNCTION("IFNA(vlookup(H3974,IMPORTRANGE(""1vUGwO1n0QQGx9kKbO0_M5gmuhXZ6-LaxQxgrmJnzgP0"",""'TP# look up'!A:C""),3,0),"""")"),"")</f>
        <v/>
      </c>
      <c r="AH3974" s="49">
        <f>LEFT(J3974,2)</f>
        <v/>
      </c>
    </row>
    <row r="3975" ht="12.75" customHeight="1">
      <c r="H3975" s="43" t="n"/>
      <c r="AG3975" s="49">
        <f>IFERROR(__xludf.DUMMYFUNCTION("IFNA(vlookup(H3975,IMPORTRANGE(""1vUGwO1n0QQGx9kKbO0_M5gmuhXZ6-LaxQxgrmJnzgP0"",""'TP# look up'!A:C""),3,0),"""")"),"")</f>
        <v/>
      </c>
      <c r="AH3975" s="49">
        <f>LEFT(J3975,2)</f>
        <v/>
      </c>
    </row>
    <row r="3976" ht="12.75" customHeight="1">
      <c r="H3976" s="43" t="n"/>
      <c r="AG3976" s="49">
        <f>IFERROR(__xludf.DUMMYFUNCTION("IFNA(vlookup(H3976,IMPORTRANGE(""1vUGwO1n0QQGx9kKbO0_M5gmuhXZ6-LaxQxgrmJnzgP0"",""'TP# look up'!A:C""),3,0),"""")"),"")</f>
        <v/>
      </c>
      <c r="AH3976" s="49">
        <f>LEFT(J3976,2)</f>
        <v/>
      </c>
    </row>
    <row r="3977" ht="12.75" customHeight="1">
      <c r="H3977" s="43" t="n"/>
      <c r="AG3977" s="49">
        <f>IFERROR(__xludf.DUMMYFUNCTION("IFNA(vlookup(H3977,IMPORTRANGE(""1vUGwO1n0QQGx9kKbO0_M5gmuhXZ6-LaxQxgrmJnzgP0"",""'TP# look up'!A:C""),3,0),"""")"),"")</f>
        <v/>
      </c>
      <c r="AH3977" s="49">
        <f>LEFT(J3977,2)</f>
        <v/>
      </c>
    </row>
    <row r="3978" ht="12.75" customHeight="1">
      <c r="H3978" s="43" t="n"/>
      <c r="AG3978" s="49">
        <f>IFERROR(__xludf.DUMMYFUNCTION("IFNA(vlookup(H3978,IMPORTRANGE(""1vUGwO1n0QQGx9kKbO0_M5gmuhXZ6-LaxQxgrmJnzgP0"",""'TP# look up'!A:C""),3,0),"""")"),"")</f>
        <v/>
      </c>
      <c r="AH3978" s="49">
        <f>LEFT(J3978,2)</f>
        <v/>
      </c>
    </row>
    <row r="3979" ht="12.75" customHeight="1">
      <c r="H3979" s="43" t="n"/>
      <c r="AG3979" s="49">
        <f>IFERROR(__xludf.DUMMYFUNCTION("IFNA(vlookup(H3979,IMPORTRANGE(""1vUGwO1n0QQGx9kKbO0_M5gmuhXZ6-LaxQxgrmJnzgP0"",""'TP# look up'!A:C""),3,0),"""")"),"")</f>
        <v/>
      </c>
      <c r="AH3979" s="49">
        <f>LEFT(J3979,2)</f>
        <v/>
      </c>
    </row>
    <row r="3980" ht="12.75" customHeight="1">
      <c r="H3980" s="43" t="n"/>
      <c r="AG3980" s="49">
        <f>IFERROR(__xludf.DUMMYFUNCTION("IFNA(vlookup(H3980,IMPORTRANGE(""1vUGwO1n0QQGx9kKbO0_M5gmuhXZ6-LaxQxgrmJnzgP0"",""'TP# look up'!A:C""),3,0),"""")"),"")</f>
        <v/>
      </c>
      <c r="AH3980" s="49">
        <f>LEFT(J3980,2)</f>
        <v/>
      </c>
    </row>
    <row r="3981" ht="12.75" customHeight="1">
      <c r="H3981" s="43" t="n"/>
      <c r="AG3981" s="49">
        <f>IFERROR(__xludf.DUMMYFUNCTION("IFNA(vlookup(H3981,IMPORTRANGE(""1vUGwO1n0QQGx9kKbO0_M5gmuhXZ6-LaxQxgrmJnzgP0"",""'TP# look up'!A:C""),3,0),"""")"),"")</f>
        <v/>
      </c>
      <c r="AH3981" s="49">
        <f>LEFT(J3981,2)</f>
        <v/>
      </c>
    </row>
    <row r="3982" ht="12.75" customHeight="1">
      <c r="H3982" s="43" t="n"/>
      <c r="AG3982" s="49">
        <f>IFERROR(__xludf.DUMMYFUNCTION("IFNA(vlookup(H3982,IMPORTRANGE(""1vUGwO1n0QQGx9kKbO0_M5gmuhXZ6-LaxQxgrmJnzgP0"",""'TP# look up'!A:C""),3,0),"""")"),"")</f>
        <v/>
      </c>
      <c r="AH3982" s="49">
        <f>LEFT(J3982,2)</f>
        <v/>
      </c>
    </row>
    <row r="3983" ht="12.75" customHeight="1">
      <c r="H3983" s="43" t="n"/>
      <c r="AG3983" s="49">
        <f>IFERROR(__xludf.DUMMYFUNCTION("IFNA(vlookup(H3983,IMPORTRANGE(""1vUGwO1n0QQGx9kKbO0_M5gmuhXZ6-LaxQxgrmJnzgP0"",""'TP# look up'!A:C""),3,0),"""")"),"")</f>
        <v/>
      </c>
      <c r="AH3983" s="49">
        <f>LEFT(J3983,2)</f>
        <v/>
      </c>
    </row>
    <row r="3984" ht="12.75" customHeight="1">
      <c r="H3984" s="43" t="n"/>
      <c r="AG3984" s="49">
        <f>IFERROR(__xludf.DUMMYFUNCTION("IFNA(vlookup(H3984,IMPORTRANGE(""1vUGwO1n0QQGx9kKbO0_M5gmuhXZ6-LaxQxgrmJnzgP0"",""'TP# look up'!A:C""),3,0),"""")"),"")</f>
        <v/>
      </c>
      <c r="AH3984" s="49">
        <f>LEFT(J3984,2)</f>
        <v/>
      </c>
    </row>
    <row r="3985" ht="12.75" customHeight="1">
      <c r="H3985" s="43" t="n"/>
      <c r="AG3985" s="49">
        <f>IFERROR(__xludf.DUMMYFUNCTION("IFNA(vlookup(H3985,IMPORTRANGE(""1vUGwO1n0QQGx9kKbO0_M5gmuhXZ6-LaxQxgrmJnzgP0"",""'TP# look up'!A:C""),3,0),"""")"),"")</f>
        <v/>
      </c>
      <c r="AH3985" s="49">
        <f>LEFT(J3985,2)</f>
        <v/>
      </c>
    </row>
    <row r="3986" ht="12.75" customHeight="1">
      <c r="H3986" s="43" t="n"/>
      <c r="AG3986" s="49">
        <f>IFERROR(__xludf.DUMMYFUNCTION("IFNA(vlookup(H3986,IMPORTRANGE(""1vUGwO1n0QQGx9kKbO0_M5gmuhXZ6-LaxQxgrmJnzgP0"",""'TP# look up'!A:C""),3,0),"""")"),"")</f>
        <v/>
      </c>
      <c r="AH3986" s="49">
        <f>LEFT(J3986,2)</f>
        <v/>
      </c>
    </row>
    <row r="3987" ht="12.75" customHeight="1">
      <c r="H3987" s="43" t="n"/>
      <c r="AG3987" s="49">
        <f>IFERROR(__xludf.DUMMYFUNCTION("IFNA(vlookup(H3987,IMPORTRANGE(""1vUGwO1n0QQGx9kKbO0_M5gmuhXZ6-LaxQxgrmJnzgP0"",""'TP# look up'!A:C""),3,0),"""")"),"")</f>
        <v/>
      </c>
      <c r="AH3987" s="49">
        <f>LEFT(J3987,2)</f>
        <v/>
      </c>
    </row>
    <row r="3988" ht="12.75" customHeight="1">
      <c r="H3988" s="43" t="n"/>
      <c r="AG3988" s="49">
        <f>IFERROR(__xludf.DUMMYFUNCTION("IFNA(vlookup(H3988,IMPORTRANGE(""1vUGwO1n0QQGx9kKbO0_M5gmuhXZ6-LaxQxgrmJnzgP0"",""'TP# look up'!A:C""),3,0),"""")"),"")</f>
        <v/>
      </c>
      <c r="AH3988" s="49">
        <f>LEFT(J3988,2)</f>
        <v/>
      </c>
    </row>
    <row r="3989" ht="12.75" customHeight="1">
      <c r="H3989" s="43" t="n"/>
      <c r="AG3989" s="49">
        <f>IFERROR(__xludf.DUMMYFUNCTION("IFNA(vlookup(H3989,IMPORTRANGE(""1vUGwO1n0QQGx9kKbO0_M5gmuhXZ6-LaxQxgrmJnzgP0"",""'TP# look up'!A:C""),3,0),"""")"),"")</f>
        <v/>
      </c>
      <c r="AH3989" s="49">
        <f>LEFT(J3989,2)</f>
        <v/>
      </c>
    </row>
    <row r="3990" ht="12.75" customHeight="1">
      <c r="H3990" s="43" t="n"/>
      <c r="AG3990" s="49">
        <f>IFERROR(__xludf.DUMMYFUNCTION("IFNA(vlookup(H3990,IMPORTRANGE(""1vUGwO1n0QQGx9kKbO0_M5gmuhXZ6-LaxQxgrmJnzgP0"",""'TP# look up'!A:C""),3,0),"""")"),"")</f>
        <v/>
      </c>
      <c r="AH3990" s="49">
        <f>LEFT(J3990,2)</f>
        <v/>
      </c>
    </row>
    <row r="3991" ht="12.75" customHeight="1">
      <c r="H3991" s="43" t="n"/>
      <c r="AG3991" s="49">
        <f>IFERROR(__xludf.DUMMYFUNCTION("IFNA(vlookup(H3991,IMPORTRANGE(""1vUGwO1n0QQGx9kKbO0_M5gmuhXZ6-LaxQxgrmJnzgP0"",""'TP# look up'!A:C""),3,0),"""")"),"")</f>
        <v/>
      </c>
      <c r="AH3991" s="49">
        <f>LEFT(J3991,2)</f>
        <v/>
      </c>
    </row>
    <row r="3992" ht="12.75" customHeight="1">
      <c r="H3992" s="43" t="n"/>
      <c r="AG3992" s="49">
        <f>IFERROR(__xludf.DUMMYFUNCTION("IFNA(vlookup(H3992,IMPORTRANGE(""1vUGwO1n0QQGx9kKbO0_M5gmuhXZ6-LaxQxgrmJnzgP0"",""'TP# look up'!A:C""),3,0),"""")"),"")</f>
        <v/>
      </c>
      <c r="AH3992" s="49">
        <f>LEFT(J3992,2)</f>
        <v/>
      </c>
    </row>
    <row r="3993" ht="12.75" customHeight="1">
      <c r="H3993" s="43" t="n"/>
      <c r="AG3993" s="49">
        <f>IFERROR(__xludf.DUMMYFUNCTION("IFNA(vlookup(H3993,IMPORTRANGE(""1vUGwO1n0QQGx9kKbO0_M5gmuhXZ6-LaxQxgrmJnzgP0"",""'TP# look up'!A:C""),3,0),"""")"),"")</f>
        <v/>
      </c>
      <c r="AH3993" s="49">
        <f>LEFT(J3993,2)</f>
        <v/>
      </c>
    </row>
    <row r="3994" ht="12.75" customHeight="1">
      <c r="H3994" s="43" t="n"/>
      <c r="AG3994" s="49">
        <f>IFERROR(__xludf.DUMMYFUNCTION("IFNA(vlookup(H3994,IMPORTRANGE(""1vUGwO1n0QQGx9kKbO0_M5gmuhXZ6-LaxQxgrmJnzgP0"",""'TP# look up'!A:C""),3,0),"""")"),"")</f>
        <v/>
      </c>
      <c r="AH3994" s="49">
        <f>LEFT(J3994,2)</f>
        <v/>
      </c>
    </row>
    <row r="3995" ht="12.75" customHeight="1">
      <c r="H3995" s="43" t="n"/>
      <c r="AG3995" s="49">
        <f>IFERROR(__xludf.DUMMYFUNCTION("IFNA(vlookup(H3995,IMPORTRANGE(""1vUGwO1n0QQGx9kKbO0_M5gmuhXZ6-LaxQxgrmJnzgP0"",""'TP# look up'!A:C""),3,0),"""")"),"")</f>
        <v/>
      </c>
      <c r="AH3995" s="49">
        <f>LEFT(J3995,2)</f>
        <v/>
      </c>
    </row>
    <row r="3996" ht="12.75" customHeight="1">
      <c r="H3996" s="43" t="n"/>
      <c r="AG3996" s="49">
        <f>IFERROR(__xludf.DUMMYFUNCTION("IFNA(vlookup(H3996,IMPORTRANGE(""1vUGwO1n0QQGx9kKbO0_M5gmuhXZ6-LaxQxgrmJnzgP0"",""'TP# look up'!A:C""),3,0),"""")"),"")</f>
        <v/>
      </c>
      <c r="AH3996" s="49">
        <f>LEFT(J3996,2)</f>
        <v/>
      </c>
    </row>
    <row r="3997" ht="12.75" customHeight="1">
      <c r="H3997" s="43" t="n"/>
      <c r="AG3997" s="49">
        <f>IFERROR(__xludf.DUMMYFUNCTION("IFNA(vlookup(H3997,IMPORTRANGE(""1vUGwO1n0QQGx9kKbO0_M5gmuhXZ6-LaxQxgrmJnzgP0"",""'TP# look up'!A:C""),3,0),"""")"),"")</f>
        <v/>
      </c>
      <c r="AH3997" s="49">
        <f>LEFT(J3997,2)</f>
        <v/>
      </c>
    </row>
    <row r="3998" ht="12.75" customHeight="1">
      <c r="H3998" s="43" t="n"/>
      <c r="AG3998" s="49">
        <f>IFERROR(__xludf.DUMMYFUNCTION("IFNA(vlookup(H3998,IMPORTRANGE(""1vUGwO1n0QQGx9kKbO0_M5gmuhXZ6-LaxQxgrmJnzgP0"",""'TP# look up'!A:C""),3,0),"""")"),"")</f>
        <v/>
      </c>
      <c r="AH3998" s="49">
        <f>LEFT(J3998,2)</f>
        <v/>
      </c>
    </row>
    <row r="3999" ht="12.75" customHeight="1">
      <c r="H3999" s="43" t="n"/>
      <c r="AG3999" s="49">
        <f>IFERROR(__xludf.DUMMYFUNCTION("IFNA(vlookup(H3999,IMPORTRANGE(""1vUGwO1n0QQGx9kKbO0_M5gmuhXZ6-LaxQxgrmJnzgP0"",""'TP# look up'!A:C""),3,0),"""")"),"")</f>
        <v/>
      </c>
      <c r="AH3999" s="49">
        <f>LEFT(J3999,2)</f>
        <v/>
      </c>
    </row>
    <row r="4000" ht="12.75" customHeight="1">
      <c r="H4000" s="43" t="n"/>
      <c r="AG4000" s="49">
        <f>IFERROR(__xludf.DUMMYFUNCTION("IFNA(vlookup(H4000,IMPORTRANGE(""1vUGwO1n0QQGx9kKbO0_M5gmuhXZ6-LaxQxgrmJnzgP0"",""'TP# look up'!A:C""),3,0),"""")"),"")</f>
        <v/>
      </c>
      <c r="AH4000" s="49">
        <f>LEFT(J4000,2)</f>
        <v/>
      </c>
    </row>
    <row r="4001" ht="12.75" customHeight="1">
      <c r="H4001" s="43" t="n"/>
      <c r="AG4001" s="49">
        <f>IFERROR(__xludf.DUMMYFUNCTION("IFNA(vlookup(H4001,IMPORTRANGE(""1vUGwO1n0QQGx9kKbO0_M5gmuhXZ6-LaxQxgrmJnzgP0"",""'TP# look up'!A:C""),3,0),"""")"),"")</f>
        <v/>
      </c>
      <c r="AH4001" s="49">
        <f>LEFT(J4001,2)</f>
        <v/>
      </c>
    </row>
    <row r="4002" ht="12.75" customHeight="1">
      <c r="H4002" s="43" t="n"/>
      <c r="AG4002" s="49">
        <f>IFERROR(__xludf.DUMMYFUNCTION("IFNA(vlookup(H4002,IMPORTRANGE(""1vUGwO1n0QQGx9kKbO0_M5gmuhXZ6-LaxQxgrmJnzgP0"",""'TP# look up'!A:C""),3,0),"""")"),"")</f>
        <v/>
      </c>
      <c r="AH4002" s="49">
        <f>LEFT(J4002,2)</f>
        <v/>
      </c>
    </row>
    <row r="4003" ht="12.75" customHeight="1">
      <c r="H4003" s="43" t="n"/>
      <c r="AG4003" s="49">
        <f>IFERROR(__xludf.DUMMYFUNCTION("IFNA(vlookup(H4003,IMPORTRANGE(""1vUGwO1n0QQGx9kKbO0_M5gmuhXZ6-LaxQxgrmJnzgP0"",""'TP# look up'!A:C""),3,0),"""")"),"")</f>
        <v/>
      </c>
      <c r="AH4003" s="49">
        <f>LEFT(J4003,2)</f>
        <v/>
      </c>
    </row>
    <row r="4004" ht="12.75" customHeight="1">
      <c r="H4004" s="43" t="n"/>
      <c r="AG4004" s="49">
        <f>IFERROR(__xludf.DUMMYFUNCTION("IFNA(vlookup(H4004,IMPORTRANGE(""1vUGwO1n0QQGx9kKbO0_M5gmuhXZ6-LaxQxgrmJnzgP0"",""'TP# look up'!A:C""),3,0),"""")"),"")</f>
        <v/>
      </c>
      <c r="AH4004" s="49">
        <f>LEFT(J4004,2)</f>
        <v/>
      </c>
    </row>
    <row r="4005" ht="12.75" customHeight="1">
      <c r="H4005" s="43" t="n"/>
      <c r="AG4005" s="49">
        <f>IFERROR(__xludf.DUMMYFUNCTION("IFNA(vlookup(H4005,IMPORTRANGE(""1vUGwO1n0QQGx9kKbO0_M5gmuhXZ6-LaxQxgrmJnzgP0"",""'TP# look up'!A:C""),3,0),"""")"),"")</f>
        <v/>
      </c>
      <c r="AH4005" s="49">
        <f>LEFT(J4005,2)</f>
        <v/>
      </c>
    </row>
    <row r="4006" ht="12.75" customHeight="1">
      <c r="H4006" s="43" t="n"/>
      <c r="AG4006" s="49">
        <f>IFERROR(__xludf.DUMMYFUNCTION("IFNA(vlookup(H4006,IMPORTRANGE(""1vUGwO1n0QQGx9kKbO0_M5gmuhXZ6-LaxQxgrmJnzgP0"",""'TP# look up'!A:C""),3,0),"""")"),"")</f>
        <v/>
      </c>
      <c r="AH4006" s="49">
        <f>LEFT(J4006,2)</f>
        <v/>
      </c>
    </row>
    <row r="4007" ht="12.75" customHeight="1">
      <c r="H4007" s="43" t="n"/>
      <c r="AG4007" s="49">
        <f>IFERROR(__xludf.DUMMYFUNCTION("IFNA(vlookup(H4007,IMPORTRANGE(""1vUGwO1n0QQGx9kKbO0_M5gmuhXZ6-LaxQxgrmJnzgP0"",""'TP# look up'!A:C""),3,0),"""")"),"")</f>
        <v/>
      </c>
      <c r="AH4007" s="49">
        <f>LEFT(J4007,2)</f>
        <v/>
      </c>
    </row>
    <row r="4008" ht="12.75" customHeight="1">
      <c r="H4008" s="43" t="n"/>
      <c r="AG4008" s="49">
        <f>IFERROR(__xludf.DUMMYFUNCTION("IFNA(vlookup(H4008,IMPORTRANGE(""1vUGwO1n0QQGx9kKbO0_M5gmuhXZ6-LaxQxgrmJnzgP0"",""'TP# look up'!A:C""),3,0),"""")"),"")</f>
        <v/>
      </c>
      <c r="AH4008" s="49">
        <f>LEFT(J4008,2)</f>
        <v/>
      </c>
    </row>
    <row r="4009" ht="12.75" customHeight="1">
      <c r="H4009" s="43" t="n"/>
      <c r="AG4009" s="49">
        <f>IFERROR(__xludf.DUMMYFUNCTION("IFNA(vlookup(H4009,IMPORTRANGE(""1vUGwO1n0QQGx9kKbO0_M5gmuhXZ6-LaxQxgrmJnzgP0"",""'TP# look up'!A:C""),3,0),"""")"),"")</f>
        <v/>
      </c>
      <c r="AH4009" s="49">
        <f>LEFT(J4009,2)</f>
        <v/>
      </c>
    </row>
    <row r="4010" ht="12.75" customHeight="1">
      <c r="H4010" s="43" t="n"/>
      <c r="AG4010" s="49">
        <f>IFERROR(__xludf.DUMMYFUNCTION("IFNA(vlookup(H4010,IMPORTRANGE(""1vUGwO1n0QQGx9kKbO0_M5gmuhXZ6-LaxQxgrmJnzgP0"",""'TP# look up'!A:C""),3,0),"""")"),"")</f>
        <v/>
      </c>
      <c r="AH4010" s="49">
        <f>LEFT(J4010,2)</f>
        <v/>
      </c>
    </row>
    <row r="4011" ht="12.75" customHeight="1">
      <c r="H4011" s="43" t="n"/>
      <c r="AG4011" s="49">
        <f>IFERROR(__xludf.DUMMYFUNCTION("IFNA(vlookup(H4011,IMPORTRANGE(""1vUGwO1n0QQGx9kKbO0_M5gmuhXZ6-LaxQxgrmJnzgP0"",""'TP# look up'!A:C""),3,0),"""")"),"")</f>
        <v/>
      </c>
      <c r="AH4011" s="49">
        <f>LEFT(J4011,2)</f>
        <v/>
      </c>
    </row>
    <row r="4012" ht="12.75" customHeight="1">
      <c r="H4012" s="43" t="n"/>
      <c r="AG4012" s="49">
        <f>IFERROR(__xludf.DUMMYFUNCTION("IFNA(vlookup(H4012,IMPORTRANGE(""1vUGwO1n0QQGx9kKbO0_M5gmuhXZ6-LaxQxgrmJnzgP0"",""'TP# look up'!A:C""),3,0),"""")"),"")</f>
        <v/>
      </c>
      <c r="AH4012" s="49">
        <f>LEFT(J4012,2)</f>
        <v/>
      </c>
    </row>
    <row r="4013" ht="12.75" customHeight="1">
      <c r="H4013" s="43" t="n"/>
      <c r="AG4013" s="49">
        <f>IFERROR(__xludf.DUMMYFUNCTION("IFNA(vlookup(H4013,IMPORTRANGE(""1vUGwO1n0QQGx9kKbO0_M5gmuhXZ6-LaxQxgrmJnzgP0"",""'TP# look up'!A:C""),3,0),"""")"),"")</f>
        <v/>
      </c>
      <c r="AH4013" s="49">
        <f>LEFT(J4013,2)</f>
        <v/>
      </c>
    </row>
    <row r="4014" ht="12.75" customHeight="1">
      <c r="H4014" s="43" t="n"/>
      <c r="AG4014" s="49">
        <f>IFERROR(__xludf.DUMMYFUNCTION("IFNA(vlookup(H4014,IMPORTRANGE(""1vUGwO1n0QQGx9kKbO0_M5gmuhXZ6-LaxQxgrmJnzgP0"",""'TP# look up'!A:C""),3,0),"""")"),"")</f>
        <v/>
      </c>
      <c r="AH4014" s="49">
        <f>LEFT(J4014,2)</f>
        <v/>
      </c>
    </row>
    <row r="4015" ht="12.75" customHeight="1">
      <c r="H4015" s="43" t="n"/>
      <c r="AG4015" s="49">
        <f>IFERROR(__xludf.DUMMYFUNCTION("IFNA(vlookup(H4015,IMPORTRANGE(""1vUGwO1n0QQGx9kKbO0_M5gmuhXZ6-LaxQxgrmJnzgP0"",""'TP# look up'!A:C""),3,0),"""")"),"")</f>
        <v/>
      </c>
      <c r="AH4015" s="49">
        <f>LEFT(J4015,2)</f>
        <v/>
      </c>
    </row>
    <row r="4016" ht="12.75" customHeight="1">
      <c r="H4016" s="43" t="n"/>
      <c r="AG4016" s="49">
        <f>IFERROR(__xludf.DUMMYFUNCTION("IFNA(vlookup(H4016,IMPORTRANGE(""1vUGwO1n0QQGx9kKbO0_M5gmuhXZ6-LaxQxgrmJnzgP0"",""'TP# look up'!A:C""),3,0),"""")"),"")</f>
        <v/>
      </c>
      <c r="AH4016" s="49">
        <f>LEFT(J4016,2)</f>
        <v/>
      </c>
    </row>
    <row r="4017" ht="12.75" customHeight="1">
      <c r="H4017" s="43" t="n"/>
      <c r="AG4017" s="49">
        <f>IFERROR(__xludf.DUMMYFUNCTION("IFNA(vlookup(H4017,IMPORTRANGE(""1vUGwO1n0QQGx9kKbO0_M5gmuhXZ6-LaxQxgrmJnzgP0"",""'TP# look up'!A:C""),3,0),"""")"),"")</f>
        <v/>
      </c>
      <c r="AH4017" s="49">
        <f>LEFT(J4017,2)</f>
        <v/>
      </c>
    </row>
    <row r="4018" ht="12.75" customHeight="1">
      <c r="H4018" s="43" t="n"/>
      <c r="AG4018" s="49">
        <f>IFERROR(__xludf.DUMMYFUNCTION("IFNA(vlookup(H4018,IMPORTRANGE(""1vUGwO1n0QQGx9kKbO0_M5gmuhXZ6-LaxQxgrmJnzgP0"",""'TP# look up'!A:C""),3,0),"""")"),"")</f>
        <v/>
      </c>
      <c r="AH4018" s="49">
        <f>LEFT(J4018,2)</f>
        <v/>
      </c>
    </row>
    <row r="4019" ht="12.75" customHeight="1">
      <c r="H4019" s="43" t="n"/>
      <c r="AG4019" s="49">
        <f>IFERROR(__xludf.DUMMYFUNCTION("IFNA(vlookup(H4019,IMPORTRANGE(""1vUGwO1n0QQGx9kKbO0_M5gmuhXZ6-LaxQxgrmJnzgP0"",""'TP# look up'!A:C""),3,0),"""")"),"")</f>
        <v/>
      </c>
      <c r="AH4019" s="49">
        <f>LEFT(J4019,2)</f>
        <v/>
      </c>
    </row>
    <row r="4020" ht="12.75" customHeight="1">
      <c r="H4020" s="43" t="n"/>
      <c r="AG4020" s="49">
        <f>IFERROR(__xludf.DUMMYFUNCTION("IFNA(vlookup(H4020,IMPORTRANGE(""1vUGwO1n0QQGx9kKbO0_M5gmuhXZ6-LaxQxgrmJnzgP0"",""'TP# look up'!A:C""),3,0),"""")"),"")</f>
        <v/>
      </c>
      <c r="AH4020" s="49">
        <f>LEFT(J4020,2)</f>
        <v/>
      </c>
    </row>
    <row r="4021" ht="12.75" customHeight="1">
      <c r="H4021" s="43" t="n"/>
      <c r="AG4021" s="49">
        <f>IFERROR(__xludf.DUMMYFUNCTION("IFNA(vlookup(H4021,IMPORTRANGE(""1vUGwO1n0QQGx9kKbO0_M5gmuhXZ6-LaxQxgrmJnzgP0"",""'TP# look up'!A:C""),3,0),"""")"),"")</f>
        <v/>
      </c>
      <c r="AH4021" s="49">
        <f>LEFT(J4021,2)</f>
        <v/>
      </c>
    </row>
    <row r="4022" ht="12.75" customHeight="1">
      <c r="H4022" s="43" t="n"/>
      <c r="AG4022" s="49">
        <f>IFERROR(__xludf.DUMMYFUNCTION("IFNA(vlookup(H4022,IMPORTRANGE(""1vUGwO1n0QQGx9kKbO0_M5gmuhXZ6-LaxQxgrmJnzgP0"",""'TP# look up'!A:C""),3,0),"""")"),"")</f>
        <v/>
      </c>
      <c r="AH4022" s="49">
        <f>LEFT(J4022,2)</f>
        <v/>
      </c>
    </row>
    <row r="4023" ht="12.75" customHeight="1">
      <c r="H4023" s="43" t="n"/>
      <c r="AG4023" s="49">
        <f>IFERROR(__xludf.DUMMYFUNCTION("IFNA(vlookup(H4023,IMPORTRANGE(""1vUGwO1n0QQGx9kKbO0_M5gmuhXZ6-LaxQxgrmJnzgP0"",""'TP# look up'!A:C""),3,0),"""")"),"")</f>
        <v/>
      </c>
      <c r="AH4023" s="49">
        <f>LEFT(J4023,2)</f>
        <v/>
      </c>
    </row>
    <row r="4024" ht="12.75" customHeight="1">
      <c r="H4024" s="43" t="n"/>
      <c r="AG4024" s="49">
        <f>IFERROR(__xludf.DUMMYFUNCTION("IFNA(vlookup(H4024,IMPORTRANGE(""1vUGwO1n0QQGx9kKbO0_M5gmuhXZ6-LaxQxgrmJnzgP0"",""'TP# look up'!A:C""),3,0),"""")"),"")</f>
        <v/>
      </c>
      <c r="AH4024" s="49">
        <f>LEFT(J4024,2)</f>
        <v/>
      </c>
    </row>
    <row r="4025" ht="12.75" customHeight="1">
      <c r="H4025" s="43" t="n"/>
      <c r="AG4025" s="49">
        <f>IFERROR(__xludf.DUMMYFUNCTION("IFNA(vlookup(H4025,IMPORTRANGE(""1vUGwO1n0QQGx9kKbO0_M5gmuhXZ6-LaxQxgrmJnzgP0"",""'TP# look up'!A:C""),3,0),"""")"),"")</f>
        <v/>
      </c>
      <c r="AH4025" s="49">
        <f>LEFT(J4025,2)</f>
        <v/>
      </c>
    </row>
    <row r="4026" ht="12.75" customHeight="1">
      <c r="H4026" s="43" t="n"/>
      <c r="AG4026" s="49">
        <f>IFERROR(__xludf.DUMMYFUNCTION("IFNA(vlookup(H4026,IMPORTRANGE(""1vUGwO1n0QQGx9kKbO0_M5gmuhXZ6-LaxQxgrmJnzgP0"",""'TP# look up'!A:C""),3,0),"""")"),"")</f>
        <v/>
      </c>
      <c r="AH4026" s="49">
        <f>LEFT(J4026,2)</f>
        <v/>
      </c>
    </row>
    <row r="4027" ht="12.75" customHeight="1">
      <c r="H4027" s="43" t="n"/>
      <c r="AG4027" s="49">
        <f>IFERROR(__xludf.DUMMYFUNCTION("IFNA(vlookup(H4027,IMPORTRANGE(""1vUGwO1n0QQGx9kKbO0_M5gmuhXZ6-LaxQxgrmJnzgP0"",""'TP# look up'!A:C""),3,0),"""")"),"")</f>
        <v/>
      </c>
      <c r="AH4027" s="49">
        <f>LEFT(J4027,2)</f>
        <v/>
      </c>
    </row>
    <row r="4028" ht="12.75" customHeight="1">
      <c r="H4028" s="43" t="n"/>
      <c r="AG4028" s="49">
        <f>IFERROR(__xludf.DUMMYFUNCTION("IFNA(vlookup(H4028,IMPORTRANGE(""1vUGwO1n0QQGx9kKbO0_M5gmuhXZ6-LaxQxgrmJnzgP0"",""'TP# look up'!A:C""),3,0),"""")"),"")</f>
        <v/>
      </c>
      <c r="AH4028" s="49">
        <f>LEFT(J4028,2)</f>
        <v/>
      </c>
    </row>
    <row r="4029" ht="12.75" customHeight="1">
      <c r="H4029" s="43" t="n"/>
      <c r="AG4029" s="49">
        <f>IFERROR(__xludf.DUMMYFUNCTION("IFNA(vlookup(H4029,IMPORTRANGE(""1vUGwO1n0QQGx9kKbO0_M5gmuhXZ6-LaxQxgrmJnzgP0"",""'TP# look up'!A:C""),3,0),"""")"),"")</f>
        <v/>
      </c>
      <c r="AH4029" s="49">
        <f>LEFT(J4029,2)</f>
        <v/>
      </c>
    </row>
    <row r="4030" ht="12.75" customHeight="1">
      <c r="H4030" s="43" t="n"/>
      <c r="AG4030" s="49">
        <f>IFERROR(__xludf.DUMMYFUNCTION("IFNA(vlookup(H4030,IMPORTRANGE(""1vUGwO1n0QQGx9kKbO0_M5gmuhXZ6-LaxQxgrmJnzgP0"",""'TP# look up'!A:C""),3,0),"""")"),"")</f>
        <v/>
      </c>
      <c r="AH4030" s="49">
        <f>LEFT(J4030,2)</f>
        <v/>
      </c>
    </row>
    <row r="4031" ht="12.75" customHeight="1">
      <c r="H4031" s="43" t="n"/>
      <c r="AG4031" s="49">
        <f>IFERROR(__xludf.DUMMYFUNCTION("IFNA(vlookup(H4031,IMPORTRANGE(""1vUGwO1n0QQGx9kKbO0_M5gmuhXZ6-LaxQxgrmJnzgP0"",""'TP# look up'!A:C""),3,0),"""")"),"")</f>
        <v/>
      </c>
      <c r="AH4031" s="49">
        <f>LEFT(J4031,2)</f>
        <v/>
      </c>
    </row>
    <row r="4032" ht="12.75" customHeight="1">
      <c r="H4032" s="43" t="n"/>
      <c r="AG4032" s="49">
        <f>IFERROR(__xludf.DUMMYFUNCTION("IFNA(vlookup(H4032,IMPORTRANGE(""1vUGwO1n0QQGx9kKbO0_M5gmuhXZ6-LaxQxgrmJnzgP0"",""'TP# look up'!A:C""),3,0),"""")"),"")</f>
        <v/>
      </c>
      <c r="AH4032" s="49">
        <f>LEFT(J4032,2)</f>
        <v/>
      </c>
    </row>
    <row r="4033" ht="12.75" customHeight="1">
      <c r="H4033" s="43" t="n"/>
      <c r="AG4033" s="49">
        <f>IFERROR(__xludf.DUMMYFUNCTION("IFNA(vlookup(H4033,IMPORTRANGE(""1vUGwO1n0QQGx9kKbO0_M5gmuhXZ6-LaxQxgrmJnzgP0"",""'TP# look up'!A:C""),3,0),"""")"),"")</f>
        <v/>
      </c>
      <c r="AH4033" s="49">
        <f>LEFT(J4033,2)</f>
        <v/>
      </c>
    </row>
    <row r="4034" ht="12.75" customHeight="1">
      <c r="H4034" s="43" t="n"/>
      <c r="AG4034" s="49">
        <f>IFERROR(__xludf.DUMMYFUNCTION("IFNA(vlookup(H4034,IMPORTRANGE(""1vUGwO1n0QQGx9kKbO0_M5gmuhXZ6-LaxQxgrmJnzgP0"",""'TP# look up'!A:C""),3,0),"""")"),"")</f>
        <v/>
      </c>
      <c r="AH4034" s="49">
        <f>LEFT(J4034,2)</f>
        <v/>
      </c>
    </row>
    <row r="4035" ht="12.75" customHeight="1">
      <c r="H4035" s="43" t="n"/>
      <c r="AG4035" s="49">
        <f>IFERROR(__xludf.DUMMYFUNCTION("IFNA(vlookup(H4035,IMPORTRANGE(""1vUGwO1n0QQGx9kKbO0_M5gmuhXZ6-LaxQxgrmJnzgP0"",""'TP# look up'!A:C""),3,0),"""")"),"")</f>
        <v/>
      </c>
      <c r="AH4035" s="49">
        <f>LEFT(J4035,2)</f>
        <v/>
      </c>
    </row>
    <row r="4036" ht="12.75" customHeight="1">
      <c r="H4036" s="43" t="n"/>
      <c r="AG4036" s="49">
        <f>IFERROR(__xludf.DUMMYFUNCTION("IFNA(vlookup(H4036,IMPORTRANGE(""1vUGwO1n0QQGx9kKbO0_M5gmuhXZ6-LaxQxgrmJnzgP0"",""'TP# look up'!A:C""),3,0),"""")"),"")</f>
        <v/>
      </c>
      <c r="AH4036" s="49">
        <f>LEFT(J4036,2)</f>
        <v/>
      </c>
    </row>
    <row r="4037" ht="12.75" customHeight="1">
      <c r="H4037" s="43" t="n"/>
      <c r="AG4037" s="49">
        <f>IFERROR(__xludf.DUMMYFUNCTION("IFNA(vlookup(H4037,IMPORTRANGE(""1vUGwO1n0QQGx9kKbO0_M5gmuhXZ6-LaxQxgrmJnzgP0"",""'TP# look up'!A:C""),3,0),"""")"),"")</f>
        <v/>
      </c>
      <c r="AH4037" s="49">
        <f>LEFT(J4037,2)</f>
        <v/>
      </c>
    </row>
    <row r="4038" ht="12.75" customHeight="1">
      <c r="H4038" s="43" t="n"/>
      <c r="AG4038" s="49">
        <f>IFERROR(__xludf.DUMMYFUNCTION("IFNA(vlookup(H4038,IMPORTRANGE(""1vUGwO1n0QQGx9kKbO0_M5gmuhXZ6-LaxQxgrmJnzgP0"",""'TP# look up'!A:C""),3,0),"""")"),"")</f>
        <v/>
      </c>
      <c r="AH4038" s="49">
        <f>LEFT(J4038,2)</f>
        <v/>
      </c>
    </row>
    <row r="4039" ht="12.75" customHeight="1">
      <c r="H4039" s="43" t="n"/>
      <c r="AG4039" s="49">
        <f>IFERROR(__xludf.DUMMYFUNCTION("IFNA(vlookup(H4039,IMPORTRANGE(""1vUGwO1n0QQGx9kKbO0_M5gmuhXZ6-LaxQxgrmJnzgP0"",""'TP# look up'!A:C""),3,0),"""")"),"")</f>
        <v/>
      </c>
      <c r="AH4039" s="49">
        <f>LEFT(J4039,2)</f>
        <v/>
      </c>
    </row>
    <row r="4040" ht="12.75" customHeight="1">
      <c r="H4040" s="43" t="n"/>
      <c r="AG4040" s="49">
        <f>IFERROR(__xludf.DUMMYFUNCTION("IFNA(vlookup(H4040,IMPORTRANGE(""1vUGwO1n0QQGx9kKbO0_M5gmuhXZ6-LaxQxgrmJnzgP0"",""'TP# look up'!A:C""),3,0),"""")"),"")</f>
        <v/>
      </c>
      <c r="AH4040" s="49">
        <f>LEFT(J4040,2)</f>
        <v/>
      </c>
    </row>
    <row r="4041" ht="12.75" customHeight="1">
      <c r="H4041" s="43" t="n"/>
      <c r="AG4041" s="49">
        <f>IFERROR(__xludf.DUMMYFUNCTION("IFNA(vlookup(H4041,IMPORTRANGE(""1vUGwO1n0QQGx9kKbO0_M5gmuhXZ6-LaxQxgrmJnzgP0"",""'TP# look up'!A:C""),3,0),"""")"),"")</f>
        <v/>
      </c>
      <c r="AH4041" s="49">
        <f>LEFT(J4041,2)</f>
        <v/>
      </c>
    </row>
    <row r="4042" ht="12.75" customHeight="1">
      <c r="H4042" s="43" t="n"/>
      <c r="AG4042" s="49">
        <f>IFERROR(__xludf.DUMMYFUNCTION("IFNA(vlookup(H4042,IMPORTRANGE(""1vUGwO1n0QQGx9kKbO0_M5gmuhXZ6-LaxQxgrmJnzgP0"",""'TP# look up'!A:C""),3,0),"""")"),"")</f>
        <v/>
      </c>
      <c r="AH4042" s="49">
        <f>LEFT(J4042,2)</f>
        <v/>
      </c>
    </row>
    <row r="4043" ht="12.75" customHeight="1">
      <c r="H4043" s="43" t="n"/>
      <c r="AG4043" s="49">
        <f>IFERROR(__xludf.DUMMYFUNCTION("IFNA(vlookup(H4043,IMPORTRANGE(""1vUGwO1n0QQGx9kKbO0_M5gmuhXZ6-LaxQxgrmJnzgP0"",""'TP# look up'!A:C""),3,0),"""")"),"")</f>
        <v/>
      </c>
      <c r="AH4043" s="49">
        <f>LEFT(J4043,2)</f>
        <v/>
      </c>
    </row>
    <row r="4044" ht="12.75" customHeight="1">
      <c r="H4044" s="43" t="n"/>
      <c r="AG4044" s="49">
        <f>IFERROR(__xludf.DUMMYFUNCTION("IFNA(vlookup(H4044,IMPORTRANGE(""1vUGwO1n0QQGx9kKbO0_M5gmuhXZ6-LaxQxgrmJnzgP0"",""'TP# look up'!A:C""),3,0),"""")"),"")</f>
        <v/>
      </c>
      <c r="AH4044" s="49">
        <f>LEFT(J4044,2)</f>
        <v/>
      </c>
    </row>
    <row r="4045" ht="12.75" customHeight="1">
      <c r="H4045" s="43" t="n"/>
      <c r="AG4045" s="49">
        <f>IFERROR(__xludf.DUMMYFUNCTION("IFNA(vlookup(H4045,IMPORTRANGE(""1vUGwO1n0QQGx9kKbO0_M5gmuhXZ6-LaxQxgrmJnzgP0"",""'TP# look up'!A:C""),3,0),"""")"),"")</f>
        <v/>
      </c>
      <c r="AH4045" s="49">
        <f>LEFT(J4045,2)</f>
        <v/>
      </c>
    </row>
    <row r="4046" ht="12.75" customHeight="1">
      <c r="H4046" s="43" t="n"/>
      <c r="AG4046" s="49">
        <f>IFERROR(__xludf.DUMMYFUNCTION("IFNA(vlookup(H4046,IMPORTRANGE(""1vUGwO1n0QQGx9kKbO0_M5gmuhXZ6-LaxQxgrmJnzgP0"",""'TP# look up'!A:C""),3,0),"""")"),"")</f>
        <v/>
      </c>
      <c r="AH4046" s="49">
        <f>LEFT(J4046,2)</f>
        <v/>
      </c>
    </row>
    <row r="4047" ht="12.75" customHeight="1">
      <c r="H4047" s="43" t="n"/>
      <c r="AG4047" s="49">
        <f>IFERROR(__xludf.DUMMYFUNCTION("IFNA(vlookup(H4047,IMPORTRANGE(""1vUGwO1n0QQGx9kKbO0_M5gmuhXZ6-LaxQxgrmJnzgP0"",""'TP# look up'!A:C""),3,0),"""")"),"")</f>
        <v/>
      </c>
      <c r="AH4047" s="49">
        <f>LEFT(J4047,2)</f>
        <v/>
      </c>
    </row>
    <row r="4048" ht="12.75" customHeight="1">
      <c r="H4048" s="43" t="n"/>
      <c r="AG4048" s="49">
        <f>IFERROR(__xludf.DUMMYFUNCTION("IFNA(vlookup(H4048,IMPORTRANGE(""1vUGwO1n0QQGx9kKbO0_M5gmuhXZ6-LaxQxgrmJnzgP0"",""'TP# look up'!A:C""),3,0),"""")"),"")</f>
        <v/>
      </c>
      <c r="AH4048" s="49">
        <f>LEFT(J4048,2)</f>
        <v/>
      </c>
    </row>
    <row r="4049" ht="12.75" customHeight="1">
      <c r="H4049" s="43" t="n"/>
      <c r="AG4049" s="49">
        <f>IFERROR(__xludf.DUMMYFUNCTION("IFNA(vlookup(H4049,IMPORTRANGE(""1vUGwO1n0QQGx9kKbO0_M5gmuhXZ6-LaxQxgrmJnzgP0"",""'TP# look up'!A:C""),3,0),"""")"),"")</f>
        <v/>
      </c>
      <c r="AH4049" s="49">
        <f>LEFT(J4049,2)</f>
        <v/>
      </c>
    </row>
    <row r="4050" ht="12.75" customHeight="1">
      <c r="H4050" s="43" t="n"/>
      <c r="AG4050" s="49">
        <f>IFERROR(__xludf.DUMMYFUNCTION("IFNA(vlookup(H4050,IMPORTRANGE(""1vUGwO1n0QQGx9kKbO0_M5gmuhXZ6-LaxQxgrmJnzgP0"",""'TP# look up'!A:C""),3,0),"""")"),"")</f>
        <v/>
      </c>
      <c r="AH4050" s="49">
        <f>LEFT(J4050,2)</f>
        <v/>
      </c>
    </row>
    <row r="4051" ht="12.75" customHeight="1">
      <c r="H4051" s="43" t="n"/>
      <c r="AG4051" s="49">
        <f>IFERROR(__xludf.DUMMYFUNCTION("IFNA(vlookup(H4051,IMPORTRANGE(""1vUGwO1n0QQGx9kKbO0_M5gmuhXZ6-LaxQxgrmJnzgP0"",""'TP# look up'!A:C""),3,0),"""")"),"")</f>
        <v/>
      </c>
      <c r="AH4051" s="49">
        <f>LEFT(J4051,2)</f>
        <v/>
      </c>
    </row>
    <row r="4052" ht="12.75" customHeight="1">
      <c r="H4052" s="43" t="n"/>
      <c r="AG4052" s="49">
        <f>IFERROR(__xludf.DUMMYFUNCTION("IFNA(vlookup(H4052,IMPORTRANGE(""1vUGwO1n0QQGx9kKbO0_M5gmuhXZ6-LaxQxgrmJnzgP0"",""'TP# look up'!A:C""),3,0),"""")"),"")</f>
        <v/>
      </c>
      <c r="AH4052" s="49">
        <f>LEFT(J4052,2)</f>
        <v/>
      </c>
    </row>
    <row r="4053" ht="12.75" customHeight="1">
      <c r="H4053" s="43" t="n"/>
      <c r="AG4053" s="49">
        <f>IFERROR(__xludf.DUMMYFUNCTION("IFNA(vlookup(H4053,IMPORTRANGE(""1vUGwO1n0QQGx9kKbO0_M5gmuhXZ6-LaxQxgrmJnzgP0"",""'TP# look up'!A:C""),3,0),"""")"),"")</f>
        <v/>
      </c>
      <c r="AH4053" s="49">
        <f>LEFT(J4053,2)</f>
        <v/>
      </c>
    </row>
    <row r="4054" ht="12.75" customHeight="1">
      <c r="H4054" s="43" t="n"/>
      <c r="AG4054" s="49">
        <f>IFERROR(__xludf.DUMMYFUNCTION("IFNA(vlookup(H4054,IMPORTRANGE(""1vUGwO1n0QQGx9kKbO0_M5gmuhXZ6-LaxQxgrmJnzgP0"",""'TP# look up'!A:C""),3,0),"""")"),"")</f>
        <v/>
      </c>
      <c r="AH4054" s="49">
        <f>LEFT(J4054,2)</f>
        <v/>
      </c>
    </row>
    <row r="4055" ht="12.75" customHeight="1">
      <c r="H4055" s="43" t="n"/>
      <c r="AG4055" s="49">
        <f>IFERROR(__xludf.DUMMYFUNCTION("IFNA(vlookup(H4055,IMPORTRANGE(""1vUGwO1n0QQGx9kKbO0_M5gmuhXZ6-LaxQxgrmJnzgP0"",""'TP# look up'!A:C""),3,0),"""")"),"")</f>
        <v/>
      </c>
      <c r="AH4055" s="49">
        <f>LEFT(J4055,2)</f>
        <v/>
      </c>
    </row>
    <row r="4056" ht="12.75" customHeight="1">
      <c r="H4056" s="43" t="n"/>
      <c r="AG4056" s="49">
        <f>IFERROR(__xludf.DUMMYFUNCTION("IFNA(vlookup(H4056,IMPORTRANGE(""1vUGwO1n0QQGx9kKbO0_M5gmuhXZ6-LaxQxgrmJnzgP0"",""'TP# look up'!A:C""),3,0),"""")"),"")</f>
        <v/>
      </c>
      <c r="AH4056" s="49">
        <f>LEFT(J4056,2)</f>
        <v/>
      </c>
    </row>
    <row r="4057" ht="12.75" customHeight="1">
      <c r="H4057" s="43" t="n"/>
      <c r="AG4057" s="49">
        <f>IFERROR(__xludf.DUMMYFUNCTION("IFNA(vlookup(H4057,IMPORTRANGE(""1vUGwO1n0QQGx9kKbO0_M5gmuhXZ6-LaxQxgrmJnzgP0"",""'TP# look up'!A:C""),3,0),"""")"),"")</f>
        <v/>
      </c>
      <c r="AH4057" s="49">
        <f>LEFT(J4057,2)</f>
        <v/>
      </c>
    </row>
    <row r="4058" ht="12.75" customHeight="1">
      <c r="H4058" s="43" t="n"/>
      <c r="AG4058" s="49">
        <f>IFERROR(__xludf.DUMMYFUNCTION("IFNA(vlookup(H4058,IMPORTRANGE(""1vUGwO1n0QQGx9kKbO0_M5gmuhXZ6-LaxQxgrmJnzgP0"",""'TP# look up'!A:C""),3,0),"""")"),"")</f>
        <v/>
      </c>
      <c r="AH4058" s="49">
        <f>LEFT(J4058,2)</f>
        <v/>
      </c>
    </row>
    <row r="4059" ht="12.75" customHeight="1">
      <c r="H4059" s="43" t="n"/>
      <c r="AG4059" s="49">
        <f>IFERROR(__xludf.DUMMYFUNCTION("IFNA(vlookup(H4059,IMPORTRANGE(""1vUGwO1n0QQGx9kKbO0_M5gmuhXZ6-LaxQxgrmJnzgP0"",""'TP# look up'!A:C""),3,0),"""")"),"")</f>
        <v/>
      </c>
      <c r="AH4059" s="49">
        <f>LEFT(J4059,2)</f>
        <v/>
      </c>
    </row>
    <row r="4060" ht="12.75" customHeight="1">
      <c r="H4060" s="43" t="n"/>
      <c r="AG4060" s="49">
        <f>IFERROR(__xludf.DUMMYFUNCTION("IFNA(vlookup(H4060,IMPORTRANGE(""1vUGwO1n0QQGx9kKbO0_M5gmuhXZ6-LaxQxgrmJnzgP0"",""'TP# look up'!A:C""),3,0),"""")"),"")</f>
        <v/>
      </c>
      <c r="AH4060" s="49">
        <f>LEFT(J4060,2)</f>
        <v/>
      </c>
    </row>
    <row r="4061" ht="12.75" customHeight="1">
      <c r="H4061" s="43" t="n"/>
      <c r="AG4061" s="49">
        <f>IFERROR(__xludf.DUMMYFUNCTION("IFNA(vlookup(H4061,IMPORTRANGE(""1vUGwO1n0QQGx9kKbO0_M5gmuhXZ6-LaxQxgrmJnzgP0"",""'TP# look up'!A:C""),3,0),"""")"),"")</f>
        <v/>
      </c>
      <c r="AH4061" s="49">
        <f>LEFT(J4061,2)</f>
        <v/>
      </c>
    </row>
    <row r="4062" ht="12.75" customHeight="1">
      <c r="H4062" s="43" t="n"/>
      <c r="AG4062" s="49">
        <f>IFERROR(__xludf.DUMMYFUNCTION("IFNA(vlookup(H4062,IMPORTRANGE(""1vUGwO1n0QQGx9kKbO0_M5gmuhXZ6-LaxQxgrmJnzgP0"",""'TP# look up'!A:C""),3,0),"""")"),"")</f>
        <v/>
      </c>
      <c r="AH4062" s="49">
        <f>LEFT(J4062,2)</f>
        <v/>
      </c>
    </row>
    <row r="4063" ht="12.75" customHeight="1">
      <c r="H4063" s="43" t="n"/>
      <c r="AG4063" s="49">
        <f>IFERROR(__xludf.DUMMYFUNCTION("IFNA(vlookup(H4063,IMPORTRANGE(""1vUGwO1n0QQGx9kKbO0_M5gmuhXZ6-LaxQxgrmJnzgP0"",""'TP# look up'!A:C""),3,0),"""")"),"")</f>
        <v/>
      </c>
      <c r="AH4063" s="49">
        <f>LEFT(J4063,2)</f>
        <v/>
      </c>
    </row>
    <row r="4064" ht="12.75" customHeight="1">
      <c r="H4064" s="43" t="n"/>
      <c r="AG4064" s="49">
        <f>IFERROR(__xludf.DUMMYFUNCTION("IFNA(vlookup(H4064,IMPORTRANGE(""1vUGwO1n0QQGx9kKbO0_M5gmuhXZ6-LaxQxgrmJnzgP0"",""'TP# look up'!A:C""),3,0),"""")"),"")</f>
        <v/>
      </c>
      <c r="AH4064" s="49">
        <f>LEFT(J4064,2)</f>
        <v/>
      </c>
    </row>
    <row r="4065" ht="12.75" customHeight="1">
      <c r="H4065" s="43" t="n"/>
      <c r="AG4065" s="49">
        <f>IFERROR(__xludf.DUMMYFUNCTION("IFNA(vlookup(H4065,IMPORTRANGE(""1vUGwO1n0QQGx9kKbO0_M5gmuhXZ6-LaxQxgrmJnzgP0"",""'TP# look up'!A:C""),3,0),"""")"),"")</f>
        <v/>
      </c>
      <c r="AH4065" s="49">
        <f>LEFT(J4065,2)</f>
        <v/>
      </c>
    </row>
    <row r="4066" ht="12.75" customHeight="1">
      <c r="H4066" s="43" t="n"/>
      <c r="AG4066" s="49">
        <f>IFERROR(__xludf.DUMMYFUNCTION("IFNA(vlookup(H4066,IMPORTRANGE(""1vUGwO1n0QQGx9kKbO0_M5gmuhXZ6-LaxQxgrmJnzgP0"",""'TP# look up'!A:C""),3,0),"""")"),"")</f>
        <v/>
      </c>
      <c r="AH4066" s="49">
        <f>LEFT(J4066,2)</f>
        <v/>
      </c>
    </row>
    <row r="4067" ht="12.75" customHeight="1">
      <c r="H4067" s="43" t="n"/>
      <c r="AG4067" s="49">
        <f>IFERROR(__xludf.DUMMYFUNCTION("IFNA(vlookup(H4067,IMPORTRANGE(""1vUGwO1n0QQGx9kKbO0_M5gmuhXZ6-LaxQxgrmJnzgP0"",""'TP# look up'!A:C""),3,0),"""")"),"")</f>
        <v/>
      </c>
      <c r="AH4067" s="49">
        <f>LEFT(J4067,2)</f>
        <v/>
      </c>
    </row>
    <row r="4068" ht="12.75" customHeight="1">
      <c r="H4068" s="43" t="n"/>
      <c r="AG4068" s="49">
        <f>IFERROR(__xludf.DUMMYFUNCTION("IFNA(vlookup(H4068,IMPORTRANGE(""1vUGwO1n0QQGx9kKbO0_M5gmuhXZ6-LaxQxgrmJnzgP0"",""'TP# look up'!A:C""),3,0),"""")"),"")</f>
        <v/>
      </c>
      <c r="AH4068" s="49">
        <f>LEFT(J4068,2)</f>
        <v/>
      </c>
    </row>
    <row r="4069" ht="12.75" customHeight="1">
      <c r="H4069" s="43" t="n"/>
      <c r="AG4069" s="49">
        <f>IFERROR(__xludf.DUMMYFUNCTION("IFNA(vlookup(H4069,IMPORTRANGE(""1vUGwO1n0QQGx9kKbO0_M5gmuhXZ6-LaxQxgrmJnzgP0"",""'TP# look up'!A:C""),3,0),"""")"),"")</f>
        <v/>
      </c>
      <c r="AH4069" s="49">
        <f>LEFT(J4069,2)</f>
        <v/>
      </c>
    </row>
    <row r="4070" ht="12.75" customHeight="1">
      <c r="H4070" s="43" t="n"/>
      <c r="AG4070" s="49">
        <f>IFERROR(__xludf.DUMMYFUNCTION("IFNA(vlookup(H4070,IMPORTRANGE(""1vUGwO1n0QQGx9kKbO0_M5gmuhXZ6-LaxQxgrmJnzgP0"",""'TP# look up'!A:C""),3,0),"""")"),"")</f>
        <v/>
      </c>
      <c r="AH4070" s="49">
        <f>LEFT(J4070,2)</f>
        <v/>
      </c>
    </row>
    <row r="4071" ht="12.75" customHeight="1">
      <c r="H4071" s="43" t="n"/>
      <c r="AG4071" s="49">
        <f>IFERROR(__xludf.DUMMYFUNCTION("IFNA(vlookup(H4071,IMPORTRANGE(""1vUGwO1n0QQGx9kKbO0_M5gmuhXZ6-LaxQxgrmJnzgP0"",""'TP# look up'!A:C""),3,0),"""")"),"")</f>
        <v/>
      </c>
      <c r="AH4071" s="49">
        <f>LEFT(J4071,2)</f>
        <v/>
      </c>
    </row>
    <row r="4072" ht="12.75" customHeight="1">
      <c r="H4072" s="43" t="n"/>
      <c r="AG4072" s="49">
        <f>IFERROR(__xludf.DUMMYFUNCTION("IFNA(vlookup(H4072,IMPORTRANGE(""1vUGwO1n0QQGx9kKbO0_M5gmuhXZ6-LaxQxgrmJnzgP0"",""'TP# look up'!A:C""),3,0),"""")"),"")</f>
        <v/>
      </c>
      <c r="AH4072" s="49">
        <f>LEFT(J4072,2)</f>
        <v/>
      </c>
    </row>
    <row r="4073" ht="12.75" customHeight="1">
      <c r="H4073" s="43" t="n"/>
      <c r="AG4073" s="49">
        <f>IFERROR(__xludf.DUMMYFUNCTION("IFNA(vlookup(H4073,IMPORTRANGE(""1vUGwO1n0QQGx9kKbO0_M5gmuhXZ6-LaxQxgrmJnzgP0"",""'TP# look up'!A:C""),3,0),"""")"),"")</f>
        <v/>
      </c>
      <c r="AH4073" s="49">
        <f>LEFT(J4073,2)</f>
        <v/>
      </c>
    </row>
    <row r="4074" ht="12.75" customHeight="1">
      <c r="H4074" s="43" t="n"/>
      <c r="AG4074" s="49">
        <f>IFERROR(__xludf.DUMMYFUNCTION("IFNA(vlookup(H4074,IMPORTRANGE(""1vUGwO1n0QQGx9kKbO0_M5gmuhXZ6-LaxQxgrmJnzgP0"",""'TP# look up'!A:C""),3,0),"""")"),"")</f>
        <v/>
      </c>
      <c r="AH4074" s="49">
        <f>LEFT(J4074,2)</f>
        <v/>
      </c>
    </row>
    <row r="4075" ht="12.75" customHeight="1">
      <c r="H4075" s="43" t="n"/>
      <c r="AG4075" s="49">
        <f>IFERROR(__xludf.DUMMYFUNCTION("IFNA(vlookup(H4075,IMPORTRANGE(""1vUGwO1n0QQGx9kKbO0_M5gmuhXZ6-LaxQxgrmJnzgP0"",""'TP# look up'!A:C""),3,0),"""")"),"")</f>
        <v/>
      </c>
      <c r="AH4075" s="49">
        <f>LEFT(J4075,2)</f>
        <v/>
      </c>
    </row>
    <row r="4076" ht="12.75" customHeight="1">
      <c r="H4076" s="43" t="n"/>
      <c r="AG4076" s="49">
        <f>IFERROR(__xludf.DUMMYFUNCTION("IFNA(vlookup(H4076,IMPORTRANGE(""1vUGwO1n0QQGx9kKbO0_M5gmuhXZ6-LaxQxgrmJnzgP0"",""'TP# look up'!A:C""),3,0),"""")"),"")</f>
        <v/>
      </c>
      <c r="AH4076" s="49">
        <f>LEFT(J4076,2)</f>
        <v/>
      </c>
    </row>
    <row r="4077" ht="12.75" customHeight="1">
      <c r="H4077" s="43" t="n"/>
      <c r="AG4077" s="49">
        <f>IFERROR(__xludf.DUMMYFUNCTION("IFNA(vlookup(H4077,IMPORTRANGE(""1vUGwO1n0QQGx9kKbO0_M5gmuhXZ6-LaxQxgrmJnzgP0"",""'TP# look up'!A:C""),3,0),"""")"),"")</f>
        <v/>
      </c>
      <c r="AH4077" s="49">
        <f>LEFT(J4077,2)</f>
        <v/>
      </c>
    </row>
    <row r="4078" ht="12.75" customHeight="1">
      <c r="H4078" s="43" t="n"/>
      <c r="AG4078" s="49">
        <f>IFERROR(__xludf.DUMMYFUNCTION("IFNA(vlookup(H4078,IMPORTRANGE(""1vUGwO1n0QQGx9kKbO0_M5gmuhXZ6-LaxQxgrmJnzgP0"",""'TP# look up'!A:C""),3,0),"""")"),"")</f>
        <v/>
      </c>
      <c r="AH4078" s="49">
        <f>LEFT(J4078,2)</f>
        <v/>
      </c>
    </row>
    <row r="4079" ht="12.75" customHeight="1">
      <c r="H4079" s="43" t="n"/>
      <c r="AG4079" s="49">
        <f>IFERROR(__xludf.DUMMYFUNCTION("IFNA(vlookup(H4079,IMPORTRANGE(""1vUGwO1n0QQGx9kKbO0_M5gmuhXZ6-LaxQxgrmJnzgP0"",""'TP# look up'!A:C""),3,0),"""")"),"")</f>
        <v/>
      </c>
      <c r="AH4079" s="49">
        <f>LEFT(J4079,2)</f>
        <v/>
      </c>
    </row>
    <row r="4080" ht="12.75" customHeight="1">
      <c r="H4080" s="43" t="n"/>
      <c r="AG4080" s="49">
        <f>IFERROR(__xludf.DUMMYFUNCTION("IFNA(vlookup(H4080,IMPORTRANGE(""1vUGwO1n0QQGx9kKbO0_M5gmuhXZ6-LaxQxgrmJnzgP0"",""'TP# look up'!A:C""),3,0),"""")"),"")</f>
        <v/>
      </c>
      <c r="AH4080" s="49">
        <f>LEFT(J4080,2)</f>
        <v/>
      </c>
    </row>
    <row r="4081" ht="12.75" customHeight="1">
      <c r="H4081" s="43" t="n"/>
      <c r="AG4081" s="49">
        <f>IFERROR(__xludf.DUMMYFUNCTION("IFNA(vlookup(H4081,IMPORTRANGE(""1vUGwO1n0QQGx9kKbO0_M5gmuhXZ6-LaxQxgrmJnzgP0"",""'TP# look up'!A:C""),3,0),"""")"),"")</f>
        <v/>
      </c>
      <c r="AH4081" s="49">
        <f>LEFT(J4081,2)</f>
        <v/>
      </c>
    </row>
    <row r="4082" ht="12.75" customHeight="1">
      <c r="H4082" s="43" t="n"/>
      <c r="AG4082" s="49">
        <f>IFERROR(__xludf.DUMMYFUNCTION("IFNA(vlookup(H4082,IMPORTRANGE(""1vUGwO1n0QQGx9kKbO0_M5gmuhXZ6-LaxQxgrmJnzgP0"",""'TP# look up'!A:C""),3,0),"""")"),"")</f>
        <v/>
      </c>
      <c r="AH4082" s="49">
        <f>LEFT(J4082,2)</f>
        <v/>
      </c>
    </row>
    <row r="4083" ht="12.75" customHeight="1">
      <c r="H4083" s="43" t="n"/>
      <c r="AG4083" s="49">
        <f>IFERROR(__xludf.DUMMYFUNCTION("IFNA(vlookup(H4083,IMPORTRANGE(""1vUGwO1n0QQGx9kKbO0_M5gmuhXZ6-LaxQxgrmJnzgP0"",""'TP# look up'!A:C""),3,0),"""")"),"")</f>
        <v/>
      </c>
      <c r="AH4083" s="49">
        <f>LEFT(J4083,2)</f>
        <v/>
      </c>
    </row>
    <row r="4084" ht="12.75" customHeight="1">
      <c r="H4084" s="43" t="n"/>
      <c r="AG4084" s="49">
        <f>IFERROR(__xludf.DUMMYFUNCTION("IFNA(vlookup(H4084,IMPORTRANGE(""1vUGwO1n0QQGx9kKbO0_M5gmuhXZ6-LaxQxgrmJnzgP0"",""'TP# look up'!A:C""),3,0),"""")"),"")</f>
        <v/>
      </c>
      <c r="AH4084" s="49">
        <f>LEFT(J4084,2)</f>
        <v/>
      </c>
    </row>
    <row r="4085" ht="12.75" customHeight="1">
      <c r="H4085" s="43" t="n"/>
      <c r="AG4085" s="49">
        <f>IFERROR(__xludf.DUMMYFUNCTION("IFNA(vlookup(H4085,IMPORTRANGE(""1vUGwO1n0QQGx9kKbO0_M5gmuhXZ6-LaxQxgrmJnzgP0"",""'TP# look up'!A:C""),3,0),"""")"),"")</f>
        <v/>
      </c>
      <c r="AH4085" s="49">
        <f>LEFT(J4085,2)</f>
        <v/>
      </c>
    </row>
    <row r="4086" ht="12.75" customHeight="1">
      <c r="H4086" s="43" t="n"/>
      <c r="AG4086" s="49">
        <f>IFERROR(__xludf.DUMMYFUNCTION("IFNA(vlookup(H4086,IMPORTRANGE(""1vUGwO1n0QQGx9kKbO0_M5gmuhXZ6-LaxQxgrmJnzgP0"",""'TP# look up'!A:C""),3,0),"""")"),"")</f>
        <v/>
      </c>
      <c r="AH4086" s="49">
        <f>LEFT(J4086,2)</f>
        <v/>
      </c>
    </row>
    <row r="4087" ht="12.75" customHeight="1">
      <c r="H4087" s="43" t="n"/>
      <c r="AG4087" s="49">
        <f>IFERROR(__xludf.DUMMYFUNCTION("IFNA(vlookup(H4087,IMPORTRANGE(""1vUGwO1n0QQGx9kKbO0_M5gmuhXZ6-LaxQxgrmJnzgP0"",""'TP# look up'!A:C""),3,0),"""")"),"")</f>
        <v/>
      </c>
      <c r="AH4087" s="49">
        <f>LEFT(J4087,2)</f>
        <v/>
      </c>
    </row>
    <row r="4088" ht="12.75" customHeight="1">
      <c r="H4088" s="43" t="n"/>
      <c r="AG4088" s="49">
        <f>IFERROR(__xludf.DUMMYFUNCTION("IFNA(vlookup(H4088,IMPORTRANGE(""1vUGwO1n0QQGx9kKbO0_M5gmuhXZ6-LaxQxgrmJnzgP0"",""'TP# look up'!A:C""),3,0),"""")"),"")</f>
        <v/>
      </c>
      <c r="AH4088" s="49">
        <f>LEFT(J4088,2)</f>
        <v/>
      </c>
    </row>
    <row r="4089" ht="12.75" customHeight="1">
      <c r="H4089" s="43" t="n"/>
      <c r="AG4089" s="49">
        <f>IFERROR(__xludf.DUMMYFUNCTION("IFNA(vlookup(H4089,IMPORTRANGE(""1vUGwO1n0QQGx9kKbO0_M5gmuhXZ6-LaxQxgrmJnzgP0"",""'TP# look up'!A:C""),3,0),"""")"),"")</f>
        <v/>
      </c>
      <c r="AH4089" s="49">
        <f>LEFT(J4089,2)</f>
        <v/>
      </c>
    </row>
    <row r="4090" ht="12.75" customHeight="1">
      <c r="H4090" s="43" t="n"/>
      <c r="AG4090" s="49">
        <f>IFERROR(__xludf.DUMMYFUNCTION("IFNA(vlookup(H4090,IMPORTRANGE(""1vUGwO1n0QQGx9kKbO0_M5gmuhXZ6-LaxQxgrmJnzgP0"",""'TP# look up'!A:C""),3,0),"""")"),"")</f>
        <v/>
      </c>
      <c r="AH4090" s="49">
        <f>LEFT(J4090,2)</f>
        <v/>
      </c>
    </row>
    <row r="4091" ht="12.75" customHeight="1">
      <c r="H4091" s="43" t="n"/>
      <c r="AG4091" s="49">
        <f>IFERROR(__xludf.DUMMYFUNCTION("IFNA(vlookup(H4091,IMPORTRANGE(""1vUGwO1n0QQGx9kKbO0_M5gmuhXZ6-LaxQxgrmJnzgP0"",""'TP# look up'!A:C""),3,0),"""")"),"")</f>
        <v/>
      </c>
      <c r="AH4091" s="49">
        <f>LEFT(J4091,2)</f>
        <v/>
      </c>
    </row>
    <row r="4092" ht="12.75" customHeight="1">
      <c r="H4092" s="43" t="n"/>
      <c r="AG4092" s="49">
        <f>IFERROR(__xludf.DUMMYFUNCTION("IFNA(vlookup(H4092,IMPORTRANGE(""1vUGwO1n0QQGx9kKbO0_M5gmuhXZ6-LaxQxgrmJnzgP0"",""'TP# look up'!A:C""),3,0),"""")"),"")</f>
        <v/>
      </c>
      <c r="AH4092" s="49">
        <f>LEFT(J4092,2)</f>
        <v/>
      </c>
    </row>
    <row r="4093" ht="12.75" customHeight="1">
      <c r="H4093" s="43" t="n"/>
      <c r="AG4093" s="49">
        <f>IFERROR(__xludf.DUMMYFUNCTION("IFNA(vlookup(H4093,IMPORTRANGE(""1vUGwO1n0QQGx9kKbO0_M5gmuhXZ6-LaxQxgrmJnzgP0"",""'TP# look up'!A:C""),3,0),"""")"),"")</f>
        <v/>
      </c>
      <c r="AH4093" s="49">
        <f>LEFT(J4093,2)</f>
        <v/>
      </c>
    </row>
    <row r="4094" ht="12.75" customHeight="1">
      <c r="H4094" s="43" t="n"/>
      <c r="AG4094" s="49">
        <f>IFERROR(__xludf.DUMMYFUNCTION("IFNA(vlookup(H4094,IMPORTRANGE(""1vUGwO1n0QQGx9kKbO0_M5gmuhXZ6-LaxQxgrmJnzgP0"",""'TP# look up'!A:C""),3,0),"""")"),"")</f>
        <v/>
      </c>
      <c r="AH4094" s="49">
        <f>LEFT(J4094,2)</f>
        <v/>
      </c>
    </row>
    <row r="4095" ht="12.75" customHeight="1">
      <c r="H4095" s="43" t="n"/>
      <c r="AG4095" s="49">
        <f>IFERROR(__xludf.DUMMYFUNCTION("IFNA(vlookup(H4095,IMPORTRANGE(""1vUGwO1n0QQGx9kKbO0_M5gmuhXZ6-LaxQxgrmJnzgP0"",""'TP# look up'!A:C""),3,0),"""")"),"")</f>
        <v/>
      </c>
      <c r="AH4095" s="49">
        <f>LEFT(J4095,2)</f>
        <v/>
      </c>
    </row>
    <row r="4096" ht="12.75" customHeight="1">
      <c r="H4096" s="43" t="n"/>
      <c r="AG4096" s="49">
        <f>IFERROR(__xludf.DUMMYFUNCTION("IFNA(vlookup(H4096,IMPORTRANGE(""1vUGwO1n0QQGx9kKbO0_M5gmuhXZ6-LaxQxgrmJnzgP0"",""'TP# look up'!A:C""),3,0),"""")"),"")</f>
        <v/>
      </c>
      <c r="AH4096" s="49">
        <f>LEFT(J4096,2)</f>
        <v/>
      </c>
    </row>
    <row r="4097" ht="12.75" customHeight="1">
      <c r="H4097" s="43" t="n"/>
      <c r="AG4097" s="49">
        <f>IFERROR(__xludf.DUMMYFUNCTION("IFNA(vlookup(H4097,IMPORTRANGE(""1vUGwO1n0QQGx9kKbO0_M5gmuhXZ6-LaxQxgrmJnzgP0"",""'TP# look up'!A:C""),3,0),"""")"),"")</f>
        <v/>
      </c>
      <c r="AH4097" s="49">
        <f>LEFT(J4097,2)</f>
        <v/>
      </c>
    </row>
    <row r="4098" ht="12.75" customHeight="1">
      <c r="H4098" s="43" t="n"/>
      <c r="AG4098" s="49">
        <f>IFERROR(__xludf.DUMMYFUNCTION("IFNA(vlookup(H4098,IMPORTRANGE(""1vUGwO1n0QQGx9kKbO0_M5gmuhXZ6-LaxQxgrmJnzgP0"",""'TP# look up'!A:C""),3,0),"""")"),"")</f>
        <v/>
      </c>
      <c r="AH4098" s="49">
        <f>LEFT(J4098,2)</f>
        <v/>
      </c>
    </row>
    <row r="4099" ht="12.75" customHeight="1">
      <c r="H4099" s="43" t="n"/>
      <c r="AG4099" s="49">
        <f>IFERROR(__xludf.DUMMYFUNCTION("IFNA(vlookup(H4099,IMPORTRANGE(""1vUGwO1n0QQGx9kKbO0_M5gmuhXZ6-LaxQxgrmJnzgP0"",""'TP# look up'!A:C""),3,0),"""")"),"")</f>
        <v/>
      </c>
      <c r="AH4099" s="49">
        <f>LEFT(J4099,2)</f>
        <v/>
      </c>
    </row>
    <row r="4100" ht="12.75" customHeight="1">
      <c r="H4100" s="43" t="n"/>
      <c r="AG4100" s="49">
        <f>IFERROR(__xludf.DUMMYFUNCTION("IFNA(vlookup(H4100,IMPORTRANGE(""1vUGwO1n0QQGx9kKbO0_M5gmuhXZ6-LaxQxgrmJnzgP0"",""'TP# look up'!A:C""),3,0),"""")"),"")</f>
        <v/>
      </c>
      <c r="AH4100" s="49">
        <f>LEFT(J4100,2)</f>
        <v/>
      </c>
    </row>
    <row r="4101" ht="12.75" customHeight="1">
      <c r="H4101" s="43" t="n"/>
      <c r="AG4101" s="49">
        <f>IFERROR(__xludf.DUMMYFUNCTION("IFNA(vlookup(H4101,IMPORTRANGE(""1vUGwO1n0QQGx9kKbO0_M5gmuhXZ6-LaxQxgrmJnzgP0"",""'TP# look up'!A:C""),3,0),"""")"),"")</f>
        <v/>
      </c>
      <c r="AH4101" s="49">
        <f>LEFT(J4101,2)</f>
        <v/>
      </c>
    </row>
    <row r="4102" ht="12.75" customHeight="1">
      <c r="H4102" s="43" t="n"/>
      <c r="AG4102" s="49">
        <f>IFERROR(__xludf.DUMMYFUNCTION("IFNA(vlookup(H4102,IMPORTRANGE(""1vUGwO1n0QQGx9kKbO0_M5gmuhXZ6-LaxQxgrmJnzgP0"",""'TP# look up'!A:C""),3,0),"""")"),"")</f>
        <v/>
      </c>
      <c r="AH4102" s="49">
        <f>LEFT(J4102,2)</f>
        <v/>
      </c>
    </row>
    <row r="4103" ht="12.75" customHeight="1">
      <c r="H4103" s="43" t="n"/>
      <c r="AG4103" s="49">
        <f>IFERROR(__xludf.DUMMYFUNCTION("IFNA(vlookup(H4103,IMPORTRANGE(""1vUGwO1n0QQGx9kKbO0_M5gmuhXZ6-LaxQxgrmJnzgP0"",""'TP# look up'!A:C""),3,0),"""")"),"")</f>
        <v/>
      </c>
      <c r="AH4103" s="49">
        <f>LEFT(J4103,2)</f>
        <v/>
      </c>
    </row>
    <row r="4104" ht="12.75" customHeight="1">
      <c r="H4104" s="43" t="n"/>
      <c r="AG4104" s="49">
        <f>IFERROR(__xludf.DUMMYFUNCTION("IFNA(vlookup(H4104,IMPORTRANGE(""1vUGwO1n0QQGx9kKbO0_M5gmuhXZ6-LaxQxgrmJnzgP0"",""'TP# look up'!A:C""),3,0),"""")"),"")</f>
        <v/>
      </c>
      <c r="AH4104" s="49">
        <f>LEFT(J4104,2)</f>
        <v/>
      </c>
    </row>
    <row r="4105" ht="12.75" customHeight="1">
      <c r="H4105" s="43" t="n"/>
      <c r="AG4105" s="49">
        <f>IFERROR(__xludf.DUMMYFUNCTION("IFNA(vlookup(H4105,IMPORTRANGE(""1vUGwO1n0QQGx9kKbO0_M5gmuhXZ6-LaxQxgrmJnzgP0"",""'TP# look up'!A:C""),3,0),"""")"),"")</f>
        <v/>
      </c>
      <c r="AH4105" s="49">
        <f>LEFT(J4105,2)</f>
        <v/>
      </c>
    </row>
    <row r="4106" ht="12.75" customHeight="1">
      <c r="H4106" s="43" t="n"/>
      <c r="AG4106" s="49">
        <f>IFERROR(__xludf.DUMMYFUNCTION("IFNA(vlookup(H4106,IMPORTRANGE(""1vUGwO1n0QQGx9kKbO0_M5gmuhXZ6-LaxQxgrmJnzgP0"",""'TP# look up'!A:C""),3,0),"""")"),"")</f>
        <v/>
      </c>
      <c r="AH4106" s="49">
        <f>LEFT(J4106,2)</f>
        <v/>
      </c>
    </row>
    <row r="4107" ht="12.75" customHeight="1">
      <c r="H4107" s="43" t="n"/>
      <c r="AG4107" s="49">
        <f>IFERROR(__xludf.DUMMYFUNCTION("IFNA(vlookup(H4107,IMPORTRANGE(""1vUGwO1n0QQGx9kKbO0_M5gmuhXZ6-LaxQxgrmJnzgP0"",""'TP# look up'!A:C""),3,0),"""")"),"")</f>
        <v/>
      </c>
      <c r="AH4107" s="49">
        <f>LEFT(J4107,2)</f>
        <v/>
      </c>
    </row>
    <row r="4108" ht="12.75" customHeight="1">
      <c r="H4108" s="43" t="n"/>
      <c r="AG4108" s="49">
        <f>IFERROR(__xludf.DUMMYFUNCTION("IFNA(vlookup(H4108,IMPORTRANGE(""1vUGwO1n0QQGx9kKbO0_M5gmuhXZ6-LaxQxgrmJnzgP0"",""'TP# look up'!A:C""),3,0),"""")"),"")</f>
        <v/>
      </c>
      <c r="AH4108" s="49">
        <f>LEFT(J4108,2)</f>
        <v/>
      </c>
    </row>
    <row r="4109" ht="12.75" customHeight="1">
      <c r="H4109" s="43" t="n"/>
      <c r="AG4109" s="49">
        <f>IFERROR(__xludf.DUMMYFUNCTION("IFNA(vlookup(H4109,IMPORTRANGE(""1vUGwO1n0QQGx9kKbO0_M5gmuhXZ6-LaxQxgrmJnzgP0"",""'TP# look up'!A:C""),3,0),"""")"),"")</f>
        <v/>
      </c>
      <c r="AH4109" s="49">
        <f>LEFT(J4109,2)</f>
        <v/>
      </c>
    </row>
    <row r="4110" ht="12.75" customHeight="1">
      <c r="H4110" s="43" t="n"/>
      <c r="AG4110" s="49">
        <f>IFERROR(__xludf.DUMMYFUNCTION("IFNA(vlookup(H4110,IMPORTRANGE(""1vUGwO1n0QQGx9kKbO0_M5gmuhXZ6-LaxQxgrmJnzgP0"",""'TP# look up'!A:C""),3,0),"""")"),"")</f>
        <v/>
      </c>
      <c r="AH4110" s="49">
        <f>LEFT(J4110,2)</f>
        <v/>
      </c>
    </row>
    <row r="4111" ht="12.75" customHeight="1">
      <c r="H4111" s="43" t="n"/>
      <c r="AG4111" s="49">
        <f>IFERROR(__xludf.DUMMYFUNCTION("IFNA(vlookup(H4111,IMPORTRANGE(""1vUGwO1n0QQGx9kKbO0_M5gmuhXZ6-LaxQxgrmJnzgP0"",""'TP# look up'!A:C""),3,0),"""")"),"")</f>
        <v/>
      </c>
      <c r="AH4111" s="49">
        <f>LEFT(J4111,2)</f>
        <v/>
      </c>
    </row>
    <row r="4112" ht="12.75" customHeight="1">
      <c r="H4112" s="43" t="n"/>
      <c r="AG4112" s="49">
        <f>IFERROR(__xludf.DUMMYFUNCTION("IFNA(vlookup(H4112,IMPORTRANGE(""1vUGwO1n0QQGx9kKbO0_M5gmuhXZ6-LaxQxgrmJnzgP0"",""'TP# look up'!A:C""),3,0),"""")"),"")</f>
        <v/>
      </c>
      <c r="AH4112" s="49">
        <f>LEFT(J4112,2)</f>
        <v/>
      </c>
    </row>
    <row r="4113" ht="12.75" customHeight="1">
      <c r="H4113" s="43" t="n"/>
      <c r="AG4113" s="49">
        <f>IFERROR(__xludf.DUMMYFUNCTION("IFNA(vlookup(H4113,IMPORTRANGE(""1vUGwO1n0QQGx9kKbO0_M5gmuhXZ6-LaxQxgrmJnzgP0"",""'TP# look up'!A:C""),3,0),"""")"),"")</f>
        <v/>
      </c>
      <c r="AH4113" s="49">
        <f>LEFT(J4113,2)</f>
        <v/>
      </c>
    </row>
    <row r="4114" ht="12.75" customHeight="1">
      <c r="H4114" s="43" t="n"/>
      <c r="AG4114" s="49">
        <f>IFERROR(__xludf.DUMMYFUNCTION("IFNA(vlookup(H4114,IMPORTRANGE(""1vUGwO1n0QQGx9kKbO0_M5gmuhXZ6-LaxQxgrmJnzgP0"",""'TP# look up'!A:C""),3,0),"""")"),"")</f>
        <v/>
      </c>
      <c r="AH4114" s="49">
        <f>LEFT(J4114,2)</f>
        <v/>
      </c>
    </row>
    <row r="4115" ht="12.75" customHeight="1">
      <c r="H4115" s="43" t="n"/>
      <c r="AG4115" s="49">
        <f>IFERROR(__xludf.DUMMYFUNCTION("IFNA(vlookup(H4115,IMPORTRANGE(""1vUGwO1n0QQGx9kKbO0_M5gmuhXZ6-LaxQxgrmJnzgP0"",""'TP# look up'!A:C""),3,0),"""")"),"")</f>
        <v/>
      </c>
      <c r="AH4115" s="49">
        <f>LEFT(J4115,2)</f>
        <v/>
      </c>
    </row>
    <row r="4116" ht="12.75" customHeight="1">
      <c r="H4116" s="43" t="n"/>
      <c r="AG4116" s="49">
        <f>IFERROR(__xludf.DUMMYFUNCTION("IFNA(vlookup(H4116,IMPORTRANGE(""1vUGwO1n0QQGx9kKbO0_M5gmuhXZ6-LaxQxgrmJnzgP0"",""'TP# look up'!A:C""),3,0),"""")"),"")</f>
        <v/>
      </c>
      <c r="AH4116" s="49">
        <f>LEFT(J4116,2)</f>
        <v/>
      </c>
    </row>
    <row r="4117" ht="12.75" customHeight="1">
      <c r="H4117" s="43" t="n"/>
      <c r="AG4117" s="49">
        <f>IFERROR(__xludf.DUMMYFUNCTION("IFNA(vlookup(H4117,IMPORTRANGE(""1vUGwO1n0QQGx9kKbO0_M5gmuhXZ6-LaxQxgrmJnzgP0"",""'TP# look up'!A:C""),3,0),"""")"),"")</f>
        <v/>
      </c>
      <c r="AH4117" s="49">
        <f>LEFT(J4117,2)</f>
        <v/>
      </c>
    </row>
    <row r="4118" ht="12.75" customHeight="1">
      <c r="H4118" s="43" t="n"/>
      <c r="AG4118" s="49">
        <f>IFERROR(__xludf.DUMMYFUNCTION("IFNA(vlookup(H4118,IMPORTRANGE(""1vUGwO1n0QQGx9kKbO0_M5gmuhXZ6-LaxQxgrmJnzgP0"",""'TP# look up'!A:C""),3,0),"""")"),"")</f>
        <v/>
      </c>
      <c r="AH4118" s="49">
        <f>LEFT(J4118,2)</f>
        <v/>
      </c>
    </row>
    <row r="4119" ht="12.75" customHeight="1">
      <c r="H4119" s="43" t="n"/>
      <c r="AG4119" s="49">
        <f>IFERROR(__xludf.DUMMYFUNCTION("IFNA(vlookup(H4119,IMPORTRANGE(""1vUGwO1n0QQGx9kKbO0_M5gmuhXZ6-LaxQxgrmJnzgP0"",""'TP# look up'!A:C""),3,0),"""")"),"")</f>
        <v/>
      </c>
      <c r="AH4119" s="49">
        <f>LEFT(J4119,2)</f>
        <v/>
      </c>
    </row>
    <row r="4120" ht="12.75" customHeight="1">
      <c r="H4120" s="43" t="n"/>
      <c r="AG4120" s="49">
        <f>IFERROR(__xludf.DUMMYFUNCTION("IFNA(vlookup(H4120,IMPORTRANGE(""1vUGwO1n0QQGx9kKbO0_M5gmuhXZ6-LaxQxgrmJnzgP0"",""'TP# look up'!A:C""),3,0),"""")"),"")</f>
        <v/>
      </c>
      <c r="AH4120" s="49">
        <f>LEFT(J4120,2)</f>
        <v/>
      </c>
    </row>
    <row r="4121" ht="12.75" customHeight="1">
      <c r="H4121" s="43" t="n"/>
      <c r="AG4121" s="49">
        <f>IFERROR(__xludf.DUMMYFUNCTION("IFNA(vlookup(H4121,IMPORTRANGE(""1vUGwO1n0QQGx9kKbO0_M5gmuhXZ6-LaxQxgrmJnzgP0"",""'TP# look up'!A:C""),3,0),"""")"),"")</f>
        <v/>
      </c>
      <c r="AH4121" s="49">
        <f>LEFT(J4121,2)</f>
        <v/>
      </c>
    </row>
    <row r="4122" ht="12.75" customHeight="1">
      <c r="H4122" s="43" t="n"/>
      <c r="AG4122" s="49">
        <f>IFERROR(__xludf.DUMMYFUNCTION("IFNA(vlookup(H4122,IMPORTRANGE(""1vUGwO1n0QQGx9kKbO0_M5gmuhXZ6-LaxQxgrmJnzgP0"",""'TP# look up'!A:C""),3,0),"""")"),"")</f>
        <v/>
      </c>
      <c r="AH4122" s="49">
        <f>LEFT(J4122,2)</f>
        <v/>
      </c>
    </row>
    <row r="4123" ht="12.75" customHeight="1">
      <c r="H4123" s="43" t="n"/>
      <c r="AG4123" s="49">
        <f>IFERROR(__xludf.DUMMYFUNCTION("IFNA(vlookup(H4123,IMPORTRANGE(""1vUGwO1n0QQGx9kKbO0_M5gmuhXZ6-LaxQxgrmJnzgP0"",""'TP# look up'!A:C""),3,0),"""")"),"")</f>
        <v/>
      </c>
      <c r="AH4123" s="49">
        <f>LEFT(J4123,2)</f>
        <v/>
      </c>
    </row>
    <row r="4124" ht="12.75" customHeight="1">
      <c r="H4124" s="43" t="n"/>
      <c r="AG4124" s="49">
        <f>IFERROR(__xludf.DUMMYFUNCTION("IFNA(vlookup(H4124,IMPORTRANGE(""1vUGwO1n0QQGx9kKbO0_M5gmuhXZ6-LaxQxgrmJnzgP0"",""'TP# look up'!A:C""),3,0),"""")"),"")</f>
        <v/>
      </c>
      <c r="AH4124" s="49">
        <f>LEFT(J4124,2)</f>
        <v/>
      </c>
    </row>
    <row r="4125" ht="12.75" customHeight="1">
      <c r="H4125" s="43" t="n"/>
      <c r="AG4125" s="49">
        <f>IFERROR(__xludf.DUMMYFUNCTION("IFNA(vlookup(H4125,IMPORTRANGE(""1vUGwO1n0QQGx9kKbO0_M5gmuhXZ6-LaxQxgrmJnzgP0"",""'TP# look up'!A:C""),3,0),"""")"),"")</f>
        <v/>
      </c>
      <c r="AH4125" s="49">
        <f>LEFT(J4125,2)</f>
        <v/>
      </c>
    </row>
    <row r="4126" ht="12.75" customHeight="1">
      <c r="H4126" s="43" t="n"/>
      <c r="AG4126" s="49">
        <f>IFERROR(__xludf.DUMMYFUNCTION("IFNA(vlookup(H4126,IMPORTRANGE(""1vUGwO1n0QQGx9kKbO0_M5gmuhXZ6-LaxQxgrmJnzgP0"",""'TP# look up'!A:C""),3,0),"""")"),"")</f>
        <v/>
      </c>
      <c r="AH4126" s="49">
        <f>LEFT(J4126,2)</f>
        <v/>
      </c>
    </row>
    <row r="4127" ht="12.75" customHeight="1">
      <c r="H4127" s="43" t="n"/>
      <c r="AG4127" s="49">
        <f>IFERROR(__xludf.DUMMYFUNCTION("IFNA(vlookup(H4127,IMPORTRANGE(""1vUGwO1n0QQGx9kKbO0_M5gmuhXZ6-LaxQxgrmJnzgP0"",""'TP# look up'!A:C""),3,0),"""")"),"")</f>
        <v/>
      </c>
      <c r="AH4127" s="49">
        <f>LEFT(J4127,2)</f>
        <v/>
      </c>
    </row>
    <row r="4128" ht="12.75" customHeight="1">
      <c r="H4128" s="43" t="n"/>
      <c r="AG4128" s="49">
        <f>IFERROR(__xludf.DUMMYFUNCTION("IFNA(vlookup(H4128,IMPORTRANGE(""1vUGwO1n0QQGx9kKbO0_M5gmuhXZ6-LaxQxgrmJnzgP0"",""'TP# look up'!A:C""),3,0),"""")"),"")</f>
        <v/>
      </c>
      <c r="AH4128" s="49">
        <f>LEFT(J4128,2)</f>
        <v/>
      </c>
    </row>
    <row r="4129" ht="12.75" customHeight="1">
      <c r="H4129" s="43" t="n"/>
      <c r="AG4129" s="49">
        <f>IFERROR(__xludf.DUMMYFUNCTION("IFNA(vlookup(H4129,IMPORTRANGE(""1vUGwO1n0QQGx9kKbO0_M5gmuhXZ6-LaxQxgrmJnzgP0"",""'TP# look up'!A:C""),3,0),"""")"),"")</f>
        <v/>
      </c>
      <c r="AH4129" s="49">
        <f>LEFT(J4129,2)</f>
        <v/>
      </c>
    </row>
    <row r="4130" ht="12.75" customHeight="1">
      <c r="H4130" s="43" t="n"/>
      <c r="AG4130" s="49">
        <f>IFERROR(__xludf.DUMMYFUNCTION("IFNA(vlookup(H4130,IMPORTRANGE(""1vUGwO1n0QQGx9kKbO0_M5gmuhXZ6-LaxQxgrmJnzgP0"",""'TP# look up'!A:C""),3,0),"""")"),"")</f>
        <v/>
      </c>
      <c r="AH4130" s="49">
        <f>LEFT(J4130,2)</f>
        <v/>
      </c>
    </row>
    <row r="4131" ht="12.75" customHeight="1">
      <c r="H4131" s="43" t="n"/>
      <c r="AG4131" s="49">
        <f>IFERROR(__xludf.DUMMYFUNCTION("IFNA(vlookup(H4131,IMPORTRANGE(""1vUGwO1n0QQGx9kKbO0_M5gmuhXZ6-LaxQxgrmJnzgP0"",""'TP# look up'!A:C""),3,0),"""")"),"")</f>
        <v/>
      </c>
      <c r="AH4131" s="49">
        <f>LEFT(J4131,2)</f>
        <v/>
      </c>
    </row>
    <row r="4132" ht="12.75" customHeight="1">
      <c r="H4132" s="43" t="n"/>
      <c r="AG4132" s="49">
        <f>IFERROR(__xludf.DUMMYFUNCTION("IFNA(vlookup(H4132,IMPORTRANGE(""1vUGwO1n0QQGx9kKbO0_M5gmuhXZ6-LaxQxgrmJnzgP0"",""'TP# look up'!A:C""),3,0),"""")"),"")</f>
        <v/>
      </c>
      <c r="AH4132" s="49">
        <f>LEFT(J4132,2)</f>
        <v/>
      </c>
    </row>
    <row r="4133" ht="12.75" customHeight="1">
      <c r="H4133" s="43" t="n"/>
      <c r="AG4133" s="49">
        <f>IFERROR(__xludf.DUMMYFUNCTION("IFNA(vlookup(H4133,IMPORTRANGE(""1vUGwO1n0QQGx9kKbO0_M5gmuhXZ6-LaxQxgrmJnzgP0"",""'TP# look up'!A:C""),3,0),"""")"),"")</f>
        <v/>
      </c>
      <c r="AH4133" s="49">
        <f>LEFT(J4133,2)</f>
        <v/>
      </c>
    </row>
    <row r="4134" ht="12.75" customHeight="1">
      <c r="H4134" s="43" t="n"/>
      <c r="AG4134" s="49">
        <f>IFERROR(__xludf.DUMMYFUNCTION("IFNA(vlookup(H4134,IMPORTRANGE(""1vUGwO1n0QQGx9kKbO0_M5gmuhXZ6-LaxQxgrmJnzgP0"",""'TP# look up'!A:C""),3,0),"""")"),"")</f>
        <v/>
      </c>
      <c r="AH4134" s="49">
        <f>LEFT(J4134,2)</f>
        <v/>
      </c>
    </row>
    <row r="4135" ht="12.75" customHeight="1">
      <c r="H4135" s="43" t="n"/>
      <c r="AG4135" s="49">
        <f>IFERROR(__xludf.DUMMYFUNCTION("IFNA(vlookup(H4135,IMPORTRANGE(""1vUGwO1n0QQGx9kKbO0_M5gmuhXZ6-LaxQxgrmJnzgP0"",""'TP# look up'!A:C""),3,0),"""")"),"")</f>
        <v/>
      </c>
      <c r="AH4135" s="49">
        <f>LEFT(J4135,2)</f>
        <v/>
      </c>
    </row>
    <row r="4136" ht="12.75" customHeight="1">
      <c r="H4136" s="43" t="n"/>
      <c r="AG4136" s="49">
        <f>IFERROR(__xludf.DUMMYFUNCTION("IFNA(vlookup(H4136,IMPORTRANGE(""1vUGwO1n0QQGx9kKbO0_M5gmuhXZ6-LaxQxgrmJnzgP0"",""'TP# look up'!A:C""),3,0),"""")"),"")</f>
        <v/>
      </c>
      <c r="AH4136" s="49">
        <f>LEFT(J4136,2)</f>
        <v/>
      </c>
    </row>
    <row r="4137" ht="12.75" customHeight="1">
      <c r="H4137" s="43" t="n"/>
      <c r="AG4137" s="49">
        <f>IFERROR(__xludf.DUMMYFUNCTION("IFNA(vlookup(H4137,IMPORTRANGE(""1vUGwO1n0QQGx9kKbO0_M5gmuhXZ6-LaxQxgrmJnzgP0"",""'TP# look up'!A:C""),3,0),"""")"),"")</f>
        <v/>
      </c>
      <c r="AH4137" s="49">
        <f>LEFT(J4137,2)</f>
        <v/>
      </c>
    </row>
    <row r="4138" ht="12.75" customHeight="1">
      <c r="H4138" s="43" t="n"/>
      <c r="AG4138" s="49">
        <f>IFERROR(__xludf.DUMMYFUNCTION("IFNA(vlookup(H4138,IMPORTRANGE(""1vUGwO1n0QQGx9kKbO0_M5gmuhXZ6-LaxQxgrmJnzgP0"",""'TP# look up'!A:C""),3,0),"""")"),"")</f>
        <v/>
      </c>
      <c r="AH4138" s="49">
        <f>LEFT(J4138,2)</f>
        <v/>
      </c>
    </row>
    <row r="4139" ht="12.75" customHeight="1">
      <c r="H4139" s="43" t="n"/>
      <c r="AG4139" s="49">
        <f>IFERROR(__xludf.DUMMYFUNCTION("IFNA(vlookup(H4139,IMPORTRANGE(""1vUGwO1n0QQGx9kKbO0_M5gmuhXZ6-LaxQxgrmJnzgP0"",""'TP# look up'!A:C""),3,0),"""")"),"")</f>
        <v/>
      </c>
      <c r="AH4139" s="49">
        <f>LEFT(J4139,2)</f>
        <v/>
      </c>
    </row>
    <row r="4140" ht="12.75" customHeight="1">
      <c r="H4140" s="43" t="n"/>
      <c r="AG4140" s="49">
        <f>IFERROR(__xludf.DUMMYFUNCTION("IFNA(vlookup(H4140,IMPORTRANGE(""1vUGwO1n0QQGx9kKbO0_M5gmuhXZ6-LaxQxgrmJnzgP0"",""'TP# look up'!A:C""),3,0),"""")"),"")</f>
        <v/>
      </c>
      <c r="AH4140" s="49">
        <f>LEFT(J4140,2)</f>
        <v/>
      </c>
    </row>
    <row r="4141" ht="12.75" customHeight="1">
      <c r="H4141" s="43" t="n"/>
      <c r="AG4141" s="49">
        <f>IFERROR(__xludf.DUMMYFUNCTION("IFNA(vlookup(H4141,IMPORTRANGE(""1vUGwO1n0QQGx9kKbO0_M5gmuhXZ6-LaxQxgrmJnzgP0"",""'TP# look up'!A:C""),3,0),"""")"),"")</f>
        <v/>
      </c>
      <c r="AH4141" s="49">
        <f>LEFT(J4141,2)</f>
        <v/>
      </c>
    </row>
    <row r="4142" ht="12.75" customHeight="1">
      <c r="H4142" s="43" t="n"/>
      <c r="AG4142" s="49">
        <f>IFERROR(__xludf.DUMMYFUNCTION("IFNA(vlookup(H4142,IMPORTRANGE(""1vUGwO1n0QQGx9kKbO0_M5gmuhXZ6-LaxQxgrmJnzgP0"",""'TP# look up'!A:C""),3,0),"""")"),"")</f>
        <v/>
      </c>
      <c r="AH4142" s="49">
        <f>LEFT(J4142,2)</f>
        <v/>
      </c>
    </row>
    <row r="4143" ht="12.75" customHeight="1">
      <c r="H4143" s="43" t="n"/>
      <c r="AG4143" s="49">
        <f>IFERROR(__xludf.DUMMYFUNCTION("IFNA(vlookup(H4143,IMPORTRANGE(""1vUGwO1n0QQGx9kKbO0_M5gmuhXZ6-LaxQxgrmJnzgP0"",""'TP# look up'!A:C""),3,0),"""")"),"")</f>
        <v/>
      </c>
      <c r="AH4143" s="49">
        <f>LEFT(J4143,2)</f>
        <v/>
      </c>
    </row>
    <row r="4144" ht="12.75" customHeight="1">
      <c r="H4144" s="43" t="n"/>
      <c r="AG4144" s="49">
        <f>IFERROR(__xludf.DUMMYFUNCTION("IFNA(vlookup(H4144,IMPORTRANGE(""1vUGwO1n0QQGx9kKbO0_M5gmuhXZ6-LaxQxgrmJnzgP0"",""'TP# look up'!A:C""),3,0),"""")"),"")</f>
        <v/>
      </c>
      <c r="AH4144" s="49">
        <f>LEFT(J4144,2)</f>
        <v/>
      </c>
    </row>
    <row r="4145" ht="12.75" customHeight="1">
      <c r="H4145" s="43" t="n"/>
      <c r="AG4145" s="49">
        <f>IFERROR(__xludf.DUMMYFUNCTION("IFNA(vlookup(H4145,IMPORTRANGE(""1vUGwO1n0QQGx9kKbO0_M5gmuhXZ6-LaxQxgrmJnzgP0"",""'TP# look up'!A:C""),3,0),"""")"),"")</f>
        <v/>
      </c>
      <c r="AH4145" s="49">
        <f>LEFT(J4145,2)</f>
        <v/>
      </c>
    </row>
    <row r="4146" ht="12.75" customHeight="1">
      <c r="H4146" s="43" t="n"/>
      <c r="AG4146" s="49">
        <f>IFERROR(__xludf.DUMMYFUNCTION("IFNA(vlookup(H4146,IMPORTRANGE(""1vUGwO1n0QQGx9kKbO0_M5gmuhXZ6-LaxQxgrmJnzgP0"",""'TP# look up'!A:C""),3,0),"""")"),"")</f>
        <v/>
      </c>
      <c r="AH4146" s="49">
        <f>LEFT(J4146,2)</f>
        <v/>
      </c>
    </row>
    <row r="4147" ht="12.75" customHeight="1">
      <c r="H4147" s="43" t="n"/>
      <c r="AG4147" s="49">
        <f>IFERROR(__xludf.DUMMYFUNCTION("IFNA(vlookup(H4147,IMPORTRANGE(""1vUGwO1n0QQGx9kKbO0_M5gmuhXZ6-LaxQxgrmJnzgP0"",""'TP# look up'!A:C""),3,0),"""")"),"")</f>
        <v/>
      </c>
      <c r="AH4147" s="49">
        <f>LEFT(J4147,2)</f>
        <v/>
      </c>
    </row>
    <row r="4148" ht="12.75" customHeight="1">
      <c r="H4148" s="43" t="n"/>
      <c r="AG4148" s="49">
        <f>IFERROR(__xludf.DUMMYFUNCTION("IFNA(vlookup(H4148,IMPORTRANGE(""1vUGwO1n0QQGx9kKbO0_M5gmuhXZ6-LaxQxgrmJnzgP0"",""'TP# look up'!A:C""),3,0),"""")"),"")</f>
        <v/>
      </c>
      <c r="AH4148" s="49">
        <f>LEFT(J4148,2)</f>
        <v/>
      </c>
    </row>
    <row r="4149" ht="12.75" customHeight="1">
      <c r="H4149" s="43" t="n"/>
      <c r="AG4149" s="49">
        <f>IFERROR(__xludf.DUMMYFUNCTION("IFNA(vlookup(H4149,IMPORTRANGE(""1vUGwO1n0QQGx9kKbO0_M5gmuhXZ6-LaxQxgrmJnzgP0"",""'TP# look up'!A:C""),3,0),"""")"),"")</f>
        <v/>
      </c>
      <c r="AH4149" s="49">
        <f>LEFT(J4149,2)</f>
        <v/>
      </c>
    </row>
    <row r="4150" ht="12.75" customHeight="1">
      <c r="H4150" s="43" t="n"/>
      <c r="AG4150" s="49">
        <f>IFERROR(__xludf.DUMMYFUNCTION("IFNA(vlookup(H4150,IMPORTRANGE(""1vUGwO1n0QQGx9kKbO0_M5gmuhXZ6-LaxQxgrmJnzgP0"",""'TP# look up'!A:C""),3,0),"""")"),"")</f>
        <v/>
      </c>
      <c r="AH4150" s="49">
        <f>LEFT(J4150,2)</f>
        <v/>
      </c>
    </row>
    <row r="4151" ht="12.75" customHeight="1">
      <c r="H4151" s="43" t="n"/>
      <c r="AG4151" s="49">
        <f>IFERROR(__xludf.DUMMYFUNCTION("IFNA(vlookup(H4151,IMPORTRANGE(""1vUGwO1n0QQGx9kKbO0_M5gmuhXZ6-LaxQxgrmJnzgP0"",""'TP# look up'!A:C""),3,0),"""")"),"")</f>
        <v/>
      </c>
      <c r="AH4151" s="49">
        <f>LEFT(J4151,2)</f>
        <v/>
      </c>
    </row>
    <row r="4152" ht="12.75" customHeight="1">
      <c r="H4152" s="43" t="n"/>
      <c r="AG4152" s="49">
        <f>IFERROR(__xludf.DUMMYFUNCTION("IFNA(vlookup(H4152,IMPORTRANGE(""1vUGwO1n0QQGx9kKbO0_M5gmuhXZ6-LaxQxgrmJnzgP0"",""'TP# look up'!A:C""),3,0),"""")"),"")</f>
        <v/>
      </c>
      <c r="AH4152" s="49">
        <f>LEFT(J4152,2)</f>
        <v/>
      </c>
    </row>
    <row r="4153" ht="12.75" customHeight="1">
      <c r="H4153" s="43" t="n"/>
      <c r="AG4153" s="49">
        <f>IFERROR(__xludf.DUMMYFUNCTION("IFNA(vlookup(H4153,IMPORTRANGE(""1vUGwO1n0QQGx9kKbO0_M5gmuhXZ6-LaxQxgrmJnzgP0"",""'TP# look up'!A:C""),3,0),"""")"),"")</f>
        <v/>
      </c>
      <c r="AH4153" s="49">
        <f>LEFT(J4153,2)</f>
        <v/>
      </c>
    </row>
    <row r="4154" ht="12.75" customHeight="1">
      <c r="H4154" s="43" t="n"/>
      <c r="AG4154" s="49">
        <f>IFERROR(__xludf.DUMMYFUNCTION("IFNA(vlookup(H4154,IMPORTRANGE(""1vUGwO1n0QQGx9kKbO0_M5gmuhXZ6-LaxQxgrmJnzgP0"",""'TP# look up'!A:C""),3,0),"""")"),"")</f>
        <v/>
      </c>
      <c r="AH4154" s="49">
        <f>LEFT(J4154,2)</f>
        <v/>
      </c>
    </row>
    <row r="4155" ht="12.75" customHeight="1">
      <c r="H4155" s="43" t="n"/>
      <c r="AG4155" s="49">
        <f>IFERROR(__xludf.DUMMYFUNCTION("IFNA(vlookup(H4155,IMPORTRANGE(""1vUGwO1n0QQGx9kKbO0_M5gmuhXZ6-LaxQxgrmJnzgP0"",""'TP# look up'!A:C""),3,0),"""")"),"")</f>
        <v/>
      </c>
      <c r="AH4155" s="49">
        <f>LEFT(J4155,2)</f>
        <v/>
      </c>
    </row>
    <row r="4156" ht="12.75" customHeight="1">
      <c r="H4156" s="43" t="n"/>
      <c r="AG4156" s="49">
        <f>IFERROR(__xludf.DUMMYFUNCTION("IFNA(vlookup(H4156,IMPORTRANGE(""1vUGwO1n0QQGx9kKbO0_M5gmuhXZ6-LaxQxgrmJnzgP0"",""'TP# look up'!A:C""),3,0),"""")"),"")</f>
        <v/>
      </c>
      <c r="AH4156" s="49">
        <f>LEFT(J4156,2)</f>
        <v/>
      </c>
    </row>
    <row r="4157" ht="12.75" customHeight="1">
      <c r="H4157" s="43" t="n"/>
      <c r="AG4157" s="49">
        <f>IFERROR(__xludf.DUMMYFUNCTION("IFNA(vlookup(H4157,IMPORTRANGE(""1vUGwO1n0QQGx9kKbO0_M5gmuhXZ6-LaxQxgrmJnzgP0"",""'TP# look up'!A:C""),3,0),"""")"),"")</f>
        <v/>
      </c>
      <c r="AH4157" s="49">
        <f>LEFT(J4157,2)</f>
        <v/>
      </c>
    </row>
    <row r="4158" ht="12.75" customHeight="1">
      <c r="H4158" s="43" t="n"/>
      <c r="AG4158" s="49">
        <f>IFERROR(__xludf.DUMMYFUNCTION("IFNA(vlookup(H4158,IMPORTRANGE(""1vUGwO1n0QQGx9kKbO0_M5gmuhXZ6-LaxQxgrmJnzgP0"",""'TP# look up'!A:C""),3,0),"""")"),"")</f>
        <v/>
      </c>
      <c r="AH4158" s="49">
        <f>LEFT(J4158,2)</f>
        <v/>
      </c>
    </row>
    <row r="4159" ht="12.75" customHeight="1">
      <c r="H4159" s="43" t="n"/>
      <c r="AG4159" s="49">
        <f>IFERROR(__xludf.DUMMYFUNCTION("IFNA(vlookup(H4159,IMPORTRANGE(""1vUGwO1n0QQGx9kKbO0_M5gmuhXZ6-LaxQxgrmJnzgP0"",""'TP# look up'!A:C""),3,0),"""")"),"")</f>
        <v/>
      </c>
      <c r="AH4159" s="49">
        <f>LEFT(J4159,2)</f>
        <v/>
      </c>
    </row>
    <row r="4160" ht="12.75" customHeight="1">
      <c r="H4160" s="43" t="n"/>
      <c r="AG4160" s="49">
        <f>IFERROR(__xludf.DUMMYFUNCTION("IFNA(vlookup(H4160,IMPORTRANGE(""1vUGwO1n0QQGx9kKbO0_M5gmuhXZ6-LaxQxgrmJnzgP0"",""'TP# look up'!A:C""),3,0),"""")"),"")</f>
        <v/>
      </c>
      <c r="AH4160" s="49">
        <f>LEFT(J4160,2)</f>
        <v/>
      </c>
    </row>
    <row r="4161" ht="12.75" customHeight="1">
      <c r="H4161" s="43" t="n"/>
      <c r="AG4161" s="49">
        <f>IFERROR(__xludf.DUMMYFUNCTION("IFNA(vlookup(H4161,IMPORTRANGE(""1vUGwO1n0QQGx9kKbO0_M5gmuhXZ6-LaxQxgrmJnzgP0"",""'TP# look up'!A:C""),3,0),"""")"),"")</f>
        <v/>
      </c>
      <c r="AH4161" s="49">
        <f>LEFT(J4161,2)</f>
        <v/>
      </c>
    </row>
    <row r="4162" ht="12.75" customHeight="1">
      <c r="H4162" s="43" t="n"/>
      <c r="AG4162" s="49">
        <f>IFERROR(__xludf.DUMMYFUNCTION("IFNA(vlookup(H4162,IMPORTRANGE(""1vUGwO1n0QQGx9kKbO0_M5gmuhXZ6-LaxQxgrmJnzgP0"",""'TP# look up'!A:C""),3,0),"""")"),"")</f>
        <v/>
      </c>
      <c r="AH4162" s="49">
        <f>LEFT(J4162,2)</f>
        <v/>
      </c>
    </row>
    <row r="4163" ht="12.75" customHeight="1">
      <c r="H4163" s="43" t="n"/>
      <c r="AG4163" s="49">
        <f>IFERROR(__xludf.DUMMYFUNCTION("IFNA(vlookup(H4163,IMPORTRANGE(""1vUGwO1n0QQGx9kKbO0_M5gmuhXZ6-LaxQxgrmJnzgP0"",""'TP# look up'!A:C""),3,0),"""")"),"")</f>
        <v/>
      </c>
      <c r="AH4163" s="49">
        <f>LEFT(J4163,2)</f>
        <v/>
      </c>
    </row>
    <row r="4164" ht="12.75" customHeight="1">
      <c r="H4164" s="43" t="n"/>
      <c r="AG4164" s="49">
        <f>IFERROR(__xludf.DUMMYFUNCTION("IFNA(vlookup(H4164,IMPORTRANGE(""1vUGwO1n0QQGx9kKbO0_M5gmuhXZ6-LaxQxgrmJnzgP0"",""'TP# look up'!A:C""),3,0),"""")"),"")</f>
        <v/>
      </c>
      <c r="AH4164" s="49">
        <f>LEFT(J4164,2)</f>
        <v/>
      </c>
    </row>
    <row r="4165" ht="12.75" customHeight="1">
      <c r="H4165" s="43" t="n"/>
      <c r="AG4165" s="49">
        <f>IFERROR(__xludf.DUMMYFUNCTION("IFNA(vlookup(H4165,IMPORTRANGE(""1vUGwO1n0QQGx9kKbO0_M5gmuhXZ6-LaxQxgrmJnzgP0"",""'TP# look up'!A:C""),3,0),"""")"),"")</f>
        <v/>
      </c>
      <c r="AH4165" s="49">
        <f>LEFT(J4165,2)</f>
        <v/>
      </c>
    </row>
    <row r="4166" ht="12.75" customHeight="1">
      <c r="H4166" s="43" t="n"/>
      <c r="AG4166" s="49">
        <f>IFERROR(__xludf.DUMMYFUNCTION("IFNA(vlookup(H4166,IMPORTRANGE(""1vUGwO1n0QQGx9kKbO0_M5gmuhXZ6-LaxQxgrmJnzgP0"",""'TP# look up'!A:C""),3,0),"""")"),"")</f>
        <v/>
      </c>
      <c r="AH4166" s="49">
        <f>LEFT(J4166,2)</f>
        <v/>
      </c>
    </row>
    <row r="4167" ht="12.75" customHeight="1">
      <c r="H4167" s="43" t="n"/>
      <c r="AG4167" s="49">
        <f>IFERROR(__xludf.DUMMYFUNCTION("IFNA(vlookup(H4167,IMPORTRANGE(""1vUGwO1n0QQGx9kKbO0_M5gmuhXZ6-LaxQxgrmJnzgP0"",""'TP# look up'!A:C""),3,0),"""")"),"")</f>
        <v/>
      </c>
      <c r="AH4167" s="49">
        <f>LEFT(J4167,2)</f>
        <v/>
      </c>
    </row>
    <row r="4168" ht="12.75" customHeight="1">
      <c r="H4168" s="43" t="n"/>
      <c r="AG4168" s="49">
        <f>IFERROR(__xludf.DUMMYFUNCTION("IFNA(vlookup(H4168,IMPORTRANGE(""1vUGwO1n0QQGx9kKbO0_M5gmuhXZ6-LaxQxgrmJnzgP0"",""'TP# look up'!A:C""),3,0),"""")"),"")</f>
        <v/>
      </c>
      <c r="AH4168" s="49">
        <f>LEFT(J4168,2)</f>
        <v/>
      </c>
    </row>
    <row r="4169" ht="12.75" customHeight="1">
      <c r="H4169" s="43" t="n"/>
      <c r="AG4169" s="49">
        <f>IFERROR(__xludf.DUMMYFUNCTION("IFNA(vlookup(H4169,IMPORTRANGE(""1vUGwO1n0QQGx9kKbO0_M5gmuhXZ6-LaxQxgrmJnzgP0"",""'TP# look up'!A:C""),3,0),"""")"),"")</f>
        <v/>
      </c>
      <c r="AH4169" s="49">
        <f>LEFT(J4169,2)</f>
        <v/>
      </c>
    </row>
    <row r="4170" ht="12.75" customHeight="1">
      <c r="H4170" s="43" t="n"/>
      <c r="AG4170" s="49">
        <f>IFERROR(__xludf.DUMMYFUNCTION("IFNA(vlookup(H4170,IMPORTRANGE(""1vUGwO1n0QQGx9kKbO0_M5gmuhXZ6-LaxQxgrmJnzgP0"",""'TP# look up'!A:C""),3,0),"""")"),"")</f>
        <v/>
      </c>
      <c r="AH4170" s="49">
        <f>LEFT(J4170,2)</f>
        <v/>
      </c>
    </row>
    <row r="4171" ht="12.75" customHeight="1">
      <c r="H4171" s="43" t="n"/>
      <c r="AG4171" s="49">
        <f>IFERROR(__xludf.DUMMYFUNCTION("IFNA(vlookup(H4171,IMPORTRANGE(""1vUGwO1n0QQGx9kKbO0_M5gmuhXZ6-LaxQxgrmJnzgP0"",""'TP# look up'!A:C""),3,0),"""")"),"")</f>
        <v/>
      </c>
      <c r="AH4171" s="49">
        <f>LEFT(J4171,2)</f>
        <v/>
      </c>
    </row>
    <row r="4172" ht="12.75" customHeight="1">
      <c r="H4172" s="43" t="n"/>
      <c r="AG4172" s="49">
        <f>IFERROR(__xludf.DUMMYFUNCTION("IFNA(vlookup(H4172,IMPORTRANGE(""1vUGwO1n0QQGx9kKbO0_M5gmuhXZ6-LaxQxgrmJnzgP0"",""'TP# look up'!A:C""),3,0),"""")"),"")</f>
        <v/>
      </c>
      <c r="AH4172" s="49">
        <f>LEFT(J4172,2)</f>
        <v/>
      </c>
    </row>
    <row r="4173" ht="12.75" customHeight="1">
      <c r="H4173" s="43" t="n"/>
      <c r="AG4173" s="49">
        <f>IFERROR(__xludf.DUMMYFUNCTION("IFNA(vlookup(H4173,IMPORTRANGE(""1vUGwO1n0QQGx9kKbO0_M5gmuhXZ6-LaxQxgrmJnzgP0"",""'TP# look up'!A:C""),3,0),"""")"),"")</f>
        <v/>
      </c>
      <c r="AH4173" s="49">
        <f>LEFT(J4173,2)</f>
        <v/>
      </c>
    </row>
    <row r="4174" ht="12.75" customHeight="1">
      <c r="H4174" s="43" t="n"/>
      <c r="AG4174" s="49">
        <f>IFERROR(__xludf.DUMMYFUNCTION("IFNA(vlookup(H4174,IMPORTRANGE(""1vUGwO1n0QQGx9kKbO0_M5gmuhXZ6-LaxQxgrmJnzgP0"",""'TP# look up'!A:C""),3,0),"""")"),"")</f>
        <v/>
      </c>
      <c r="AH4174" s="49">
        <f>LEFT(J4174,2)</f>
        <v/>
      </c>
    </row>
    <row r="4175" ht="12.75" customHeight="1">
      <c r="H4175" s="43" t="n"/>
      <c r="AG4175" s="49">
        <f>IFERROR(__xludf.DUMMYFUNCTION("IFNA(vlookup(H4175,IMPORTRANGE(""1vUGwO1n0QQGx9kKbO0_M5gmuhXZ6-LaxQxgrmJnzgP0"",""'TP# look up'!A:C""),3,0),"""")"),"")</f>
        <v/>
      </c>
      <c r="AH4175" s="49">
        <f>LEFT(J4175,2)</f>
        <v/>
      </c>
    </row>
    <row r="4176" ht="12.75" customHeight="1">
      <c r="H4176" s="43" t="n"/>
      <c r="AG4176" s="49">
        <f>IFERROR(__xludf.DUMMYFUNCTION("IFNA(vlookup(H4176,IMPORTRANGE(""1vUGwO1n0QQGx9kKbO0_M5gmuhXZ6-LaxQxgrmJnzgP0"",""'TP# look up'!A:C""),3,0),"""")"),"")</f>
        <v/>
      </c>
      <c r="AH4176" s="49">
        <f>LEFT(J4176,2)</f>
        <v/>
      </c>
    </row>
    <row r="4177" ht="12.75" customHeight="1">
      <c r="H4177" s="43" t="n"/>
      <c r="AG4177" s="49">
        <f>IFERROR(__xludf.DUMMYFUNCTION("IFNA(vlookup(H4177,IMPORTRANGE(""1vUGwO1n0QQGx9kKbO0_M5gmuhXZ6-LaxQxgrmJnzgP0"",""'TP# look up'!A:C""),3,0),"""")"),"")</f>
        <v/>
      </c>
      <c r="AH4177" s="49">
        <f>LEFT(J4177,2)</f>
        <v/>
      </c>
    </row>
    <row r="4178" ht="12.75" customHeight="1">
      <c r="H4178" s="43" t="n"/>
      <c r="AG4178" s="49">
        <f>IFERROR(__xludf.DUMMYFUNCTION("IFNA(vlookup(H4178,IMPORTRANGE(""1vUGwO1n0QQGx9kKbO0_M5gmuhXZ6-LaxQxgrmJnzgP0"",""'TP# look up'!A:C""),3,0),"""")"),"")</f>
        <v/>
      </c>
      <c r="AH4178" s="49">
        <f>LEFT(J4178,2)</f>
        <v/>
      </c>
    </row>
    <row r="4179" ht="12.75" customHeight="1">
      <c r="H4179" s="43" t="n"/>
      <c r="AG4179" s="49">
        <f>IFERROR(__xludf.DUMMYFUNCTION("IFNA(vlookup(H4179,IMPORTRANGE(""1vUGwO1n0QQGx9kKbO0_M5gmuhXZ6-LaxQxgrmJnzgP0"",""'TP# look up'!A:C""),3,0),"""")"),"")</f>
        <v/>
      </c>
      <c r="AH4179" s="49">
        <f>LEFT(J4179,2)</f>
        <v/>
      </c>
    </row>
    <row r="4180" ht="12.75" customHeight="1">
      <c r="H4180" s="43" t="n"/>
      <c r="AG4180" s="49">
        <f>IFERROR(__xludf.DUMMYFUNCTION("IFNA(vlookup(H4180,IMPORTRANGE(""1vUGwO1n0QQGx9kKbO0_M5gmuhXZ6-LaxQxgrmJnzgP0"",""'TP# look up'!A:C""),3,0),"""")"),"")</f>
        <v/>
      </c>
      <c r="AH4180" s="49">
        <f>LEFT(J4180,2)</f>
        <v/>
      </c>
    </row>
    <row r="4181" ht="12.75" customHeight="1">
      <c r="H4181" s="43" t="n"/>
      <c r="AG4181" s="49">
        <f>IFERROR(__xludf.DUMMYFUNCTION("IFNA(vlookup(H4181,IMPORTRANGE(""1vUGwO1n0QQGx9kKbO0_M5gmuhXZ6-LaxQxgrmJnzgP0"",""'TP# look up'!A:C""),3,0),"""")"),"")</f>
        <v/>
      </c>
      <c r="AH4181" s="49">
        <f>LEFT(J4181,2)</f>
        <v/>
      </c>
    </row>
    <row r="4182" ht="12.75" customHeight="1">
      <c r="H4182" s="43" t="n"/>
      <c r="AG4182" s="49">
        <f>IFERROR(__xludf.DUMMYFUNCTION("IFNA(vlookup(H4182,IMPORTRANGE(""1vUGwO1n0QQGx9kKbO0_M5gmuhXZ6-LaxQxgrmJnzgP0"",""'TP# look up'!A:C""),3,0),"""")"),"")</f>
        <v/>
      </c>
      <c r="AH4182" s="49">
        <f>LEFT(J4182,2)</f>
        <v/>
      </c>
    </row>
    <row r="4183" ht="12.75" customHeight="1">
      <c r="H4183" s="43" t="n"/>
      <c r="AG4183" s="49">
        <f>IFERROR(__xludf.DUMMYFUNCTION("IFNA(vlookup(H4183,IMPORTRANGE(""1vUGwO1n0QQGx9kKbO0_M5gmuhXZ6-LaxQxgrmJnzgP0"",""'TP# look up'!A:C""),3,0),"""")"),"")</f>
        <v/>
      </c>
      <c r="AH4183" s="49">
        <f>LEFT(J4183,2)</f>
        <v/>
      </c>
    </row>
    <row r="4184" ht="12.75" customHeight="1">
      <c r="H4184" s="43" t="n"/>
      <c r="AG4184" s="49">
        <f>IFERROR(__xludf.DUMMYFUNCTION("IFNA(vlookup(H4184,IMPORTRANGE(""1vUGwO1n0QQGx9kKbO0_M5gmuhXZ6-LaxQxgrmJnzgP0"",""'TP# look up'!A:C""),3,0),"""")"),"")</f>
        <v/>
      </c>
      <c r="AH4184" s="49">
        <f>LEFT(J4184,2)</f>
        <v/>
      </c>
    </row>
    <row r="4185" ht="12.75" customHeight="1">
      <c r="H4185" s="43" t="n"/>
      <c r="AG4185" s="49">
        <f>IFERROR(__xludf.DUMMYFUNCTION("IFNA(vlookup(H4185,IMPORTRANGE(""1vUGwO1n0QQGx9kKbO0_M5gmuhXZ6-LaxQxgrmJnzgP0"",""'TP# look up'!A:C""),3,0),"""")"),"")</f>
        <v/>
      </c>
      <c r="AH4185" s="49">
        <f>LEFT(J4185,2)</f>
        <v/>
      </c>
    </row>
    <row r="4186" ht="12.75" customHeight="1">
      <c r="H4186" s="43" t="n"/>
      <c r="AG4186" s="49">
        <f>IFERROR(__xludf.DUMMYFUNCTION("IFNA(vlookup(H4186,IMPORTRANGE(""1vUGwO1n0QQGx9kKbO0_M5gmuhXZ6-LaxQxgrmJnzgP0"",""'TP# look up'!A:C""),3,0),"""")"),"")</f>
        <v/>
      </c>
      <c r="AH4186" s="49">
        <f>LEFT(J4186,2)</f>
        <v/>
      </c>
    </row>
    <row r="4187" ht="12.75" customHeight="1">
      <c r="H4187" s="43" t="n"/>
      <c r="AG4187" s="49">
        <f>IFERROR(__xludf.DUMMYFUNCTION("IFNA(vlookup(H4187,IMPORTRANGE(""1vUGwO1n0QQGx9kKbO0_M5gmuhXZ6-LaxQxgrmJnzgP0"",""'TP# look up'!A:C""),3,0),"""")"),"")</f>
        <v/>
      </c>
      <c r="AH4187" s="49">
        <f>LEFT(J4187,2)</f>
        <v/>
      </c>
    </row>
    <row r="4188" ht="12.75" customHeight="1">
      <c r="H4188" s="43" t="n"/>
      <c r="AG4188" s="49">
        <f>IFERROR(__xludf.DUMMYFUNCTION("IFNA(vlookup(H4188,IMPORTRANGE(""1vUGwO1n0QQGx9kKbO0_M5gmuhXZ6-LaxQxgrmJnzgP0"",""'TP# look up'!A:C""),3,0),"""")"),"")</f>
        <v/>
      </c>
      <c r="AH4188" s="49">
        <f>LEFT(J4188,2)</f>
        <v/>
      </c>
    </row>
    <row r="4189" ht="12.75" customHeight="1">
      <c r="H4189" s="43" t="n"/>
      <c r="AG4189" s="49">
        <f>IFERROR(__xludf.DUMMYFUNCTION("IFNA(vlookup(H4189,IMPORTRANGE(""1vUGwO1n0QQGx9kKbO0_M5gmuhXZ6-LaxQxgrmJnzgP0"",""'TP# look up'!A:C""),3,0),"""")"),"")</f>
        <v/>
      </c>
      <c r="AH4189" s="49">
        <f>LEFT(J4189,2)</f>
        <v/>
      </c>
    </row>
    <row r="4190" ht="12.75" customHeight="1">
      <c r="H4190" s="43" t="n"/>
      <c r="AG4190" s="49">
        <f>IFERROR(__xludf.DUMMYFUNCTION("IFNA(vlookup(H4190,IMPORTRANGE(""1vUGwO1n0QQGx9kKbO0_M5gmuhXZ6-LaxQxgrmJnzgP0"",""'TP# look up'!A:C""),3,0),"""")"),"")</f>
        <v/>
      </c>
      <c r="AH4190" s="49">
        <f>LEFT(J4190,2)</f>
        <v/>
      </c>
    </row>
    <row r="4191" ht="12.75" customHeight="1">
      <c r="H4191" s="43" t="n"/>
      <c r="AG4191" s="49">
        <f>IFERROR(__xludf.DUMMYFUNCTION("IFNA(vlookup(H4191,IMPORTRANGE(""1vUGwO1n0QQGx9kKbO0_M5gmuhXZ6-LaxQxgrmJnzgP0"",""'TP# look up'!A:C""),3,0),"""")"),"")</f>
        <v/>
      </c>
      <c r="AH4191" s="49">
        <f>LEFT(J4191,2)</f>
        <v/>
      </c>
    </row>
    <row r="4192" ht="12.75" customHeight="1">
      <c r="H4192" s="43" t="n"/>
      <c r="AG4192" s="49">
        <f>IFERROR(__xludf.DUMMYFUNCTION("IFNA(vlookup(H4192,IMPORTRANGE(""1vUGwO1n0QQGx9kKbO0_M5gmuhXZ6-LaxQxgrmJnzgP0"",""'TP# look up'!A:C""),3,0),"""")"),"")</f>
        <v/>
      </c>
      <c r="AH4192" s="49">
        <f>LEFT(J4192,2)</f>
        <v/>
      </c>
    </row>
    <row r="4193" ht="12.75" customHeight="1">
      <c r="H4193" s="43" t="n"/>
      <c r="AG4193" s="49">
        <f>IFERROR(__xludf.DUMMYFUNCTION("IFNA(vlookup(H4193,IMPORTRANGE(""1vUGwO1n0QQGx9kKbO0_M5gmuhXZ6-LaxQxgrmJnzgP0"",""'TP# look up'!A:C""),3,0),"""")"),"")</f>
        <v/>
      </c>
      <c r="AH4193" s="49">
        <f>LEFT(J4193,2)</f>
        <v/>
      </c>
    </row>
    <row r="4194" ht="12.75" customHeight="1">
      <c r="H4194" s="43" t="n"/>
      <c r="AG4194" s="49">
        <f>IFERROR(__xludf.DUMMYFUNCTION("IFNA(vlookup(H4194,IMPORTRANGE(""1vUGwO1n0QQGx9kKbO0_M5gmuhXZ6-LaxQxgrmJnzgP0"",""'TP# look up'!A:C""),3,0),"""")"),"")</f>
        <v/>
      </c>
      <c r="AH4194" s="49">
        <f>LEFT(J4194,2)</f>
        <v/>
      </c>
    </row>
    <row r="4195" ht="12.75" customHeight="1">
      <c r="H4195" s="43" t="n"/>
      <c r="AG4195" s="49">
        <f>IFERROR(__xludf.DUMMYFUNCTION("IFNA(vlookup(H4195,IMPORTRANGE(""1vUGwO1n0QQGx9kKbO0_M5gmuhXZ6-LaxQxgrmJnzgP0"",""'TP# look up'!A:C""),3,0),"""")"),"")</f>
        <v/>
      </c>
      <c r="AH4195" s="49">
        <f>LEFT(J4195,2)</f>
        <v/>
      </c>
    </row>
    <row r="4196" ht="12.75" customHeight="1">
      <c r="H4196" s="43" t="n"/>
      <c r="AG4196" s="49">
        <f>IFERROR(__xludf.DUMMYFUNCTION("IFNA(vlookup(H4196,IMPORTRANGE(""1vUGwO1n0QQGx9kKbO0_M5gmuhXZ6-LaxQxgrmJnzgP0"",""'TP# look up'!A:C""),3,0),"""")"),"")</f>
        <v/>
      </c>
      <c r="AH4196" s="49">
        <f>LEFT(J4196,2)</f>
        <v/>
      </c>
    </row>
    <row r="4197" ht="12.75" customHeight="1">
      <c r="H4197" s="43" t="n"/>
      <c r="AG4197" s="49">
        <f>IFERROR(__xludf.DUMMYFUNCTION("IFNA(vlookup(H4197,IMPORTRANGE(""1vUGwO1n0QQGx9kKbO0_M5gmuhXZ6-LaxQxgrmJnzgP0"",""'TP# look up'!A:C""),3,0),"""")"),"")</f>
        <v/>
      </c>
      <c r="AH4197" s="49">
        <f>LEFT(J4197,2)</f>
        <v/>
      </c>
    </row>
    <row r="4198" ht="12.75" customHeight="1">
      <c r="H4198" s="43" t="n"/>
      <c r="AG4198" s="49">
        <f>IFERROR(__xludf.DUMMYFUNCTION("IFNA(vlookup(H4198,IMPORTRANGE(""1vUGwO1n0QQGx9kKbO0_M5gmuhXZ6-LaxQxgrmJnzgP0"",""'TP# look up'!A:C""),3,0),"""")"),"")</f>
        <v/>
      </c>
      <c r="AH4198" s="49">
        <f>LEFT(J4198,2)</f>
        <v/>
      </c>
    </row>
    <row r="4199" ht="12.75" customHeight="1">
      <c r="H4199" s="43" t="n"/>
      <c r="AG4199" s="49">
        <f>IFERROR(__xludf.DUMMYFUNCTION("IFNA(vlookup(H4199,IMPORTRANGE(""1vUGwO1n0QQGx9kKbO0_M5gmuhXZ6-LaxQxgrmJnzgP0"",""'TP# look up'!A:C""),3,0),"""")"),"")</f>
        <v/>
      </c>
      <c r="AH4199" s="49">
        <f>LEFT(J4199,2)</f>
        <v/>
      </c>
    </row>
    <row r="4200" ht="12.75" customHeight="1">
      <c r="H4200" s="43" t="n"/>
      <c r="AG4200" s="49">
        <f>IFERROR(__xludf.DUMMYFUNCTION("IFNA(vlookup(H4200,IMPORTRANGE(""1vUGwO1n0QQGx9kKbO0_M5gmuhXZ6-LaxQxgrmJnzgP0"",""'TP# look up'!A:C""),3,0),"""")"),"")</f>
        <v/>
      </c>
      <c r="AH4200" s="49">
        <f>LEFT(J4200,2)</f>
        <v/>
      </c>
    </row>
    <row r="4201" ht="12.75" customHeight="1">
      <c r="H4201" s="43" t="n"/>
      <c r="AG4201" s="49">
        <f>IFERROR(__xludf.DUMMYFUNCTION("IFNA(vlookup(H4201,IMPORTRANGE(""1vUGwO1n0QQGx9kKbO0_M5gmuhXZ6-LaxQxgrmJnzgP0"",""'TP# look up'!A:C""),3,0),"""")"),"")</f>
        <v/>
      </c>
      <c r="AH4201" s="49">
        <f>LEFT(J4201,2)</f>
        <v/>
      </c>
    </row>
    <row r="4202" ht="12.75" customHeight="1">
      <c r="H4202" s="43" t="n"/>
      <c r="AG4202" s="49">
        <f>IFERROR(__xludf.DUMMYFUNCTION("IFNA(vlookup(H4202,IMPORTRANGE(""1vUGwO1n0QQGx9kKbO0_M5gmuhXZ6-LaxQxgrmJnzgP0"",""'TP# look up'!A:C""),3,0),"""")"),"")</f>
        <v/>
      </c>
      <c r="AH4202" s="49">
        <f>LEFT(J4202,2)</f>
        <v/>
      </c>
    </row>
    <row r="4203" ht="12.75" customHeight="1">
      <c r="H4203" s="43" t="n"/>
      <c r="AG4203" s="49">
        <f>IFERROR(__xludf.DUMMYFUNCTION("IFNA(vlookup(H4203,IMPORTRANGE(""1vUGwO1n0QQGx9kKbO0_M5gmuhXZ6-LaxQxgrmJnzgP0"",""'TP# look up'!A:C""),3,0),"""")"),"")</f>
        <v/>
      </c>
      <c r="AH4203" s="49">
        <f>LEFT(J4203,2)</f>
        <v/>
      </c>
    </row>
    <row r="4204" ht="12.75" customHeight="1">
      <c r="H4204" s="43" t="n"/>
      <c r="AG4204" s="49">
        <f>IFERROR(__xludf.DUMMYFUNCTION("IFNA(vlookup(H4204,IMPORTRANGE(""1vUGwO1n0QQGx9kKbO0_M5gmuhXZ6-LaxQxgrmJnzgP0"",""'TP# look up'!A:C""),3,0),"""")"),"")</f>
        <v/>
      </c>
      <c r="AH4204" s="49">
        <f>LEFT(J4204,2)</f>
        <v/>
      </c>
    </row>
    <row r="4205" ht="12.75" customHeight="1">
      <c r="H4205" s="43" t="n"/>
      <c r="AG4205" s="49">
        <f>IFERROR(__xludf.DUMMYFUNCTION("IFNA(vlookup(H4205,IMPORTRANGE(""1vUGwO1n0QQGx9kKbO0_M5gmuhXZ6-LaxQxgrmJnzgP0"",""'TP# look up'!A:C""),3,0),"""")"),"")</f>
        <v/>
      </c>
      <c r="AH4205" s="49">
        <f>LEFT(J4205,2)</f>
        <v/>
      </c>
    </row>
    <row r="4206" ht="12.75" customHeight="1">
      <c r="H4206" s="43" t="n"/>
      <c r="AG4206" s="49">
        <f>IFERROR(__xludf.DUMMYFUNCTION("IFNA(vlookup(H4206,IMPORTRANGE(""1vUGwO1n0QQGx9kKbO0_M5gmuhXZ6-LaxQxgrmJnzgP0"",""'TP# look up'!A:C""),3,0),"""")"),"")</f>
        <v/>
      </c>
      <c r="AH4206" s="49">
        <f>LEFT(J4206,2)</f>
        <v/>
      </c>
    </row>
    <row r="4207" ht="12.75" customHeight="1">
      <c r="H4207" s="43" t="n"/>
      <c r="AG4207" s="49">
        <f>IFERROR(__xludf.DUMMYFUNCTION("IFNA(vlookup(H4207,IMPORTRANGE(""1vUGwO1n0QQGx9kKbO0_M5gmuhXZ6-LaxQxgrmJnzgP0"",""'TP# look up'!A:C""),3,0),"""")"),"")</f>
        <v/>
      </c>
      <c r="AH4207" s="49">
        <f>LEFT(J4207,2)</f>
        <v/>
      </c>
    </row>
    <row r="4208" ht="12.75" customHeight="1">
      <c r="H4208" s="43" t="n"/>
      <c r="AG4208" s="49">
        <f>IFERROR(__xludf.DUMMYFUNCTION("IFNA(vlookup(H4208,IMPORTRANGE(""1vUGwO1n0QQGx9kKbO0_M5gmuhXZ6-LaxQxgrmJnzgP0"",""'TP# look up'!A:C""),3,0),"""")"),"")</f>
        <v/>
      </c>
      <c r="AH4208" s="49">
        <f>LEFT(J4208,2)</f>
        <v/>
      </c>
    </row>
    <row r="4209" ht="12.75" customHeight="1">
      <c r="H4209" s="43" t="n"/>
      <c r="AG4209" s="49">
        <f>IFERROR(__xludf.DUMMYFUNCTION("IFNA(vlookup(H4209,IMPORTRANGE(""1vUGwO1n0QQGx9kKbO0_M5gmuhXZ6-LaxQxgrmJnzgP0"",""'TP# look up'!A:C""),3,0),"""")"),"")</f>
        <v/>
      </c>
      <c r="AH4209" s="49">
        <f>LEFT(J4209,2)</f>
        <v/>
      </c>
    </row>
    <row r="4210" ht="12.75" customHeight="1">
      <c r="H4210" s="43" t="n"/>
      <c r="AG4210" s="49">
        <f>IFERROR(__xludf.DUMMYFUNCTION("IFNA(vlookup(H4210,IMPORTRANGE(""1vUGwO1n0QQGx9kKbO0_M5gmuhXZ6-LaxQxgrmJnzgP0"",""'TP# look up'!A:C""),3,0),"""")"),"")</f>
        <v/>
      </c>
      <c r="AH4210" s="49">
        <f>LEFT(J4210,2)</f>
        <v/>
      </c>
    </row>
    <row r="4211" ht="12.75" customHeight="1">
      <c r="H4211" s="43" t="n"/>
      <c r="AG4211" s="49">
        <f>IFERROR(__xludf.DUMMYFUNCTION("IFNA(vlookup(H4211,IMPORTRANGE(""1vUGwO1n0QQGx9kKbO0_M5gmuhXZ6-LaxQxgrmJnzgP0"",""'TP# look up'!A:C""),3,0),"""")"),"")</f>
        <v/>
      </c>
      <c r="AH4211" s="49">
        <f>LEFT(J4211,2)</f>
        <v/>
      </c>
    </row>
    <row r="4212" ht="12.75" customHeight="1">
      <c r="H4212" s="43" t="n"/>
      <c r="AG4212" s="49">
        <f>IFERROR(__xludf.DUMMYFUNCTION("IFNA(vlookup(H4212,IMPORTRANGE(""1vUGwO1n0QQGx9kKbO0_M5gmuhXZ6-LaxQxgrmJnzgP0"",""'TP# look up'!A:C""),3,0),"""")"),"")</f>
        <v/>
      </c>
      <c r="AH4212" s="49">
        <f>LEFT(J4212,2)</f>
        <v/>
      </c>
    </row>
    <row r="4213" ht="12.75" customHeight="1">
      <c r="H4213" s="43" t="n"/>
      <c r="AG4213" s="49">
        <f>IFERROR(__xludf.DUMMYFUNCTION("IFNA(vlookup(H4213,IMPORTRANGE(""1vUGwO1n0QQGx9kKbO0_M5gmuhXZ6-LaxQxgrmJnzgP0"",""'TP# look up'!A:C""),3,0),"""")"),"")</f>
        <v/>
      </c>
      <c r="AH4213" s="49">
        <f>LEFT(J4213,2)</f>
        <v/>
      </c>
    </row>
    <row r="4214" ht="12.75" customHeight="1">
      <c r="H4214" s="43" t="n"/>
      <c r="AG4214" s="49">
        <f>IFERROR(__xludf.DUMMYFUNCTION("IFNA(vlookup(H4214,IMPORTRANGE(""1vUGwO1n0QQGx9kKbO0_M5gmuhXZ6-LaxQxgrmJnzgP0"",""'TP# look up'!A:C""),3,0),"""")"),"")</f>
        <v/>
      </c>
      <c r="AH4214" s="49">
        <f>LEFT(J4214,2)</f>
        <v/>
      </c>
    </row>
    <row r="4215" ht="12.75" customHeight="1">
      <c r="H4215" s="43" t="n"/>
      <c r="AG4215" s="49">
        <f>IFERROR(__xludf.DUMMYFUNCTION("IFNA(vlookup(H4215,IMPORTRANGE(""1vUGwO1n0QQGx9kKbO0_M5gmuhXZ6-LaxQxgrmJnzgP0"",""'TP# look up'!A:C""),3,0),"""")"),"")</f>
        <v/>
      </c>
      <c r="AH4215" s="49">
        <f>LEFT(J4215,2)</f>
        <v/>
      </c>
    </row>
    <row r="4216" ht="12.75" customHeight="1">
      <c r="H4216" s="43" t="n"/>
      <c r="AG4216" s="49">
        <f>IFERROR(__xludf.DUMMYFUNCTION("IFNA(vlookup(H4216,IMPORTRANGE(""1vUGwO1n0QQGx9kKbO0_M5gmuhXZ6-LaxQxgrmJnzgP0"",""'TP# look up'!A:C""),3,0),"""")"),"")</f>
        <v/>
      </c>
      <c r="AH4216" s="49">
        <f>LEFT(J4216,2)</f>
        <v/>
      </c>
    </row>
    <row r="4217" ht="12.75" customHeight="1">
      <c r="H4217" s="43" t="n"/>
      <c r="AG4217" s="49">
        <f>IFERROR(__xludf.DUMMYFUNCTION("IFNA(vlookup(H4217,IMPORTRANGE(""1vUGwO1n0QQGx9kKbO0_M5gmuhXZ6-LaxQxgrmJnzgP0"",""'TP# look up'!A:C""),3,0),"""")"),"")</f>
        <v/>
      </c>
      <c r="AH4217" s="49">
        <f>LEFT(J4217,2)</f>
        <v/>
      </c>
    </row>
    <row r="4218" ht="12.75" customHeight="1">
      <c r="H4218" s="43" t="n"/>
      <c r="AG4218" s="49">
        <f>IFERROR(__xludf.DUMMYFUNCTION("IFNA(vlookup(H4218,IMPORTRANGE(""1vUGwO1n0QQGx9kKbO0_M5gmuhXZ6-LaxQxgrmJnzgP0"",""'TP# look up'!A:C""),3,0),"""")"),"")</f>
        <v/>
      </c>
      <c r="AH4218" s="49">
        <f>LEFT(J4218,2)</f>
        <v/>
      </c>
    </row>
    <row r="4219" ht="12.75" customHeight="1">
      <c r="H4219" s="43" t="n"/>
      <c r="AG4219" s="49">
        <f>IFERROR(__xludf.DUMMYFUNCTION("IFNA(vlookup(H4219,IMPORTRANGE(""1vUGwO1n0QQGx9kKbO0_M5gmuhXZ6-LaxQxgrmJnzgP0"",""'TP# look up'!A:C""),3,0),"""")"),"")</f>
        <v/>
      </c>
      <c r="AH4219" s="49">
        <f>LEFT(J4219,2)</f>
        <v/>
      </c>
    </row>
    <row r="4220" ht="12.75" customHeight="1">
      <c r="H4220" s="43" t="n"/>
      <c r="AG4220" s="49">
        <f>IFERROR(__xludf.DUMMYFUNCTION("IFNA(vlookup(H4220,IMPORTRANGE(""1vUGwO1n0QQGx9kKbO0_M5gmuhXZ6-LaxQxgrmJnzgP0"",""'TP# look up'!A:C""),3,0),"""")"),"")</f>
        <v/>
      </c>
      <c r="AH4220" s="49">
        <f>LEFT(J4220,2)</f>
        <v/>
      </c>
    </row>
    <row r="4221" ht="12.75" customHeight="1">
      <c r="H4221" s="43" t="n"/>
      <c r="AG4221" s="49">
        <f>IFERROR(__xludf.DUMMYFUNCTION("IFNA(vlookup(H4221,IMPORTRANGE(""1vUGwO1n0QQGx9kKbO0_M5gmuhXZ6-LaxQxgrmJnzgP0"",""'TP# look up'!A:C""),3,0),"""")"),"")</f>
        <v/>
      </c>
      <c r="AH4221" s="49">
        <f>LEFT(J4221,2)</f>
        <v/>
      </c>
    </row>
    <row r="4222" ht="12.75" customHeight="1">
      <c r="H4222" s="43" t="n"/>
      <c r="AG4222" s="49">
        <f>IFERROR(__xludf.DUMMYFUNCTION("IFNA(vlookup(H4222,IMPORTRANGE(""1vUGwO1n0QQGx9kKbO0_M5gmuhXZ6-LaxQxgrmJnzgP0"",""'TP# look up'!A:C""),3,0),"""")"),"")</f>
        <v/>
      </c>
      <c r="AH4222" s="49">
        <f>LEFT(J4222,2)</f>
        <v/>
      </c>
    </row>
    <row r="4223" ht="12.75" customHeight="1">
      <c r="H4223" s="43" t="n"/>
      <c r="AG4223" s="49">
        <f>IFERROR(__xludf.DUMMYFUNCTION("IFNA(vlookup(H4223,IMPORTRANGE(""1vUGwO1n0QQGx9kKbO0_M5gmuhXZ6-LaxQxgrmJnzgP0"",""'TP# look up'!A:C""),3,0),"""")"),"")</f>
        <v/>
      </c>
      <c r="AH4223" s="49">
        <f>LEFT(J4223,2)</f>
        <v/>
      </c>
    </row>
    <row r="4224" ht="12.75" customHeight="1">
      <c r="H4224" s="43" t="n"/>
      <c r="AG4224" s="49">
        <f>IFERROR(__xludf.DUMMYFUNCTION("IFNA(vlookup(H4224,IMPORTRANGE(""1vUGwO1n0QQGx9kKbO0_M5gmuhXZ6-LaxQxgrmJnzgP0"",""'TP# look up'!A:C""),3,0),"""")"),"")</f>
        <v/>
      </c>
      <c r="AH4224" s="49">
        <f>LEFT(J4224,2)</f>
        <v/>
      </c>
    </row>
    <row r="4225" ht="12.75" customHeight="1">
      <c r="H4225" s="43" t="n"/>
      <c r="AG4225" s="49">
        <f>IFERROR(__xludf.DUMMYFUNCTION("IFNA(vlookup(H4225,IMPORTRANGE(""1vUGwO1n0QQGx9kKbO0_M5gmuhXZ6-LaxQxgrmJnzgP0"",""'TP# look up'!A:C""),3,0),"""")"),"")</f>
        <v/>
      </c>
      <c r="AH4225" s="49">
        <f>LEFT(J4225,2)</f>
        <v/>
      </c>
    </row>
    <row r="4226" ht="12.75" customHeight="1">
      <c r="H4226" s="43" t="n"/>
      <c r="AG4226" s="49">
        <f>IFERROR(__xludf.DUMMYFUNCTION("IFNA(vlookup(H4226,IMPORTRANGE(""1vUGwO1n0QQGx9kKbO0_M5gmuhXZ6-LaxQxgrmJnzgP0"",""'TP# look up'!A:C""),3,0),"""")"),"")</f>
        <v/>
      </c>
      <c r="AH4226" s="49">
        <f>LEFT(J4226,2)</f>
        <v/>
      </c>
    </row>
    <row r="4227" ht="12.75" customHeight="1">
      <c r="H4227" s="43" t="n"/>
      <c r="AG4227" s="49">
        <f>IFERROR(__xludf.DUMMYFUNCTION("IFNA(vlookup(H4227,IMPORTRANGE(""1vUGwO1n0QQGx9kKbO0_M5gmuhXZ6-LaxQxgrmJnzgP0"",""'TP# look up'!A:C""),3,0),"""")"),"")</f>
        <v/>
      </c>
      <c r="AH4227" s="49">
        <f>LEFT(J4227,2)</f>
        <v/>
      </c>
    </row>
    <row r="4228" ht="12.75" customHeight="1">
      <c r="H4228" s="43" t="n"/>
      <c r="AG4228" s="49">
        <f>IFERROR(__xludf.DUMMYFUNCTION("IFNA(vlookup(H4228,IMPORTRANGE(""1vUGwO1n0QQGx9kKbO0_M5gmuhXZ6-LaxQxgrmJnzgP0"",""'TP# look up'!A:C""),3,0),"""")"),"")</f>
        <v/>
      </c>
      <c r="AH4228" s="49">
        <f>LEFT(J4228,2)</f>
        <v/>
      </c>
    </row>
    <row r="4229" ht="12.75" customHeight="1">
      <c r="H4229" s="43" t="n"/>
      <c r="AG4229" s="49">
        <f>IFERROR(__xludf.DUMMYFUNCTION("IFNA(vlookup(H4229,IMPORTRANGE(""1vUGwO1n0QQGx9kKbO0_M5gmuhXZ6-LaxQxgrmJnzgP0"",""'TP# look up'!A:C""),3,0),"""")"),"")</f>
        <v/>
      </c>
      <c r="AH4229" s="49">
        <f>LEFT(J4229,2)</f>
        <v/>
      </c>
    </row>
    <row r="4230" ht="12.75" customHeight="1">
      <c r="H4230" s="43" t="n"/>
      <c r="AG4230" s="49">
        <f>IFERROR(__xludf.DUMMYFUNCTION("IFNA(vlookup(H4230,IMPORTRANGE(""1vUGwO1n0QQGx9kKbO0_M5gmuhXZ6-LaxQxgrmJnzgP0"",""'TP# look up'!A:C""),3,0),"""")"),"")</f>
        <v/>
      </c>
      <c r="AH4230" s="49">
        <f>LEFT(J4230,2)</f>
        <v/>
      </c>
    </row>
    <row r="4231" ht="12.75" customHeight="1">
      <c r="H4231" s="43" t="n"/>
      <c r="AG4231" s="49">
        <f>IFERROR(__xludf.DUMMYFUNCTION("IFNA(vlookup(H4231,IMPORTRANGE(""1vUGwO1n0QQGx9kKbO0_M5gmuhXZ6-LaxQxgrmJnzgP0"",""'TP# look up'!A:C""),3,0),"""")"),"")</f>
        <v/>
      </c>
      <c r="AH4231" s="49">
        <f>LEFT(J4231,2)</f>
        <v/>
      </c>
    </row>
    <row r="4232" ht="12.75" customHeight="1">
      <c r="H4232" s="43" t="n"/>
      <c r="AG4232" s="49">
        <f>IFERROR(__xludf.DUMMYFUNCTION("IFNA(vlookup(H4232,IMPORTRANGE(""1vUGwO1n0QQGx9kKbO0_M5gmuhXZ6-LaxQxgrmJnzgP0"",""'TP# look up'!A:C""),3,0),"""")"),"")</f>
        <v/>
      </c>
      <c r="AH4232" s="49">
        <f>LEFT(J4232,2)</f>
        <v/>
      </c>
    </row>
    <row r="4233" ht="12.75" customHeight="1">
      <c r="H4233" s="43" t="n"/>
      <c r="AG4233" s="49">
        <f>IFERROR(__xludf.DUMMYFUNCTION("IFNA(vlookup(H4233,IMPORTRANGE(""1vUGwO1n0QQGx9kKbO0_M5gmuhXZ6-LaxQxgrmJnzgP0"",""'TP# look up'!A:C""),3,0),"""")"),"")</f>
        <v/>
      </c>
      <c r="AH4233" s="49">
        <f>LEFT(J4233,2)</f>
        <v/>
      </c>
    </row>
    <row r="4234" ht="12.75" customHeight="1">
      <c r="H4234" s="43" t="n"/>
      <c r="AG4234" s="49">
        <f>IFERROR(__xludf.DUMMYFUNCTION("IFNA(vlookup(H4234,IMPORTRANGE(""1vUGwO1n0QQGx9kKbO0_M5gmuhXZ6-LaxQxgrmJnzgP0"",""'TP# look up'!A:C""),3,0),"""")"),"")</f>
        <v/>
      </c>
      <c r="AH4234" s="49">
        <f>LEFT(J4234,2)</f>
        <v/>
      </c>
    </row>
    <row r="4235" ht="12.75" customHeight="1">
      <c r="H4235" s="43" t="n"/>
      <c r="AG4235" s="49">
        <f>IFERROR(__xludf.DUMMYFUNCTION("IFNA(vlookup(H4235,IMPORTRANGE(""1vUGwO1n0QQGx9kKbO0_M5gmuhXZ6-LaxQxgrmJnzgP0"",""'TP# look up'!A:C""),3,0),"""")"),"")</f>
        <v/>
      </c>
      <c r="AH4235" s="49">
        <f>LEFT(J4235,2)</f>
        <v/>
      </c>
    </row>
    <row r="4236" ht="12.75" customHeight="1">
      <c r="H4236" s="43" t="n"/>
      <c r="AG4236" s="49">
        <f>IFERROR(__xludf.DUMMYFUNCTION("IFNA(vlookup(H4236,IMPORTRANGE(""1vUGwO1n0QQGx9kKbO0_M5gmuhXZ6-LaxQxgrmJnzgP0"",""'TP# look up'!A:C""),3,0),"""")"),"")</f>
        <v/>
      </c>
      <c r="AH4236" s="49">
        <f>LEFT(J4236,2)</f>
        <v/>
      </c>
    </row>
    <row r="4237" ht="12.75" customHeight="1">
      <c r="H4237" s="43" t="n"/>
      <c r="AG4237" s="49">
        <f>IFERROR(__xludf.DUMMYFUNCTION("IFNA(vlookup(H4237,IMPORTRANGE(""1vUGwO1n0QQGx9kKbO0_M5gmuhXZ6-LaxQxgrmJnzgP0"",""'TP# look up'!A:C""),3,0),"""")"),"")</f>
        <v/>
      </c>
      <c r="AH4237" s="49">
        <f>LEFT(J4237,2)</f>
        <v/>
      </c>
    </row>
    <row r="4238" ht="12.75" customHeight="1">
      <c r="H4238" s="43" t="n"/>
      <c r="AG4238" s="49">
        <f>IFERROR(__xludf.DUMMYFUNCTION("IFNA(vlookup(H4238,IMPORTRANGE(""1vUGwO1n0QQGx9kKbO0_M5gmuhXZ6-LaxQxgrmJnzgP0"",""'TP# look up'!A:C""),3,0),"""")"),"")</f>
        <v/>
      </c>
      <c r="AH4238" s="49">
        <f>LEFT(J4238,2)</f>
        <v/>
      </c>
    </row>
    <row r="4239" ht="12.75" customHeight="1">
      <c r="H4239" s="43" t="n"/>
      <c r="AG4239" s="49">
        <f>IFERROR(__xludf.DUMMYFUNCTION("IFNA(vlookup(H4239,IMPORTRANGE(""1vUGwO1n0QQGx9kKbO0_M5gmuhXZ6-LaxQxgrmJnzgP0"",""'TP# look up'!A:C""),3,0),"""")"),"")</f>
        <v/>
      </c>
      <c r="AH4239" s="49">
        <f>LEFT(J4239,2)</f>
        <v/>
      </c>
    </row>
    <row r="4240" ht="12.75" customHeight="1">
      <c r="H4240" s="43" t="n"/>
      <c r="AG4240" s="49">
        <f>IFERROR(__xludf.DUMMYFUNCTION("IFNA(vlookup(H4240,IMPORTRANGE(""1vUGwO1n0QQGx9kKbO0_M5gmuhXZ6-LaxQxgrmJnzgP0"",""'TP# look up'!A:C""),3,0),"""")"),"")</f>
        <v/>
      </c>
      <c r="AH4240" s="49">
        <f>LEFT(J4240,2)</f>
        <v/>
      </c>
    </row>
    <row r="4241" ht="12.75" customHeight="1">
      <c r="H4241" s="43" t="n"/>
      <c r="AG4241" s="49">
        <f>IFERROR(__xludf.DUMMYFUNCTION("IFNA(vlookup(H4241,IMPORTRANGE(""1vUGwO1n0QQGx9kKbO0_M5gmuhXZ6-LaxQxgrmJnzgP0"",""'TP# look up'!A:C""),3,0),"""")"),"")</f>
        <v/>
      </c>
      <c r="AH4241" s="49">
        <f>LEFT(J4241,2)</f>
        <v/>
      </c>
    </row>
    <row r="4242" ht="12.75" customHeight="1">
      <c r="H4242" s="43" t="n"/>
      <c r="AG4242" s="49">
        <f>IFERROR(__xludf.DUMMYFUNCTION("IFNA(vlookup(H4242,IMPORTRANGE(""1vUGwO1n0QQGx9kKbO0_M5gmuhXZ6-LaxQxgrmJnzgP0"",""'TP# look up'!A:C""),3,0),"""")"),"")</f>
        <v/>
      </c>
      <c r="AH4242" s="49">
        <f>LEFT(J4242,2)</f>
        <v/>
      </c>
    </row>
    <row r="4243" ht="12.75" customHeight="1">
      <c r="H4243" s="43" t="n"/>
      <c r="AG4243" s="49">
        <f>IFERROR(__xludf.DUMMYFUNCTION("IFNA(vlookup(H4243,IMPORTRANGE(""1vUGwO1n0QQGx9kKbO0_M5gmuhXZ6-LaxQxgrmJnzgP0"",""'TP# look up'!A:C""),3,0),"""")"),"")</f>
        <v/>
      </c>
      <c r="AH4243" s="49">
        <f>LEFT(J4243,2)</f>
        <v/>
      </c>
    </row>
    <row r="4244" ht="12.75" customHeight="1">
      <c r="H4244" s="43" t="n"/>
      <c r="AG4244" s="49">
        <f>IFERROR(__xludf.DUMMYFUNCTION("IFNA(vlookup(H4244,IMPORTRANGE(""1vUGwO1n0QQGx9kKbO0_M5gmuhXZ6-LaxQxgrmJnzgP0"",""'TP# look up'!A:C""),3,0),"""")"),"")</f>
        <v/>
      </c>
      <c r="AH4244" s="49">
        <f>LEFT(J4244,2)</f>
        <v/>
      </c>
    </row>
    <row r="4245" ht="12.75" customHeight="1">
      <c r="H4245" s="43" t="n"/>
      <c r="AG4245" s="49">
        <f>IFERROR(__xludf.DUMMYFUNCTION("IFNA(vlookup(H4245,IMPORTRANGE(""1vUGwO1n0QQGx9kKbO0_M5gmuhXZ6-LaxQxgrmJnzgP0"",""'TP# look up'!A:C""),3,0),"""")"),"")</f>
        <v/>
      </c>
      <c r="AH4245" s="49">
        <f>LEFT(J4245,2)</f>
        <v/>
      </c>
    </row>
    <row r="4246" ht="12.75" customHeight="1">
      <c r="H4246" s="43" t="n"/>
      <c r="AG4246" s="49">
        <f>IFERROR(__xludf.DUMMYFUNCTION("IFNA(vlookup(H4246,IMPORTRANGE(""1vUGwO1n0QQGx9kKbO0_M5gmuhXZ6-LaxQxgrmJnzgP0"",""'TP# look up'!A:C""),3,0),"""")"),"")</f>
        <v/>
      </c>
      <c r="AH4246" s="49">
        <f>LEFT(J4246,2)</f>
        <v/>
      </c>
    </row>
    <row r="4247" ht="12.75" customHeight="1">
      <c r="H4247" s="43" t="n"/>
      <c r="AG4247" s="49">
        <f>IFERROR(__xludf.DUMMYFUNCTION("IFNA(vlookup(H4247,IMPORTRANGE(""1vUGwO1n0QQGx9kKbO0_M5gmuhXZ6-LaxQxgrmJnzgP0"",""'TP# look up'!A:C""),3,0),"""")"),"")</f>
        <v/>
      </c>
      <c r="AH4247" s="49">
        <f>LEFT(J4247,2)</f>
        <v/>
      </c>
    </row>
    <row r="4248" ht="12.75" customHeight="1">
      <c r="H4248" s="43" t="n"/>
      <c r="AG4248" s="49">
        <f>IFERROR(__xludf.DUMMYFUNCTION("IFNA(vlookup(H4248,IMPORTRANGE(""1vUGwO1n0QQGx9kKbO0_M5gmuhXZ6-LaxQxgrmJnzgP0"",""'TP# look up'!A:C""),3,0),"""")"),"")</f>
        <v/>
      </c>
      <c r="AH4248" s="49">
        <f>LEFT(J4248,2)</f>
        <v/>
      </c>
    </row>
    <row r="4249" ht="12.75" customHeight="1">
      <c r="H4249" s="43" t="n"/>
      <c r="AG4249" s="49">
        <f>IFERROR(__xludf.DUMMYFUNCTION("IFNA(vlookup(H4249,IMPORTRANGE(""1vUGwO1n0QQGx9kKbO0_M5gmuhXZ6-LaxQxgrmJnzgP0"",""'TP# look up'!A:C""),3,0),"""")"),"")</f>
        <v/>
      </c>
      <c r="AH4249" s="49">
        <f>LEFT(J4249,2)</f>
        <v/>
      </c>
    </row>
    <row r="4250" ht="12.75" customHeight="1">
      <c r="H4250" s="43" t="n"/>
      <c r="AG4250" s="49">
        <f>IFERROR(__xludf.DUMMYFUNCTION("IFNA(vlookup(H4250,IMPORTRANGE(""1vUGwO1n0QQGx9kKbO0_M5gmuhXZ6-LaxQxgrmJnzgP0"",""'TP# look up'!A:C""),3,0),"""")"),"")</f>
        <v/>
      </c>
      <c r="AH4250" s="49">
        <f>LEFT(J4250,2)</f>
        <v/>
      </c>
    </row>
    <row r="4251" ht="12.75" customHeight="1">
      <c r="H4251" s="43" t="n"/>
      <c r="AG4251" s="49">
        <f>IFERROR(__xludf.DUMMYFUNCTION("IFNA(vlookup(H4251,IMPORTRANGE(""1vUGwO1n0QQGx9kKbO0_M5gmuhXZ6-LaxQxgrmJnzgP0"",""'TP# look up'!A:C""),3,0),"""")"),"")</f>
        <v/>
      </c>
      <c r="AH4251" s="49">
        <f>LEFT(J4251,2)</f>
        <v/>
      </c>
    </row>
    <row r="4252" ht="12.75" customHeight="1">
      <c r="H4252" s="43" t="n"/>
      <c r="AG4252" s="49">
        <f>IFERROR(__xludf.DUMMYFUNCTION("IFNA(vlookup(H4252,IMPORTRANGE(""1vUGwO1n0QQGx9kKbO0_M5gmuhXZ6-LaxQxgrmJnzgP0"",""'TP# look up'!A:C""),3,0),"""")"),"")</f>
        <v/>
      </c>
      <c r="AH4252" s="49">
        <f>LEFT(J4252,2)</f>
        <v/>
      </c>
    </row>
    <row r="4253" ht="12.75" customHeight="1">
      <c r="H4253" s="43" t="n"/>
      <c r="AG4253" s="49">
        <f>IFERROR(__xludf.DUMMYFUNCTION("IFNA(vlookup(H4253,IMPORTRANGE(""1vUGwO1n0QQGx9kKbO0_M5gmuhXZ6-LaxQxgrmJnzgP0"",""'TP# look up'!A:C""),3,0),"""")"),"")</f>
        <v/>
      </c>
      <c r="AH4253" s="49">
        <f>LEFT(J4253,2)</f>
        <v/>
      </c>
    </row>
    <row r="4254" ht="12.75" customHeight="1">
      <c r="H4254" s="43" t="n"/>
      <c r="AG4254" s="49">
        <f>IFERROR(__xludf.DUMMYFUNCTION("IFNA(vlookup(H4254,IMPORTRANGE(""1vUGwO1n0QQGx9kKbO0_M5gmuhXZ6-LaxQxgrmJnzgP0"",""'TP# look up'!A:C""),3,0),"""")"),"")</f>
        <v/>
      </c>
      <c r="AH4254" s="49">
        <f>LEFT(J4254,2)</f>
        <v/>
      </c>
    </row>
    <row r="4255" ht="12.75" customHeight="1">
      <c r="H4255" s="43" t="n"/>
      <c r="AG4255" s="49">
        <f>IFERROR(__xludf.DUMMYFUNCTION("IFNA(vlookup(H4255,IMPORTRANGE(""1vUGwO1n0QQGx9kKbO0_M5gmuhXZ6-LaxQxgrmJnzgP0"",""'TP# look up'!A:C""),3,0),"""")"),"")</f>
        <v/>
      </c>
      <c r="AH4255" s="49">
        <f>LEFT(J4255,2)</f>
        <v/>
      </c>
    </row>
    <row r="4256" ht="12.75" customHeight="1">
      <c r="H4256" s="43" t="n"/>
      <c r="AG4256" s="49">
        <f>IFERROR(__xludf.DUMMYFUNCTION("IFNA(vlookup(H4256,IMPORTRANGE(""1vUGwO1n0QQGx9kKbO0_M5gmuhXZ6-LaxQxgrmJnzgP0"",""'TP# look up'!A:C""),3,0),"""")"),"")</f>
        <v/>
      </c>
      <c r="AH4256" s="49">
        <f>LEFT(J4256,2)</f>
        <v/>
      </c>
    </row>
    <row r="4257" ht="12.75" customHeight="1">
      <c r="H4257" s="43" t="n"/>
      <c r="AG4257" s="49">
        <f>IFERROR(__xludf.DUMMYFUNCTION("IFNA(vlookup(H4257,IMPORTRANGE(""1vUGwO1n0QQGx9kKbO0_M5gmuhXZ6-LaxQxgrmJnzgP0"",""'TP# look up'!A:C""),3,0),"""")"),"")</f>
        <v/>
      </c>
      <c r="AH4257" s="49">
        <f>LEFT(J4257,2)</f>
        <v/>
      </c>
    </row>
    <row r="4258" ht="12.75" customHeight="1">
      <c r="H4258" s="43" t="n"/>
      <c r="AG4258" s="49">
        <f>IFERROR(__xludf.DUMMYFUNCTION("IFNA(vlookup(H4258,IMPORTRANGE(""1vUGwO1n0QQGx9kKbO0_M5gmuhXZ6-LaxQxgrmJnzgP0"",""'TP# look up'!A:C""),3,0),"""")"),"")</f>
        <v/>
      </c>
      <c r="AH4258" s="49">
        <f>LEFT(J4258,2)</f>
        <v/>
      </c>
    </row>
    <row r="4259" ht="12.75" customHeight="1">
      <c r="H4259" s="43" t="n"/>
      <c r="AG4259" s="49">
        <f>IFERROR(__xludf.DUMMYFUNCTION("IFNA(vlookup(H4259,IMPORTRANGE(""1vUGwO1n0QQGx9kKbO0_M5gmuhXZ6-LaxQxgrmJnzgP0"",""'TP# look up'!A:C""),3,0),"""")"),"")</f>
        <v/>
      </c>
      <c r="AH4259" s="49">
        <f>LEFT(J4259,2)</f>
        <v/>
      </c>
    </row>
    <row r="4260" ht="12.75" customHeight="1">
      <c r="H4260" s="43" t="n"/>
      <c r="AG4260" s="49">
        <f>IFERROR(__xludf.DUMMYFUNCTION("IFNA(vlookup(H4260,IMPORTRANGE(""1vUGwO1n0QQGx9kKbO0_M5gmuhXZ6-LaxQxgrmJnzgP0"",""'TP# look up'!A:C""),3,0),"""")"),"")</f>
        <v/>
      </c>
      <c r="AH4260" s="49">
        <f>LEFT(J4260,2)</f>
        <v/>
      </c>
    </row>
    <row r="4261" ht="12.75" customHeight="1">
      <c r="H4261" s="43" t="n"/>
      <c r="AG4261" s="49">
        <f>IFERROR(__xludf.DUMMYFUNCTION("IFNA(vlookup(H4261,IMPORTRANGE(""1vUGwO1n0QQGx9kKbO0_M5gmuhXZ6-LaxQxgrmJnzgP0"",""'TP# look up'!A:C""),3,0),"""")"),"")</f>
        <v/>
      </c>
      <c r="AH4261" s="49">
        <f>LEFT(J4261,2)</f>
        <v/>
      </c>
    </row>
    <row r="4262" ht="12.75" customHeight="1">
      <c r="H4262" s="43" t="n"/>
      <c r="AG4262" s="49">
        <f>IFERROR(__xludf.DUMMYFUNCTION("IFNA(vlookup(H4262,IMPORTRANGE(""1vUGwO1n0QQGx9kKbO0_M5gmuhXZ6-LaxQxgrmJnzgP0"",""'TP# look up'!A:C""),3,0),"""")"),"")</f>
        <v/>
      </c>
      <c r="AH4262" s="49">
        <f>LEFT(J4262,2)</f>
        <v/>
      </c>
    </row>
    <row r="4263" ht="12.75" customHeight="1">
      <c r="H4263" s="43" t="n"/>
      <c r="AG4263" s="49">
        <f>IFERROR(__xludf.DUMMYFUNCTION("IFNA(vlookup(H4263,IMPORTRANGE(""1vUGwO1n0QQGx9kKbO0_M5gmuhXZ6-LaxQxgrmJnzgP0"",""'TP# look up'!A:C""),3,0),"""")"),"")</f>
        <v/>
      </c>
      <c r="AH4263" s="49">
        <f>LEFT(J4263,2)</f>
        <v/>
      </c>
    </row>
    <row r="4264" ht="12.75" customHeight="1">
      <c r="H4264" s="43" t="n"/>
      <c r="AG4264" s="49">
        <f>IFERROR(__xludf.DUMMYFUNCTION("IFNA(vlookup(H4264,IMPORTRANGE(""1vUGwO1n0QQGx9kKbO0_M5gmuhXZ6-LaxQxgrmJnzgP0"",""'TP# look up'!A:C""),3,0),"""")"),"")</f>
        <v/>
      </c>
      <c r="AH4264" s="49">
        <f>LEFT(J4264,2)</f>
        <v/>
      </c>
    </row>
    <row r="4265" ht="12.75" customHeight="1">
      <c r="H4265" s="43" t="n"/>
      <c r="AG4265" s="49">
        <f>IFERROR(__xludf.DUMMYFUNCTION("IFNA(vlookup(H4265,IMPORTRANGE(""1vUGwO1n0QQGx9kKbO0_M5gmuhXZ6-LaxQxgrmJnzgP0"",""'TP# look up'!A:C""),3,0),"""")"),"")</f>
        <v/>
      </c>
      <c r="AH4265" s="49">
        <f>LEFT(J4265,2)</f>
        <v/>
      </c>
    </row>
    <row r="4266" ht="12.75" customHeight="1">
      <c r="H4266" s="43" t="n"/>
      <c r="AG4266" s="49">
        <f>IFERROR(__xludf.DUMMYFUNCTION("IFNA(vlookup(H4266,IMPORTRANGE(""1vUGwO1n0QQGx9kKbO0_M5gmuhXZ6-LaxQxgrmJnzgP0"",""'TP# look up'!A:C""),3,0),"""")"),"")</f>
        <v/>
      </c>
      <c r="AH4266" s="49">
        <f>LEFT(J4266,2)</f>
        <v/>
      </c>
    </row>
    <row r="4267" ht="12.75" customHeight="1">
      <c r="H4267" s="43" t="n"/>
      <c r="AG4267" s="49">
        <f>IFERROR(__xludf.DUMMYFUNCTION("IFNA(vlookup(H4267,IMPORTRANGE(""1vUGwO1n0QQGx9kKbO0_M5gmuhXZ6-LaxQxgrmJnzgP0"",""'TP# look up'!A:C""),3,0),"""")"),"")</f>
        <v/>
      </c>
      <c r="AH4267" s="49">
        <f>LEFT(J4267,2)</f>
        <v/>
      </c>
    </row>
    <row r="4268" ht="12.75" customHeight="1">
      <c r="H4268" s="43" t="n"/>
      <c r="AG4268" s="49">
        <f>IFERROR(__xludf.DUMMYFUNCTION("IFNA(vlookup(H4268,IMPORTRANGE(""1vUGwO1n0QQGx9kKbO0_M5gmuhXZ6-LaxQxgrmJnzgP0"",""'TP# look up'!A:C""),3,0),"""")"),"")</f>
        <v/>
      </c>
      <c r="AH4268" s="49">
        <f>LEFT(J4268,2)</f>
        <v/>
      </c>
    </row>
    <row r="4269" ht="12.75" customHeight="1">
      <c r="H4269" s="43" t="n"/>
      <c r="AG4269" s="49">
        <f>IFERROR(__xludf.DUMMYFUNCTION("IFNA(vlookup(H4269,IMPORTRANGE(""1vUGwO1n0QQGx9kKbO0_M5gmuhXZ6-LaxQxgrmJnzgP0"",""'TP# look up'!A:C""),3,0),"""")"),"")</f>
        <v/>
      </c>
      <c r="AH4269" s="49">
        <f>LEFT(J4269,2)</f>
        <v/>
      </c>
    </row>
    <row r="4270" ht="12.75" customHeight="1">
      <c r="H4270" s="43" t="n"/>
      <c r="AG4270" s="49">
        <f>IFERROR(__xludf.DUMMYFUNCTION("IFNA(vlookup(H4270,IMPORTRANGE(""1vUGwO1n0QQGx9kKbO0_M5gmuhXZ6-LaxQxgrmJnzgP0"",""'TP# look up'!A:C""),3,0),"""")"),"")</f>
        <v/>
      </c>
      <c r="AH4270" s="49">
        <f>LEFT(J4270,2)</f>
        <v/>
      </c>
    </row>
    <row r="4271" ht="12.75" customHeight="1">
      <c r="H4271" s="43" t="n"/>
      <c r="AG4271" s="49">
        <f>IFERROR(__xludf.DUMMYFUNCTION("IFNA(vlookup(H4271,IMPORTRANGE(""1vUGwO1n0QQGx9kKbO0_M5gmuhXZ6-LaxQxgrmJnzgP0"",""'TP# look up'!A:C""),3,0),"""")"),"")</f>
        <v/>
      </c>
      <c r="AH4271" s="49">
        <f>LEFT(J4271,2)</f>
        <v/>
      </c>
    </row>
    <row r="4272" ht="12.75" customHeight="1">
      <c r="H4272" s="43" t="n"/>
      <c r="AG4272" s="49">
        <f>IFERROR(__xludf.DUMMYFUNCTION("IFNA(vlookup(H4272,IMPORTRANGE(""1vUGwO1n0QQGx9kKbO0_M5gmuhXZ6-LaxQxgrmJnzgP0"",""'TP# look up'!A:C""),3,0),"""")"),"")</f>
        <v/>
      </c>
      <c r="AH4272" s="49">
        <f>LEFT(J4272,2)</f>
        <v/>
      </c>
    </row>
    <row r="4273" ht="12.75" customHeight="1">
      <c r="H4273" s="43" t="n"/>
      <c r="AG4273" s="49">
        <f>IFERROR(__xludf.DUMMYFUNCTION("IFNA(vlookup(H4273,IMPORTRANGE(""1vUGwO1n0QQGx9kKbO0_M5gmuhXZ6-LaxQxgrmJnzgP0"",""'TP# look up'!A:C""),3,0),"""")"),"")</f>
        <v/>
      </c>
      <c r="AH4273" s="49">
        <f>LEFT(J4273,2)</f>
        <v/>
      </c>
    </row>
    <row r="4274" ht="12.75" customHeight="1">
      <c r="H4274" s="43" t="n"/>
      <c r="AG4274" s="49">
        <f>IFERROR(__xludf.DUMMYFUNCTION("IFNA(vlookup(H4274,IMPORTRANGE(""1vUGwO1n0QQGx9kKbO0_M5gmuhXZ6-LaxQxgrmJnzgP0"",""'TP# look up'!A:C""),3,0),"""")"),"")</f>
        <v/>
      </c>
      <c r="AH4274" s="49">
        <f>LEFT(J4274,2)</f>
        <v/>
      </c>
    </row>
    <row r="4275" ht="12.75" customHeight="1">
      <c r="H4275" s="43" t="n"/>
      <c r="AG4275" s="49">
        <f>IFERROR(__xludf.DUMMYFUNCTION("IFNA(vlookup(H4275,IMPORTRANGE(""1vUGwO1n0QQGx9kKbO0_M5gmuhXZ6-LaxQxgrmJnzgP0"",""'TP# look up'!A:C""),3,0),"""")"),"")</f>
        <v/>
      </c>
      <c r="AH4275" s="49">
        <f>LEFT(J4275,2)</f>
        <v/>
      </c>
    </row>
    <row r="4276" ht="12.75" customHeight="1">
      <c r="H4276" s="43" t="n"/>
      <c r="AG4276" s="49">
        <f>IFERROR(__xludf.DUMMYFUNCTION("IFNA(vlookup(H4276,IMPORTRANGE(""1vUGwO1n0QQGx9kKbO0_M5gmuhXZ6-LaxQxgrmJnzgP0"",""'TP# look up'!A:C""),3,0),"""")"),"")</f>
        <v/>
      </c>
      <c r="AH4276" s="49">
        <f>LEFT(J4276,2)</f>
        <v/>
      </c>
    </row>
    <row r="4277" ht="12.75" customHeight="1">
      <c r="H4277" s="43" t="n"/>
      <c r="AG4277" s="49">
        <f>IFERROR(__xludf.DUMMYFUNCTION("IFNA(vlookup(H4277,IMPORTRANGE(""1vUGwO1n0QQGx9kKbO0_M5gmuhXZ6-LaxQxgrmJnzgP0"",""'TP# look up'!A:C""),3,0),"""")"),"")</f>
        <v/>
      </c>
      <c r="AH4277" s="49">
        <f>LEFT(J4277,2)</f>
        <v/>
      </c>
    </row>
    <row r="4278" ht="12.75" customHeight="1">
      <c r="H4278" s="43" t="n"/>
      <c r="AG4278" s="49">
        <f>IFERROR(__xludf.DUMMYFUNCTION("IFNA(vlookup(H4278,IMPORTRANGE(""1vUGwO1n0QQGx9kKbO0_M5gmuhXZ6-LaxQxgrmJnzgP0"",""'TP# look up'!A:C""),3,0),"""")"),"")</f>
        <v/>
      </c>
      <c r="AH4278" s="49">
        <f>LEFT(J4278,2)</f>
        <v/>
      </c>
    </row>
    <row r="4279" ht="12.75" customHeight="1">
      <c r="H4279" s="43" t="n"/>
      <c r="AG4279" s="49">
        <f>IFERROR(__xludf.DUMMYFUNCTION("IFNA(vlookup(H4279,IMPORTRANGE(""1vUGwO1n0QQGx9kKbO0_M5gmuhXZ6-LaxQxgrmJnzgP0"",""'TP# look up'!A:C""),3,0),"""")"),"")</f>
        <v/>
      </c>
      <c r="AH4279" s="49">
        <f>LEFT(J4279,2)</f>
        <v/>
      </c>
    </row>
    <row r="4280" ht="12.75" customHeight="1">
      <c r="H4280" s="43" t="n"/>
      <c r="AG4280" s="49">
        <f>IFERROR(__xludf.DUMMYFUNCTION("IFNA(vlookup(H4280,IMPORTRANGE(""1vUGwO1n0QQGx9kKbO0_M5gmuhXZ6-LaxQxgrmJnzgP0"",""'TP# look up'!A:C""),3,0),"""")"),"")</f>
        <v/>
      </c>
      <c r="AH4280" s="49">
        <f>LEFT(J4280,2)</f>
        <v/>
      </c>
    </row>
    <row r="4281" ht="12.75" customHeight="1">
      <c r="H4281" s="43" t="n"/>
      <c r="AG4281" s="49">
        <f>IFERROR(__xludf.DUMMYFUNCTION("IFNA(vlookup(H4281,IMPORTRANGE(""1vUGwO1n0QQGx9kKbO0_M5gmuhXZ6-LaxQxgrmJnzgP0"",""'TP# look up'!A:C""),3,0),"""")"),"")</f>
        <v/>
      </c>
      <c r="AH4281" s="49">
        <f>LEFT(J4281,2)</f>
        <v/>
      </c>
    </row>
    <row r="4282" ht="12.75" customHeight="1">
      <c r="H4282" s="43" t="n"/>
      <c r="AG4282" s="49">
        <f>IFERROR(__xludf.DUMMYFUNCTION("IFNA(vlookup(H4282,IMPORTRANGE(""1vUGwO1n0QQGx9kKbO0_M5gmuhXZ6-LaxQxgrmJnzgP0"",""'TP# look up'!A:C""),3,0),"""")"),"")</f>
        <v/>
      </c>
      <c r="AH4282" s="49">
        <f>LEFT(J4282,2)</f>
        <v/>
      </c>
    </row>
    <row r="4283" ht="12.75" customHeight="1">
      <c r="H4283" s="43" t="n"/>
      <c r="AG4283" s="49">
        <f>IFERROR(__xludf.DUMMYFUNCTION("IFNA(vlookup(H4283,IMPORTRANGE(""1vUGwO1n0QQGx9kKbO0_M5gmuhXZ6-LaxQxgrmJnzgP0"",""'TP# look up'!A:C""),3,0),"""")"),"")</f>
        <v/>
      </c>
      <c r="AH4283" s="49">
        <f>LEFT(J4283,2)</f>
        <v/>
      </c>
    </row>
    <row r="4284" ht="12.75" customHeight="1">
      <c r="H4284" s="43" t="n"/>
      <c r="AG4284" s="49">
        <f>IFERROR(__xludf.DUMMYFUNCTION("IFNA(vlookup(H4284,IMPORTRANGE(""1vUGwO1n0QQGx9kKbO0_M5gmuhXZ6-LaxQxgrmJnzgP0"",""'TP# look up'!A:C""),3,0),"""")"),"")</f>
        <v/>
      </c>
      <c r="AH4284" s="49">
        <f>LEFT(J4284,2)</f>
        <v/>
      </c>
    </row>
    <row r="4285" ht="12.75" customHeight="1">
      <c r="H4285" s="43" t="n"/>
      <c r="AG4285" s="49">
        <f>IFERROR(__xludf.DUMMYFUNCTION("IFNA(vlookup(H4285,IMPORTRANGE(""1vUGwO1n0QQGx9kKbO0_M5gmuhXZ6-LaxQxgrmJnzgP0"",""'TP# look up'!A:C""),3,0),"""")"),"")</f>
        <v/>
      </c>
      <c r="AH4285" s="49">
        <f>LEFT(J4285,2)</f>
        <v/>
      </c>
    </row>
    <row r="4286" ht="12.75" customHeight="1">
      <c r="H4286" s="43" t="n"/>
      <c r="AG4286" s="49">
        <f>IFERROR(__xludf.DUMMYFUNCTION("IFNA(vlookup(H4286,IMPORTRANGE(""1vUGwO1n0QQGx9kKbO0_M5gmuhXZ6-LaxQxgrmJnzgP0"",""'TP# look up'!A:C""),3,0),"""")"),"")</f>
        <v/>
      </c>
      <c r="AH4286" s="49">
        <f>LEFT(J4286,2)</f>
        <v/>
      </c>
    </row>
    <row r="4287" ht="12.75" customHeight="1">
      <c r="H4287" s="43" t="n"/>
      <c r="AG4287" s="49">
        <f>IFERROR(__xludf.DUMMYFUNCTION("IFNA(vlookup(H4287,IMPORTRANGE(""1vUGwO1n0QQGx9kKbO0_M5gmuhXZ6-LaxQxgrmJnzgP0"",""'TP# look up'!A:C""),3,0),"""")"),"")</f>
        <v/>
      </c>
      <c r="AH4287" s="49">
        <f>LEFT(J4287,2)</f>
        <v/>
      </c>
    </row>
    <row r="4288" ht="12.75" customHeight="1">
      <c r="H4288" s="43" t="n"/>
      <c r="AG4288" s="49">
        <f>IFERROR(__xludf.DUMMYFUNCTION("IFNA(vlookup(H4288,IMPORTRANGE(""1vUGwO1n0QQGx9kKbO0_M5gmuhXZ6-LaxQxgrmJnzgP0"",""'TP# look up'!A:C""),3,0),"""")"),"")</f>
        <v/>
      </c>
      <c r="AH4288" s="49">
        <f>LEFT(J4288,2)</f>
        <v/>
      </c>
    </row>
    <row r="4289" ht="12.75" customHeight="1">
      <c r="H4289" s="43" t="n"/>
      <c r="AG4289" s="49">
        <f>IFERROR(__xludf.DUMMYFUNCTION("IFNA(vlookup(H4289,IMPORTRANGE(""1vUGwO1n0QQGx9kKbO0_M5gmuhXZ6-LaxQxgrmJnzgP0"",""'TP# look up'!A:C""),3,0),"""")"),"")</f>
        <v/>
      </c>
      <c r="AH4289" s="49">
        <f>LEFT(J4289,2)</f>
        <v/>
      </c>
    </row>
    <row r="4290" ht="12.75" customHeight="1">
      <c r="H4290" s="43" t="n"/>
      <c r="AG4290" s="49">
        <f>IFERROR(__xludf.DUMMYFUNCTION("IFNA(vlookup(H4290,IMPORTRANGE(""1vUGwO1n0QQGx9kKbO0_M5gmuhXZ6-LaxQxgrmJnzgP0"",""'TP# look up'!A:C""),3,0),"""")"),"")</f>
        <v/>
      </c>
      <c r="AH4290" s="49">
        <f>LEFT(J4290,2)</f>
        <v/>
      </c>
    </row>
    <row r="4291" ht="12.75" customHeight="1">
      <c r="H4291" s="43" t="n"/>
      <c r="AG4291" s="49">
        <f>IFERROR(__xludf.DUMMYFUNCTION("IFNA(vlookup(H4291,IMPORTRANGE(""1vUGwO1n0QQGx9kKbO0_M5gmuhXZ6-LaxQxgrmJnzgP0"",""'TP# look up'!A:C""),3,0),"""")"),"")</f>
        <v/>
      </c>
      <c r="AH4291" s="49">
        <f>LEFT(J4291,2)</f>
        <v/>
      </c>
    </row>
    <row r="4292" ht="12.75" customHeight="1">
      <c r="H4292" s="43" t="n"/>
      <c r="AG4292" s="49">
        <f>IFERROR(__xludf.DUMMYFUNCTION("IFNA(vlookup(H4292,IMPORTRANGE(""1vUGwO1n0QQGx9kKbO0_M5gmuhXZ6-LaxQxgrmJnzgP0"",""'TP# look up'!A:C""),3,0),"""")"),"")</f>
        <v/>
      </c>
      <c r="AH4292" s="49">
        <f>LEFT(J4292,2)</f>
        <v/>
      </c>
    </row>
    <row r="4293" ht="12.75" customHeight="1">
      <c r="H4293" s="43" t="n"/>
      <c r="AG4293" s="49">
        <f>IFERROR(__xludf.DUMMYFUNCTION("IFNA(vlookup(H4293,IMPORTRANGE(""1vUGwO1n0QQGx9kKbO0_M5gmuhXZ6-LaxQxgrmJnzgP0"",""'TP# look up'!A:C""),3,0),"""")"),"")</f>
        <v/>
      </c>
      <c r="AH4293" s="49">
        <f>LEFT(J4293,2)</f>
        <v/>
      </c>
    </row>
    <row r="4294" ht="12.75" customHeight="1">
      <c r="H4294" s="43" t="n"/>
      <c r="AG4294" s="49">
        <f>IFERROR(__xludf.DUMMYFUNCTION("IFNA(vlookup(H4294,IMPORTRANGE(""1vUGwO1n0QQGx9kKbO0_M5gmuhXZ6-LaxQxgrmJnzgP0"",""'TP# look up'!A:C""),3,0),"""")"),"")</f>
        <v/>
      </c>
      <c r="AH4294" s="49">
        <f>LEFT(J4294,2)</f>
        <v/>
      </c>
    </row>
    <row r="4295" ht="12.75" customHeight="1">
      <c r="H4295" s="43" t="n"/>
      <c r="AG4295" s="49">
        <f>IFERROR(__xludf.DUMMYFUNCTION("IFNA(vlookup(H4295,IMPORTRANGE(""1vUGwO1n0QQGx9kKbO0_M5gmuhXZ6-LaxQxgrmJnzgP0"",""'TP# look up'!A:C""),3,0),"""")"),"")</f>
        <v/>
      </c>
      <c r="AH4295" s="49">
        <f>LEFT(J4295,2)</f>
        <v/>
      </c>
    </row>
    <row r="4296" ht="12.75" customHeight="1">
      <c r="H4296" s="43" t="n"/>
      <c r="AG4296" s="49">
        <f>IFERROR(__xludf.DUMMYFUNCTION("IFNA(vlookup(H4296,IMPORTRANGE(""1vUGwO1n0QQGx9kKbO0_M5gmuhXZ6-LaxQxgrmJnzgP0"",""'TP# look up'!A:C""),3,0),"""")"),"")</f>
        <v/>
      </c>
      <c r="AH4296" s="49">
        <f>LEFT(J4296,2)</f>
        <v/>
      </c>
    </row>
    <row r="4297" ht="12.75" customHeight="1">
      <c r="H4297" s="43" t="n"/>
      <c r="AG4297" s="49">
        <f>IFERROR(__xludf.DUMMYFUNCTION("IFNA(vlookup(H4297,IMPORTRANGE(""1vUGwO1n0QQGx9kKbO0_M5gmuhXZ6-LaxQxgrmJnzgP0"",""'TP# look up'!A:C""),3,0),"""")"),"")</f>
        <v/>
      </c>
      <c r="AH4297" s="49">
        <f>LEFT(J4297,2)</f>
        <v/>
      </c>
    </row>
    <row r="4298" ht="12.75" customHeight="1">
      <c r="H4298" s="43" t="n"/>
      <c r="AG4298" s="49">
        <f>IFERROR(__xludf.DUMMYFUNCTION("IFNA(vlookup(H4298,IMPORTRANGE(""1vUGwO1n0QQGx9kKbO0_M5gmuhXZ6-LaxQxgrmJnzgP0"",""'TP# look up'!A:C""),3,0),"""")"),"")</f>
        <v/>
      </c>
      <c r="AH4298" s="49">
        <f>LEFT(J4298,2)</f>
        <v/>
      </c>
    </row>
    <row r="4299" ht="12.75" customHeight="1">
      <c r="H4299" s="43" t="n"/>
      <c r="AG4299" s="49">
        <f>IFERROR(__xludf.DUMMYFUNCTION("IFNA(vlookup(H4299,IMPORTRANGE(""1vUGwO1n0QQGx9kKbO0_M5gmuhXZ6-LaxQxgrmJnzgP0"",""'TP# look up'!A:C""),3,0),"""")"),"")</f>
        <v/>
      </c>
      <c r="AH4299" s="49">
        <f>LEFT(J4299,2)</f>
        <v/>
      </c>
    </row>
    <row r="4300" ht="12.75" customHeight="1">
      <c r="H4300" s="43" t="n"/>
      <c r="AG4300" s="49">
        <f>IFERROR(__xludf.DUMMYFUNCTION("IFNA(vlookup(H4300,IMPORTRANGE(""1vUGwO1n0QQGx9kKbO0_M5gmuhXZ6-LaxQxgrmJnzgP0"",""'TP# look up'!A:C""),3,0),"""")"),"")</f>
        <v/>
      </c>
      <c r="AH4300" s="49">
        <f>LEFT(J4300,2)</f>
        <v/>
      </c>
    </row>
    <row r="4301" ht="12.75" customHeight="1">
      <c r="H4301" s="43" t="n"/>
      <c r="AG4301" s="49">
        <f>IFERROR(__xludf.DUMMYFUNCTION("IFNA(vlookup(H4301,IMPORTRANGE(""1vUGwO1n0QQGx9kKbO0_M5gmuhXZ6-LaxQxgrmJnzgP0"",""'TP# look up'!A:C""),3,0),"""")"),"")</f>
        <v/>
      </c>
      <c r="AH4301" s="49">
        <f>LEFT(J4301,2)</f>
        <v/>
      </c>
    </row>
    <row r="4302" ht="12.75" customHeight="1">
      <c r="H4302" s="43" t="n"/>
      <c r="AG4302" s="49">
        <f>IFERROR(__xludf.DUMMYFUNCTION("IFNA(vlookup(H4302,IMPORTRANGE(""1vUGwO1n0QQGx9kKbO0_M5gmuhXZ6-LaxQxgrmJnzgP0"",""'TP# look up'!A:C""),3,0),"""")"),"")</f>
        <v/>
      </c>
      <c r="AH4302" s="49">
        <f>LEFT(J4302,2)</f>
        <v/>
      </c>
    </row>
    <row r="4303" ht="12.75" customHeight="1">
      <c r="H4303" s="43" t="n"/>
      <c r="AG4303" s="49">
        <f>IFERROR(__xludf.DUMMYFUNCTION("IFNA(vlookup(H4303,IMPORTRANGE(""1vUGwO1n0QQGx9kKbO0_M5gmuhXZ6-LaxQxgrmJnzgP0"",""'TP# look up'!A:C""),3,0),"""")"),"")</f>
        <v/>
      </c>
      <c r="AH4303" s="49">
        <f>LEFT(J4303,2)</f>
        <v/>
      </c>
    </row>
    <row r="4304" ht="12.75" customHeight="1">
      <c r="H4304" s="43" t="n"/>
      <c r="AG4304" s="49">
        <f>IFERROR(__xludf.DUMMYFUNCTION("IFNA(vlookup(H4304,IMPORTRANGE(""1vUGwO1n0QQGx9kKbO0_M5gmuhXZ6-LaxQxgrmJnzgP0"",""'TP# look up'!A:C""),3,0),"""")"),"")</f>
        <v/>
      </c>
      <c r="AH4304" s="49">
        <f>LEFT(J4304,2)</f>
        <v/>
      </c>
    </row>
    <row r="4305" ht="12.75" customHeight="1">
      <c r="H4305" s="43" t="n"/>
      <c r="AG4305" s="49">
        <f>IFERROR(__xludf.DUMMYFUNCTION("IFNA(vlookup(H4305,IMPORTRANGE(""1vUGwO1n0QQGx9kKbO0_M5gmuhXZ6-LaxQxgrmJnzgP0"",""'TP# look up'!A:C""),3,0),"""")"),"")</f>
        <v/>
      </c>
      <c r="AH4305" s="49">
        <f>LEFT(J4305,2)</f>
        <v/>
      </c>
    </row>
    <row r="4306" ht="12.75" customHeight="1">
      <c r="H4306" s="43" t="n"/>
      <c r="AG4306" s="49">
        <f>IFERROR(__xludf.DUMMYFUNCTION("IFNA(vlookup(H4306,IMPORTRANGE(""1vUGwO1n0QQGx9kKbO0_M5gmuhXZ6-LaxQxgrmJnzgP0"",""'TP# look up'!A:C""),3,0),"""")"),"")</f>
        <v/>
      </c>
      <c r="AH4306" s="49">
        <f>LEFT(J4306,2)</f>
        <v/>
      </c>
    </row>
    <row r="4307" ht="12.75" customHeight="1">
      <c r="H4307" s="43" t="n"/>
      <c r="AG4307" s="49">
        <f>IFERROR(__xludf.DUMMYFUNCTION("IFNA(vlookup(H4307,IMPORTRANGE(""1vUGwO1n0QQGx9kKbO0_M5gmuhXZ6-LaxQxgrmJnzgP0"",""'TP# look up'!A:C""),3,0),"""")"),"")</f>
        <v/>
      </c>
      <c r="AH4307" s="49">
        <f>LEFT(J4307,2)</f>
        <v/>
      </c>
    </row>
    <row r="4308" ht="12.75" customHeight="1">
      <c r="H4308" s="43" t="n"/>
      <c r="AG4308" s="49">
        <f>IFERROR(__xludf.DUMMYFUNCTION("IFNA(vlookup(H4308,IMPORTRANGE(""1vUGwO1n0QQGx9kKbO0_M5gmuhXZ6-LaxQxgrmJnzgP0"",""'TP# look up'!A:C""),3,0),"""")"),"")</f>
        <v/>
      </c>
      <c r="AH4308" s="49">
        <f>LEFT(J4308,2)</f>
        <v/>
      </c>
    </row>
    <row r="4309" ht="12.75" customHeight="1">
      <c r="H4309" s="43" t="n"/>
      <c r="AG4309" s="49">
        <f>IFERROR(__xludf.DUMMYFUNCTION("IFNA(vlookup(H4309,IMPORTRANGE(""1vUGwO1n0QQGx9kKbO0_M5gmuhXZ6-LaxQxgrmJnzgP0"",""'TP# look up'!A:C""),3,0),"""")"),"")</f>
        <v/>
      </c>
      <c r="AH4309" s="49">
        <f>LEFT(J4309,2)</f>
        <v/>
      </c>
    </row>
    <row r="4310" ht="12.75" customHeight="1">
      <c r="H4310" s="43" t="n"/>
      <c r="AG4310" s="49">
        <f>IFERROR(__xludf.DUMMYFUNCTION("IFNA(vlookup(H4310,IMPORTRANGE(""1vUGwO1n0QQGx9kKbO0_M5gmuhXZ6-LaxQxgrmJnzgP0"",""'TP# look up'!A:C""),3,0),"""")"),"")</f>
        <v/>
      </c>
      <c r="AH4310" s="49">
        <f>LEFT(J4310,2)</f>
        <v/>
      </c>
    </row>
    <row r="4311" ht="12.75" customHeight="1">
      <c r="H4311" s="43" t="n"/>
      <c r="AG4311" s="49">
        <f>IFERROR(__xludf.DUMMYFUNCTION("IFNA(vlookup(H4311,IMPORTRANGE(""1vUGwO1n0QQGx9kKbO0_M5gmuhXZ6-LaxQxgrmJnzgP0"",""'TP# look up'!A:C""),3,0),"""")"),"")</f>
        <v/>
      </c>
      <c r="AH4311" s="49">
        <f>LEFT(J4311,2)</f>
        <v/>
      </c>
    </row>
    <row r="4312" ht="12.75" customHeight="1">
      <c r="H4312" s="43" t="n"/>
      <c r="AG4312" s="49">
        <f>IFERROR(__xludf.DUMMYFUNCTION("IFNA(vlookup(H4312,IMPORTRANGE(""1vUGwO1n0QQGx9kKbO0_M5gmuhXZ6-LaxQxgrmJnzgP0"",""'TP# look up'!A:C""),3,0),"""")"),"")</f>
        <v/>
      </c>
      <c r="AH4312" s="49">
        <f>LEFT(J4312,2)</f>
        <v/>
      </c>
    </row>
    <row r="4313" ht="12.75" customHeight="1">
      <c r="H4313" s="43" t="n"/>
      <c r="AG4313" s="49">
        <f>IFERROR(__xludf.DUMMYFUNCTION("IFNA(vlookup(H4313,IMPORTRANGE(""1vUGwO1n0QQGx9kKbO0_M5gmuhXZ6-LaxQxgrmJnzgP0"",""'TP# look up'!A:C""),3,0),"""")"),"")</f>
        <v/>
      </c>
      <c r="AH4313" s="49">
        <f>LEFT(J4313,2)</f>
        <v/>
      </c>
    </row>
    <row r="4314" ht="12.75" customHeight="1">
      <c r="H4314" s="43" t="n"/>
      <c r="AG4314" s="49">
        <f>IFERROR(__xludf.DUMMYFUNCTION("IFNA(vlookup(H4314,IMPORTRANGE(""1vUGwO1n0QQGx9kKbO0_M5gmuhXZ6-LaxQxgrmJnzgP0"",""'TP# look up'!A:C""),3,0),"""")"),"")</f>
        <v/>
      </c>
      <c r="AH4314" s="49">
        <f>LEFT(J4314,2)</f>
        <v/>
      </c>
    </row>
    <row r="4315" ht="12.75" customHeight="1">
      <c r="H4315" s="43" t="n"/>
      <c r="AG4315" s="49">
        <f>IFERROR(__xludf.DUMMYFUNCTION("IFNA(vlookup(H4315,IMPORTRANGE(""1vUGwO1n0QQGx9kKbO0_M5gmuhXZ6-LaxQxgrmJnzgP0"",""'TP# look up'!A:C""),3,0),"""")"),"")</f>
        <v/>
      </c>
      <c r="AH4315" s="49">
        <f>LEFT(J4315,2)</f>
        <v/>
      </c>
    </row>
    <row r="4316" ht="12.75" customHeight="1">
      <c r="H4316" s="43" t="n"/>
      <c r="AG4316" s="49">
        <f>IFERROR(__xludf.DUMMYFUNCTION("IFNA(vlookup(H4316,IMPORTRANGE(""1vUGwO1n0QQGx9kKbO0_M5gmuhXZ6-LaxQxgrmJnzgP0"",""'TP# look up'!A:C""),3,0),"""")"),"")</f>
        <v/>
      </c>
      <c r="AH4316" s="49">
        <f>LEFT(J4316,2)</f>
        <v/>
      </c>
    </row>
    <row r="4317" ht="12.75" customHeight="1">
      <c r="H4317" s="43" t="n"/>
      <c r="AG4317" s="49">
        <f>IFERROR(__xludf.DUMMYFUNCTION("IFNA(vlookup(H4317,IMPORTRANGE(""1vUGwO1n0QQGx9kKbO0_M5gmuhXZ6-LaxQxgrmJnzgP0"",""'TP# look up'!A:C""),3,0),"""")"),"")</f>
        <v/>
      </c>
      <c r="AH4317" s="49">
        <f>LEFT(J4317,2)</f>
        <v/>
      </c>
    </row>
    <row r="4318" ht="12.75" customHeight="1">
      <c r="H4318" s="43" t="n"/>
      <c r="AG4318" s="49">
        <f>IFERROR(__xludf.DUMMYFUNCTION("IFNA(vlookup(H4318,IMPORTRANGE(""1vUGwO1n0QQGx9kKbO0_M5gmuhXZ6-LaxQxgrmJnzgP0"",""'TP# look up'!A:C""),3,0),"""")"),"")</f>
        <v/>
      </c>
      <c r="AH4318" s="49">
        <f>LEFT(J4318,2)</f>
        <v/>
      </c>
    </row>
    <row r="4319" ht="12.75" customHeight="1">
      <c r="H4319" s="43" t="n"/>
      <c r="AG4319" s="49">
        <f>IFERROR(__xludf.DUMMYFUNCTION("IFNA(vlookup(H4319,IMPORTRANGE(""1vUGwO1n0QQGx9kKbO0_M5gmuhXZ6-LaxQxgrmJnzgP0"",""'TP# look up'!A:C""),3,0),"""")"),"")</f>
        <v/>
      </c>
      <c r="AH4319" s="49">
        <f>LEFT(J4319,2)</f>
        <v/>
      </c>
    </row>
    <row r="4320" ht="12.75" customHeight="1">
      <c r="H4320" s="43" t="n"/>
      <c r="AG4320" s="49">
        <f>IFERROR(__xludf.DUMMYFUNCTION("IFNA(vlookup(H4320,IMPORTRANGE(""1vUGwO1n0QQGx9kKbO0_M5gmuhXZ6-LaxQxgrmJnzgP0"",""'TP# look up'!A:C""),3,0),"""")"),"")</f>
        <v/>
      </c>
      <c r="AH4320" s="49">
        <f>LEFT(J4320,2)</f>
        <v/>
      </c>
    </row>
    <row r="4321" ht="12.75" customHeight="1">
      <c r="H4321" s="43" t="n"/>
      <c r="AG4321" s="49">
        <f>IFERROR(__xludf.DUMMYFUNCTION("IFNA(vlookup(H4321,IMPORTRANGE(""1vUGwO1n0QQGx9kKbO0_M5gmuhXZ6-LaxQxgrmJnzgP0"",""'TP# look up'!A:C""),3,0),"""")"),"")</f>
        <v/>
      </c>
      <c r="AH4321" s="49">
        <f>LEFT(J4321,2)</f>
        <v/>
      </c>
    </row>
    <row r="4322" ht="12.75" customHeight="1">
      <c r="H4322" s="43" t="n"/>
      <c r="AG4322" s="49">
        <f>IFERROR(__xludf.DUMMYFUNCTION("IFNA(vlookup(H4322,IMPORTRANGE(""1vUGwO1n0QQGx9kKbO0_M5gmuhXZ6-LaxQxgrmJnzgP0"",""'TP# look up'!A:C""),3,0),"""")"),"")</f>
        <v/>
      </c>
      <c r="AH4322" s="49">
        <f>LEFT(J4322,2)</f>
        <v/>
      </c>
    </row>
    <row r="4323" ht="12.75" customHeight="1">
      <c r="H4323" s="43" t="n"/>
      <c r="AG4323" s="49">
        <f>IFERROR(__xludf.DUMMYFUNCTION("IFNA(vlookup(H4323,IMPORTRANGE(""1vUGwO1n0QQGx9kKbO0_M5gmuhXZ6-LaxQxgrmJnzgP0"",""'TP# look up'!A:C""),3,0),"""")"),"")</f>
        <v/>
      </c>
      <c r="AH4323" s="49">
        <f>LEFT(J4323,2)</f>
        <v/>
      </c>
    </row>
    <row r="4324" ht="12.75" customHeight="1">
      <c r="H4324" s="43" t="n"/>
      <c r="AG4324" s="49">
        <f>IFERROR(__xludf.DUMMYFUNCTION("IFNA(vlookup(H4324,IMPORTRANGE(""1vUGwO1n0QQGx9kKbO0_M5gmuhXZ6-LaxQxgrmJnzgP0"",""'TP# look up'!A:C""),3,0),"""")"),"")</f>
        <v/>
      </c>
      <c r="AH4324" s="49">
        <f>LEFT(J4324,2)</f>
        <v/>
      </c>
    </row>
    <row r="4325" ht="12.75" customHeight="1">
      <c r="H4325" s="43" t="n"/>
      <c r="AG4325" s="49">
        <f>IFERROR(__xludf.DUMMYFUNCTION("IFNA(vlookup(H4325,IMPORTRANGE(""1vUGwO1n0QQGx9kKbO0_M5gmuhXZ6-LaxQxgrmJnzgP0"",""'TP# look up'!A:C""),3,0),"""")"),"")</f>
        <v/>
      </c>
      <c r="AH4325" s="49">
        <f>LEFT(J4325,2)</f>
        <v/>
      </c>
    </row>
    <row r="4326" ht="12.75" customHeight="1">
      <c r="H4326" s="43" t="n"/>
      <c r="AG4326" s="49">
        <f>IFERROR(__xludf.DUMMYFUNCTION("IFNA(vlookup(H4326,IMPORTRANGE(""1vUGwO1n0QQGx9kKbO0_M5gmuhXZ6-LaxQxgrmJnzgP0"",""'TP# look up'!A:C""),3,0),"""")"),"")</f>
        <v/>
      </c>
      <c r="AH4326" s="49">
        <f>LEFT(J4326,2)</f>
        <v/>
      </c>
    </row>
    <row r="4327" ht="12.75" customHeight="1">
      <c r="H4327" s="43" t="n"/>
      <c r="AG4327" s="49">
        <f>IFERROR(__xludf.DUMMYFUNCTION("IFNA(vlookup(H4327,IMPORTRANGE(""1vUGwO1n0QQGx9kKbO0_M5gmuhXZ6-LaxQxgrmJnzgP0"",""'TP# look up'!A:C""),3,0),"""")"),"")</f>
        <v/>
      </c>
      <c r="AH4327" s="49">
        <f>LEFT(J4327,2)</f>
        <v/>
      </c>
    </row>
    <row r="4328" ht="12.75" customHeight="1">
      <c r="H4328" s="43" t="n"/>
      <c r="AG4328" s="49">
        <f>IFERROR(__xludf.DUMMYFUNCTION("IFNA(vlookup(H4328,IMPORTRANGE(""1vUGwO1n0QQGx9kKbO0_M5gmuhXZ6-LaxQxgrmJnzgP0"",""'TP# look up'!A:C""),3,0),"""")"),"")</f>
        <v/>
      </c>
      <c r="AH4328" s="49">
        <f>LEFT(J4328,2)</f>
        <v/>
      </c>
    </row>
    <row r="4329" ht="12.75" customHeight="1">
      <c r="H4329" s="43" t="n"/>
      <c r="AG4329" s="49">
        <f>IFERROR(__xludf.DUMMYFUNCTION("IFNA(vlookup(H4329,IMPORTRANGE(""1vUGwO1n0QQGx9kKbO0_M5gmuhXZ6-LaxQxgrmJnzgP0"",""'TP# look up'!A:C""),3,0),"""")"),"")</f>
        <v/>
      </c>
      <c r="AH4329" s="49">
        <f>LEFT(J4329,2)</f>
        <v/>
      </c>
    </row>
    <row r="4330" ht="12.75" customHeight="1">
      <c r="H4330" s="43" t="n"/>
      <c r="AG4330" s="49">
        <f>IFERROR(__xludf.DUMMYFUNCTION("IFNA(vlookup(H4330,IMPORTRANGE(""1vUGwO1n0QQGx9kKbO0_M5gmuhXZ6-LaxQxgrmJnzgP0"",""'TP# look up'!A:C""),3,0),"""")"),"")</f>
        <v/>
      </c>
      <c r="AH4330" s="49">
        <f>LEFT(J4330,2)</f>
        <v/>
      </c>
    </row>
    <row r="4331" ht="12.75" customHeight="1">
      <c r="H4331" s="43" t="n"/>
      <c r="AG4331" s="49">
        <f>IFERROR(__xludf.DUMMYFUNCTION("IFNA(vlookup(H4331,IMPORTRANGE(""1vUGwO1n0QQGx9kKbO0_M5gmuhXZ6-LaxQxgrmJnzgP0"",""'TP# look up'!A:C""),3,0),"""")"),"")</f>
        <v/>
      </c>
      <c r="AH4331" s="49">
        <f>LEFT(J4331,2)</f>
        <v/>
      </c>
    </row>
    <row r="4332" ht="12.75" customHeight="1">
      <c r="H4332" s="43" t="n"/>
      <c r="AG4332" s="49">
        <f>IFERROR(__xludf.DUMMYFUNCTION("IFNA(vlookup(H4332,IMPORTRANGE(""1vUGwO1n0QQGx9kKbO0_M5gmuhXZ6-LaxQxgrmJnzgP0"",""'TP# look up'!A:C""),3,0),"""")"),"")</f>
        <v/>
      </c>
      <c r="AH4332" s="49">
        <f>LEFT(J4332,2)</f>
        <v/>
      </c>
    </row>
    <row r="4333" ht="12.75" customHeight="1">
      <c r="H4333" s="43" t="n"/>
      <c r="AG4333" s="49">
        <f>IFERROR(__xludf.DUMMYFUNCTION("IFNA(vlookup(H4333,IMPORTRANGE(""1vUGwO1n0QQGx9kKbO0_M5gmuhXZ6-LaxQxgrmJnzgP0"",""'TP# look up'!A:C""),3,0),"""")"),"")</f>
        <v/>
      </c>
      <c r="AH4333" s="49">
        <f>LEFT(J4333,2)</f>
        <v/>
      </c>
    </row>
    <row r="4334" ht="12.75" customHeight="1">
      <c r="H4334" s="43" t="n"/>
      <c r="AG4334" s="49">
        <f>IFERROR(__xludf.DUMMYFUNCTION("IFNA(vlookup(H4334,IMPORTRANGE(""1vUGwO1n0QQGx9kKbO0_M5gmuhXZ6-LaxQxgrmJnzgP0"",""'TP# look up'!A:C""),3,0),"""")"),"")</f>
        <v/>
      </c>
      <c r="AH4334" s="49">
        <f>LEFT(J4334,2)</f>
        <v/>
      </c>
    </row>
    <row r="4335" ht="12.75" customHeight="1">
      <c r="H4335" s="43" t="n"/>
      <c r="AG4335" s="49">
        <f>IFERROR(__xludf.DUMMYFUNCTION("IFNA(vlookup(H4335,IMPORTRANGE(""1vUGwO1n0QQGx9kKbO0_M5gmuhXZ6-LaxQxgrmJnzgP0"",""'TP# look up'!A:C""),3,0),"""")"),"")</f>
        <v/>
      </c>
      <c r="AH4335" s="49">
        <f>LEFT(J4335,2)</f>
        <v/>
      </c>
    </row>
    <row r="4336" ht="12.75" customHeight="1">
      <c r="H4336" s="43" t="n"/>
      <c r="AG4336" s="49">
        <f>IFERROR(__xludf.DUMMYFUNCTION("IFNA(vlookup(H4336,IMPORTRANGE(""1vUGwO1n0QQGx9kKbO0_M5gmuhXZ6-LaxQxgrmJnzgP0"",""'TP# look up'!A:C""),3,0),"""")"),"")</f>
        <v/>
      </c>
      <c r="AH4336" s="49">
        <f>LEFT(J4336,2)</f>
        <v/>
      </c>
    </row>
    <row r="4337" ht="12.75" customHeight="1">
      <c r="H4337" s="43" t="n"/>
      <c r="AG4337" s="49">
        <f>IFERROR(__xludf.DUMMYFUNCTION("IFNA(vlookup(H4337,IMPORTRANGE(""1vUGwO1n0QQGx9kKbO0_M5gmuhXZ6-LaxQxgrmJnzgP0"",""'TP# look up'!A:C""),3,0),"""")"),"")</f>
        <v/>
      </c>
      <c r="AH4337" s="49">
        <f>LEFT(J4337,2)</f>
        <v/>
      </c>
    </row>
    <row r="4338" ht="12.75" customHeight="1">
      <c r="H4338" s="43" t="n"/>
      <c r="AG4338" s="49">
        <f>IFERROR(__xludf.DUMMYFUNCTION("IFNA(vlookup(H4338,IMPORTRANGE(""1vUGwO1n0QQGx9kKbO0_M5gmuhXZ6-LaxQxgrmJnzgP0"",""'TP# look up'!A:C""),3,0),"""")"),"")</f>
        <v/>
      </c>
      <c r="AH4338" s="49">
        <f>LEFT(J4338,2)</f>
        <v/>
      </c>
    </row>
    <row r="4339" ht="12.75" customHeight="1">
      <c r="H4339" s="43" t="n"/>
      <c r="AG4339" s="49">
        <f>IFERROR(__xludf.DUMMYFUNCTION("IFNA(vlookup(H4339,IMPORTRANGE(""1vUGwO1n0QQGx9kKbO0_M5gmuhXZ6-LaxQxgrmJnzgP0"",""'TP# look up'!A:C""),3,0),"""")"),"")</f>
        <v/>
      </c>
      <c r="AH4339" s="49">
        <f>LEFT(J4339,2)</f>
        <v/>
      </c>
    </row>
    <row r="4340" ht="12.75" customHeight="1">
      <c r="H4340" s="43" t="n"/>
      <c r="AG4340" s="49">
        <f>IFERROR(__xludf.DUMMYFUNCTION("IFNA(vlookup(H4340,IMPORTRANGE(""1vUGwO1n0QQGx9kKbO0_M5gmuhXZ6-LaxQxgrmJnzgP0"",""'TP# look up'!A:C""),3,0),"""")"),"")</f>
        <v/>
      </c>
      <c r="AH4340" s="49">
        <f>LEFT(J4340,2)</f>
        <v/>
      </c>
    </row>
    <row r="4341" ht="12.75" customHeight="1">
      <c r="H4341" s="43" t="n"/>
      <c r="AG4341" s="49">
        <f>IFERROR(__xludf.DUMMYFUNCTION("IFNA(vlookup(H4341,IMPORTRANGE(""1vUGwO1n0QQGx9kKbO0_M5gmuhXZ6-LaxQxgrmJnzgP0"",""'TP# look up'!A:C""),3,0),"""")"),"")</f>
        <v/>
      </c>
      <c r="AH4341" s="49">
        <f>LEFT(J4341,2)</f>
        <v/>
      </c>
    </row>
    <row r="4342" ht="12.75" customHeight="1">
      <c r="H4342" s="43" t="n"/>
      <c r="AG4342" s="49">
        <f>IFERROR(__xludf.DUMMYFUNCTION("IFNA(vlookup(H4342,IMPORTRANGE(""1vUGwO1n0QQGx9kKbO0_M5gmuhXZ6-LaxQxgrmJnzgP0"",""'TP# look up'!A:C""),3,0),"""")"),"")</f>
        <v/>
      </c>
      <c r="AH4342" s="49">
        <f>LEFT(J4342,2)</f>
        <v/>
      </c>
    </row>
    <row r="4343" ht="12.75" customHeight="1">
      <c r="H4343" s="43" t="n"/>
      <c r="AG4343" s="49">
        <f>IFERROR(__xludf.DUMMYFUNCTION("IFNA(vlookup(H4343,IMPORTRANGE(""1vUGwO1n0QQGx9kKbO0_M5gmuhXZ6-LaxQxgrmJnzgP0"",""'TP# look up'!A:C""),3,0),"""")"),"")</f>
        <v/>
      </c>
      <c r="AH4343" s="49">
        <f>LEFT(J4343,2)</f>
        <v/>
      </c>
    </row>
    <row r="4344" ht="12.75" customHeight="1">
      <c r="H4344" s="43" t="n"/>
      <c r="AG4344" s="49">
        <f>IFERROR(__xludf.DUMMYFUNCTION("IFNA(vlookup(H4344,IMPORTRANGE(""1vUGwO1n0QQGx9kKbO0_M5gmuhXZ6-LaxQxgrmJnzgP0"",""'TP# look up'!A:C""),3,0),"""")"),"")</f>
        <v/>
      </c>
      <c r="AH4344" s="49">
        <f>LEFT(J4344,2)</f>
        <v/>
      </c>
    </row>
    <row r="4345" ht="12.75" customHeight="1">
      <c r="H4345" s="43" t="n"/>
      <c r="AG4345" s="49">
        <f>IFERROR(__xludf.DUMMYFUNCTION("IFNA(vlookup(H4345,IMPORTRANGE(""1vUGwO1n0QQGx9kKbO0_M5gmuhXZ6-LaxQxgrmJnzgP0"",""'TP# look up'!A:C""),3,0),"""")"),"")</f>
        <v/>
      </c>
      <c r="AH4345" s="49">
        <f>LEFT(J4345,2)</f>
        <v/>
      </c>
    </row>
    <row r="4346" ht="12.75" customHeight="1">
      <c r="H4346" s="43" t="n"/>
      <c r="AG4346" s="49">
        <f>IFERROR(__xludf.DUMMYFUNCTION("IFNA(vlookup(H4346,IMPORTRANGE(""1vUGwO1n0QQGx9kKbO0_M5gmuhXZ6-LaxQxgrmJnzgP0"",""'TP# look up'!A:C""),3,0),"""")"),"")</f>
        <v/>
      </c>
      <c r="AH4346" s="49">
        <f>LEFT(J4346,2)</f>
        <v/>
      </c>
    </row>
    <row r="4347" ht="12.75" customHeight="1">
      <c r="H4347" s="43" t="n"/>
      <c r="AG4347" s="49">
        <f>IFERROR(__xludf.DUMMYFUNCTION("IFNA(vlookup(H4347,IMPORTRANGE(""1vUGwO1n0QQGx9kKbO0_M5gmuhXZ6-LaxQxgrmJnzgP0"",""'TP# look up'!A:C""),3,0),"""")"),"")</f>
        <v/>
      </c>
      <c r="AH4347" s="49">
        <f>LEFT(J4347,2)</f>
        <v/>
      </c>
    </row>
    <row r="4348" ht="12.75" customHeight="1">
      <c r="H4348" s="43" t="n"/>
      <c r="AG4348" s="49">
        <f>IFERROR(__xludf.DUMMYFUNCTION("IFNA(vlookup(H4348,IMPORTRANGE(""1vUGwO1n0QQGx9kKbO0_M5gmuhXZ6-LaxQxgrmJnzgP0"",""'TP# look up'!A:C""),3,0),"""")"),"")</f>
        <v/>
      </c>
      <c r="AH4348" s="49">
        <f>LEFT(J4348,2)</f>
        <v/>
      </c>
    </row>
    <row r="4349" ht="12.75" customHeight="1">
      <c r="H4349" s="43" t="n"/>
      <c r="AG4349" s="49">
        <f>IFERROR(__xludf.DUMMYFUNCTION("IFNA(vlookup(H4349,IMPORTRANGE(""1vUGwO1n0QQGx9kKbO0_M5gmuhXZ6-LaxQxgrmJnzgP0"",""'TP# look up'!A:C""),3,0),"""")"),"")</f>
        <v/>
      </c>
      <c r="AH4349" s="49">
        <f>LEFT(J4349,2)</f>
        <v/>
      </c>
    </row>
    <row r="4350" ht="12.75" customHeight="1">
      <c r="H4350" s="43" t="n"/>
      <c r="AG4350" s="49">
        <f>IFERROR(__xludf.DUMMYFUNCTION("IFNA(vlookup(H4350,IMPORTRANGE(""1vUGwO1n0QQGx9kKbO0_M5gmuhXZ6-LaxQxgrmJnzgP0"",""'TP# look up'!A:C""),3,0),"""")"),"")</f>
        <v/>
      </c>
      <c r="AH4350" s="49">
        <f>LEFT(J4350,2)</f>
        <v/>
      </c>
    </row>
    <row r="4351" ht="12.75" customHeight="1">
      <c r="H4351" s="43" t="n"/>
      <c r="AG4351" s="49">
        <f>IFERROR(__xludf.DUMMYFUNCTION("IFNA(vlookup(H4351,IMPORTRANGE(""1vUGwO1n0QQGx9kKbO0_M5gmuhXZ6-LaxQxgrmJnzgP0"",""'TP# look up'!A:C""),3,0),"""")"),"")</f>
        <v/>
      </c>
      <c r="AH4351" s="49">
        <f>LEFT(J4351,2)</f>
        <v/>
      </c>
    </row>
    <row r="4352" ht="12.75" customHeight="1">
      <c r="H4352" s="43" t="n"/>
      <c r="AG4352" s="49">
        <f>IFERROR(__xludf.DUMMYFUNCTION("IFNA(vlookup(H4352,IMPORTRANGE(""1vUGwO1n0QQGx9kKbO0_M5gmuhXZ6-LaxQxgrmJnzgP0"",""'TP# look up'!A:C""),3,0),"""")"),"")</f>
        <v/>
      </c>
      <c r="AH4352" s="49">
        <f>LEFT(J4352,2)</f>
        <v/>
      </c>
    </row>
    <row r="4353" ht="12.75" customHeight="1">
      <c r="H4353" s="43" t="n"/>
      <c r="AG4353" s="49">
        <f>IFERROR(__xludf.DUMMYFUNCTION("IFNA(vlookup(H4353,IMPORTRANGE(""1vUGwO1n0QQGx9kKbO0_M5gmuhXZ6-LaxQxgrmJnzgP0"",""'TP# look up'!A:C""),3,0),"""")"),"")</f>
        <v/>
      </c>
      <c r="AH4353" s="49">
        <f>LEFT(J4353,2)</f>
        <v/>
      </c>
    </row>
    <row r="4354" ht="12.75" customHeight="1">
      <c r="H4354" s="43" t="n"/>
      <c r="AG4354" s="49">
        <f>IFERROR(__xludf.DUMMYFUNCTION("IFNA(vlookup(H4354,IMPORTRANGE(""1vUGwO1n0QQGx9kKbO0_M5gmuhXZ6-LaxQxgrmJnzgP0"",""'TP# look up'!A:C""),3,0),"""")"),"")</f>
        <v/>
      </c>
      <c r="AH4354" s="49">
        <f>LEFT(J4354,2)</f>
        <v/>
      </c>
    </row>
    <row r="4355" ht="12.75" customHeight="1">
      <c r="H4355" s="43" t="n"/>
      <c r="AG4355" s="49">
        <f>IFERROR(__xludf.DUMMYFUNCTION("IFNA(vlookup(H4355,IMPORTRANGE(""1vUGwO1n0QQGx9kKbO0_M5gmuhXZ6-LaxQxgrmJnzgP0"",""'TP# look up'!A:C""),3,0),"""")"),"")</f>
        <v/>
      </c>
      <c r="AH4355" s="49">
        <f>LEFT(J4355,2)</f>
        <v/>
      </c>
    </row>
    <row r="4356" ht="12.75" customHeight="1">
      <c r="H4356" s="43" t="n"/>
      <c r="AG4356" s="49">
        <f>IFERROR(__xludf.DUMMYFUNCTION("IFNA(vlookup(H4356,IMPORTRANGE(""1vUGwO1n0QQGx9kKbO0_M5gmuhXZ6-LaxQxgrmJnzgP0"",""'TP# look up'!A:C""),3,0),"""")"),"")</f>
        <v/>
      </c>
      <c r="AH4356" s="49">
        <f>LEFT(J4356,2)</f>
        <v/>
      </c>
    </row>
    <row r="4357" ht="12.75" customHeight="1">
      <c r="H4357" s="43" t="n"/>
      <c r="AG4357" s="49">
        <f>IFERROR(__xludf.DUMMYFUNCTION("IFNA(vlookup(H4357,IMPORTRANGE(""1vUGwO1n0QQGx9kKbO0_M5gmuhXZ6-LaxQxgrmJnzgP0"",""'TP# look up'!A:C""),3,0),"""")"),"")</f>
        <v/>
      </c>
      <c r="AH4357" s="49">
        <f>LEFT(J4357,2)</f>
        <v/>
      </c>
    </row>
    <row r="4358" ht="12.75" customHeight="1">
      <c r="H4358" s="43" t="n"/>
      <c r="AG4358" s="49">
        <f>IFERROR(__xludf.DUMMYFUNCTION("IFNA(vlookup(H4358,IMPORTRANGE(""1vUGwO1n0QQGx9kKbO0_M5gmuhXZ6-LaxQxgrmJnzgP0"",""'TP# look up'!A:C""),3,0),"""")"),"")</f>
        <v/>
      </c>
      <c r="AH4358" s="49">
        <f>LEFT(J4358,2)</f>
        <v/>
      </c>
    </row>
    <row r="4359" ht="12.75" customHeight="1">
      <c r="H4359" s="43" t="n"/>
      <c r="AG4359" s="49">
        <f>IFERROR(__xludf.DUMMYFUNCTION("IFNA(vlookup(H4359,IMPORTRANGE(""1vUGwO1n0QQGx9kKbO0_M5gmuhXZ6-LaxQxgrmJnzgP0"",""'TP# look up'!A:C""),3,0),"""")"),"")</f>
        <v/>
      </c>
      <c r="AH4359" s="49">
        <f>LEFT(J4359,2)</f>
        <v/>
      </c>
    </row>
    <row r="4360" ht="12.75" customHeight="1">
      <c r="H4360" s="43" t="n"/>
      <c r="AG4360" s="49">
        <f>IFERROR(__xludf.DUMMYFUNCTION("IFNA(vlookup(H4360,IMPORTRANGE(""1vUGwO1n0QQGx9kKbO0_M5gmuhXZ6-LaxQxgrmJnzgP0"",""'TP# look up'!A:C""),3,0),"""")"),"")</f>
        <v/>
      </c>
      <c r="AH4360" s="49">
        <f>LEFT(J4360,2)</f>
        <v/>
      </c>
    </row>
    <row r="4361" ht="12.75" customHeight="1">
      <c r="H4361" s="43" t="n"/>
      <c r="AG4361" s="49">
        <f>IFERROR(__xludf.DUMMYFUNCTION("IFNA(vlookup(H4361,IMPORTRANGE(""1vUGwO1n0QQGx9kKbO0_M5gmuhXZ6-LaxQxgrmJnzgP0"",""'TP# look up'!A:C""),3,0),"""")"),"")</f>
        <v/>
      </c>
      <c r="AH4361" s="49">
        <f>LEFT(J4361,2)</f>
        <v/>
      </c>
    </row>
    <row r="4362" ht="12.75" customHeight="1">
      <c r="H4362" s="43" t="n"/>
      <c r="AG4362" s="49">
        <f>IFERROR(__xludf.DUMMYFUNCTION("IFNA(vlookup(H4362,IMPORTRANGE(""1vUGwO1n0QQGx9kKbO0_M5gmuhXZ6-LaxQxgrmJnzgP0"",""'TP# look up'!A:C""),3,0),"""")"),"")</f>
        <v/>
      </c>
      <c r="AH4362" s="49">
        <f>LEFT(J4362,2)</f>
        <v/>
      </c>
    </row>
    <row r="4363" ht="12.75" customHeight="1">
      <c r="H4363" s="43" t="n"/>
      <c r="AG4363" s="49">
        <f>IFERROR(__xludf.DUMMYFUNCTION("IFNA(vlookup(H4363,IMPORTRANGE(""1vUGwO1n0QQGx9kKbO0_M5gmuhXZ6-LaxQxgrmJnzgP0"",""'TP# look up'!A:C""),3,0),"""")"),"")</f>
        <v/>
      </c>
      <c r="AH4363" s="49">
        <f>LEFT(J4363,2)</f>
        <v/>
      </c>
    </row>
    <row r="4364" ht="12.75" customHeight="1">
      <c r="H4364" s="43" t="n"/>
      <c r="AG4364" s="49">
        <f>IFERROR(__xludf.DUMMYFUNCTION("IFNA(vlookup(H4364,IMPORTRANGE(""1vUGwO1n0QQGx9kKbO0_M5gmuhXZ6-LaxQxgrmJnzgP0"",""'TP# look up'!A:C""),3,0),"""")"),"")</f>
        <v/>
      </c>
      <c r="AH4364" s="49">
        <f>LEFT(J4364,2)</f>
        <v/>
      </c>
    </row>
    <row r="4365" ht="12.75" customHeight="1">
      <c r="H4365" s="43" t="n"/>
      <c r="AG4365" s="49">
        <f>IFERROR(__xludf.DUMMYFUNCTION("IFNA(vlookup(H4365,IMPORTRANGE(""1vUGwO1n0QQGx9kKbO0_M5gmuhXZ6-LaxQxgrmJnzgP0"",""'TP# look up'!A:C""),3,0),"""")"),"")</f>
        <v/>
      </c>
      <c r="AH4365" s="49">
        <f>LEFT(J4365,2)</f>
        <v/>
      </c>
    </row>
    <row r="4366" ht="12.75" customHeight="1">
      <c r="H4366" s="43" t="n"/>
      <c r="AG4366" s="49">
        <f>IFERROR(__xludf.DUMMYFUNCTION("IFNA(vlookup(H4366,IMPORTRANGE(""1vUGwO1n0QQGx9kKbO0_M5gmuhXZ6-LaxQxgrmJnzgP0"",""'TP# look up'!A:C""),3,0),"""")"),"")</f>
        <v/>
      </c>
      <c r="AH4366" s="49">
        <f>LEFT(J4366,2)</f>
        <v/>
      </c>
    </row>
    <row r="4367" ht="12.75" customHeight="1">
      <c r="H4367" s="43" t="n"/>
      <c r="AG4367" s="49">
        <f>IFERROR(__xludf.DUMMYFUNCTION("IFNA(vlookup(H4367,IMPORTRANGE(""1vUGwO1n0QQGx9kKbO0_M5gmuhXZ6-LaxQxgrmJnzgP0"",""'TP# look up'!A:C""),3,0),"""")"),"")</f>
        <v/>
      </c>
      <c r="AH4367" s="49">
        <f>LEFT(J4367,2)</f>
        <v/>
      </c>
    </row>
    <row r="4368" ht="12.75" customHeight="1">
      <c r="H4368" s="43" t="n"/>
      <c r="AG4368" s="49">
        <f>IFERROR(__xludf.DUMMYFUNCTION("IFNA(vlookup(H4368,IMPORTRANGE(""1vUGwO1n0QQGx9kKbO0_M5gmuhXZ6-LaxQxgrmJnzgP0"",""'TP# look up'!A:C""),3,0),"""")"),"")</f>
        <v/>
      </c>
      <c r="AH4368" s="49">
        <f>LEFT(J4368,2)</f>
        <v/>
      </c>
    </row>
    <row r="4369" ht="12.75" customHeight="1">
      <c r="H4369" s="43" t="n"/>
      <c r="AG4369" s="49">
        <f>IFERROR(__xludf.DUMMYFUNCTION("IFNA(vlookup(H4369,IMPORTRANGE(""1vUGwO1n0QQGx9kKbO0_M5gmuhXZ6-LaxQxgrmJnzgP0"",""'TP# look up'!A:C""),3,0),"""")"),"")</f>
        <v/>
      </c>
      <c r="AH4369" s="49">
        <f>LEFT(J4369,2)</f>
        <v/>
      </c>
    </row>
    <row r="4370" ht="12.75" customHeight="1">
      <c r="H4370" s="43" t="n"/>
      <c r="AG4370" s="49">
        <f>IFERROR(__xludf.DUMMYFUNCTION("IFNA(vlookup(H4370,IMPORTRANGE(""1vUGwO1n0QQGx9kKbO0_M5gmuhXZ6-LaxQxgrmJnzgP0"",""'TP# look up'!A:C""),3,0),"""")"),"")</f>
        <v/>
      </c>
      <c r="AH4370" s="49">
        <f>LEFT(J4370,2)</f>
        <v/>
      </c>
    </row>
    <row r="4371" ht="12.75" customHeight="1">
      <c r="H4371" s="43" t="n"/>
      <c r="AG4371" s="49">
        <f>IFERROR(__xludf.DUMMYFUNCTION("IFNA(vlookup(H4371,IMPORTRANGE(""1vUGwO1n0QQGx9kKbO0_M5gmuhXZ6-LaxQxgrmJnzgP0"",""'TP# look up'!A:C""),3,0),"""")"),"")</f>
        <v/>
      </c>
      <c r="AH4371" s="49">
        <f>LEFT(J4371,2)</f>
        <v/>
      </c>
    </row>
    <row r="4372" ht="12.75" customHeight="1">
      <c r="H4372" s="43" t="n"/>
      <c r="AG4372" s="49">
        <f>IFERROR(__xludf.DUMMYFUNCTION("IFNA(vlookup(H4372,IMPORTRANGE(""1vUGwO1n0QQGx9kKbO0_M5gmuhXZ6-LaxQxgrmJnzgP0"",""'TP# look up'!A:C""),3,0),"""")"),"")</f>
        <v/>
      </c>
      <c r="AH4372" s="49">
        <f>LEFT(J4372,2)</f>
        <v/>
      </c>
    </row>
    <row r="4373" ht="12.75" customHeight="1">
      <c r="H4373" s="43" t="n"/>
      <c r="AG4373" s="49">
        <f>IFERROR(__xludf.DUMMYFUNCTION("IFNA(vlookup(H4373,IMPORTRANGE(""1vUGwO1n0QQGx9kKbO0_M5gmuhXZ6-LaxQxgrmJnzgP0"",""'TP# look up'!A:C""),3,0),"""")"),"")</f>
        <v/>
      </c>
      <c r="AH4373" s="49">
        <f>LEFT(J4373,2)</f>
        <v/>
      </c>
    </row>
    <row r="4374" ht="12.75" customHeight="1">
      <c r="H4374" s="43" t="n"/>
      <c r="AG4374" s="49">
        <f>IFERROR(__xludf.DUMMYFUNCTION("IFNA(vlookup(H4374,IMPORTRANGE(""1vUGwO1n0QQGx9kKbO0_M5gmuhXZ6-LaxQxgrmJnzgP0"",""'TP# look up'!A:C""),3,0),"""")"),"")</f>
        <v/>
      </c>
      <c r="AH4374" s="49">
        <f>LEFT(J4374,2)</f>
        <v/>
      </c>
    </row>
    <row r="4375" ht="12.75" customHeight="1">
      <c r="H4375" s="43" t="n"/>
      <c r="AG4375" s="49">
        <f>IFERROR(__xludf.DUMMYFUNCTION("IFNA(vlookup(H4375,IMPORTRANGE(""1vUGwO1n0QQGx9kKbO0_M5gmuhXZ6-LaxQxgrmJnzgP0"",""'TP# look up'!A:C""),3,0),"""")"),"")</f>
        <v/>
      </c>
      <c r="AH4375" s="49">
        <f>LEFT(J4375,2)</f>
        <v/>
      </c>
    </row>
    <row r="4376" ht="12.75" customHeight="1">
      <c r="H4376" s="43" t="n"/>
      <c r="AG4376" s="49">
        <f>IFERROR(__xludf.DUMMYFUNCTION("IFNA(vlookup(H4376,IMPORTRANGE(""1vUGwO1n0QQGx9kKbO0_M5gmuhXZ6-LaxQxgrmJnzgP0"",""'TP# look up'!A:C""),3,0),"""")"),"")</f>
        <v/>
      </c>
      <c r="AH4376" s="49">
        <f>LEFT(J4376,2)</f>
        <v/>
      </c>
    </row>
    <row r="4377" ht="12.75" customHeight="1">
      <c r="H4377" s="43" t="n"/>
      <c r="AG4377" s="49">
        <f>IFERROR(__xludf.DUMMYFUNCTION("IFNA(vlookup(H4377,IMPORTRANGE(""1vUGwO1n0QQGx9kKbO0_M5gmuhXZ6-LaxQxgrmJnzgP0"",""'TP# look up'!A:C""),3,0),"""")"),"")</f>
        <v/>
      </c>
      <c r="AH4377" s="49">
        <f>LEFT(J4377,2)</f>
        <v/>
      </c>
    </row>
    <row r="4378" ht="12.75" customHeight="1">
      <c r="H4378" s="43" t="n"/>
      <c r="AG4378" s="49">
        <f>IFERROR(__xludf.DUMMYFUNCTION("IFNA(vlookup(H4378,IMPORTRANGE(""1vUGwO1n0QQGx9kKbO0_M5gmuhXZ6-LaxQxgrmJnzgP0"",""'TP# look up'!A:C""),3,0),"""")"),"")</f>
        <v/>
      </c>
      <c r="AH4378" s="49">
        <f>LEFT(J4378,2)</f>
        <v/>
      </c>
    </row>
    <row r="4379" ht="12.75" customHeight="1">
      <c r="H4379" s="43" t="n"/>
      <c r="AG4379" s="49">
        <f>IFERROR(__xludf.DUMMYFUNCTION("IFNA(vlookup(H4379,IMPORTRANGE(""1vUGwO1n0QQGx9kKbO0_M5gmuhXZ6-LaxQxgrmJnzgP0"",""'TP# look up'!A:C""),3,0),"""")"),"")</f>
        <v/>
      </c>
      <c r="AH4379" s="49">
        <f>LEFT(J4379,2)</f>
        <v/>
      </c>
    </row>
    <row r="4380" ht="12.75" customHeight="1">
      <c r="H4380" s="43" t="n"/>
      <c r="AG4380" s="49">
        <f>IFERROR(__xludf.DUMMYFUNCTION("IFNA(vlookup(H4380,IMPORTRANGE(""1vUGwO1n0QQGx9kKbO0_M5gmuhXZ6-LaxQxgrmJnzgP0"",""'TP# look up'!A:C""),3,0),"""")"),"")</f>
        <v/>
      </c>
      <c r="AH4380" s="49">
        <f>LEFT(J4380,2)</f>
        <v/>
      </c>
    </row>
    <row r="4381" ht="12.75" customHeight="1">
      <c r="H4381" s="43" t="n"/>
      <c r="AG4381" s="49">
        <f>IFERROR(__xludf.DUMMYFUNCTION("IFNA(vlookup(H4381,IMPORTRANGE(""1vUGwO1n0QQGx9kKbO0_M5gmuhXZ6-LaxQxgrmJnzgP0"",""'TP# look up'!A:C""),3,0),"""")"),"")</f>
        <v/>
      </c>
      <c r="AH4381" s="49">
        <f>LEFT(J4381,2)</f>
        <v/>
      </c>
    </row>
    <row r="4382" ht="12.75" customHeight="1">
      <c r="H4382" s="43" t="n"/>
      <c r="AG4382" s="49">
        <f>IFERROR(__xludf.DUMMYFUNCTION("IFNA(vlookup(H4382,IMPORTRANGE(""1vUGwO1n0QQGx9kKbO0_M5gmuhXZ6-LaxQxgrmJnzgP0"",""'TP# look up'!A:C""),3,0),"""")"),"")</f>
        <v/>
      </c>
      <c r="AH4382" s="49">
        <f>LEFT(J4382,2)</f>
        <v/>
      </c>
    </row>
    <row r="4383" ht="12.75" customHeight="1">
      <c r="H4383" s="43" t="n"/>
      <c r="AG4383" s="49">
        <f>IFERROR(__xludf.DUMMYFUNCTION("IFNA(vlookup(H4383,IMPORTRANGE(""1vUGwO1n0QQGx9kKbO0_M5gmuhXZ6-LaxQxgrmJnzgP0"",""'TP# look up'!A:C""),3,0),"""")"),"")</f>
        <v/>
      </c>
      <c r="AH4383" s="49">
        <f>LEFT(J4383,2)</f>
        <v/>
      </c>
    </row>
    <row r="4384" ht="12.75" customHeight="1">
      <c r="H4384" s="43" t="n"/>
      <c r="AG4384" s="49">
        <f>IFERROR(__xludf.DUMMYFUNCTION("IFNA(vlookup(H4384,IMPORTRANGE(""1vUGwO1n0QQGx9kKbO0_M5gmuhXZ6-LaxQxgrmJnzgP0"",""'TP# look up'!A:C""),3,0),"""")"),"")</f>
        <v/>
      </c>
      <c r="AH4384" s="49">
        <f>LEFT(J4384,2)</f>
        <v/>
      </c>
    </row>
    <row r="4385" ht="12.75" customHeight="1">
      <c r="H4385" s="43" t="n"/>
      <c r="AG4385" s="49">
        <f>IFERROR(__xludf.DUMMYFUNCTION("IFNA(vlookup(H4385,IMPORTRANGE(""1vUGwO1n0QQGx9kKbO0_M5gmuhXZ6-LaxQxgrmJnzgP0"",""'TP# look up'!A:C""),3,0),"""")"),"")</f>
        <v/>
      </c>
      <c r="AH4385" s="49">
        <f>LEFT(J4385,2)</f>
        <v/>
      </c>
    </row>
    <row r="4386" ht="12.75" customHeight="1">
      <c r="H4386" s="43" t="n"/>
      <c r="AG4386" s="49">
        <f>IFERROR(__xludf.DUMMYFUNCTION("IFNA(vlookup(H4386,IMPORTRANGE(""1vUGwO1n0QQGx9kKbO0_M5gmuhXZ6-LaxQxgrmJnzgP0"",""'TP# look up'!A:C""),3,0),"""")"),"")</f>
        <v/>
      </c>
      <c r="AH4386" s="49">
        <f>LEFT(J4386,2)</f>
        <v/>
      </c>
    </row>
    <row r="4387" ht="12.75" customHeight="1">
      <c r="H4387" s="43" t="n"/>
      <c r="AG4387" s="49">
        <f>IFERROR(__xludf.DUMMYFUNCTION("IFNA(vlookup(H4387,IMPORTRANGE(""1vUGwO1n0QQGx9kKbO0_M5gmuhXZ6-LaxQxgrmJnzgP0"",""'TP# look up'!A:C""),3,0),"""")"),"")</f>
        <v/>
      </c>
      <c r="AH4387" s="49">
        <f>LEFT(J4387,2)</f>
        <v/>
      </c>
    </row>
    <row r="4388" ht="12.75" customHeight="1">
      <c r="H4388" s="43" t="n"/>
      <c r="AG4388" s="49">
        <f>IFERROR(__xludf.DUMMYFUNCTION("IFNA(vlookup(H4388,IMPORTRANGE(""1vUGwO1n0QQGx9kKbO0_M5gmuhXZ6-LaxQxgrmJnzgP0"",""'TP# look up'!A:C""),3,0),"""")"),"")</f>
        <v/>
      </c>
      <c r="AH4388" s="49">
        <f>LEFT(J4388,2)</f>
        <v/>
      </c>
    </row>
    <row r="4389" ht="12.75" customHeight="1">
      <c r="H4389" s="43" t="n"/>
      <c r="AG4389" s="49">
        <f>IFERROR(__xludf.DUMMYFUNCTION("IFNA(vlookup(H4389,IMPORTRANGE(""1vUGwO1n0QQGx9kKbO0_M5gmuhXZ6-LaxQxgrmJnzgP0"",""'TP# look up'!A:C""),3,0),"""")"),"")</f>
        <v/>
      </c>
      <c r="AH4389" s="49">
        <f>LEFT(J4389,2)</f>
        <v/>
      </c>
    </row>
    <row r="4390" ht="12.75" customHeight="1">
      <c r="H4390" s="43" t="n"/>
      <c r="AG4390" s="49">
        <f>IFERROR(__xludf.DUMMYFUNCTION("IFNA(vlookup(H4390,IMPORTRANGE(""1vUGwO1n0QQGx9kKbO0_M5gmuhXZ6-LaxQxgrmJnzgP0"",""'TP# look up'!A:C""),3,0),"""")"),"")</f>
        <v/>
      </c>
      <c r="AH4390" s="49">
        <f>LEFT(J4390,2)</f>
        <v/>
      </c>
    </row>
    <row r="4391" ht="12.75" customHeight="1">
      <c r="H4391" s="43" t="n"/>
      <c r="AG4391" s="49">
        <f>IFERROR(__xludf.DUMMYFUNCTION("IFNA(vlookup(H4391,IMPORTRANGE(""1vUGwO1n0QQGx9kKbO0_M5gmuhXZ6-LaxQxgrmJnzgP0"",""'TP# look up'!A:C""),3,0),"""")"),"")</f>
        <v/>
      </c>
      <c r="AH4391" s="49">
        <f>LEFT(J4391,2)</f>
        <v/>
      </c>
    </row>
    <row r="4392" ht="12.75" customHeight="1">
      <c r="H4392" s="43" t="n"/>
      <c r="AG4392" s="49">
        <f>IFERROR(__xludf.DUMMYFUNCTION("IFNA(vlookup(H4392,IMPORTRANGE(""1vUGwO1n0QQGx9kKbO0_M5gmuhXZ6-LaxQxgrmJnzgP0"",""'TP# look up'!A:C""),3,0),"""")"),"")</f>
        <v/>
      </c>
      <c r="AH4392" s="49">
        <f>LEFT(J4392,2)</f>
        <v/>
      </c>
    </row>
    <row r="4393" ht="12.75" customHeight="1">
      <c r="H4393" s="43" t="n"/>
      <c r="AG4393" s="49">
        <f>IFERROR(__xludf.DUMMYFUNCTION("IFNA(vlookup(H4393,IMPORTRANGE(""1vUGwO1n0QQGx9kKbO0_M5gmuhXZ6-LaxQxgrmJnzgP0"",""'TP# look up'!A:C""),3,0),"""")"),"")</f>
        <v/>
      </c>
      <c r="AH4393" s="49">
        <f>LEFT(J4393,2)</f>
        <v/>
      </c>
    </row>
    <row r="4394" ht="12.75" customHeight="1">
      <c r="H4394" s="43" t="n"/>
      <c r="AG4394" s="49">
        <f>IFERROR(__xludf.DUMMYFUNCTION("IFNA(vlookup(H4394,IMPORTRANGE(""1vUGwO1n0QQGx9kKbO0_M5gmuhXZ6-LaxQxgrmJnzgP0"",""'TP# look up'!A:C""),3,0),"""")"),"")</f>
        <v/>
      </c>
      <c r="AH4394" s="49">
        <f>LEFT(J4394,2)</f>
        <v/>
      </c>
    </row>
    <row r="4395" ht="12.75" customHeight="1">
      <c r="H4395" s="43" t="n"/>
      <c r="AG4395" s="49">
        <f>IFERROR(__xludf.DUMMYFUNCTION("IFNA(vlookup(H4395,IMPORTRANGE(""1vUGwO1n0QQGx9kKbO0_M5gmuhXZ6-LaxQxgrmJnzgP0"",""'TP# look up'!A:C""),3,0),"""")"),"")</f>
        <v/>
      </c>
      <c r="AH4395" s="49">
        <f>LEFT(J4395,2)</f>
        <v/>
      </c>
    </row>
    <row r="4396" ht="12.75" customHeight="1">
      <c r="H4396" s="43" t="n"/>
      <c r="AG4396" s="49">
        <f>IFERROR(__xludf.DUMMYFUNCTION("IFNA(vlookup(H4396,IMPORTRANGE(""1vUGwO1n0QQGx9kKbO0_M5gmuhXZ6-LaxQxgrmJnzgP0"",""'TP# look up'!A:C""),3,0),"""")"),"")</f>
        <v/>
      </c>
      <c r="AH4396" s="49">
        <f>LEFT(J4396,2)</f>
        <v/>
      </c>
    </row>
    <row r="4397" ht="12.75" customHeight="1">
      <c r="H4397" s="43" t="n"/>
      <c r="AG4397" s="49">
        <f>IFERROR(__xludf.DUMMYFUNCTION("IFNA(vlookup(H4397,IMPORTRANGE(""1vUGwO1n0QQGx9kKbO0_M5gmuhXZ6-LaxQxgrmJnzgP0"",""'TP# look up'!A:C""),3,0),"""")"),"")</f>
        <v/>
      </c>
      <c r="AH4397" s="49">
        <f>LEFT(J4397,2)</f>
        <v/>
      </c>
    </row>
    <row r="4398" ht="12.75" customHeight="1">
      <c r="H4398" s="43" t="n"/>
      <c r="AG4398" s="49">
        <f>IFERROR(__xludf.DUMMYFUNCTION("IFNA(vlookup(H4398,IMPORTRANGE(""1vUGwO1n0QQGx9kKbO0_M5gmuhXZ6-LaxQxgrmJnzgP0"",""'TP# look up'!A:C""),3,0),"""")"),"")</f>
        <v/>
      </c>
      <c r="AH4398" s="49">
        <f>LEFT(J4398,2)</f>
        <v/>
      </c>
    </row>
    <row r="4399" ht="12.75" customHeight="1">
      <c r="H4399" s="43" t="n"/>
      <c r="AG4399" s="49">
        <f>IFERROR(__xludf.DUMMYFUNCTION("IFNA(vlookup(H4399,IMPORTRANGE(""1vUGwO1n0QQGx9kKbO0_M5gmuhXZ6-LaxQxgrmJnzgP0"",""'TP# look up'!A:C""),3,0),"""")"),"")</f>
        <v/>
      </c>
      <c r="AH4399" s="49">
        <f>LEFT(J4399,2)</f>
        <v/>
      </c>
    </row>
    <row r="4400" ht="12.75" customHeight="1">
      <c r="H4400" s="43" t="n"/>
      <c r="AG4400" s="49">
        <f>IFERROR(__xludf.DUMMYFUNCTION("IFNA(vlookup(H4400,IMPORTRANGE(""1vUGwO1n0QQGx9kKbO0_M5gmuhXZ6-LaxQxgrmJnzgP0"",""'TP# look up'!A:C""),3,0),"""")"),"")</f>
        <v/>
      </c>
      <c r="AH4400" s="49">
        <f>LEFT(J4400,2)</f>
        <v/>
      </c>
    </row>
    <row r="4401" ht="12.75" customHeight="1">
      <c r="H4401" s="43" t="n"/>
      <c r="AG4401" s="49">
        <f>IFERROR(__xludf.DUMMYFUNCTION("IFNA(vlookup(H4401,IMPORTRANGE(""1vUGwO1n0QQGx9kKbO0_M5gmuhXZ6-LaxQxgrmJnzgP0"",""'TP# look up'!A:C""),3,0),"""")"),"")</f>
        <v/>
      </c>
      <c r="AH4401" s="49">
        <f>LEFT(J4401,2)</f>
        <v/>
      </c>
    </row>
    <row r="4402" ht="12.75" customHeight="1">
      <c r="H4402" s="43" t="n"/>
      <c r="AG4402" s="49">
        <f>IFERROR(__xludf.DUMMYFUNCTION("IFNA(vlookup(H4402,IMPORTRANGE(""1vUGwO1n0QQGx9kKbO0_M5gmuhXZ6-LaxQxgrmJnzgP0"",""'TP# look up'!A:C""),3,0),"""")"),"")</f>
        <v/>
      </c>
      <c r="AH4402" s="49">
        <f>LEFT(J4402,2)</f>
        <v/>
      </c>
    </row>
    <row r="4403" ht="12.75" customHeight="1">
      <c r="H4403" s="43" t="n"/>
      <c r="AG4403" s="49">
        <f>IFERROR(__xludf.DUMMYFUNCTION("IFNA(vlookup(H4403,IMPORTRANGE(""1vUGwO1n0QQGx9kKbO0_M5gmuhXZ6-LaxQxgrmJnzgP0"",""'TP# look up'!A:C""),3,0),"""")"),"")</f>
        <v/>
      </c>
      <c r="AH4403" s="49">
        <f>LEFT(J4403,2)</f>
        <v/>
      </c>
    </row>
    <row r="4404" ht="12.75" customHeight="1">
      <c r="H4404" s="43" t="n"/>
      <c r="AG4404" s="49">
        <f>IFERROR(__xludf.DUMMYFUNCTION("IFNA(vlookup(H4404,IMPORTRANGE(""1vUGwO1n0QQGx9kKbO0_M5gmuhXZ6-LaxQxgrmJnzgP0"",""'TP# look up'!A:C""),3,0),"""")"),"")</f>
        <v/>
      </c>
      <c r="AH4404" s="49">
        <f>LEFT(J4404,2)</f>
        <v/>
      </c>
    </row>
    <row r="4405" ht="12.75" customHeight="1">
      <c r="H4405" s="43" t="n"/>
      <c r="AG4405" s="49">
        <f>IFERROR(__xludf.DUMMYFUNCTION("IFNA(vlookup(H4405,IMPORTRANGE(""1vUGwO1n0QQGx9kKbO0_M5gmuhXZ6-LaxQxgrmJnzgP0"",""'TP# look up'!A:C""),3,0),"""")"),"")</f>
        <v/>
      </c>
      <c r="AH4405" s="49">
        <f>LEFT(J4405,2)</f>
        <v/>
      </c>
    </row>
    <row r="4406" ht="12.75" customHeight="1">
      <c r="H4406" s="43" t="n"/>
      <c r="AG4406" s="49">
        <f>IFERROR(__xludf.DUMMYFUNCTION("IFNA(vlookup(H4406,IMPORTRANGE(""1vUGwO1n0QQGx9kKbO0_M5gmuhXZ6-LaxQxgrmJnzgP0"",""'TP# look up'!A:C""),3,0),"""")"),"")</f>
        <v/>
      </c>
      <c r="AH4406" s="49">
        <f>LEFT(J4406,2)</f>
        <v/>
      </c>
    </row>
    <row r="4407" ht="12.75" customHeight="1">
      <c r="H4407" s="43" t="n"/>
      <c r="AG4407" s="49">
        <f>IFERROR(__xludf.DUMMYFUNCTION("IFNA(vlookup(H4407,IMPORTRANGE(""1vUGwO1n0QQGx9kKbO0_M5gmuhXZ6-LaxQxgrmJnzgP0"",""'TP# look up'!A:C""),3,0),"""")"),"")</f>
        <v/>
      </c>
      <c r="AH4407" s="49">
        <f>LEFT(J4407,2)</f>
        <v/>
      </c>
    </row>
    <row r="4408" ht="12.75" customHeight="1">
      <c r="H4408" s="43" t="n"/>
      <c r="AG4408" s="49">
        <f>IFERROR(__xludf.DUMMYFUNCTION("IFNA(vlookup(H4408,IMPORTRANGE(""1vUGwO1n0QQGx9kKbO0_M5gmuhXZ6-LaxQxgrmJnzgP0"",""'TP# look up'!A:C""),3,0),"""")"),"")</f>
        <v/>
      </c>
      <c r="AH4408" s="49">
        <f>LEFT(J4408,2)</f>
        <v/>
      </c>
    </row>
    <row r="4409" ht="12.75" customHeight="1">
      <c r="H4409" s="43" t="n"/>
      <c r="AG4409" s="49">
        <f>IFERROR(__xludf.DUMMYFUNCTION("IFNA(vlookup(H4409,IMPORTRANGE(""1vUGwO1n0QQGx9kKbO0_M5gmuhXZ6-LaxQxgrmJnzgP0"",""'TP# look up'!A:C""),3,0),"""")"),"")</f>
        <v/>
      </c>
      <c r="AH4409" s="49">
        <f>LEFT(J4409,2)</f>
        <v/>
      </c>
    </row>
    <row r="4410" ht="12.75" customHeight="1">
      <c r="H4410" s="43" t="n"/>
      <c r="AG4410" s="49">
        <f>IFERROR(__xludf.DUMMYFUNCTION("IFNA(vlookup(H4410,IMPORTRANGE(""1vUGwO1n0QQGx9kKbO0_M5gmuhXZ6-LaxQxgrmJnzgP0"",""'TP# look up'!A:C""),3,0),"""")"),"")</f>
        <v/>
      </c>
      <c r="AH4410" s="49">
        <f>LEFT(J4410,2)</f>
        <v/>
      </c>
    </row>
    <row r="4411" ht="12.75" customHeight="1">
      <c r="H4411" s="43" t="n"/>
      <c r="AG4411" s="49">
        <f>IFERROR(__xludf.DUMMYFUNCTION("IFNA(vlookup(H4411,IMPORTRANGE(""1vUGwO1n0QQGx9kKbO0_M5gmuhXZ6-LaxQxgrmJnzgP0"",""'TP# look up'!A:C""),3,0),"""")"),"")</f>
        <v/>
      </c>
      <c r="AH4411" s="49">
        <f>LEFT(J4411,2)</f>
        <v/>
      </c>
    </row>
    <row r="4412" ht="12.75" customHeight="1">
      <c r="H4412" s="43" t="n"/>
      <c r="AG4412" s="49">
        <f>IFERROR(__xludf.DUMMYFUNCTION("IFNA(vlookup(H4412,IMPORTRANGE(""1vUGwO1n0QQGx9kKbO0_M5gmuhXZ6-LaxQxgrmJnzgP0"",""'TP# look up'!A:C""),3,0),"""")"),"")</f>
        <v/>
      </c>
      <c r="AH4412" s="49">
        <f>LEFT(J4412,2)</f>
        <v/>
      </c>
    </row>
    <row r="4413" ht="12.75" customHeight="1">
      <c r="H4413" s="43" t="n"/>
      <c r="AG4413" s="49">
        <f>IFERROR(__xludf.DUMMYFUNCTION("IFNA(vlookup(H4413,IMPORTRANGE(""1vUGwO1n0QQGx9kKbO0_M5gmuhXZ6-LaxQxgrmJnzgP0"",""'TP# look up'!A:C""),3,0),"""")"),"")</f>
        <v/>
      </c>
      <c r="AH4413" s="49">
        <f>LEFT(J4413,2)</f>
        <v/>
      </c>
    </row>
    <row r="4414" ht="12.75" customHeight="1">
      <c r="H4414" s="43" t="n"/>
      <c r="AG4414" s="49">
        <f>IFERROR(__xludf.DUMMYFUNCTION("IFNA(vlookup(H4414,IMPORTRANGE(""1vUGwO1n0QQGx9kKbO0_M5gmuhXZ6-LaxQxgrmJnzgP0"",""'TP# look up'!A:C""),3,0),"""")"),"")</f>
        <v/>
      </c>
      <c r="AH4414" s="49">
        <f>LEFT(J4414,2)</f>
        <v/>
      </c>
    </row>
    <row r="4415" ht="12.75" customHeight="1">
      <c r="H4415" s="43" t="n"/>
      <c r="AG4415" s="49">
        <f>IFERROR(__xludf.DUMMYFUNCTION("IFNA(vlookup(H4415,IMPORTRANGE(""1vUGwO1n0QQGx9kKbO0_M5gmuhXZ6-LaxQxgrmJnzgP0"",""'TP# look up'!A:C""),3,0),"""")"),"")</f>
        <v/>
      </c>
      <c r="AH4415" s="49">
        <f>LEFT(J4415,2)</f>
        <v/>
      </c>
    </row>
    <row r="4416" ht="12.75" customHeight="1">
      <c r="H4416" s="43" t="n"/>
      <c r="AG4416" s="49">
        <f>IFERROR(__xludf.DUMMYFUNCTION("IFNA(vlookup(H4416,IMPORTRANGE(""1vUGwO1n0QQGx9kKbO0_M5gmuhXZ6-LaxQxgrmJnzgP0"",""'TP# look up'!A:C""),3,0),"""")"),"")</f>
        <v/>
      </c>
      <c r="AH4416" s="49">
        <f>LEFT(J4416,2)</f>
        <v/>
      </c>
    </row>
    <row r="4417" ht="12.75" customHeight="1">
      <c r="H4417" s="43" t="n"/>
      <c r="AG4417" s="49">
        <f>IFERROR(__xludf.DUMMYFUNCTION("IFNA(vlookup(H4417,IMPORTRANGE(""1vUGwO1n0QQGx9kKbO0_M5gmuhXZ6-LaxQxgrmJnzgP0"",""'TP# look up'!A:C""),3,0),"""")"),"")</f>
        <v/>
      </c>
      <c r="AH4417" s="49">
        <f>LEFT(J4417,2)</f>
        <v/>
      </c>
    </row>
    <row r="4418" ht="12.75" customHeight="1">
      <c r="H4418" s="43" t="n"/>
      <c r="AG4418" s="49">
        <f>IFERROR(__xludf.DUMMYFUNCTION("IFNA(vlookup(H4418,IMPORTRANGE(""1vUGwO1n0QQGx9kKbO0_M5gmuhXZ6-LaxQxgrmJnzgP0"",""'TP# look up'!A:C""),3,0),"""")"),"")</f>
        <v/>
      </c>
      <c r="AH4418" s="49">
        <f>LEFT(J4418,2)</f>
        <v/>
      </c>
    </row>
    <row r="4419" ht="12.75" customHeight="1">
      <c r="H4419" s="43" t="n"/>
      <c r="AG4419" s="49">
        <f>IFERROR(__xludf.DUMMYFUNCTION("IFNA(vlookup(H4419,IMPORTRANGE(""1vUGwO1n0QQGx9kKbO0_M5gmuhXZ6-LaxQxgrmJnzgP0"",""'TP# look up'!A:C""),3,0),"""")"),"")</f>
        <v/>
      </c>
      <c r="AH4419" s="49">
        <f>LEFT(J4419,2)</f>
        <v/>
      </c>
    </row>
    <row r="4420" ht="12.75" customHeight="1">
      <c r="H4420" s="43" t="n"/>
      <c r="AG4420" s="49">
        <f>IFERROR(__xludf.DUMMYFUNCTION("IFNA(vlookup(H4420,IMPORTRANGE(""1vUGwO1n0QQGx9kKbO0_M5gmuhXZ6-LaxQxgrmJnzgP0"",""'TP# look up'!A:C""),3,0),"""")"),"")</f>
        <v/>
      </c>
      <c r="AH4420" s="49">
        <f>LEFT(J4420,2)</f>
        <v/>
      </c>
    </row>
    <row r="4421" ht="12.75" customHeight="1">
      <c r="H4421" s="43" t="n"/>
      <c r="AG4421" s="49">
        <f>IFERROR(__xludf.DUMMYFUNCTION("IFNA(vlookup(H4421,IMPORTRANGE(""1vUGwO1n0QQGx9kKbO0_M5gmuhXZ6-LaxQxgrmJnzgP0"",""'TP# look up'!A:C""),3,0),"""")"),"")</f>
        <v/>
      </c>
      <c r="AH4421" s="49">
        <f>LEFT(J4421,2)</f>
        <v/>
      </c>
    </row>
    <row r="4422" ht="12.75" customHeight="1">
      <c r="H4422" s="43" t="n"/>
      <c r="AG4422" s="49">
        <f>IFERROR(__xludf.DUMMYFUNCTION("IFNA(vlookup(H4422,IMPORTRANGE(""1vUGwO1n0QQGx9kKbO0_M5gmuhXZ6-LaxQxgrmJnzgP0"",""'TP# look up'!A:C""),3,0),"""")"),"")</f>
        <v/>
      </c>
      <c r="AH4422" s="49">
        <f>LEFT(J4422,2)</f>
        <v/>
      </c>
    </row>
    <row r="4423" ht="12.75" customHeight="1">
      <c r="H4423" s="43" t="n"/>
      <c r="AG4423" s="49">
        <f>IFERROR(__xludf.DUMMYFUNCTION("IFNA(vlookup(H4423,IMPORTRANGE(""1vUGwO1n0QQGx9kKbO0_M5gmuhXZ6-LaxQxgrmJnzgP0"",""'TP# look up'!A:C""),3,0),"""")"),"")</f>
        <v/>
      </c>
      <c r="AH4423" s="49">
        <f>LEFT(J4423,2)</f>
        <v/>
      </c>
    </row>
    <row r="4424" ht="12.75" customHeight="1">
      <c r="H4424" s="43" t="n"/>
      <c r="AG4424" s="49">
        <f>IFERROR(__xludf.DUMMYFUNCTION("IFNA(vlookup(H4424,IMPORTRANGE(""1vUGwO1n0QQGx9kKbO0_M5gmuhXZ6-LaxQxgrmJnzgP0"",""'TP# look up'!A:C""),3,0),"""")"),"")</f>
        <v/>
      </c>
      <c r="AH4424" s="49">
        <f>LEFT(J4424,2)</f>
        <v/>
      </c>
    </row>
    <row r="4425" ht="12.75" customHeight="1">
      <c r="H4425" s="43" t="n"/>
      <c r="AG4425" s="49">
        <f>IFERROR(__xludf.DUMMYFUNCTION("IFNA(vlookup(H4425,IMPORTRANGE(""1vUGwO1n0QQGx9kKbO0_M5gmuhXZ6-LaxQxgrmJnzgP0"",""'TP# look up'!A:C""),3,0),"""")"),"")</f>
        <v/>
      </c>
      <c r="AH4425" s="49">
        <f>LEFT(J4425,2)</f>
        <v/>
      </c>
    </row>
    <row r="4426" ht="12.75" customHeight="1">
      <c r="H4426" s="43" t="n"/>
      <c r="AG4426" s="49">
        <f>IFERROR(__xludf.DUMMYFUNCTION("IFNA(vlookup(H4426,IMPORTRANGE(""1vUGwO1n0QQGx9kKbO0_M5gmuhXZ6-LaxQxgrmJnzgP0"",""'TP# look up'!A:C""),3,0),"""")"),"")</f>
        <v/>
      </c>
      <c r="AH4426" s="49">
        <f>LEFT(J4426,2)</f>
        <v/>
      </c>
    </row>
    <row r="4427" ht="12.75" customHeight="1">
      <c r="H4427" s="43" t="n"/>
      <c r="AG4427" s="49">
        <f>IFERROR(__xludf.DUMMYFUNCTION("IFNA(vlookup(H4427,IMPORTRANGE(""1vUGwO1n0QQGx9kKbO0_M5gmuhXZ6-LaxQxgrmJnzgP0"",""'TP# look up'!A:C""),3,0),"""")"),"")</f>
        <v/>
      </c>
      <c r="AH4427" s="49">
        <f>LEFT(J4427,2)</f>
        <v/>
      </c>
    </row>
    <row r="4428" ht="12.75" customHeight="1">
      <c r="H4428" s="43" t="n"/>
      <c r="AG4428" s="49">
        <f>IFERROR(__xludf.DUMMYFUNCTION("IFNA(vlookup(H4428,IMPORTRANGE(""1vUGwO1n0QQGx9kKbO0_M5gmuhXZ6-LaxQxgrmJnzgP0"",""'TP# look up'!A:C""),3,0),"""")"),"")</f>
        <v/>
      </c>
      <c r="AH4428" s="49">
        <f>LEFT(J4428,2)</f>
        <v/>
      </c>
    </row>
    <row r="4429" ht="12.75" customHeight="1">
      <c r="H4429" s="43" t="n"/>
      <c r="AG4429" s="49">
        <f>IFERROR(__xludf.DUMMYFUNCTION("IFNA(vlookup(H4429,IMPORTRANGE(""1vUGwO1n0QQGx9kKbO0_M5gmuhXZ6-LaxQxgrmJnzgP0"",""'TP# look up'!A:C""),3,0),"""")"),"")</f>
        <v/>
      </c>
      <c r="AH4429" s="49">
        <f>LEFT(J4429,2)</f>
        <v/>
      </c>
    </row>
    <row r="4430" ht="12.75" customHeight="1">
      <c r="H4430" s="43" t="n"/>
      <c r="AG4430" s="49">
        <f>IFERROR(__xludf.DUMMYFUNCTION("IFNA(vlookup(H4430,IMPORTRANGE(""1vUGwO1n0QQGx9kKbO0_M5gmuhXZ6-LaxQxgrmJnzgP0"",""'TP# look up'!A:C""),3,0),"""")"),"")</f>
        <v/>
      </c>
      <c r="AH4430" s="49">
        <f>LEFT(J4430,2)</f>
        <v/>
      </c>
    </row>
    <row r="4431" ht="12.75" customHeight="1">
      <c r="H4431" s="43" t="n"/>
      <c r="AG4431" s="49">
        <f>IFERROR(__xludf.DUMMYFUNCTION("IFNA(vlookup(H4431,IMPORTRANGE(""1vUGwO1n0QQGx9kKbO0_M5gmuhXZ6-LaxQxgrmJnzgP0"",""'TP# look up'!A:C""),3,0),"""")"),"")</f>
        <v/>
      </c>
      <c r="AH4431" s="49">
        <f>LEFT(J4431,2)</f>
        <v/>
      </c>
    </row>
    <row r="4432" ht="12.75" customHeight="1">
      <c r="H4432" s="43" t="n"/>
      <c r="AG4432" s="49">
        <f>IFERROR(__xludf.DUMMYFUNCTION("IFNA(vlookup(H4432,IMPORTRANGE(""1vUGwO1n0QQGx9kKbO0_M5gmuhXZ6-LaxQxgrmJnzgP0"",""'TP# look up'!A:C""),3,0),"""")"),"")</f>
        <v/>
      </c>
      <c r="AH4432" s="49">
        <f>LEFT(J4432,2)</f>
        <v/>
      </c>
    </row>
    <row r="4433" ht="12.75" customHeight="1">
      <c r="H4433" s="43" t="n"/>
      <c r="AG4433" s="49">
        <f>IFERROR(__xludf.DUMMYFUNCTION("IFNA(vlookup(H4433,IMPORTRANGE(""1vUGwO1n0QQGx9kKbO0_M5gmuhXZ6-LaxQxgrmJnzgP0"",""'TP# look up'!A:C""),3,0),"""")"),"")</f>
        <v/>
      </c>
      <c r="AH4433" s="49">
        <f>LEFT(J4433,2)</f>
        <v/>
      </c>
    </row>
    <row r="4434" ht="12.75" customHeight="1">
      <c r="H4434" s="43" t="n"/>
      <c r="AG4434" s="49">
        <f>IFERROR(__xludf.DUMMYFUNCTION("IFNA(vlookup(H4434,IMPORTRANGE(""1vUGwO1n0QQGx9kKbO0_M5gmuhXZ6-LaxQxgrmJnzgP0"",""'TP# look up'!A:C""),3,0),"""")"),"")</f>
        <v/>
      </c>
      <c r="AH4434" s="49">
        <f>LEFT(J4434,2)</f>
        <v/>
      </c>
    </row>
    <row r="4435" ht="12.75" customHeight="1">
      <c r="H4435" s="43" t="n"/>
      <c r="AG4435" s="49">
        <f>IFERROR(__xludf.DUMMYFUNCTION("IFNA(vlookup(H4435,IMPORTRANGE(""1vUGwO1n0QQGx9kKbO0_M5gmuhXZ6-LaxQxgrmJnzgP0"",""'TP# look up'!A:C""),3,0),"""")"),"")</f>
        <v/>
      </c>
      <c r="AH4435" s="49">
        <f>LEFT(J4435,2)</f>
        <v/>
      </c>
    </row>
    <row r="4436" ht="12.75" customHeight="1">
      <c r="H4436" s="43" t="n"/>
      <c r="AG4436" s="49">
        <f>IFERROR(__xludf.DUMMYFUNCTION("IFNA(vlookup(H4436,IMPORTRANGE(""1vUGwO1n0QQGx9kKbO0_M5gmuhXZ6-LaxQxgrmJnzgP0"",""'TP# look up'!A:C""),3,0),"""")"),"")</f>
        <v/>
      </c>
      <c r="AH4436" s="49">
        <f>LEFT(J4436,2)</f>
        <v/>
      </c>
    </row>
    <row r="4437" ht="12.75" customHeight="1">
      <c r="H4437" s="43" t="n"/>
      <c r="AG4437" s="49">
        <f>IFERROR(__xludf.DUMMYFUNCTION("IFNA(vlookup(H4437,IMPORTRANGE(""1vUGwO1n0QQGx9kKbO0_M5gmuhXZ6-LaxQxgrmJnzgP0"",""'TP# look up'!A:C""),3,0),"""")"),"")</f>
        <v/>
      </c>
      <c r="AH4437" s="49">
        <f>LEFT(J4437,2)</f>
        <v/>
      </c>
    </row>
    <row r="4438" ht="12.75" customHeight="1">
      <c r="H4438" s="43" t="n"/>
      <c r="AG4438" s="49">
        <f>IFERROR(__xludf.DUMMYFUNCTION("IFNA(vlookup(H4438,IMPORTRANGE(""1vUGwO1n0QQGx9kKbO0_M5gmuhXZ6-LaxQxgrmJnzgP0"",""'TP# look up'!A:C""),3,0),"""")"),"")</f>
        <v/>
      </c>
      <c r="AH4438" s="49">
        <f>LEFT(J4438,2)</f>
        <v/>
      </c>
    </row>
    <row r="4439" ht="12.75" customHeight="1">
      <c r="H4439" s="43" t="n"/>
      <c r="AG4439" s="49">
        <f>IFERROR(__xludf.DUMMYFUNCTION("IFNA(vlookup(H4439,IMPORTRANGE(""1vUGwO1n0QQGx9kKbO0_M5gmuhXZ6-LaxQxgrmJnzgP0"",""'TP# look up'!A:C""),3,0),"""")"),"")</f>
        <v/>
      </c>
      <c r="AH4439" s="49">
        <f>LEFT(J4439,2)</f>
        <v/>
      </c>
    </row>
    <row r="4440" ht="12.75" customHeight="1">
      <c r="H4440" s="43" t="n"/>
      <c r="AG4440" s="49">
        <f>IFERROR(__xludf.DUMMYFUNCTION("IFNA(vlookup(H4440,IMPORTRANGE(""1vUGwO1n0QQGx9kKbO0_M5gmuhXZ6-LaxQxgrmJnzgP0"",""'TP# look up'!A:C""),3,0),"""")"),"")</f>
        <v/>
      </c>
      <c r="AH4440" s="49">
        <f>LEFT(J4440,2)</f>
        <v/>
      </c>
    </row>
    <row r="4441" ht="12.75" customHeight="1">
      <c r="H4441" s="43" t="n"/>
      <c r="AG4441" s="49">
        <f>IFERROR(__xludf.DUMMYFUNCTION("IFNA(vlookup(H4441,IMPORTRANGE(""1vUGwO1n0QQGx9kKbO0_M5gmuhXZ6-LaxQxgrmJnzgP0"",""'TP# look up'!A:C""),3,0),"""")"),"")</f>
        <v/>
      </c>
      <c r="AH4441" s="49">
        <f>LEFT(J4441,2)</f>
        <v/>
      </c>
    </row>
    <row r="4442" ht="12.75" customHeight="1">
      <c r="H4442" s="43" t="n"/>
      <c r="AG4442" s="49">
        <f>IFERROR(__xludf.DUMMYFUNCTION("IFNA(vlookup(H4442,IMPORTRANGE(""1vUGwO1n0QQGx9kKbO0_M5gmuhXZ6-LaxQxgrmJnzgP0"",""'TP# look up'!A:C""),3,0),"""")"),"")</f>
        <v/>
      </c>
      <c r="AH4442" s="49">
        <f>LEFT(J4442,2)</f>
        <v/>
      </c>
    </row>
    <row r="4443" ht="12.75" customHeight="1">
      <c r="H4443" s="43" t="n"/>
      <c r="AG4443" s="49">
        <f>IFERROR(__xludf.DUMMYFUNCTION("IFNA(vlookup(H4443,IMPORTRANGE(""1vUGwO1n0QQGx9kKbO0_M5gmuhXZ6-LaxQxgrmJnzgP0"",""'TP# look up'!A:C""),3,0),"""")"),"")</f>
        <v/>
      </c>
      <c r="AH4443" s="49">
        <f>LEFT(J4443,2)</f>
        <v/>
      </c>
    </row>
    <row r="4444" ht="12.75" customHeight="1">
      <c r="H4444" s="43" t="n"/>
      <c r="AG4444" s="49">
        <f>IFERROR(__xludf.DUMMYFUNCTION("IFNA(vlookup(H4444,IMPORTRANGE(""1vUGwO1n0QQGx9kKbO0_M5gmuhXZ6-LaxQxgrmJnzgP0"",""'TP# look up'!A:C""),3,0),"""")"),"")</f>
        <v/>
      </c>
      <c r="AH4444" s="49">
        <f>LEFT(J4444,2)</f>
        <v/>
      </c>
    </row>
    <row r="4445" ht="12.75" customHeight="1">
      <c r="H4445" s="43" t="n"/>
      <c r="AG4445" s="49">
        <f>IFERROR(__xludf.DUMMYFUNCTION("IFNA(vlookup(H4445,IMPORTRANGE(""1vUGwO1n0QQGx9kKbO0_M5gmuhXZ6-LaxQxgrmJnzgP0"",""'TP# look up'!A:C""),3,0),"""")"),"")</f>
        <v/>
      </c>
      <c r="AH4445" s="49">
        <f>LEFT(J4445,2)</f>
        <v/>
      </c>
    </row>
    <row r="4446" ht="12.75" customHeight="1">
      <c r="H4446" s="43" t="n"/>
      <c r="AG4446" s="49">
        <f>IFERROR(__xludf.DUMMYFUNCTION("IFNA(vlookup(H4446,IMPORTRANGE(""1vUGwO1n0QQGx9kKbO0_M5gmuhXZ6-LaxQxgrmJnzgP0"",""'TP# look up'!A:C""),3,0),"""")"),"")</f>
        <v/>
      </c>
      <c r="AH4446" s="49">
        <f>LEFT(J4446,2)</f>
        <v/>
      </c>
    </row>
    <row r="4447" ht="12.75" customHeight="1">
      <c r="H4447" s="43" t="n"/>
      <c r="AG4447" s="49">
        <f>IFERROR(__xludf.DUMMYFUNCTION("IFNA(vlookup(H4447,IMPORTRANGE(""1vUGwO1n0QQGx9kKbO0_M5gmuhXZ6-LaxQxgrmJnzgP0"",""'TP# look up'!A:C""),3,0),"""")"),"")</f>
        <v/>
      </c>
      <c r="AH4447" s="49">
        <f>LEFT(J4447,2)</f>
        <v/>
      </c>
    </row>
    <row r="4448" ht="12.75" customHeight="1">
      <c r="H4448" s="43" t="n"/>
      <c r="AG4448" s="49">
        <f>IFERROR(__xludf.DUMMYFUNCTION("IFNA(vlookup(H4448,IMPORTRANGE(""1vUGwO1n0QQGx9kKbO0_M5gmuhXZ6-LaxQxgrmJnzgP0"",""'TP# look up'!A:C""),3,0),"""")"),"")</f>
        <v/>
      </c>
      <c r="AH4448" s="49">
        <f>LEFT(J4448,2)</f>
        <v/>
      </c>
    </row>
    <row r="4449" ht="12.75" customHeight="1">
      <c r="H4449" s="43" t="n"/>
      <c r="AG4449" s="49">
        <f>IFERROR(__xludf.DUMMYFUNCTION("IFNA(vlookup(H4449,IMPORTRANGE(""1vUGwO1n0QQGx9kKbO0_M5gmuhXZ6-LaxQxgrmJnzgP0"",""'TP# look up'!A:C""),3,0),"""")"),"")</f>
        <v/>
      </c>
      <c r="AH4449" s="49">
        <f>LEFT(J4449,2)</f>
        <v/>
      </c>
    </row>
    <row r="4450" ht="12.75" customHeight="1">
      <c r="H4450" s="43" t="n"/>
      <c r="AG4450" s="49">
        <f>IFERROR(__xludf.DUMMYFUNCTION("IFNA(vlookup(H4450,IMPORTRANGE(""1vUGwO1n0QQGx9kKbO0_M5gmuhXZ6-LaxQxgrmJnzgP0"",""'TP# look up'!A:C""),3,0),"""")"),"")</f>
        <v/>
      </c>
      <c r="AH4450" s="49">
        <f>LEFT(J4450,2)</f>
        <v/>
      </c>
    </row>
    <row r="4451" ht="12.75" customHeight="1">
      <c r="H4451" s="43" t="n"/>
      <c r="AG4451" s="49">
        <f>IFERROR(__xludf.DUMMYFUNCTION("IFNA(vlookup(H4451,IMPORTRANGE(""1vUGwO1n0QQGx9kKbO0_M5gmuhXZ6-LaxQxgrmJnzgP0"",""'TP# look up'!A:C""),3,0),"""")"),"")</f>
        <v/>
      </c>
      <c r="AH4451" s="49">
        <f>LEFT(J4451,2)</f>
        <v/>
      </c>
    </row>
    <row r="4452" ht="12.75" customHeight="1">
      <c r="H4452" s="43" t="n"/>
      <c r="AG4452" s="49">
        <f>IFERROR(__xludf.DUMMYFUNCTION("IFNA(vlookup(H4452,IMPORTRANGE(""1vUGwO1n0QQGx9kKbO0_M5gmuhXZ6-LaxQxgrmJnzgP0"",""'TP# look up'!A:C""),3,0),"""")"),"")</f>
        <v/>
      </c>
      <c r="AH4452" s="49">
        <f>LEFT(J4452,2)</f>
        <v/>
      </c>
    </row>
    <row r="4453" ht="12.75" customHeight="1">
      <c r="H4453" s="43" t="n"/>
      <c r="AG4453" s="49">
        <f>IFERROR(__xludf.DUMMYFUNCTION("IFNA(vlookup(H4453,IMPORTRANGE(""1vUGwO1n0QQGx9kKbO0_M5gmuhXZ6-LaxQxgrmJnzgP0"",""'TP# look up'!A:C""),3,0),"""")"),"")</f>
        <v/>
      </c>
      <c r="AH4453" s="49">
        <f>LEFT(J4453,2)</f>
        <v/>
      </c>
    </row>
    <row r="4454" ht="12.75" customHeight="1">
      <c r="H4454" s="43" t="n"/>
      <c r="AG4454" s="49">
        <f>IFERROR(__xludf.DUMMYFUNCTION("IFNA(vlookup(H4454,IMPORTRANGE(""1vUGwO1n0QQGx9kKbO0_M5gmuhXZ6-LaxQxgrmJnzgP0"",""'TP# look up'!A:C""),3,0),"""")"),"")</f>
        <v/>
      </c>
      <c r="AH4454" s="49">
        <f>LEFT(J4454,2)</f>
        <v/>
      </c>
    </row>
    <row r="4455" ht="12.75" customHeight="1">
      <c r="H4455" s="43" t="n"/>
      <c r="AG4455" s="49">
        <f>IFERROR(__xludf.DUMMYFUNCTION("IFNA(vlookup(H4455,IMPORTRANGE(""1vUGwO1n0QQGx9kKbO0_M5gmuhXZ6-LaxQxgrmJnzgP0"",""'TP# look up'!A:C""),3,0),"""")"),"")</f>
        <v/>
      </c>
      <c r="AH4455" s="49">
        <f>LEFT(J4455,2)</f>
        <v/>
      </c>
    </row>
    <row r="4456" ht="12.75" customHeight="1">
      <c r="H4456" s="43" t="n"/>
      <c r="AG4456" s="49">
        <f>IFERROR(__xludf.DUMMYFUNCTION("IFNA(vlookup(H4456,IMPORTRANGE(""1vUGwO1n0QQGx9kKbO0_M5gmuhXZ6-LaxQxgrmJnzgP0"",""'TP# look up'!A:C""),3,0),"""")"),"")</f>
        <v/>
      </c>
      <c r="AH4456" s="49">
        <f>LEFT(J4456,2)</f>
        <v/>
      </c>
    </row>
    <row r="4457" ht="12.75" customHeight="1">
      <c r="H4457" s="43" t="n"/>
      <c r="AG4457" s="49">
        <f>IFERROR(__xludf.DUMMYFUNCTION("IFNA(vlookup(H4457,IMPORTRANGE(""1vUGwO1n0QQGx9kKbO0_M5gmuhXZ6-LaxQxgrmJnzgP0"",""'TP# look up'!A:C""),3,0),"""")"),"")</f>
        <v/>
      </c>
      <c r="AH4457" s="49">
        <f>LEFT(J4457,2)</f>
        <v/>
      </c>
    </row>
    <row r="4458" ht="12.75" customHeight="1">
      <c r="H4458" s="43" t="n"/>
      <c r="AG4458" s="49">
        <f>IFERROR(__xludf.DUMMYFUNCTION("IFNA(vlookup(H4458,IMPORTRANGE(""1vUGwO1n0QQGx9kKbO0_M5gmuhXZ6-LaxQxgrmJnzgP0"",""'TP# look up'!A:C""),3,0),"""")"),"")</f>
        <v/>
      </c>
      <c r="AH4458" s="49">
        <f>LEFT(J4458,2)</f>
        <v/>
      </c>
    </row>
    <row r="4459" ht="12.75" customHeight="1">
      <c r="H4459" s="43" t="n"/>
      <c r="AG4459" s="49">
        <f>IFERROR(__xludf.DUMMYFUNCTION("IFNA(vlookup(H4459,IMPORTRANGE(""1vUGwO1n0QQGx9kKbO0_M5gmuhXZ6-LaxQxgrmJnzgP0"",""'TP# look up'!A:C""),3,0),"""")"),"")</f>
        <v/>
      </c>
      <c r="AH4459" s="49">
        <f>LEFT(J4459,2)</f>
        <v/>
      </c>
    </row>
    <row r="4460" ht="12.75" customHeight="1">
      <c r="H4460" s="43" t="n"/>
      <c r="AG4460" s="49">
        <f>IFERROR(__xludf.DUMMYFUNCTION("IFNA(vlookup(H4460,IMPORTRANGE(""1vUGwO1n0QQGx9kKbO0_M5gmuhXZ6-LaxQxgrmJnzgP0"",""'TP# look up'!A:C""),3,0),"""")"),"")</f>
        <v/>
      </c>
      <c r="AH4460" s="49">
        <f>LEFT(J4460,2)</f>
        <v/>
      </c>
    </row>
    <row r="4461" ht="12.75" customHeight="1">
      <c r="H4461" s="43" t="n"/>
      <c r="AG4461" s="49">
        <f>IFERROR(__xludf.DUMMYFUNCTION("IFNA(vlookup(H4461,IMPORTRANGE(""1vUGwO1n0QQGx9kKbO0_M5gmuhXZ6-LaxQxgrmJnzgP0"",""'TP# look up'!A:C""),3,0),"""")"),"")</f>
        <v/>
      </c>
      <c r="AH4461" s="49">
        <f>LEFT(J4461,2)</f>
        <v/>
      </c>
    </row>
    <row r="4462" ht="12.75" customHeight="1">
      <c r="H4462" s="43" t="n"/>
      <c r="AG4462" s="49">
        <f>IFERROR(__xludf.DUMMYFUNCTION("IFNA(vlookup(H4462,IMPORTRANGE(""1vUGwO1n0QQGx9kKbO0_M5gmuhXZ6-LaxQxgrmJnzgP0"",""'TP# look up'!A:C""),3,0),"""")"),"")</f>
        <v/>
      </c>
      <c r="AH4462" s="49">
        <f>LEFT(J4462,2)</f>
        <v/>
      </c>
    </row>
    <row r="4463" ht="12.75" customHeight="1">
      <c r="H4463" s="43" t="n"/>
      <c r="AG4463" s="49">
        <f>IFERROR(__xludf.DUMMYFUNCTION("IFNA(vlookup(H4463,IMPORTRANGE(""1vUGwO1n0QQGx9kKbO0_M5gmuhXZ6-LaxQxgrmJnzgP0"",""'TP# look up'!A:C""),3,0),"""")"),"")</f>
        <v/>
      </c>
      <c r="AH4463" s="49">
        <f>LEFT(J4463,2)</f>
        <v/>
      </c>
    </row>
    <row r="4464" ht="12.75" customHeight="1">
      <c r="H4464" s="43" t="n"/>
      <c r="AG4464" s="49">
        <f>IFERROR(__xludf.DUMMYFUNCTION("IFNA(vlookup(H4464,IMPORTRANGE(""1vUGwO1n0QQGx9kKbO0_M5gmuhXZ6-LaxQxgrmJnzgP0"",""'TP# look up'!A:C""),3,0),"""")"),"")</f>
        <v/>
      </c>
      <c r="AH4464" s="49">
        <f>LEFT(J4464,2)</f>
        <v/>
      </c>
    </row>
    <row r="4465" ht="12.75" customHeight="1">
      <c r="H4465" s="43" t="n"/>
      <c r="AG4465" s="49">
        <f>IFERROR(__xludf.DUMMYFUNCTION("IFNA(vlookup(H4465,IMPORTRANGE(""1vUGwO1n0QQGx9kKbO0_M5gmuhXZ6-LaxQxgrmJnzgP0"",""'TP# look up'!A:C""),3,0),"""")"),"")</f>
        <v/>
      </c>
      <c r="AH4465" s="49">
        <f>LEFT(J4465,2)</f>
        <v/>
      </c>
    </row>
    <row r="4466" ht="12.75" customHeight="1">
      <c r="H4466" s="43" t="n"/>
      <c r="AG4466" s="49">
        <f>IFERROR(__xludf.DUMMYFUNCTION("IFNA(vlookup(H4466,IMPORTRANGE(""1vUGwO1n0QQGx9kKbO0_M5gmuhXZ6-LaxQxgrmJnzgP0"",""'TP# look up'!A:C""),3,0),"""")"),"")</f>
        <v/>
      </c>
      <c r="AH4466" s="49">
        <f>LEFT(J4466,2)</f>
        <v/>
      </c>
    </row>
    <row r="4467" ht="12.75" customHeight="1">
      <c r="H4467" s="43" t="n"/>
      <c r="AG4467" s="49">
        <f>IFERROR(__xludf.DUMMYFUNCTION("IFNA(vlookup(H4467,IMPORTRANGE(""1vUGwO1n0QQGx9kKbO0_M5gmuhXZ6-LaxQxgrmJnzgP0"",""'TP# look up'!A:C""),3,0),"""")"),"")</f>
        <v/>
      </c>
      <c r="AH4467" s="49">
        <f>LEFT(J4467,2)</f>
        <v/>
      </c>
    </row>
    <row r="4468" ht="12.75" customHeight="1">
      <c r="H4468" s="43" t="n"/>
      <c r="AG4468" s="49">
        <f>IFERROR(__xludf.DUMMYFUNCTION("IFNA(vlookup(H4468,IMPORTRANGE(""1vUGwO1n0QQGx9kKbO0_M5gmuhXZ6-LaxQxgrmJnzgP0"",""'TP# look up'!A:C""),3,0),"""")"),"")</f>
        <v/>
      </c>
      <c r="AH4468" s="49">
        <f>LEFT(J4468,2)</f>
        <v/>
      </c>
    </row>
    <row r="4469" ht="12.75" customHeight="1">
      <c r="H4469" s="43" t="n"/>
      <c r="AG4469" s="49">
        <f>IFERROR(__xludf.DUMMYFUNCTION("IFNA(vlookup(H4469,IMPORTRANGE(""1vUGwO1n0QQGx9kKbO0_M5gmuhXZ6-LaxQxgrmJnzgP0"",""'TP# look up'!A:C""),3,0),"""")"),"")</f>
        <v/>
      </c>
      <c r="AH4469" s="49">
        <f>LEFT(J4469,2)</f>
        <v/>
      </c>
    </row>
    <row r="4470" ht="12.75" customHeight="1">
      <c r="H4470" s="43" t="n"/>
      <c r="AG4470" s="49">
        <f>IFERROR(__xludf.DUMMYFUNCTION("IFNA(vlookup(H4470,IMPORTRANGE(""1vUGwO1n0QQGx9kKbO0_M5gmuhXZ6-LaxQxgrmJnzgP0"",""'TP# look up'!A:C""),3,0),"""")"),"")</f>
        <v/>
      </c>
      <c r="AH4470" s="49">
        <f>LEFT(J4470,2)</f>
        <v/>
      </c>
    </row>
    <row r="4471" ht="12.75" customHeight="1">
      <c r="H4471" s="43" t="n"/>
      <c r="AG4471" s="49">
        <f>IFERROR(__xludf.DUMMYFUNCTION("IFNA(vlookup(H4471,IMPORTRANGE(""1vUGwO1n0QQGx9kKbO0_M5gmuhXZ6-LaxQxgrmJnzgP0"",""'TP# look up'!A:C""),3,0),"""")"),"")</f>
        <v/>
      </c>
      <c r="AH4471" s="49">
        <f>LEFT(J4471,2)</f>
        <v/>
      </c>
    </row>
    <row r="4472" ht="12.75" customHeight="1">
      <c r="H4472" s="43" t="n"/>
      <c r="AG4472" s="49">
        <f>IFERROR(__xludf.DUMMYFUNCTION("IFNA(vlookup(H4472,IMPORTRANGE(""1vUGwO1n0QQGx9kKbO0_M5gmuhXZ6-LaxQxgrmJnzgP0"",""'TP# look up'!A:C""),3,0),"""")"),"")</f>
        <v/>
      </c>
      <c r="AH4472" s="49">
        <f>LEFT(J4472,2)</f>
        <v/>
      </c>
    </row>
    <row r="4473" ht="12.75" customHeight="1">
      <c r="H4473" s="43" t="n"/>
      <c r="AG4473" s="49">
        <f>IFERROR(__xludf.DUMMYFUNCTION("IFNA(vlookup(H4473,IMPORTRANGE(""1vUGwO1n0QQGx9kKbO0_M5gmuhXZ6-LaxQxgrmJnzgP0"",""'TP# look up'!A:C""),3,0),"""")"),"")</f>
        <v/>
      </c>
      <c r="AH4473" s="49">
        <f>LEFT(J4473,2)</f>
        <v/>
      </c>
    </row>
    <row r="4474" ht="12.75" customHeight="1">
      <c r="H4474" s="43" t="n"/>
      <c r="AG4474" s="49">
        <f>IFERROR(__xludf.DUMMYFUNCTION("IFNA(vlookup(H4474,IMPORTRANGE(""1vUGwO1n0QQGx9kKbO0_M5gmuhXZ6-LaxQxgrmJnzgP0"",""'TP# look up'!A:C""),3,0),"""")"),"")</f>
        <v/>
      </c>
      <c r="AH4474" s="49">
        <f>LEFT(J4474,2)</f>
        <v/>
      </c>
    </row>
    <row r="4475" ht="12.75" customHeight="1">
      <c r="H4475" s="43" t="n"/>
      <c r="AG4475" s="49">
        <f>IFERROR(__xludf.DUMMYFUNCTION("IFNA(vlookup(H4475,IMPORTRANGE(""1vUGwO1n0QQGx9kKbO0_M5gmuhXZ6-LaxQxgrmJnzgP0"",""'TP# look up'!A:C""),3,0),"""")"),"")</f>
        <v/>
      </c>
      <c r="AH4475" s="49">
        <f>LEFT(J4475,2)</f>
        <v/>
      </c>
    </row>
    <row r="4476" ht="12.75" customHeight="1">
      <c r="H4476" s="43" t="n"/>
      <c r="AG4476" s="49">
        <f>IFERROR(__xludf.DUMMYFUNCTION("IFNA(vlookup(H4476,IMPORTRANGE(""1vUGwO1n0QQGx9kKbO0_M5gmuhXZ6-LaxQxgrmJnzgP0"",""'TP# look up'!A:C""),3,0),"""")"),"")</f>
        <v/>
      </c>
      <c r="AH4476" s="49">
        <f>LEFT(J4476,2)</f>
        <v/>
      </c>
    </row>
    <row r="4477" ht="12.75" customHeight="1">
      <c r="H4477" s="43" t="n"/>
      <c r="AG4477" s="49">
        <f>IFERROR(__xludf.DUMMYFUNCTION("IFNA(vlookup(H4477,IMPORTRANGE(""1vUGwO1n0QQGx9kKbO0_M5gmuhXZ6-LaxQxgrmJnzgP0"",""'TP# look up'!A:C""),3,0),"""")"),"")</f>
        <v/>
      </c>
      <c r="AH4477" s="49">
        <f>LEFT(J4477,2)</f>
        <v/>
      </c>
    </row>
    <row r="4478" ht="12.75" customHeight="1">
      <c r="H4478" s="43" t="n"/>
      <c r="AG4478" s="49">
        <f>IFERROR(__xludf.DUMMYFUNCTION("IFNA(vlookup(H4478,IMPORTRANGE(""1vUGwO1n0QQGx9kKbO0_M5gmuhXZ6-LaxQxgrmJnzgP0"",""'TP# look up'!A:C""),3,0),"""")"),"")</f>
        <v/>
      </c>
      <c r="AH4478" s="49">
        <f>LEFT(J4478,2)</f>
        <v/>
      </c>
    </row>
    <row r="4479" ht="12.75" customHeight="1">
      <c r="H4479" s="43" t="n"/>
      <c r="AG4479" s="49">
        <f>IFERROR(__xludf.DUMMYFUNCTION("IFNA(vlookup(H4479,IMPORTRANGE(""1vUGwO1n0QQGx9kKbO0_M5gmuhXZ6-LaxQxgrmJnzgP0"",""'TP# look up'!A:C""),3,0),"""")"),"")</f>
        <v/>
      </c>
      <c r="AH4479" s="49">
        <f>LEFT(J4479,2)</f>
        <v/>
      </c>
    </row>
    <row r="4480" ht="12.75" customHeight="1">
      <c r="H4480" s="43" t="n"/>
      <c r="AG4480" s="49">
        <f>IFERROR(__xludf.DUMMYFUNCTION("IFNA(vlookup(H4480,IMPORTRANGE(""1vUGwO1n0QQGx9kKbO0_M5gmuhXZ6-LaxQxgrmJnzgP0"",""'TP# look up'!A:C""),3,0),"""")"),"")</f>
        <v/>
      </c>
      <c r="AH4480" s="49">
        <f>LEFT(J4480,2)</f>
        <v/>
      </c>
    </row>
    <row r="4481" ht="12.75" customHeight="1">
      <c r="H4481" s="43" t="n"/>
      <c r="AG4481" s="49">
        <f>IFERROR(__xludf.DUMMYFUNCTION("IFNA(vlookup(H4481,IMPORTRANGE(""1vUGwO1n0QQGx9kKbO0_M5gmuhXZ6-LaxQxgrmJnzgP0"",""'TP# look up'!A:C""),3,0),"""")"),"")</f>
        <v/>
      </c>
      <c r="AH4481" s="49">
        <f>LEFT(J4481,2)</f>
        <v/>
      </c>
    </row>
    <row r="4482" ht="12.75" customHeight="1">
      <c r="H4482" s="43" t="n"/>
      <c r="AG4482" s="49">
        <f>IFERROR(__xludf.DUMMYFUNCTION("IFNA(vlookup(H4482,IMPORTRANGE(""1vUGwO1n0QQGx9kKbO0_M5gmuhXZ6-LaxQxgrmJnzgP0"",""'TP# look up'!A:C""),3,0),"""")"),"")</f>
        <v/>
      </c>
      <c r="AH4482" s="49">
        <f>LEFT(J4482,2)</f>
        <v/>
      </c>
    </row>
    <row r="4483" ht="12.75" customHeight="1">
      <c r="H4483" s="43" t="n"/>
      <c r="AG4483" s="49">
        <f>IFERROR(__xludf.DUMMYFUNCTION("IFNA(vlookup(H4483,IMPORTRANGE(""1vUGwO1n0QQGx9kKbO0_M5gmuhXZ6-LaxQxgrmJnzgP0"",""'TP# look up'!A:C""),3,0),"""")"),"")</f>
        <v/>
      </c>
      <c r="AH4483" s="49">
        <f>LEFT(J4483,2)</f>
        <v/>
      </c>
    </row>
    <row r="4484" ht="12.75" customHeight="1">
      <c r="H4484" s="43" t="n"/>
      <c r="AG4484" s="49">
        <f>IFERROR(__xludf.DUMMYFUNCTION("IFNA(vlookup(H4484,IMPORTRANGE(""1vUGwO1n0QQGx9kKbO0_M5gmuhXZ6-LaxQxgrmJnzgP0"",""'TP# look up'!A:C""),3,0),"""")"),"")</f>
        <v/>
      </c>
      <c r="AH4484" s="49">
        <f>LEFT(J4484,2)</f>
        <v/>
      </c>
    </row>
    <row r="4485" ht="12.75" customHeight="1">
      <c r="H4485" s="43" t="n"/>
      <c r="AG4485" s="49">
        <f>IFERROR(__xludf.DUMMYFUNCTION("IFNA(vlookup(H4485,IMPORTRANGE(""1vUGwO1n0QQGx9kKbO0_M5gmuhXZ6-LaxQxgrmJnzgP0"",""'TP# look up'!A:C""),3,0),"""")"),"")</f>
        <v/>
      </c>
      <c r="AH4485" s="49">
        <f>LEFT(J4485,2)</f>
        <v/>
      </c>
    </row>
    <row r="4486" ht="12.75" customHeight="1">
      <c r="H4486" s="43" t="n"/>
      <c r="AG4486" s="49">
        <f>IFERROR(__xludf.DUMMYFUNCTION("IFNA(vlookup(H4486,IMPORTRANGE(""1vUGwO1n0QQGx9kKbO0_M5gmuhXZ6-LaxQxgrmJnzgP0"",""'TP# look up'!A:C""),3,0),"""")"),"")</f>
        <v/>
      </c>
      <c r="AH4486" s="49">
        <f>LEFT(J4486,2)</f>
        <v/>
      </c>
    </row>
    <row r="4487" ht="12.75" customHeight="1">
      <c r="H4487" s="43" t="n"/>
      <c r="AG4487" s="49">
        <f>IFERROR(__xludf.DUMMYFUNCTION("IFNA(vlookup(H4487,IMPORTRANGE(""1vUGwO1n0QQGx9kKbO0_M5gmuhXZ6-LaxQxgrmJnzgP0"",""'TP# look up'!A:C""),3,0),"""")"),"")</f>
        <v/>
      </c>
      <c r="AH4487" s="49">
        <f>LEFT(J4487,2)</f>
        <v/>
      </c>
    </row>
    <row r="4488" ht="12.75" customHeight="1">
      <c r="H4488" s="43" t="n"/>
      <c r="AG4488" s="49">
        <f>IFERROR(__xludf.DUMMYFUNCTION("IFNA(vlookup(H4488,IMPORTRANGE(""1vUGwO1n0QQGx9kKbO0_M5gmuhXZ6-LaxQxgrmJnzgP0"",""'TP# look up'!A:C""),3,0),"""")"),"")</f>
        <v/>
      </c>
      <c r="AH4488" s="49">
        <f>LEFT(J4488,2)</f>
        <v/>
      </c>
    </row>
    <row r="4489" ht="12.75" customHeight="1">
      <c r="H4489" s="43" t="n"/>
      <c r="AG4489" s="49">
        <f>IFERROR(__xludf.DUMMYFUNCTION("IFNA(vlookup(H4489,IMPORTRANGE(""1vUGwO1n0QQGx9kKbO0_M5gmuhXZ6-LaxQxgrmJnzgP0"",""'TP# look up'!A:C""),3,0),"""")"),"")</f>
        <v/>
      </c>
      <c r="AH4489" s="49">
        <f>LEFT(J4489,2)</f>
        <v/>
      </c>
    </row>
    <row r="4490" ht="12.75" customHeight="1">
      <c r="H4490" s="43" t="n"/>
      <c r="AG4490" s="49">
        <f>IFERROR(__xludf.DUMMYFUNCTION("IFNA(vlookup(H4490,IMPORTRANGE(""1vUGwO1n0QQGx9kKbO0_M5gmuhXZ6-LaxQxgrmJnzgP0"",""'TP# look up'!A:C""),3,0),"""")"),"")</f>
        <v/>
      </c>
      <c r="AH4490" s="49">
        <f>LEFT(J4490,2)</f>
        <v/>
      </c>
    </row>
    <row r="4491" ht="12.75" customHeight="1">
      <c r="H4491" s="43" t="n"/>
      <c r="AG4491" s="49">
        <f>IFERROR(__xludf.DUMMYFUNCTION("IFNA(vlookup(H4491,IMPORTRANGE(""1vUGwO1n0QQGx9kKbO0_M5gmuhXZ6-LaxQxgrmJnzgP0"",""'TP# look up'!A:C""),3,0),"""")"),"")</f>
        <v/>
      </c>
      <c r="AH4491" s="49">
        <f>LEFT(J4491,2)</f>
        <v/>
      </c>
    </row>
    <row r="4492" ht="12.75" customHeight="1">
      <c r="H4492" s="43" t="n"/>
      <c r="AG4492" s="49">
        <f>IFERROR(__xludf.DUMMYFUNCTION("IFNA(vlookup(H4492,IMPORTRANGE(""1vUGwO1n0QQGx9kKbO0_M5gmuhXZ6-LaxQxgrmJnzgP0"",""'TP# look up'!A:C""),3,0),"""")"),"")</f>
        <v/>
      </c>
      <c r="AH4492" s="49">
        <f>LEFT(J4492,2)</f>
        <v/>
      </c>
    </row>
    <row r="4493" ht="12.75" customHeight="1">
      <c r="H4493" s="43" t="n"/>
      <c r="AG4493" s="49">
        <f>IFERROR(__xludf.DUMMYFUNCTION("IFNA(vlookup(H4493,IMPORTRANGE(""1vUGwO1n0QQGx9kKbO0_M5gmuhXZ6-LaxQxgrmJnzgP0"",""'TP# look up'!A:C""),3,0),"""")"),"")</f>
        <v/>
      </c>
      <c r="AH4493" s="49">
        <f>LEFT(J4493,2)</f>
        <v/>
      </c>
    </row>
    <row r="4494" ht="12.75" customHeight="1">
      <c r="H4494" s="43" t="n"/>
      <c r="AG4494" s="49">
        <f>IFERROR(__xludf.DUMMYFUNCTION("IFNA(vlookup(H4494,IMPORTRANGE(""1vUGwO1n0QQGx9kKbO0_M5gmuhXZ6-LaxQxgrmJnzgP0"",""'TP# look up'!A:C""),3,0),"""")"),"")</f>
        <v/>
      </c>
      <c r="AH4494" s="49">
        <f>LEFT(J4494,2)</f>
        <v/>
      </c>
    </row>
    <row r="4495" ht="12.75" customHeight="1">
      <c r="H4495" s="43" t="n"/>
      <c r="AG4495" s="49">
        <f>IFERROR(__xludf.DUMMYFUNCTION("IFNA(vlookup(H4495,IMPORTRANGE(""1vUGwO1n0QQGx9kKbO0_M5gmuhXZ6-LaxQxgrmJnzgP0"",""'TP# look up'!A:C""),3,0),"""")"),"")</f>
        <v/>
      </c>
      <c r="AH4495" s="49">
        <f>LEFT(J4495,2)</f>
        <v/>
      </c>
    </row>
    <row r="4496" ht="12.75" customHeight="1">
      <c r="H4496" s="43" t="n"/>
      <c r="AG4496" s="49">
        <f>IFERROR(__xludf.DUMMYFUNCTION("IFNA(vlookup(H4496,IMPORTRANGE(""1vUGwO1n0QQGx9kKbO0_M5gmuhXZ6-LaxQxgrmJnzgP0"",""'TP# look up'!A:C""),3,0),"""")"),"")</f>
        <v/>
      </c>
      <c r="AH4496" s="49">
        <f>LEFT(J4496,2)</f>
        <v/>
      </c>
    </row>
    <row r="4497" ht="12.75" customHeight="1">
      <c r="H4497" s="43" t="n"/>
      <c r="AG4497" s="49">
        <f>IFERROR(__xludf.DUMMYFUNCTION("IFNA(vlookup(H4497,IMPORTRANGE(""1vUGwO1n0QQGx9kKbO0_M5gmuhXZ6-LaxQxgrmJnzgP0"",""'TP# look up'!A:C""),3,0),"""")"),"")</f>
        <v/>
      </c>
      <c r="AH4497" s="49">
        <f>LEFT(J4497,2)</f>
        <v/>
      </c>
    </row>
    <row r="4498" ht="12.75" customHeight="1">
      <c r="H4498" s="43" t="n"/>
      <c r="AG4498" s="49">
        <f>IFERROR(__xludf.DUMMYFUNCTION("IFNA(vlookup(H4498,IMPORTRANGE(""1vUGwO1n0QQGx9kKbO0_M5gmuhXZ6-LaxQxgrmJnzgP0"",""'TP# look up'!A:C""),3,0),"""")"),"")</f>
        <v/>
      </c>
      <c r="AH4498" s="49">
        <f>LEFT(J4498,2)</f>
        <v/>
      </c>
    </row>
    <row r="4499" ht="12.75" customHeight="1">
      <c r="H4499" s="43" t="n"/>
      <c r="AG4499" s="49">
        <f>IFERROR(__xludf.DUMMYFUNCTION("IFNA(vlookup(H4499,IMPORTRANGE(""1vUGwO1n0QQGx9kKbO0_M5gmuhXZ6-LaxQxgrmJnzgP0"",""'TP# look up'!A:C""),3,0),"""")"),"")</f>
        <v/>
      </c>
      <c r="AH4499" s="49">
        <f>LEFT(J4499,2)</f>
        <v/>
      </c>
    </row>
    <row r="4500" ht="12.75" customHeight="1">
      <c r="H4500" s="43" t="n"/>
      <c r="AG4500" s="49">
        <f>IFERROR(__xludf.DUMMYFUNCTION("IFNA(vlookup(H4500,IMPORTRANGE(""1vUGwO1n0QQGx9kKbO0_M5gmuhXZ6-LaxQxgrmJnzgP0"",""'TP# look up'!A:C""),3,0),"""")"),"")</f>
        <v/>
      </c>
      <c r="AH4500" s="49">
        <f>LEFT(J4500,2)</f>
        <v/>
      </c>
    </row>
    <row r="4501" ht="12.75" customHeight="1">
      <c r="H4501" s="43" t="n"/>
      <c r="AG4501" s="49">
        <f>IFERROR(__xludf.DUMMYFUNCTION("IFNA(vlookup(H4501,IMPORTRANGE(""1vUGwO1n0QQGx9kKbO0_M5gmuhXZ6-LaxQxgrmJnzgP0"",""'TP# look up'!A:C""),3,0),"""")"),"")</f>
        <v/>
      </c>
      <c r="AH4501" s="49">
        <f>LEFT(J4501,2)</f>
        <v/>
      </c>
    </row>
    <row r="4502" ht="12.75" customHeight="1">
      <c r="H4502" s="43" t="n"/>
      <c r="AG4502" s="49">
        <f>IFERROR(__xludf.DUMMYFUNCTION("IFNA(vlookup(H4502,IMPORTRANGE(""1vUGwO1n0QQGx9kKbO0_M5gmuhXZ6-LaxQxgrmJnzgP0"",""'TP# look up'!A:C""),3,0),"""")"),"")</f>
        <v/>
      </c>
      <c r="AH4502" s="49">
        <f>LEFT(J4502,2)</f>
        <v/>
      </c>
    </row>
    <row r="4503" ht="12.75" customHeight="1">
      <c r="H4503" s="43" t="n"/>
      <c r="AG4503" s="49">
        <f>IFERROR(__xludf.DUMMYFUNCTION("IFNA(vlookup(H4503,IMPORTRANGE(""1vUGwO1n0QQGx9kKbO0_M5gmuhXZ6-LaxQxgrmJnzgP0"",""'TP# look up'!A:C""),3,0),"""")"),"")</f>
        <v/>
      </c>
      <c r="AH4503" s="49">
        <f>LEFT(J4503,2)</f>
        <v/>
      </c>
    </row>
    <row r="4504" ht="12.75" customHeight="1">
      <c r="H4504" s="43" t="n"/>
      <c r="AG4504" s="49">
        <f>IFERROR(__xludf.DUMMYFUNCTION("IFNA(vlookup(H4504,IMPORTRANGE(""1vUGwO1n0QQGx9kKbO0_M5gmuhXZ6-LaxQxgrmJnzgP0"",""'TP# look up'!A:C""),3,0),"""")"),"")</f>
        <v/>
      </c>
      <c r="AH4504" s="49">
        <f>LEFT(J4504,2)</f>
        <v/>
      </c>
    </row>
    <row r="4505" ht="12.75" customHeight="1">
      <c r="H4505" s="43" t="n"/>
      <c r="AG4505" s="49">
        <f>IFERROR(__xludf.DUMMYFUNCTION("IFNA(vlookup(H4505,IMPORTRANGE(""1vUGwO1n0QQGx9kKbO0_M5gmuhXZ6-LaxQxgrmJnzgP0"",""'TP# look up'!A:C""),3,0),"""")"),"")</f>
        <v/>
      </c>
      <c r="AH4505" s="49">
        <f>LEFT(J4505,2)</f>
        <v/>
      </c>
    </row>
    <row r="4506" ht="12.75" customHeight="1">
      <c r="H4506" s="43" t="n"/>
      <c r="AG4506" s="49">
        <f>IFERROR(__xludf.DUMMYFUNCTION("IFNA(vlookup(H4506,IMPORTRANGE(""1vUGwO1n0QQGx9kKbO0_M5gmuhXZ6-LaxQxgrmJnzgP0"",""'TP# look up'!A:C""),3,0),"""")"),"")</f>
        <v/>
      </c>
      <c r="AH4506" s="49">
        <f>LEFT(J4506,2)</f>
        <v/>
      </c>
    </row>
    <row r="4507" ht="12.75" customHeight="1">
      <c r="H4507" s="43" t="n"/>
      <c r="AG4507" s="49">
        <f>IFERROR(__xludf.DUMMYFUNCTION("IFNA(vlookup(H4507,IMPORTRANGE(""1vUGwO1n0QQGx9kKbO0_M5gmuhXZ6-LaxQxgrmJnzgP0"",""'TP# look up'!A:C""),3,0),"""")"),"")</f>
        <v/>
      </c>
      <c r="AH4507" s="49">
        <f>LEFT(J4507,2)</f>
        <v/>
      </c>
    </row>
    <row r="4508" ht="12.75" customHeight="1">
      <c r="H4508" s="43" t="n"/>
      <c r="AG4508" s="49">
        <f>IFERROR(__xludf.DUMMYFUNCTION("IFNA(vlookup(H4508,IMPORTRANGE(""1vUGwO1n0QQGx9kKbO0_M5gmuhXZ6-LaxQxgrmJnzgP0"",""'TP# look up'!A:C""),3,0),"""")"),"")</f>
        <v/>
      </c>
      <c r="AH4508" s="49">
        <f>LEFT(J4508,2)</f>
        <v/>
      </c>
    </row>
    <row r="4509" ht="12.75" customHeight="1">
      <c r="H4509" s="43" t="n"/>
      <c r="AG4509" s="49">
        <f>IFERROR(__xludf.DUMMYFUNCTION("IFNA(vlookup(H4509,IMPORTRANGE(""1vUGwO1n0QQGx9kKbO0_M5gmuhXZ6-LaxQxgrmJnzgP0"",""'TP# look up'!A:C""),3,0),"""")"),"")</f>
        <v/>
      </c>
      <c r="AH4509" s="49">
        <f>LEFT(J4509,2)</f>
        <v/>
      </c>
    </row>
    <row r="4510" ht="12.75" customHeight="1">
      <c r="H4510" s="43" t="n"/>
      <c r="AG4510" s="49">
        <f>IFERROR(__xludf.DUMMYFUNCTION("IFNA(vlookup(H4510,IMPORTRANGE(""1vUGwO1n0QQGx9kKbO0_M5gmuhXZ6-LaxQxgrmJnzgP0"",""'TP# look up'!A:C""),3,0),"""")"),"")</f>
        <v/>
      </c>
      <c r="AH4510" s="49">
        <f>LEFT(J4510,2)</f>
        <v/>
      </c>
    </row>
    <row r="4511" ht="12.75" customHeight="1">
      <c r="H4511" s="43" t="n"/>
      <c r="AG4511" s="49">
        <f>IFERROR(__xludf.DUMMYFUNCTION("IFNA(vlookup(H4511,IMPORTRANGE(""1vUGwO1n0QQGx9kKbO0_M5gmuhXZ6-LaxQxgrmJnzgP0"",""'TP# look up'!A:C""),3,0),"""")"),"")</f>
        <v/>
      </c>
      <c r="AH4511" s="49">
        <f>LEFT(J4511,2)</f>
        <v/>
      </c>
    </row>
    <row r="4512" ht="12.75" customHeight="1">
      <c r="H4512" s="43" t="n"/>
      <c r="AG4512" s="49">
        <f>IFERROR(__xludf.DUMMYFUNCTION("IFNA(vlookup(H4512,IMPORTRANGE(""1vUGwO1n0QQGx9kKbO0_M5gmuhXZ6-LaxQxgrmJnzgP0"",""'TP# look up'!A:C""),3,0),"""")"),"")</f>
        <v/>
      </c>
      <c r="AH4512" s="49">
        <f>LEFT(J4512,2)</f>
        <v/>
      </c>
    </row>
    <row r="4513" ht="12.75" customHeight="1">
      <c r="H4513" s="43" t="n"/>
      <c r="AG4513" s="49">
        <f>IFERROR(__xludf.DUMMYFUNCTION("IFNA(vlookup(H4513,IMPORTRANGE(""1vUGwO1n0QQGx9kKbO0_M5gmuhXZ6-LaxQxgrmJnzgP0"",""'TP# look up'!A:C""),3,0),"""")"),"")</f>
        <v/>
      </c>
      <c r="AH4513" s="49">
        <f>LEFT(J4513,2)</f>
        <v/>
      </c>
    </row>
    <row r="4514" ht="12.75" customHeight="1">
      <c r="H4514" s="43" t="n"/>
      <c r="AG4514" s="49">
        <f>IFERROR(__xludf.DUMMYFUNCTION("IFNA(vlookup(H4514,IMPORTRANGE(""1vUGwO1n0QQGx9kKbO0_M5gmuhXZ6-LaxQxgrmJnzgP0"",""'TP# look up'!A:C""),3,0),"""")"),"")</f>
        <v/>
      </c>
      <c r="AH4514" s="49">
        <f>LEFT(J4514,2)</f>
        <v/>
      </c>
    </row>
    <row r="4515" ht="12.75" customHeight="1">
      <c r="H4515" s="43" t="n"/>
      <c r="AG4515" s="49">
        <f>IFERROR(__xludf.DUMMYFUNCTION("IFNA(vlookup(H4515,IMPORTRANGE(""1vUGwO1n0QQGx9kKbO0_M5gmuhXZ6-LaxQxgrmJnzgP0"",""'TP# look up'!A:C""),3,0),"""")"),"")</f>
        <v/>
      </c>
      <c r="AH4515" s="49">
        <f>LEFT(J4515,2)</f>
        <v/>
      </c>
    </row>
    <row r="4516" ht="12.75" customHeight="1">
      <c r="H4516" s="43" t="n"/>
      <c r="AG4516" s="49">
        <f>IFERROR(__xludf.DUMMYFUNCTION("IFNA(vlookup(H4516,IMPORTRANGE(""1vUGwO1n0QQGx9kKbO0_M5gmuhXZ6-LaxQxgrmJnzgP0"",""'TP# look up'!A:C""),3,0),"""")"),"")</f>
        <v/>
      </c>
      <c r="AH4516" s="49">
        <f>LEFT(J4516,2)</f>
        <v/>
      </c>
    </row>
    <row r="4517" ht="12.75" customHeight="1">
      <c r="H4517" s="43" t="n"/>
      <c r="AG4517" s="49">
        <f>IFERROR(__xludf.DUMMYFUNCTION("IFNA(vlookup(H4517,IMPORTRANGE(""1vUGwO1n0QQGx9kKbO0_M5gmuhXZ6-LaxQxgrmJnzgP0"",""'TP# look up'!A:C""),3,0),"""")"),"")</f>
        <v/>
      </c>
      <c r="AH4517" s="49">
        <f>LEFT(J4517,2)</f>
        <v/>
      </c>
    </row>
    <row r="4518" ht="12.75" customHeight="1">
      <c r="H4518" s="43" t="n"/>
      <c r="AG4518" s="49">
        <f>IFERROR(__xludf.DUMMYFUNCTION("IFNA(vlookup(H4518,IMPORTRANGE(""1vUGwO1n0QQGx9kKbO0_M5gmuhXZ6-LaxQxgrmJnzgP0"",""'TP# look up'!A:C""),3,0),"""")"),"")</f>
        <v/>
      </c>
      <c r="AH4518" s="49">
        <f>LEFT(J4518,2)</f>
        <v/>
      </c>
    </row>
    <row r="4519" ht="12.75" customHeight="1">
      <c r="H4519" s="43" t="n"/>
      <c r="AG4519" s="49">
        <f>IFERROR(__xludf.DUMMYFUNCTION("IFNA(vlookup(H4519,IMPORTRANGE(""1vUGwO1n0QQGx9kKbO0_M5gmuhXZ6-LaxQxgrmJnzgP0"",""'TP# look up'!A:C""),3,0),"""")"),"")</f>
        <v/>
      </c>
      <c r="AH4519" s="49">
        <f>LEFT(J4519,2)</f>
        <v/>
      </c>
    </row>
    <row r="4520" ht="12.75" customHeight="1">
      <c r="H4520" s="43" t="n"/>
      <c r="AG4520" s="49">
        <f>IFERROR(__xludf.DUMMYFUNCTION("IFNA(vlookup(H4520,IMPORTRANGE(""1vUGwO1n0QQGx9kKbO0_M5gmuhXZ6-LaxQxgrmJnzgP0"",""'TP# look up'!A:C""),3,0),"""")"),"")</f>
        <v/>
      </c>
      <c r="AH4520" s="49">
        <f>LEFT(J4520,2)</f>
        <v/>
      </c>
    </row>
    <row r="4521" ht="12.75" customHeight="1">
      <c r="H4521" s="43" t="n"/>
      <c r="AG4521" s="49">
        <f>IFERROR(__xludf.DUMMYFUNCTION("IFNA(vlookup(H4521,IMPORTRANGE(""1vUGwO1n0QQGx9kKbO0_M5gmuhXZ6-LaxQxgrmJnzgP0"",""'TP# look up'!A:C""),3,0),"""")"),"")</f>
        <v/>
      </c>
      <c r="AH4521" s="49">
        <f>LEFT(J4521,2)</f>
        <v/>
      </c>
    </row>
    <row r="4522" ht="12.75" customHeight="1">
      <c r="H4522" s="43" t="n"/>
      <c r="AG4522" s="49">
        <f>IFERROR(__xludf.DUMMYFUNCTION("IFNA(vlookup(H4522,IMPORTRANGE(""1vUGwO1n0QQGx9kKbO0_M5gmuhXZ6-LaxQxgrmJnzgP0"",""'TP# look up'!A:C""),3,0),"""")"),"")</f>
        <v/>
      </c>
      <c r="AH4522" s="49">
        <f>LEFT(J4522,2)</f>
        <v/>
      </c>
    </row>
    <row r="4523" ht="12.75" customHeight="1">
      <c r="H4523" s="43" t="n"/>
      <c r="AG4523" s="49">
        <f>IFERROR(__xludf.DUMMYFUNCTION("IFNA(vlookup(H4523,IMPORTRANGE(""1vUGwO1n0QQGx9kKbO0_M5gmuhXZ6-LaxQxgrmJnzgP0"",""'TP# look up'!A:C""),3,0),"""")"),"")</f>
        <v/>
      </c>
      <c r="AH4523" s="49">
        <f>LEFT(J4523,2)</f>
        <v/>
      </c>
    </row>
    <row r="4524" ht="12.75" customHeight="1">
      <c r="H4524" s="43" t="n"/>
      <c r="AG4524" s="49">
        <f>IFERROR(__xludf.DUMMYFUNCTION("IFNA(vlookup(H4524,IMPORTRANGE(""1vUGwO1n0QQGx9kKbO0_M5gmuhXZ6-LaxQxgrmJnzgP0"",""'TP# look up'!A:C""),3,0),"""")"),"")</f>
        <v/>
      </c>
      <c r="AH4524" s="49">
        <f>LEFT(J4524,2)</f>
        <v/>
      </c>
    </row>
    <row r="4525" ht="12.75" customHeight="1">
      <c r="H4525" s="43" t="n"/>
      <c r="AG4525" s="49">
        <f>IFERROR(__xludf.DUMMYFUNCTION("IFNA(vlookup(H4525,IMPORTRANGE(""1vUGwO1n0QQGx9kKbO0_M5gmuhXZ6-LaxQxgrmJnzgP0"",""'TP# look up'!A:C""),3,0),"""")"),"")</f>
        <v/>
      </c>
      <c r="AH4525" s="49">
        <f>LEFT(J4525,2)</f>
        <v/>
      </c>
    </row>
    <row r="4526" ht="12.75" customHeight="1">
      <c r="H4526" s="43" t="n"/>
      <c r="AG4526" s="49">
        <f>IFERROR(__xludf.DUMMYFUNCTION("IFNA(vlookup(H4526,IMPORTRANGE(""1vUGwO1n0QQGx9kKbO0_M5gmuhXZ6-LaxQxgrmJnzgP0"",""'TP# look up'!A:C""),3,0),"""")"),"")</f>
        <v/>
      </c>
      <c r="AH4526" s="49">
        <f>LEFT(J4526,2)</f>
        <v/>
      </c>
    </row>
    <row r="4527" ht="12.75" customHeight="1">
      <c r="H4527" s="43" t="n"/>
      <c r="AG4527" s="49">
        <f>IFERROR(__xludf.DUMMYFUNCTION("IFNA(vlookup(H4527,IMPORTRANGE(""1vUGwO1n0QQGx9kKbO0_M5gmuhXZ6-LaxQxgrmJnzgP0"",""'TP# look up'!A:C""),3,0),"""")"),"")</f>
        <v/>
      </c>
      <c r="AH4527" s="49">
        <f>LEFT(J4527,2)</f>
        <v/>
      </c>
    </row>
    <row r="4528" ht="12.75" customHeight="1">
      <c r="H4528" s="43" t="n"/>
      <c r="AG4528" s="49">
        <f>IFERROR(__xludf.DUMMYFUNCTION("IFNA(vlookup(H4528,IMPORTRANGE(""1vUGwO1n0QQGx9kKbO0_M5gmuhXZ6-LaxQxgrmJnzgP0"",""'TP# look up'!A:C""),3,0),"""")"),"")</f>
        <v/>
      </c>
      <c r="AH4528" s="49">
        <f>LEFT(J4528,2)</f>
        <v/>
      </c>
    </row>
    <row r="4529" ht="12.75" customHeight="1">
      <c r="H4529" s="43" t="n"/>
      <c r="AG4529" s="49">
        <f>IFERROR(__xludf.DUMMYFUNCTION("IFNA(vlookup(H4529,IMPORTRANGE(""1vUGwO1n0QQGx9kKbO0_M5gmuhXZ6-LaxQxgrmJnzgP0"",""'TP# look up'!A:C""),3,0),"""")"),"")</f>
        <v/>
      </c>
      <c r="AH4529" s="49">
        <f>LEFT(J4529,2)</f>
        <v/>
      </c>
    </row>
    <row r="4530" ht="12.75" customHeight="1">
      <c r="H4530" s="43" t="n"/>
      <c r="AG4530" s="49">
        <f>IFERROR(__xludf.DUMMYFUNCTION("IFNA(vlookup(H4530,IMPORTRANGE(""1vUGwO1n0QQGx9kKbO0_M5gmuhXZ6-LaxQxgrmJnzgP0"",""'TP# look up'!A:C""),3,0),"""")"),"")</f>
        <v/>
      </c>
      <c r="AH4530" s="49">
        <f>LEFT(J4530,2)</f>
        <v/>
      </c>
    </row>
    <row r="4531" ht="12.75" customHeight="1">
      <c r="H4531" s="43" t="n"/>
      <c r="AG4531" s="49">
        <f>IFERROR(__xludf.DUMMYFUNCTION("IFNA(vlookup(H4531,IMPORTRANGE(""1vUGwO1n0QQGx9kKbO0_M5gmuhXZ6-LaxQxgrmJnzgP0"",""'TP# look up'!A:C""),3,0),"""")"),"")</f>
        <v/>
      </c>
      <c r="AH4531" s="49">
        <f>LEFT(J4531,2)</f>
        <v/>
      </c>
    </row>
    <row r="4532" ht="12.75" customHeight="1">
      <c r="H4532" s="43" t="n"/>
      <c r="AG4532" s="49">
        <f>IFERROR(__xludf.DUMMYFUNCTION("IFNA(vlookup(H4532,IMPORTRANGE(""1vUGwO1n0QQGx9kKbO0_M5gmuhXZ6-LaxQxgrmJnzgP0"",""'TP# look up'!A:C""),3,0),"""")"),"")</f>
        <v/>
      </c>
      <c r="AH4532" s="49">
        <f>LEFT(J4532,2)</f>
        <v/>
      </c>
    </row>
    <row r="4533" ht="12.75" customHeight="1">
      <c r="H4533" s="43" t="n"/>
      <c r="AG4533" s="49">
        <f>IFERROR(__xludf.DUMMYFUNCTION("IFNA(vlookup(H4533,IMPORTRANGE(""1vUGwO1n0QQGx9kKbO0_M5gmuhXZ6-LaxQxgrmJnzgP0"",""'TP# look up'!A:C""),3,0),"""")"),"")</f>
        <v/>
      </c>
      <c r="AH4533" s="49">
        <f>LEFT(J4533,2)</f>
        <v/>
      </c>
    </row>
    <row r="4534" ht="12.75" customHeight="1">
      <c r="H4534" s="43" t="n"/>
      <c r="AG4534" s="49">
        <f>IFERROR(__xludf.DUMMYFUNCTION("IFNA(vlookup(H4534,IMPORTRANGE(""1vUGwO1n0QQGx9kKbO0_M5gmuhXZ6-LaxQxgrmJnzgP0"",""'TP# look up'!A:C""),3,0),"""")"),"")</f>
        <v/>
      </c>
      <c r="AH4534" s="49">
        <f>LEFT(J4534,2)</f>
        <v/>
      </c>
    </row>
    <row r="4535" ht="12.75" customHeight="1">
      <c r="H4535" s="43" t="n"/>
      <c r="AG4535" s="49">
        <f>IFERROR(__xludf.DUMMYFUNCTION("IFNA(vlookup(H4535,IMPORTRANGE(""1vUGwO1n0QQGx9kKbO0_M5gmuhXZ6-LaxQxgrmJnzgP0"",""'TP# look up'!A:C""),3,0),"""")"),"")</f>
        <v/>
      </c>
      <c r="AH4535" s="49">
        <f>LEFT(J4535,2)</f>
        <v/>
      </c>
    </row>
    <row r="4536" ht="12.75" customHeight="1">
      <c r="H4536" s="43" t="n"/>
      <c r="AG4536" s="49">
        <f>IFERROR(__xludf.DUMMYFUNCTION("IFNA(vlookup(H4536,IMPORTRANGE(""1vUGwO1n0QQGx9kKbO0_M5gmuhXZ6-LaxQxgrmJnzgP0"",""'TP# look up'!A:C""),3,0),"""")"),"")</f>
        <v/>
      </c>
      <c r="AH4536" s="49">
        <f>LEFT(J4536,2)</f>
        <v/>
      </c>
    </row>
    <row r="4537" ht="12.75" customHeight="1">
      <c r="H4537" s="43" t="n"/>
      <c r="AG4537" s="49">
        <f>IFERROR(__xludf.DUMMYFUNCTION("IFNA(vlookup(H4537,IMPORTRANGE(""1vUGwO1n0QQGx9kKbO0_M5gmuhXZ6-LaxQxgrmJnzgP0"",""'TP# look up'!A:C""),3,0),"""")"),"")</f>
        <v/>
      </c>
      <c r="AH4537" s="49">
        <f>LEFT(J4537,2)</f>
        <v/>
      </c>
    </row>
    <row r="4538" ht="12.75" customHeight="1">
      <c r="H4538" s="43" t="n"/>
      <c r="AG4538" s="49">
        <f>IFERROR(__xludf.DUMMYFUNCTION("IFNA(vlookup(H4538,IMPORTRANGE(""1vUGwO1n0QQGx9kKbO0_M5gmuhXZ6-LaxQxgrmJnzgP0"",""'TP# look up'!A:C""),3,0),"""")"),"")</f>
        <v/>
      </c>
      <c r="AH4538" s="49">
        <f>LEFT(J4538,2)</f>
        <v/>
      </c>
    </row>
    <row r="4539" ht="12.75" customHeight="1">
      <c r="H4539" s="43" t="n"/>
      <c r="AG4539" s="49">
        <f>IFERROR(__xludf.DUMMYFUNCTION("IFNA(vlookup(H4539,IMPORTRANGE(""1vUGwO1n0QQGx9kKbO0_M5gmuhXZ6-LaxQxgrmJnzgP0"",""'TP# look up'!A:C""),3,0),"""")"),"")</f>
        <v/>
      </c>
      <c r="AH4539" s="49">
        <f>LEFT(J4539,2)</f>
        <v/>
      </c>
    </row>
    <row r="4540" ht="12.75" customHeight="1">
      <c r="H4540" s="43" t="n"/>
      <c r="AG4540" s="49">
        <f>IFERROR(__xludf.DUMMYFUNCTION("IFNA(vlookup(H4540,IMPORTRANGE(""1vUGwO1n0QQGx9kKbO0_M5gmuhXZ6-LaxQxgrmJnzgP0"",""'TP# look up'!A:C""),3,0),"""")"),"")</f>
        <v/>
      </c>
      <c r="AH4540" s="49">
        <f>LEFT(J4540,2)</f>
        <v/>
      </c>
    </row>
    <row r="4541" ht="12.75" customHeight="1">
      <c r="H4541" s="43" t="n"/>
      <c r="AG4541" s="49">
        <f>IFERROR(__xludf.DUMMYFUNCTION("IFNA(vlookup(H4541,IMPORTRANGE(""1vUGwO1n0QQGx9kKbO0_M5gmuhXZ6-LaxQxgrmJnzgP0"",""'TP# look up'!A:C""),3,0),"""")"),"")</f>
        <v/>
      </c>
      <c r="AH4541" s="49">
        <f>LEFT(J4541,2)</f>
        <v/>
      </c>
    </row>
    <row r="4542" ht="12.75" customHeight="1">
      <c r="H4542" s="43" t="n"/>
      <c r="AG4542" s="49">
        <f>IFERROR(__xludf.DUMMYFUNCTION("IFNA(vlookup(H4542,IMPORTRANGE(""1vUGwO1n0QQGx9kKbO0_M5gmuhXZ6-LaxQxgrmJnzgP0"",""'TP# look up'!A:C""),3,0),"""")"),"")</f>
        <v/>
      </c>
      <c r="AH4542" s="49">
        <f>LEFT(J4542,2)</f>
        <v/>
      </c>
    </row>
    <row r="4543" ht="12.75" customHeight="1">
      <c r="H4543" s="43" t="n"/>
      <c r="AG4543" s="49">
        <f>IFERROR(__xludf.DUMMYFUNCTION("IFNA(vlookup(H4543,IMPORTRANGE(""1vUGwO1n0QQGx9kKbO0_M5gmuhXZ6-LaxQxgrmJnzgP0"",""'TP# look up'!A:C""),3,0),"""")"),"")</f>
        <v/>
      </c>
      <c r="AH4543" s="49">
        <f>LEFT(J4543,2)</f>
        <v/>
      </c>
    </row>
    <row r="4544" ht="12.75" customHeight="1">
      <c r="H4544" s="43" t="n"/>
      <c r="AG4544" s="49">
        <f>IFERROR(__xludf.DUMMYFUNCTION("IFNA(vlookup(H4544,IMPORTRANGE(""1vUGwO1n0QQGx9kKbO0_M5gmuhXZ6-LaxQxgrmJnzgP0"",""'TP# look up'!A:C""),3,0),"""")"),"")</f>
        <v/>
      </c>
      <c r="AH4544" s="49">
        <f>LEFT(J4544,2)</f>
        <v/>
      </c>
    </row>
    <row r="4545" ht="12.75" customHeight="1">
      <c r="H4545" s="43" t="n"/>
      <c r="AG4545" s="49">
        <f>IFERROR(__xludf.DUMMYFUNCTION("IFNA(vlookup(H4545,IMPORTRANGE(""1vUGwO1n0QQGx9kKbO0_M5gmuhXZ6-LaxQxgrmJnzgP0"",""'TP# look up'!A:C""),3,0),"""")"),"")</f>
        <v/>
      </c>
      <c r="AH4545" s="49">
        <f>LEFT(J4545,2)</f>
        <v/>
      </c>
    </row>
    <row r="4546" ht="12.75" customHeight="1">
      <c r="H4546" s="43" t="n"/>
      <c r="AG4546" s="49">
        <f>IFERROR(__xludf.DUMMYFUNCTION("IFNA(vlookup(H4546,IMPORTRANGE(""1vUGwO1n0QQGx9kKbO0_M5gmuhXZ6-LaxQxgrmJnzgP0"",""'TP# look up'!A:C""),3,0),"""")"),"")</f>
        <v/>
      </c>
      <c r="AH4546" s="49">
        <f>LEFT(J4546,2)</f>
        <v/>
      </c>
    </row>
    <row r="4547" ht="12.75" customHeight="1">
      <c r="H4547" s="43" t="n"/>
      <c r="AG4547" s="49">
        <f>IFERROR(__xludf.DUMMYFUNCTION("IFNA(vlookup(H4547,IMPORTRANGE(""1vUGwO1n0QQGx9kKbO0_M5gmuhXZ6-LaxQxgrmJnzgP0"",""'TP# look up'!A:C""),3,0),"""")"),"")</f>
        <v/>
      </c>
      <c r="AH4547" s="49">
        <f>LEFT(J4547,2)</f>
        <v/>
      </c>
    </row>
    <row r="4548" ht="12.75" customHeight="1">
      <c r="H4548" s="43" t="n"/>
      <c r="AG4548" s="49">
        <f>IFERROR(__xludf.DUMMYFUNCTION("IFNA(vlookup(H4548,IMPORTRANGE(""1vUGwO1n0QQGx9kKbO0_M5gmuhXZ6-LaxQxgrmJnzgP0"",""'TP# look up'!A:C""),3,0),"""")"),"")</f>
        <v/>
      </c>
      <c r="AH4548" s="49">
        <f>LEFT(J4548,2)</f>
        <v/>
      </c>
    </row>
    <row r="4549" ht="12.75" customHeight="1">
      <c r="H4549" s="43" t="n"/>
      <c r="AG4549" s="49">
        <f>IFERROR(__xludf.DUMMYFUNCTION("IFNA(vlookup(H4549,IMPORTRANGE(""1vUGwO1n0QQGx9kKbO0_M5gmuhXZ6-LaxQxgrmJnzgP0"",""'TP# look up'!A:C""),3,0),"""")"),"")</f>
        <v/>
      </c>
      <c r="AH4549" s="49">
        <f>LEFT(J4549,2)</f>
        <v/>
      </c>
    </row>
    <row r="4550" ht="12.75" customHeight="1">
      <c r="H4550" s="43" t="n"/>
      <c r="AG4550" s="49">
        <f>IFERROR(__xludf.DUMMYFUNCTION("IFNA(vlookup(H4550,IMPORTRANGE(""1vUGwO1n0QQGx9kKbO0_M5gmuhXZ6-LaxQxgrmJnzgP0"",""'TP# look up'!A:C""),3,0),"""")"),"")</f>
        <v/>
      </c>
      <c r="AH4550" s="49">
        <f>LEFT(J4550,2)</f>
        <v/>
      </c>
    </row>
    <row r="4551" ht="12.75" customHeight="1">
      <c r="H4551" s="43" t="n"/>
      <c r="AG4551" s="49">
        <f>IFERROR(__xludf.DUMMYFUNCTION("IFNA(vlookup(H4551,IMPORTRANGE(""1vUGwO1n0QQGx9kKbO0_M5gmuhXZ6-LaxQxgrmJnzgP0"",""'TP# look up'!A:C""),3,0),"""")"),"")</f>
        <v/>
      </c>
      <c r="AH4551" s="49">
        <f>LEFT(J4551,2)</f>
        <v/>
      </c>
    </row>
    <row r="4552" ht="12.75" customHeight="1">
      <c r="H4552" s="43" t="n"/>
      <c r="AG4552" s="49">
        <f>IFERROR(__xludf.DUMMYFUNCTION("IFNA(vlookup(H4552,IMPORTRANGE(""1vUGwO1n0QQGx9kKbO0_M5gmuhXZ6-LaxQxgrmJnzgP0"",""'TP# look up'!A:C""),3,0),"""")"),"")</f>
        <v/>
      </c>
      <c r="AH4552" s="49">
        <f>LEFT(J4552,2)</f>
        <v/>
      </c>
    </row>
    <row r="4553" ht="12.75" customHeight="1">
      <c r="H4553" s="43" t="n"/>
      <c r="AG4553" s="49">
        <f>IFERROR(__xludf.DUMMYFUNCTION("IFNA(vlookup(H4553,IMPORTRANGE(""1vUGwO1n0QQGx9kKbO0_M5gmuhXZ6-LaxQxgrmJnzgP0"",""'TP# look up'!A:C""),3,0),"""")"),"")</f>
        <v/>
      </c>
      <c r="AH4553" s="49">
        <f>LEFT(J4553,2)</f>
        <v/>
      </c>
    </row>
    <row r="4554" ht="12.75" customHeight="1">
      <c r="H4554" s="43" t="n"/>
      <c r="AG4554" s="49">
        <f>IFERROR(__xludf.DUMMYFUNCTION("IFNA(vlookup(H4554,IMPORTRANGE(""1vUGwO1n0QQGx9kKbO0_M5gmuhXZ6-LaxQxgrmJnzgP0"",""'TP# look up'!A:C""),3,0),"""")"),"")</f>
        <v/>
      </c>
      <c r="AH4554" s="49">
        <f>LEFT(J4554,2)</f>
        <v/>
      </c>
    </row>
    <row r="4555" ht="12.75" customHeight="1">
      <c r="H4555" s="43" t="n"/>
      <c r="AG4555" s="49">
        <f>IFERROR(__xludf.DUMMYFUNCTION("IFNA(vlookup(H4555,IMPORTRANGE(""1vUGwO1n0QQGx9kKbO0_M5gmuhXZ6-LaxQxgrmJnzgP0"",""'TP# look up'!A:C""),3,0),"""")"),"")</f>
        <v/>
      </c>
      <c r="AH4555" s="49">
        <f>LEFT(J4555,2)</f>
        <v/>
      </c>
    </row>
    <row r="4556" ht="12.75" customHeight="1">
      <c r="H4556" s="43" t="n"/>
      <c r="AG4556" s="49">
        <f>IFERROR(__xludf.DUMMYFUNCTION("IFNA(vlookup(H4556,IMPORTRANGE(""1vUGwO1n0QQGx9kKbO0_M5gmuhXZ6-LaxQxgrmJnzgP0"",""'TP# look up'!A:C""),3,0),"""")"),"")</f>
        <v/>
      </c>
      <c r="AH4556" s="49">
        <f>LEFT(J4556,2)</f>
        <v/>
      </c>
    </row>
    <row r="4557" ht="12.75" customHeight="1">
      <c r="H4557" s="43" t="n"/>
      <c r="AG4557" s="49">
        <f>IFERROR(__xludf.DUMMYFUNCTION("IFNA(vlookup(H4557,IMPORTRANGE(""1vUGwO1n0QQGx9kKbO0_M5gmuhXZ6-LaxQxgrmJnzgP0"",""'TP# look up'!A:C""),3,0),"""")"),"")</f>
        <v/>
      </c>
      <c r="AH4557" s="49">
        <f>LEFT(J4557,2)</f>
        <v/>
      </c>
    </row>
    <row r="4558" ht="12.75" customHeight="1">
      <c r="H4558" s="43" t="n"/>
      <c r="AG4558" s="49">
        <f>IFERROR(__xludf.DUMMYFUNCTION("IFNA(vlookup(H4558,IMPORTRANGE(""1vUGwO1n0QQGx9kKbO0_M5gmuhXZ6-LaxQxgrmJnzgP0"",""'TP# look up'!A:C""),3,0),"""")"),"")</f>
        <v/>
      </c>
      <c r="AH4558" s="49">
        <f>LEFT(J4558,2)</f>
        <v/>
      </c>
    </row>
    <row r="4559" ht="12.75" customHeight="1">
      <c r="H4559" s="43" t="n"/>
      <c r="AG4559" s="49">
        <f>IFERROR(__xludf.DUMMYFUNCTION("IFNA(vlookup(H4559,IMPORTRANGE(""1vUGwO1n0QQGx9kKbO0_M5gmuhXZ6-LaxQxgrmJnzgP0"",""'TP# look up'!A:C""),3,0),"""")"),"")</f>
        <v/>
      </c>
      <c r="AH4559" s="49">
        <f>LEFT(J4559,2)</f>
        <v/>
      </c>
    </row>
    <row r="4560" ht="12.75" customHeight="1">
      <c r="H4560" s="43" t="n"/>
      <c r="AG4560" s="49">
        <f>IFERROR(__xludf.DUMMYFUNCTION("IFNA(vlookup(H4560,IMPORTRANGE(""1vUGwO1n0QQGx9kKbO0_M5gmuhXZ6-LaxQxgrmJnzgP0"",""'TP# look up'!A:C""),3,0),"""")"),"")</f>
        <v/>
      </c>
      <c r="AH4560" s="49">
        <f>LEFT(J4560,2)</f>
        <v/>
      </c>
    </row>
    <row r="4561" ht="12.75" customHeight="1">
      <c r="H4561" s="43" t="n"/>
      <c r="AG4561" s="49">
        <f>IFERROR(__xludf.DUMMYFUNCTION("IFNA(vlookup(H4561,IMPORTRANGE(""1vUGwO1n0QQGx9kKbO0_M5gmuhXZ6-LaxQxgrmJnzgP0"",""'TP# look up'!A:C""),3,0),"""")"),"")</f>
        <v/>
      </c>
      <c r="AH4561" s="49">
        <f>LEFT(J4561,2)</f>
        <v/>
      </c>
    </row>
    <row r="4562" ht="12.75" customHeight="1">
      <c r="H4562" s="43" t="n"/>
      <c r="AG4562" s="49">
        <f>IFERROR(__xludf.DUMMYFUNCTION("IFNA(vlookup(H4562,IMPORTRANGE(""1vUGwO1n0QQGx9kKbO0_M5gmuhXZ6-LaxQxgrmJnzgP0"",""'TP# look up'!A:C""),3,0),"""")"),"")</f>
        <v/>
      </c>
      <c r="AH4562" s="49">
        <f>LEFT(J4562,2)</f>
        <v/>
      </c>
    </row>
    <row r="4563" ht="12.75" customHeight="1">
      <c r="H4563" s="43" t="n"/>
      <c r="AG4563" s="49">
        <f>IFERROR(__xludf.DUMMYFUNCTION("IFNA(vlookup(H4563,IMPORTRANGE(""1vUGwO1n0QQGx9kKbO0_M5gmuhXZ6-LaxQxgrmJnzgP0"",""'TP# look up'!A:C""),3,0),"""")"),"")</f>
        <v/>
      </c>
      <c r="AH4563" s="49">
        <f>LEFT(J4563,2)</f>
        <v/>
      </c>
    </row>
    <row r="4564" ht="12.75" customHeight="1">
      <c r="H4564" s="43" t="n"/>
      <c r="AG4564" s="49">
        <f>IFERROR(__xludf.DUMMYFUNCTION("IFNA(vlookup(H4564,IMPORTRANGE(""1vUGwO1n0QQGx9kKbO0_M5gmuhXZ6-LaxQxgrmJnzgP0"",""'TP# look up'!A:C""),3,0),"""")"),"")</f>
        <v/>
      </c>
      <c r="AH4564" s="49">
        <f>LEFT(J4564,2)</f>
        <v/>
      </c>
    </row>
    <row r="4565" ht="12.75" customHeight="1">
      <c r="H4565" s="43" t="n"/>
      <c r="AG4565" s="49">
        <f>IFERROR(__xludf.DUMMYFUNCTION("IFNA(vlookup(H4565,IMPORTRANGE(""1vUGwO1n0QQGx9kKbO0_M5gmuhXZ6-LaxQxgrmJnzgP0"",""'TP# look up'!A:C""),3,0),"""")"),"")</f>
        <v/>
      </c>
      <c r="AH4565" s="49">
        <f>LEFT(J4565,2)</f>
        <v/>
      </c>
    </row>
    <row r="4566" ht="12.75" customHeight="1">
      <c r="H4566" s="43" t="n"/>
      <c r="AG4566" s="49">
        <f>IFERROR(__xludf.DUMMYFUNCTION("IFNA(vlookup(H4566,IMPORTRANGE(""1vUGwO1n0QQGx9kKbO0_M5gmuhXZ6-LaxQxgrmJnzgP0"",""'TP# look up'!A:C""),3,0),"""")"),"")</f>
        <v/>
      </c>
      <c r="AH4566" s="49">
        <f>LEFT(J4566,2)</f>
        <v/>
      </c>
    </row>
    <row r="4567" ht="12.75" customHeight="1">
      <c r="H4567" s="43" t="n"/>
      <c r="AG4567" s="49">
        <f>IFERROR(__xludf.DUMMYFUNCTION("IFNA(vlookup(H4567,IMPORTRANGE(""1vUGwO1n0QQGx9kKbO0_M5gmuhXZ6-LaxQxgrmJnzgP0"",""'TP# look up'!A:C""),3,0),"""")"),"")</f>
        <v/>
      </c>
      <c r="AH4567" s="49">
        <f>LEFT(J4567,2)</f>
        <v/>
      </c>
    </row>
    <row r="4568" ht="12.75" customHeight="1">
      <c r="H4568" s="43" t="n"/>
      <c r="AG4568" s="49">
        <f>IFERROR(__xludf.DUMMYFUNCTION("IFNA(vlookup(H4568,IMPORTRANGE(""1vUGwO1n0QQGx9kKbO0_M5gmuhXZ6-LaxQxgrmJnzgP0"",""'TP# look up'!A:C""),3,0),"""")"),"")</f>
        <v/>
      </c>
      <c r="AH4568" s="49">
        <f>LEFT(J4568,2)</f>
        <v/>
      </c>
    </row>
    <row r="4569" ht="12.75" customHeight="1">
      <c r="H4569" s="43" t="n"/>
      <c r="AG4569" s="49">
        <f>IFERROR(__xludf.DUMMYFUNCTION("IFNA(vlookup(H4569,IMPORTRANGE(""1vUGwO1n0QQGx9kKbO0_M5gmuhXZ6-LaxQxgrmJnzgP0"",""'TP# look up'!A:C""),3,0),"""")"),"")</f>
        <v/>
      </c>
      <c r="AH4569" s="49">
        <f>LEFT(J4569,2)</f>
        <v/>
      </c>
    </row>
    <row r="4570" ht="12.75" customHeight="1">
      <c r="H4570" s="43" t="n"/>
      <c r="AG4570" s="49">
        <f>IFERROR(__xludf.DUMMYFUNCTION("IFNA(vlookup(H4570,IMPORTRANGE(""1vUGwO1n0QQGx9kKbO0_M5gmuhXZ6-LaxQxgrmJnzgP0"",""'TP# look up'!A:C""),3,0),"""")"),"")</f>
        <v/>
      </c>
      <c r="AH4570" s="49">
        <f>LEFT(J4570,2)</f>
        <v/>
      </c>
    </row>
    <row r="4571" ht="12.75" customHeight="1">
      <c r="H4571" s="43" t="n"/>
      <c r="AG4571" s="49">
        <f>IFERROR(__xludf.DUMMYFUNCTION("IFNA(vlookup(H4571,IMPORTRANGE(""1vUGwO1n0QQGx9kKbO0_M5gmuhXZ6-LaxQxgrmJnzgP0"",""'TP# look up'!A:C""),3,0),"""")"),"")</f>
        <v/>
      </c>
      <c r="AH4571" s="49">
        <f>LEFT(J4571,2)</f>
        <v/>
      </c>
    </row>
    <row r="4572" ht="12.75" customHeight="1">
      <c r="H4572" s="43" t="n"/>
      <c r="AG4572" s="49">
        <f>IFERROR(__xludf.DUMMYFUNCTION("IFNA(vlookup(H4572,IMPORTRANGE(""1vUGwO1n0QQGx9kKbO0_M5gmuhXZ6-LaxQxgrmJnzgP0"",""'TP# look up'!A:C""),3,0),"""")"),"")</f>
        <v/>
      </c>
      <c r="AH4572" s="49">
        <f>LEFT(J4572,2)</f>
        <v/>
      </c>
    </row>
    <row r="4573" ht="12.75" customHeight="1">
      <c r="H4573" s="43" t="n"/>
      <c r="AG4573" s="49">
        <f>IFERROR(__xludf.DUMMYFUNCTION("IFNA(vlookup(H4573,IMPORTRANGE(""1vUGwO1n0QQGx9kKbO0_M5gmuhXZ6-LaxQxgrmJnzgP0"",""'TP# look up'!A:C""),3,0),"""")"),"")</f>
        <v/>
      </c>
      <c r="AH4573" s="49">
        <f>LEFT(J4573,2)</f>
        <v/>
      </c>
    </row>
    <row r="4574" ht="12.75" customHeight="1">
      <c r="H4574" s="43" t="n"/>
      <c r="AG4574" s="49">
        <f>IFERROR(__xludf.DUMMYFUNCTION("IFNA(vlookup(H4574,IMPORTRANGE(""1vUGwO1n0QQGx9kKbO0_M5gmuhXZ6-LaxQxgrmJnzgP0"",""'TP# look up'!A:C""),3,0),"""")"),"")</f>
        <v/>
      </c>
      <c r="AH4574" s="49">
        <f>LEFT(J4574,2)</f>
        <v/>
      </c>
    </row>
    <row r="4575" ht="12.75" customHeight="1">
      <c r="H4575" s="43" t="n"/>
      <c r="AG4575" s="49">
        <f>IFERROR(__xludf.DUMMYFUNCTION("IFNA(vlookup(H4575,IMPORTRANGE(""1vUGwO1n0QQGx9kKbO0_M5gmuhXZ6-LaxQxgrmJnzgP0"",""'TP# look up'!A:C""),3,0),"""")"),"")</f>
        <v/>
      </c>
      <c r="AH4575" s="49">
        <f>LEFT(J4575,2)</f>
        <v/>
      </c>
    </row>
    <row r="4576" ht="12.75" customHeight="1">
      <c r="H4576" s="43" t="n"/>
      <c r="AG4576" s="49">
        <f>IFERROR(__xludf.DUMMYFUNCTION("IFNA(vlookup(H4576,IMPORTRANGE(""1vUGwO1n0QQGx9kKbO0_M5gmuhXZ6-LaxQxgrmJnzgP0"",""'TP# look up'!A:C""),3,0),"""")"),"")</f>
        <v/>
      </c>
      <c r="AH4576" s="49">
        <f>LEFT(J4576,2)</f>
        <v/>
      </c>
    </row>
    <row r="4577" ht="12.75" customHeight="1">
      <c r="H4577" s="43" t="n"/>
      <c r="AG4577" s="49">
        <f>IFERROR(__xludf.DUMMYFUNCTION("IFNA(vlookup(H4577,IMPORTRANGE(""1vUGwO1n0QQGx9kKbO0_M5gmuhXZ6-LaxQxgrmJnzgP0"",""'TP# look up'!A:C""),3,0),"""")"),"")</f>
        <v/>
      </c>
      <c r="AH4577" s="49">
        <f>LEFT(J4577,2)</f>
        <v/>
      </c>
    </row>
    <row r="4578" ht="12.75" customHeight="1">
      <c r="H4578" s="43" t="n"/>
      <c r="AG4578" s="49">
        <f>IFERROR(__xludf.DUMMYFUNCTION("IFNA(vlookup(H4578,IMPORTRANGE(""1vUGwO1n0QQGx9kKbO0_M5gmuhXZ6-LaxQxgrmJnzgP0"",""'TP# look up'!A:C""),3,0),"""")"),"")</f>
        <v/>
      </c>
      <c r="AH4578" s="49">
        <f>LEFT(J4578,2)</f>
        <v/>
      </c>
    </row>
    <row r="4579" ht="12.75" customHeight="1">
      <c r="H4579" s="43" t="n"/>
      <c r="AG4579" s="49">
        <f>IFERROR(__xludf.DUMMYFUNCTION("IFNA(vlookup(H4579,IMPORTRANGE(""1vUGwO1n0QQGx9kKbO0_M5gmuhXZ6-LaxQxgrmJnzgP0"",""'TP# look up'!A:C""),3,0),"""")"),"")</f>
        <v/>
      </c>
      <c r="AH4579" s="49">
        <f>LEFT(J4579,2)</f>
        <v/>
      </c>
    </row>
    <row r="4580" ht="12.75" customHeight="1">
      <c r="H4580" s="43" t="n"/>
      <c r="AG4580" s="49">
        <f>IFERROR(__xludf.DUMMYFUNCTION("IFNA(vlookup(H4580,IMPORTRANGE(""1vUGwO1n0QQGx9kKbO0_M5gmuhXZ6-LaxQxgrmJnzgP0"",""'TP# look up'!A:C""),3,0),"""")"),"")</f>
        <v/>
      </c>
      <c r="AH4580" s="49">
        <f>LEFT(J4580,2)</f>
        <v/>
      </c>
    </row>
    <row r="4581" ht="12.75" customHeight="1">
      <c r="H4581" s="43" t="n"/>
      <c r="AG4581" s="49">
        <f>IFERROR(__xludf.DUMMYFUNCTION("IFNA(vlookup(H4581,IMPORTRANGE(""1vUGwO1n0QQGx9kKbO0_M5gmuhXZ6-LaxQxgrmJnzgP0"",""'TP# look up'!A:C""),3,0),"""")"),"")</f>
        <v/>
      </c>
      <c r="AH4581" s="49">
        <f>LEFT(J4581,2)</f>
        <v/>
      </c>
    </row>
    <row r="4582" ht="12.75" customHeight="1">
      <c r="H4582" s="43" t="n"/>
      <c r="AG4582" s="49">
        <f>IFERROR(__xludf.DUMMYFUNCTION("IFNA(vlookup(H4582,IMPORTRANGE(""1vUGwO1n0QQGx9kKbO0_M5gmuhXZ6-LaxQxgrmJnzgP0"",""'TP# look up'!A:C""),3,0),"""")"),"")</f>
        <v/>
      </c>
      <c r="AH4582" s="49">
        <f>LEFT(J4582,2)</f>
        <v/>
      </c>
    </row>
    <row r="4583" ht="12.75" customHeight="1">
      <c r="H4583" s="43" t="n"/>
      <c r="AG4583" s="49">
        <f>IFERROR(__xludf.DUMMYFUNCTION("IFNA(vlookup(H4583,IMPORTRANGE(""1vUGwO1n0QQGx9kKbO0_M5gmuhXZ6-LaxQxgrmJnzgP0"",""'TP# look up'!A:C""),3,0),"""")"),"")</f>
        <v/>
      </c>
      <c r="AH4583" s="49">
        <f>LEFT(J4583,2)</f>
        <v/>
      </c>
    </row>
    <row r="4584" ht="12.75" customHeight="1">
      <c r="H4584" s="43" t="n"/>
      <c r="AG4584" s="49">
        <f>IFERROR(__xludf.DUMMYFUNCTION("IFNA(vlookup(H4584,IMPORTRANGE(""1vUGwO1n0QQGx9kKbO0_M5gmuhXZ6-LaxQxgrmJnzgP0"",""'TP# look up'!A:C""),3,0),"""")"),"")</f>
        <v/>
      </c>
      <c r="AH4584" s="49">
        <f>LEFT(J4584,2)</f>
        <v/>
      </c>
    </row>
    <row r="4585" ht="12.75" customHeight="1">
      <c r="H4585" s="43" t="n"/>
      <c r="AG4585" s="49">
        <f>IFERROR(__xludf.DUMMYFUNCTION("IFNA(vlookup(H4585,IMPORTRANGE(""1vUGwO1n0QQGx9kKbO0_M5gmuhXZ6-LaxQxgrmJnzgP0"",""'TP# look up'!A:C""),3,0),"""")"),"")</f>
        <v/>
      </c>
      <c r="AH4585" s="49">
        <f>LEFT(J4585,2)</f>
        <v/>
      </c>
    </row>
    <row r="4586" ht="12.75" customHeight="1">
      <c r="H4586" s="43" t="n"/>
      <c r="AG4586" s="49">
        <f>IFERROR(__xludf.DUMMYFUNCTION("IFNA(vlookup(H4586,IMPORTRANGE(""1vUGwO1n0QQGx9kKbO0_M5gmuhXZ6-LaxQxgrmJnzgP0"",""'TP# look up'!A:C""),3,0),"""")"),"")</f>
        <v/>
      </c>
      <c r="AH4586" s="49">
        <f>LEFT(J4586,2)</f>
        <v/>
      </c>
    </row>
    <row r="4587" ht="12.75" customHeight="1">
      <c r="H4587" s="43" t="n"/>
      <c r="AG4587" s="49">
        <f>IFERROR(__xludf.DUMMYFUNCTION("IFNA(vlookup(H4587,IMPORTRANGE(""1vUGwO1n0QQGx9kKbO0_M5gmuhXZ6-LaxQxgrmJnzgP0"",""'TP# look up'!A:C""),3,0),"""")"),"")</f>
        <v/>
      </c>
      <c r="AH4587" s="49">
        <f>LEFT(J4587,2)</f>
        <v/>
      </c>
    </row>
    <row r="4588" ht="12.75" customHeight="1">
      <c r="H4588" s="43" t="n"/>
      <c r="AG4588" s="49">
        <f>IFERROR(__xludf.DUMMYFUNCTION("IFNA(vlookup(H4588,IMPORTRANGE(""1vUGwO1n0QQGx9kKbO0_M5gmuhXZ6-LaxQxgrmJnzgP0"",""'TP# look up'!A:C""),3,0),"""")"),"")</f>
        <v/>
      </c>
      <c r="AH4588" s="49">
        <f>LEFT(J4588,2)</f>
        <v/>
      </c>
    </row>
    <row r="4589" ht="12.75" customHeight="1">
      <c r="H4589" s="43" t="n"/>
      <c r="AG4589" s="49">
        <f>IFERROR(__xludf.DUMMYFUNCTION("IFNA(vlookup(H4589,IMPORTRANGE(""1vUGwO1n0QQGx9kKbO0_M5gmuhXZ6-LaxQxgrmJnzgP0"",""'TP# look up'!A:C""),3,0),"""")"),"")</f>
        <v/>
      </c>
      <c r="AH4589" s="49">
        <f>LEFT(J4589,2)</f>
        <v/>
      </c>
    </row>
    <row r="4590" ht="12.75" customHeight="1">
      <c r="H4590" s="43" t="n"/>
      <c r="AG4590" s="49">
        <f>IFERROR(__xludf.DUMMYFUNCTION("IFNA(vlookup(H4590,IMPORTRANGE(""1vUGwO1n0QQGx9kKbO0_M5gmuhXZ6-LaxQxgrmJnzgP0"",""'TP# look up'!A:C""),3,0),"""")"),"")</f>
        <v/>
      </c>
      <c r="AH4590" s="49">
        <f>LEFT(J4590,2)</f>
        <v/>
      </c>
    </row>
    <row r="4591" ht="12.75" customHeight="1">
      <c r="H4591" s="43" t="n"/>
      <c r="AG4591" s="49">
        <f>IFERROR(__xludf.DUMMYFUNCTION("IFNA(vlookup(H4591,IMPORTRANGE(""1vUGwO1n0QQGx9kKbO0_M5gmuhXZ6-LaxQxgrmJnzgP0"",""'TP# look up'!A:C""),3,0),"""")"),"")</f>
        <v/>
      </c>
      <c r="AH4591" s="49">
        <f>LEFT(J4591,2)</f>
        <v/>
      </c>
    </row>
    <row r="4592" ht="12.75" customHeight="1">
      <c r="H4592" s="43" t="n"/>
      <c r="AG4592" s="49">
        <f>IFERROR(__xludf.DUMMYFUNCTION("IFNA(vlookup(H4592,IMPORTRANGE(""1vUGwO1n0QQGx9kKbO0_M5gmuhXZ6-LaxQxgrmJnzgP0"",""'TP# look up'!A:C""),3,0),"""")"),"")</f>
        <v/>
      </c>
      <c r="AH4592" s="49">
        <f>LEFT(J4592,2)</f>
        <v/>
      </c>
    </row>
    <row r="4593" ht="12.75" customHeight="1">
      <c r="H4593" s="43" t="n"/>
      <c r="AG4593" s="49">
        <f>IFERROR(__xludf.DUMMYFUNCTION("IFNA(vlookup(H4593,IMPORTRANGE(""1vUGwO1n0QQGx9kKbO0_M5gmuhXZ6-LaxQxgrmJnzgP0"",""'TP# look up'!A:C""),3,0),"""")"),"")</f>
        <v/>
      </c>
      <c r="AH4593" s="49">
        <f>LEFT(J4593,2)</f>
        <v/>
      </c>
    </row>
    <row r="4594" ht="12.75" customHeight="1">
      <c r="H4594" s="43" t="n"/>
      <c r="AG4594" s="49">
        <f>IFERROR(__xludf.DUMMYFUNCTION("IFNA(vlookup(H4594,IMPORTRANGE(""1vUGwO1n0QQGx9kKbO0_M5gmuhXZ6-LaxQxgrmJnzgP0"",""'TP# look up'!A:C""),3,0),"""")"),"")</f>
        <v/>
      </c>
      <c r="AH4594" s="49">
        <f>LEFT(J4594,2)</f>
        <v/>
      </c>
    </row>
    <row r="4595" ht="12.75" customHeight="1">
      <c r="H4595" s="43" t="n"/>
      <c r="AG4595" s="49">
        <f>IFERROR(__xludf.DUMMYFUNCTION("IFNA(vlookup(H4595,IMPORTRANGE(""1vUGwO1n0QQGx9kKbO0_M5gmuhXZ6-LaxQxgrmJnzgP0"",""'TP# look up'!A:C""),3,0),"""")"),"")</f>
        <v/>
      </c>
      <c r="AH4595" s="49">
        <f>LEFT(J4595,2)</f>
        <v/>
      </c>
    </row>
    <row r="4596" ht="12.75" customHeight="1">
      <c r="H4596" s="43" t="n"/>
      <c r="AG4596" s="49">
        <f>IFERROR(__xludf.DUMMYFUNCTION("IFNA(vlookup(H4596,IMPORTRANGE(""1vUGwO1n0QQGx9kKbO0_M5gmuhXZ6-LaxQxgrmJnzgP0"",""'TP# look up'!A:C""),3,0),"""")"),"")</f>
        <v/>
      </c>
      <c r="AH4596" s="49">
        <f>LEFT(J4596,2)</f>
        <v/>
      </c>
    </row>
    <row r="4597" ht="12.75" customHeight="1">
      <c r="H4597" s="43" t="n"/>
      <c r="AG4597" s="49">
        <f>IFERROR(__xludf.DUMMYFUNCTION("IFNA(vlookup(H4597,IMPORTRANGE(""1vUGwO1n0QQGx9kKbO0_M5gmuhXZ6-LaxQxgrmJnzgP0"",""'TP# look up'!A:C""),3,0),"""")"),"")</f>
        <v/>
      </c>
      <c r="AH4597" s="49">
        <f>LEFT(J4597,2)</f>
        <v/>
      </c>
    </row>
    <row r="4598" ht="12.75" customHeight="1">
      <c r="H4598" s="43" t="n"/>
      <c r="AG4598" s="49">
        <f>IFERROR(__xludf.DUMMYFUNCTION("IFNA(vlookup(H4598,IMPORTRANGE(""1vUGwO1n0QQGx9kKbO0_M5gmuhXZ6-LaxQxgrmJnzgP0"",""'TP# look up'!A:C""),3,0),"""")"),"")</f>
        <v/>
      </c>
      <c r="AH4598" s="49">
        <f>LEFT(J4598,2)</f>
        <v/>
      </c>
    </row>
    <row r="4599" ht="12.75" customHeight="1">
      <c r="H4599" s="43" t="n"/>
      <c r="AG4599" s="49">
        <f>IFERROR(__xludf.DUMMYFUNCTION("IFNA(vlookup(H4599,IMPORTRANGE(""1vUGwO1n0QQGx9kKbO0_M5gmuhXZ6-LaxQxgrmJnzgP0"",""'TP# look up'!A:C""),3,0),"""")"),"")</f>
        <v/>
      </c>
      <c r="AH4599" s="49">
        <f>LEFT(J4599,2)</f>
        <v/>
      </c>
    </row>
    <row r="4600" ht="12.75" customHeight="1">
      <c r="H4600" s="43" t="n"/>
      <c r="AG4600" s="49">
        <f>IFERROR(__xludf.DUMMYFUNCTION("IFNA(vlookup(H4600,IMPORTRANGE(""1vUGwO1n0QQGx9kKbO0_M5gmuhXZ6-LaxQxgrmJnzgP0"",""'TP# look up'!A:C""),3,0),"""")"),"")</f>
        <v/>
      </c>
      <c r="AH4600" s="49">
        <f>LEFT(J4600,2)</f>
        <v/>
      </c>
    </row>
    <row r="4601" ht="12.75" customHeight="1">
      <c r="H4601" s="43" t="n"/>
      <c r="AG4601" s="49">
        <f>IFERROR(__xludf.DUMMYFUNCTION("IFNA(vlookup(H4601,IMPORTRANGE(""1vUGwO1n0QQGx9kKbO0_M5gmuhXZ6-LaxQxgrmJnzgP0"",""'TP# look up'!A:C""),3,0),"""")"),"")</f>
        <v/>
      </c>
      <c r="AH4601" s="49">
        <f>LEFT(J4601,2)</f>
        <v/>
      </c>
    </row>
    <row r="4602" ht="12.75" customHeight="1">
      <c r="H4602" s="43" t="n"/>
      <c r="AG4602" s="49">
        <f>IFERROR(__xludf.DUMMYFUNCTION("IFNA(vlookup(H4602,IMPORTRANGE(""1vUGwO1n0QQGx9kKbO0_M5gmuhXZ6-LaxQxgrmJnzgP0"",""'TP# look up'!A:C""),3,0),"""")"),"")</f>
        <v/>
      </c>
      <c r="AH4602" s="49">
        <f>LEFT(J4602,2)</f>
        <v/>
      </c>
    </row>
    <row r="4603" ht="12.75" customHeight="1">
      <c r="H4603" s="43" t="n"/>
      <c r="AG4603" s="49">
        <f>IFERROR(__xludf.DUMMYFUNCTION("IFNA(vlookup(H4603,IMPORTRANGE(""1vUGwO1n0QQGx9kKbO0_M5gmuhXZ6-LaxQxgrmJnzgP0"",""'TP# look up'!A:C""),3,0),"""")"),"")</f>
        <v/>
      </c>
      <c r="AH4603" s="49">
        <f>LEFT(J4603,2)</f>
        <v/>
      </c>
    </row>
    <row r="4604" ht="12.75" customHeight="1">
      <c r="H4604" s="43" t="n"/>
      <c r="AG4604" s="49">
        <f>IFERROR(__xludf.DUMMYFUNCTION("IFNA(vlookup(H4604,IMPORTRANGE(""1vUGwO1n0QQGx9kKbO0_M5gmuhXZ6-LaxQxgrmJnzgP0"",""'TP# look up'!A:C""),3,0),"""")"),"")</f>
        <v/>
      </c>
      <c r="AH4604" s="49">
        <f>LEFT(J4604,2)</f>
        <v/>
      </c>
    </row>
    <row r="4605" ht="12.75" customHeight="1">
      <c r="H4605" s="43" t="n"/>
      <c r="AG4605" s="49">
        <f>IFERROR(__xludf.DUMMYFUNCTION("IFNA(vlookup(H4605,IMPORTRANGE(""1vUGwO1n0QQGx9kKbO0_M5gmuhXZ6-LaxQxgrmJnzgP0"",""'TP# look up'!A:C""),3,0),"""")"),"")</f>
        <v/>
      </c>
      <c r="AH4605" s="49">
        <f>LEFT(J4605,2)</f>
        <v/>
      </c>
    </row>
    <row r="4606" ht="12.75" customHeight="1">
      <c r="H4606" s="43" t="n"/>
      <c r="AG4606" s="49">
        <f>IFERROR(__xludf.DUMMYFUNCTION("IFNA(vlookup(H4606,IMPORTRANGE(""1vUGwO1n0QQGx9kKbO0_M5gmuhXZ6-LaxQxgrmJnzgP0"",""'TP# look up'!A:C""),3,0),"""")"),"")</f>
        <v/>
      </c>
      <c r="AH4606" s="49">
        <f>LEFT(J4606,2)</f>
        <v/>
      </c>
    </row>
    <row r="4607" ht="12.75" customHeight="1">
      <c r="H4607" s="43" t="n"/>
      <c r="AG4607" s="49">
        <f>IFERROR(__xludf.DUMMYFUNCTION("IFNA(vlookup(H4607,IMPORTRANGE(""1vUGwO1n0QQGx9kKbO0_M5gmuhXZ6-LaxQxgrmJnzgP0"",""'TP# look up'!A:C""),3,0),"""")"),"")</f>
        <v/>
      </c>
      <c r="AH4607" s="49">
        <f>LEFT(J4607,2)</f>
        <v/>
      </c>
    </row>
    <row r="4608" ht="12.75" customHeight="1">
      <c r="H4608" s="43" t="n"/>
      <c r="AG4608" s="49">
        <f>IFERROR(__xludf.DUMMYFUNCTION("IFNA(vlookup(H4608,IMPORTRANGE(""1vUGwO1n0QQGx9kKbO0_M5gmuhXZ6-LaxQxgrmJnzgP0"",""'TP# look up'!A:C""),3,0),"""")"),"")</f>
        <v/>
      </c>
      <c r="AH4608" s="49">
        <f>LEFT(J4608,2)</f>
        <v/>
      </c>
    </row>
    <row r="4609" ht="12.75" customHeight="1">
      <c r="H4609" s="43" t="n"/>
      <c r="AG4609" s="49">
        <f>IFERROR(__xludf.DUMMYFUNCTION("IFNA(vlookup(H4609,IMPORTRANGE(""1vUGwO1n0QQGx9kKbO0_M5gmuhXZ6-LaxQxgrmJnzgP0"",""'TP# look up'!A:C""),3,0),"""")"),"")</f>
        <v/>
      </c>
      <c r="AH4609" s="49">
        <f>LEFT(J4609,2)</f>
        <v/>
      </c>
    </row>
    <row r="4610" ht="12.75" customHeight="1">
      <c r="H4610" s="43" t="n"/>
      <c r="AG4610" s="49">
        <f>IFERROR(__xludf.DUMMYFUNCTION("IFNA(vlookup(H4610,IMPORTRANGE(""1vUGwO1n0QQGx9kKbO0_M5gmuhXZ6-LaxQxgrmJnzgP0"",""'TP# look up'!A:C""),3,0),"""")"),"")</f>
        <v/>
      </c>
      <c r="AH4610" s="49">
        <f>LEFT(J4610,2)</f>
        <v/>
      </c>
    </row>
    <row r="4611" ht="12.75" customHeight="1">
      <c r="H4611" s="43" t="n"/>
      <c r="AG4611" s="49">
        <f>IFERROR(__xludf.DUMMYFUNCTION("IFNA(vlookup(H4611,IMPORTRANGE(""1vUGwO1n0QQGx9kKbO0_M5gmuhXZ6-LaxQxgrmJnzgP0"",""'TP# look up'!A:C""),3,0),"""")"),"")</f>
        <v/>
      </c>
      <c r="AH4611" s="49">
        <f>LEFT(J4611,2)</f>
        <v/>
      </c>
    </row>
    <row r="4612" ht="12.75" customHeight="1">
      <c r="H4612" s="43" t="n"/>
      <c r="AG4612" s="49">
        <f>IFERROR(__xludf.DUMMYFUNCTION("IFNA(vlookup(H4612,IMPORTRANGE(""1vUGwO1n0QQGx9kKbO0_M5gmuhXZ6-LaxQxgrmJnzgP0"",""'TP# look up'!A:C""),3,0),"""")"),"")</f>
        <v/>
      </c>
      <c r="AH4612" s="49">
        <f>LEFT(J4612,2)</f>
        <v/>
      </c>
    </row>
    <row r="4613" ht="12.75" customHeight="1">
      <c r="H4613" s="43" t="n"/>
      <c r="AG4613" s="49">
        <f>IFERROR(__xludf.DUMMYFUNCTION("IFNA(vlookup(H4613,IMPORTRANGE(""1vUGwO1n0QQGx9kKbO0_M5gmuhXZ6-LaxQxgrmJnzgP0"",""'TP# look up'!A:C""),3,0),"""")"),"")</f>
        <v/>
      </c>
      <c r="AH4613" s="49">
        <f>LEFT(J4613,2)</f>
        <v/>
      </c>
    </row>
    <row r="4614" ht="12.75" customHeight="1">
      <c r="H4614" s="43" t="n"/>
      <c r="AG4614" s="49">
        <f>IFERROR(__xludf.DUMMYFUNCTION("IFNA(vlookup(H4614,IMPORTRANGE(""1vUGwO1n0QQGx9kKbO0_M5gmuhXZ6-LaxQxgrmJnzgP0"",""'TP# look up'!A:C""),3,0),"""")"),"")</f>
        <v/>
      </c>
      <c r="AH4614" s="49">
        <f>LEFT(J4614,2)</f>
        <v/>
      </c>
    </row>
    <row r="4615" ht="12.75" customHeight="1">
      <c r="H4615" s="43" t="n"/>
      <c r="AG4615" s="49">
        <f>IFERROR(__xludf.DUMMYFUNCTION("IFNA(vlookup(H4615,IMPORTRANGE(""1vUGwO1n0QQGx9kKbO0_M5gmuhXZ6-LaxQxgrmJnzgP0"",""'TP# look up'!A:C""),3,0),"""")"),"")</f>
        <v/>
      </c>
      <c r="AH4615" s="49">
        <f>LEFT(J4615,2)</f>
        <v/>
      </c>
    </row>
    <row r="4616" ht="12.75" customHeight="1">
      <c r="H4616" s="43" t="n"/>
      <c r="AG4616" s="49">
        <f>IFERROR(__xludf.DUMMYFUNCTION("IFNA(vlookup(H4616,IMPORTRANGE(""1vUGwO1n0QQGx9kKbO0_M5gmuhXZ6-LaxQxgrmJnzgP0"",""'TP# look up'!A:C""),3,0),"""")"),"")</f>
        <v/>
      </c>
      <c r="AH4616" s="49">
        <f>LEFT(J4616,2)</f>
        <v/>
      </c>
    </row>
    <row r="4617" ht="12.75" customHeight="1">
      <c r="H4617" s="43" t="n"/>
      <c r="AG4617" s="49">
        <f>IFERROR(__xludf.DUMMYFUNCTION("IFNA(vlookup(H4617,IMPORTRANGE(""1vUGwO1n0QQGx9kKbO0_M5gmuhXZ6-LaxQxgrmJnzgP0"",""'TP# look up'!A:C""),3,0),"""")"),"")</f>
        <v/>
      </c>
      <c r="AH4617" s="49">
        <f>LEFT(J4617,2)</f>
        <v/>
      </c>
    </row>
    <row r="4618" ht="12.75" customHeight="1">
      <c r="H4618" s="43" t="n"/>
      <c r="AG4618" s="49">
        <f>IFERROR(__xludf.DUMMYFUNCTION("IFNA(vlookup(H4618,IMPORTRANGE(""1vUGwO1n0QQGx9kKbO0_M5gmuhXZ6-LaxQxgrmJnzgP0"",""'TP# look up'!A:C""),3,0),"""")"),"")</f>
        <v/>
      </c>
      <c r="AH4618" s="49">
        <f>LEFT(J4618,2)</f>
        <v/>
      </c>
    </row>
    <row r="4619" ht="12.75" customHeight="1">
      <c r="H4619" s="43" t="n"/>
      <c r="AG4619" s="49">
        <f>IFERROR(__xludf.DUMMYFUNCTION("IFNA(vlookup(H4619,IMPORTRANGE(""1vUGwO1n0QQGx9kKbO0_M5gmuhXZ6-LaxQxgrmJnzgP0"",""'TP# look up'!A:C""),3,0),"""")"),"")</f>
        <v/>
      </c>
      <c r="AH4619" s="49">
        <f>LEFT(J4619,2)</f>
        <v/>
      </c>
    </row>
    <row r="4620" ht="12.75" customHeight="1">
      <c r="H4620" s="43" t="n"/>
      <c r="AG4620" s="49">
        <f>IFERROR(__xludf.DUMMYFUNCTION("IFNA(vlookup(H4620,IMPORTRANGE(""1vUGwO1n0QQGx9kKbO0_M5gmuhXZ6-LaxQxgrmJnzgP0"",""'TP# look up'!A:C""),3,0),"""")"),"")</f>
        <v/>
      </c>
      <c r="AH4620" s="49">
        <f>LEFT(J4620,2)</f>
        <v/>
      </c>
    </row>
    <row r="4621" ht="12.75" customHeight="1">
      <c r="H4621" s="43" t="n"/>
      <c r="AG4621" s="49">
        <f>IFERROR(__xludf.DUMMYFUNCTION("IFNA(vlookup(H4621,IMPORTRANGE(""1vUGwO1n0QQGx9kKbO0_M5gmuhXZ6-LaxQxgrmJnzgP0"",""'TP# look up'!A:C""),3,0),"""")"),"")</f>
        <v/>
      </c>
      <c r="AH4621" s="49">
        <f>LEFT(J4621,2)</f>
        <v/>
      </c>
    </row>
    <row r="4622" ht="12.75" customHeight="1">
      <c r="H4622" s="43" t="n"/>
      <c r="AG4622" s="49">
        <f>IFERROR(__xludf.DUMMYFUNCTION("IFNA(vlookup(H4622,IMPORTRANGE(""1vUGwO1n0QQGx9kKbO0_M5gmuhXZ6-LaxQxgrmJnzgP0"",""'TP# look up'!A:C""),3,0),"""")"),"")</f>
        <v/>
      </c>
      <c r="AH4622" s="49">
        <f>LEFT(J4622,2)</f>
        <v/>
      </c>
    </row>
    <row r="4623" ht="12.75" customHeight="1">
      <c r="H4623" s="43" t="n"/>
      <c r="AG4623" s="49">
        <f>IFERROR(__xludf.DUMMYFUNCTION("IFNA(vlookup(H4623,IMPORTRANGE(""1vUGwO1n0QQGx9kKbO0_M5gmuhXZ6-LaxQxgrmJnzgP0"",""'TP# look up'!A:C""),3,0),"""")"),"")</f>
        <v/>
      </c>
      <c r="AH4623" s="49">
        <f>LEFT(J4623,2)</f>
        <v/>
      </c>
    </row>
    <row r="4624" ht="12.75" customHeight="1">
      <c r="H4624" s="43" t="n"/>
      <c r="AG4624" s="49">
        <f>IFERROR(__xludf.DUMMYFUNCTION("IFNA(vlookup(H4624,IMPORTRANGE(""1vUGwO1n0QQGx9kKbO0_M5gmuhXZ6-LaxQxgrmJnzgP0"",""'TP# look up'!A:C""),3,0),"""")"),"")</f>
        <v/>
      </c>
      <c r="AH4624" s="49">
        <f>LEFT(J4624,2)</f>
        <v/>
      </c>
    </row>
    <row r="4625" ht="12.75" customHeight="1">
      <c r="H4625" s="43" t="n"/>
      <c r="AG4625" s="49">
        <f>IFERROR(__xludf.DUMMYFUNCTION("IFNA(vlookup(H4625,IMPORTRANGE(""1vUGwO1n0QQGx9kKbO0_M5gmuhXZ6-LaxQxgrmJnzgP0"",""'TP# look up'!A:C""),3,0),"""")"),"")</f>
        <v/>
      </c>
      <c r="AH4625" s="49">
        <f>LEFT(J4625,2)</f>
        <v/>
      </c>
    </row>
    <row r="4626" ht="12.75" customHeight="1">
      <c r="H4626" s="43" t="n"/>
      <c r="AG4626" s="49">
        <f>IFERROR(__xludf.DUMMYFUNCTION("IFNA(vlookup(H4626,IMPORTRANGE(""1vUGwO1n0QQGx9kKbO0_M5gmuhXZ6-LaxQxgrmJnzgP0"",""'TP# look up'!A:C""),3,0),"""")"),"")</f>
        <v/>
      </c>
      <c r="AH4626" s="49">
        <f>LEFT(J4626,2)</f>
        <v/>
      </c>
    </row>
    <row r="4627" ht="12.75" customHeight="1">
      <c r="H4627" s="43" t="n"/>
      <c r="AG4627" s="49">
        <f>IFERROR(__xludf.DUMMYFUNCTION("IFNA(vlookup(H4627,IMPORTRANGE(""1vUGwO1n0QQGx9kKbO0_M5gmuhXZ6-LaxQxgrmJnzgP0"",""'TP# look up'!A:C""),3,0),"""")"),"")</f>
        <v/>
      </c>
      <c r="AH4627" s="49">
        <f>LEFT(J4627,2)</f>
        <v/>
      </c>
    </row>
    <row r="4628" ht="12.75" customHeight="1">
      <c r="H4628" s="43" t="n"/>
      <c r="AG4628" s="49">
        <f>IFERROR(__xludf.DUMMYFUNCTION("IFNA(vlookup(H4628,IMPORTRANGE(""1vUGwO1n0QQGx9kKbO0_M5gmuhXZ6-LaxQxgrmJnzgP0"",""'TP# look up'!A:C""),3,0),"""")"),"")</f>
        <v/>
      </c>
      <c r="AH4628" s="49">
        <f>LEFT(J4628,2)</f>
        <v/>
      </c>
    </row>
    <row r="4629" ht="12.75" customHeight="1">
      <c r="H4629" s="43" t="n"/>
      <c r="AG4629" s="49">
        <f>IFERROR(__xludf.DUMMYFUNCTION("IFNA(vlookup(H4629,IMPORTRANGE(""1vUGwO1n0QQGx9kKbO0_M5gmuhXZ6-LaxQxgrmJnzgP0"",""'TP# look up'!A:C""),3,0),"""")"),"")</f>
        <v/>
      </c>
      <c r="AH4629" s="49">
        <f>LEFT(J4629,2)</f>
        <v/>
      </c>
    </row>
    <row r="4630" ht="12.75" customHeight="1">
      <c r="H4630" s="43" t="n"/>
      <c r="AG4630" s="49">
        <f>IFERROR(__xludf.DUMMYFUNCTION("IFNA(vlookup(H4630,IMPORTRANGE(""1vUGwO1n0QQGx9kKbO0_M5gmuhXZ6-LaxQxgrmJnzgP0"",""'TP# look up'!A:C""),3,0),"""")"),"")</f>
        <v/>
      </c>
      <c r="AH4630" s="49">
        <f>LEFT(J4630,2)</f>
        <v/>
      </c>
    </row>
    <row r="4631" ht="12.75" customHeight="1">
      <c r="H4631" s="43" t="n"/>
      <c r="AG4631" s="49">
        <f>IFERROR(__xludf.DUMMYFUNCTION("IFNA(vlookup(H4631,IMPORTRANGE(""1vUGwO1n0QQGx9kKbO0_M5gmuhXZ6-LaxQxgrmJnzgP0"",""'TP# look up'!A:C""),3,0),"""")"),"")</f>
        <v/>
      </c>
      <c r="AH4631" s="49">
        <f>LEFT(J4631,2)</f>
        <v/>
      </c>
    </row>
    <row r="4632" ht="12.75" customHeight="1">
      <c r="H4632" s="43" t="n"/>
      <c r="AG4632" s="49">
        <f>IFERROR(__xludf.DUMMYFUNCTION("IFNA(vlookup(H4632,IMPORTRANGE(""1vUGwO1n0QQGx9kKbO0_M5gmuhXZ6-LaxQxgrmJnzgP0"",""'TP# look up'!A:C""),3,0),"""")"),"")</f>
        <v/>
      </c>
      <c r="AH4632" s="49">
        <f>LEFT(J4632,2)</f>
        <v/>
      </c>
    </row>
    <row r="4633" ht="12.75" customHeight="1">
      <c r="H4633" s="43" t="n"/>
      <c r="AG4633" s="49">
        <f>IFERROR(__xludf.DUMMYFUNCTION("IFNA(vlookup(H4633,IMPORTRANGE(""1vUGwO1n0QQGx9kKbO0_M5gmuhXZ6-LaxQxgrmJnzgP0"",""'TP# look up'!A:C""),3,0),"""")"),"")</f>
        <v/>
      </c>
      <c r="AH4633" s="49">
        <f>LEFT(J4633,2)</f>
        <v/>
      </c>
    </row>
    <row r="4634" ht="12.75" customHeight="1">
      <c r="H4634" s="43" t="n"/>
      <c r="AG4634" s="49">
        <f>IFERROR(__xludf.DUMMYFUNCTION("IFNA(vlookup(H4634,IMPORTRANGE(""1vUGwO1n0QQGx9kKbO0_M5gmuhXZ6-LaxQxgrmJnzgP0"",""'TP# look up'!A:C""),3,0),"""")"),"")</f>
        <v/>
      </c>
      <c r="AH4634" s="49">
        <f>LEFT(J4634,2)</f>
        <v/>
      </c>
    </row>
    <row r="4635" ht="12.75" customHeight="1">
      <c r="H4635" s="43" t="n"/>
      <c r="AG4635" s="49">
        <f>IFERROR(__xludf.DUMMYFUNCTION("IFNA(vlookup(H4635,IMPORTRANGE(""1vUGwO1n0QQGx9kKbO0_M5gmuhXZ6-LaxQxgrmJnzgP0"",""'TP# look up'!A:C""),3,0),"""")"),"")</f>
        <v/>
      </c>
      <c r="AH4635" s="49">
        <f>LEFT(J4635,2)</f>
        <v/>
      </c>
    </row>
    <row r="4636" ht="12.75" customHeight="1">
      <c r="H4636" s="43" t="n"/>
      <c r="AG4636" s="49">
        <f>IFERROR(__xludf.DUMMYFUNCTION("IFNA(vlookup(H4636,IMPORTRANGE(""1vUGwO1n0QQGx9kKbO0_M5gmuhXZ6-LaxQxgrmJnzgP0"",""'TP# look up'!A:C""),3,0),"""")"),"")</f>
        <v/>
      </c>
      <c r="AH4636" s="49">
        <f>LEFT(J4636,2)</f>
        <v/>
      </c>
    </row>
    <row r="4637" ht="12.75" customHeight="1">
      <c r="H4637" s="43" t="n"/>
      <c r="AG4637" s="49">
        <f>IFERROR(__xludf.DUMMYFUNCTION("IFNA(vlookup(H4637,IMPORTRANGE(""1vUGwO1n0QQGx9kKbO0_M5gmuhXZ6-LaxQxgrmJnzgP0"",""'TP# look up'!A:C""),3,0),"""")"),"")</f>
        <v/>
      </c>
      <c r="AH4637" s="49">
        <f>LEFT(J4637,2)</f>
        <v/>
      </c>
    </row>
    <row r="4638" ht="12.75" customHeight="1">
      <c r="H4638" s="43" t="n"/>
      <c r="AG4638" s="49">
        <f>IFERROR(__xludf.DUMMYFUNCTION("IFNA(vlookup(H4638,IMPORTRANGE(""1vUGwO1n0QQGx9kKbO0_M5gmuhXZ6-LaxQxgrmJnzgP0"",""'TP# look up'!A:C""),3,0),"""")"),"")</f>
        <v/>
      </c>
      <c r="AH4638" s="49">
        <f>LEFT(J4638,2)</f>
        <v/>
      </c>
    </row>
    <row r="4639" ht="12.75" customHeight="1">
      <c r="H4639" s="43" t="n"/>
      <c r="AG4639" s="49">
        <f>IFERROR(__xludf.DUMMYFUNCTION("IFNA(vlookup(H4639,IMPORTRANGE(""1vUGwO1n0QQGx9kKbO0_M5gmuhXZ6-LaxQxgrmJnzgP0"",""'TP# look up'!A:C""),3,0),"""")"),"")</f>
        <v/>
      </c>
      <c r="AH4639" s="49">
        <f>LEFT(J4639,2)</f>
        <v/>
      </c>
    </row>
    <row r="4640" ht="12.75" customHeight="1">
      <c r="H4640" s="43" t="n"/>
      <c r="AG4640" s="49">
        <f>IFERROR(__xludf.DUMMYFUNCTION("IFNA(vlookup(H4640,IMPORTRANGE(""1vUGwO1n0QQGx9kKbO0_M5gmuhXZ6-LaxQxgrmJnzgP0"",""'TP# look up'!A:C""),3,0),"""")"),"")</f>
        <v/>
      </c>
      <c r="AH4640" s="49">
        <f>LEFT(J4640,2)</f>
        <v/>
      </c>
    </row>
    <row r="4641" ht="12.75" customHeight="1">
      <c r="H4641" s="43" t="n"/>
      <c r="AG4641" s="49">
        <f>IFERROR(__xludf.DUMMYFUNCTION("IFNA(vlookup(H4641,IMPORTRANGE(""1vUGwO1n0QQGx9kKbO0_M5gmuhXZ6-LaxQxgrmJnzgP0"",""'TP# look up'!A:C""),3,0),"""")"),"")</f>
        <v/>
      </c>
      <c r="AH4641" s="49">
        <f>LEFT(J4641,2)</f>
        <v/>
      </c>
    </row>
    <row r="4642" ht="12.75" customHeight="1">
      <c r="H4642" s="43" t="n"/>
      <c r="AG4642" s="49">
        <f>IFERROR(__xludf.DUMMYFUNCTION("IFNA(vlookup(H4642,IMPORTRANGE(""1vUGwO1n0QQGx9kKbO0_M5gmuhXZ6-LaxQxgrmJnzgP0"",""'TP# look up'!A:C""),3,0),"""")"),"")</f>
        <v/>
      </c>
      <c r="AH4642" s="49">
        <f>LEFT(J4642,2)</f>
        <v/>
      </c>
    </row>
    <row r="4643" ht="12.75" customHeight="1">
      <c r="H4643" s="43" t="n"/>
      <c r="AG4643" s="49">
        <f>IFERROR(__xludf.DUMMYFUNCTION("IFNA(vlookup(H4643,IMPORTRANGE(""1vUGwO1n0QQGx9kKbO0_M5gmuhXZ6-LaxQxgrmJnzgP0"",""'TP# look up'!A:C""),3,0),"""")"),"")</f>
        <v/>
      </c>
      <c r="AH4643" s="49">
        <f>LEFT(J4643,2)</f>
        <v/>
      </c>
    </row>
    <row r="4644" ht="12.75" customHeight="1">
      <c r="H4644" s="43" t="n"/>
      <c r="AG4644" s="49">
        <f>IFERROR(__xludf.DUMMYFUNCTION("IFNA(vlookup(H4644,IMPORTRANGE(""1vUGwO1n0QQGx9kKbO0_M5gmuhXZ6-LaxQxgrmJnzgP0"",""'TP# look up'!A:C""),3,0),"""")"),"")</f>
        <v/>
      </c>
      <c r="AH4644" s="49">
        <f>LEFT(J4644,2)</f>
        <v/>
      </c>
    </row>
    <row r="4645" ht="12.75" customHeight="1">
      <c r="H4645" s="43" t="n"/>
      <c r="AG4645" s="49">
        <f>IFERROR(__xludf.DUMMYFUNCTION("IFNA(vlookup(H4645,IMPORTRANGE(""1vUGwO1n0QQGx9kKbO0_M5gmuhXZ6-LaxQxgrmJnzgP0"",""'TP# look up'!A:C""),3,0),"""")"),"")</f>
        <v/>
      </c>
      <c r="AH4645" s="49">
        <f>LEFT(J4645,2)</f>
        <v/>
      </c>
    </row>
    <row r="4646" ht="12.75" customHeight="1">
      <c r="H4646" s="43" t="n"/>
      <c r="AG4646" s="49">
        <f>IFERROR(__xludf.DUMMYFUNCTION("IFNA(vlookup(H4646,IMPORTRANGE(""1vUGwO1n0QQGx9kKbO0_M5gmuhXZ6-LaxQxgrmJnzgP0"",""'TP# look up'!A:C""),3,0),"""")"),"")</f>
        <v/>
      </c>
      <c r="AH4646" s="49">
        <f>LEFT(J4646,2)</f>
        <v/>
      </c>
    </row>
    <row r="4647" ht="12.75" customHeight="1">
      <c r="H4647" s="43" t="n"/>
      <c r="AG4647" s="49">
        <f>IFERROR(__xludf.DUMMYFUNCTION("IFNA(vlookup(H4647,IMPORTRANGE(""1vUGwO1n0QQGx9kKbO0_M5gmuhXZ6-LaxQxgrmJnzgP0"",""'TP# look up'!A:C""),3,0),"""")"),"")</f>
        <v/>
      </c>
      <c r="AH4647" s="49">
        <f>LEFT(J4647,2)</f>
        <v/>
      </c>
    </row>
    <row r="4648" ht="12.75" customHeight="1">
      <c r="H4648" s="43" t="n"/>
      <c r="AG4648" s="49">
        <f>IFERROR(__xludf.DUMMYFUNCTION("IFNA(vlookup(H4648,IMPORTRANGE(""1vUGwO1n0QQGx9kKbO0_M5gmuhXZ6-LaxQxgrmJnzgP0"",""'TP# look up'!A:C""),3,0),"""")"),"")</f>
        <v/>
      </c>
      <c r="AH4648" s="49">
        <f>LEFT(J4648,2)</f>
        <v/>
      </c>
    </row>
    <row r="4649" ht="12.75" customHeight="1">
      <c r="H4649" s="43" t="n"/>
      <c r="AG4649" s="49">
        <f>IFERROR(__xludf.DUMMYFUNCTION("IFNA(vlookup(H4649,IMPORTRANGE(""1vUGwO1n0QQGx9kKbO0_M5gmuhXZ6-LaxQxgrmJnzgP0"",""'TP# look up'!A:C""),3,0),"""")"),"")</f>
        <v/>
      </c>
      <c r="AH4649" s="49">
        <f>LEFT(J4649,2)</f>
        <v/>
      </c>
    </row>
    <row r="4650" ht="12.75" customHeight="1">
      <c r="H4650" s="43" t="n"/>
      <c r="AG4650" s="49">
        <f>IFERROR(__xludf.DUMMYFUNCTION("IFNA(vlookup(H4650,IMPORTRANGE(""1vUGwO1n0QQGx9kKbO0_M5gmuhXZ6-LaxQxgrmJnzgP0"",""'TP# look up'!A:C""),3,0),"""")"),"")</f>
        <v/>
      </c>
      <c r="AH4650" s="49">
        <f>LEFT(J4650,2)</f>
        <v/>
      </c>
    </row>
    <row r="4651" ht="12.75" customHeight="1">
      <c r="H4651" s="43" t="n"/>
      <c r="AG4651" s="49">
        <f>IFERROR(__xludf.DUMMYFUNCTION("IFNA(vlookup(H4651,IMPORTRANGE(""1vUGwO1n0QQGx9kKbO0_M5gmuhXZ6-LaxQxgrmJnzgP0"",""'TP# look up'!A:C""),3,0),"""")"),"")</f>
        <v/>
      </c>
      <c r="AH4651" s="49">
        <f>LEFT(J4651,2)</f>
        <v/>
      </c>
    </row>
    <row r="4652" ht="12.75" customHeight="1">
      <c r="H4652" s="43" t="n"/>
      <c r="AG4652" s="49">
        <f>IFERROR(__xludf.DUMMYFUNCTION("IFNA(vlookup(H4652,IMPORTRANGE(""1vUGwO1n0QQGx9kKbO0_M5gmuhXZ6-LaxQxgrmJnzgP0"",""'TP# look up'!A:C""),3,0),"""")"),"")</f>
        <v/>
      </c>
      <c r="AH4652" s="49">
        <f>LEFT(J4652,2)</f>
        <v/>
      </c>
    </row>
    <row r="4653" ht="12.75" customHeight="1">
      <c r="H4653" s="43" t="n"/>
      <c r="AG4653" s="49">
        <f>IFERROR(__xludf.DUMMYFUNCTION("IFNA(vlookup(H4653,IMPORTRANGE(""1vUGwO1n0QQGx9kKbO0_M5gmuhXZ6-LaxQxgrmJnzgP0"",""'TP# look up'!A:C""),3,0),"""")"),"")</f>
        <v/>
      </c>
      <c r="AH4653" s="49">
        <f>LEFT(J4653,2)</f>
        <v/>
      </c>
    </row>
    <row r="4654" ht="12.75" customHeight="1">
      <c r="H4654" s="43" t="n"/>
      <c r="AG4654" s="49">
        <f>IFERROR(__xludf.DUMMYFUNCTION("IFNA(vlookup(H4654,IMPORTRANGE(""1vUGwO1n0QQGx9kKbO0_M5gmuhXZ6-LaxQxgrmJnzgP0"",""'TP# look up'!A:C""),3,0),"""")"),"")</f>
        <v/>
      </c>
      <c r="AH4654" s="49">
        <f>LEFT(J4654,2)</f>
        <v/>
      </c>
    </row>
    <row r="4655" ht="12.75" customHeight="1">
      <c r="H4655" s="43" t="n"/>
      <c r="AG4655" s="49">
        <f>IFERROR(__xludf.DUMMYFUNCTION("IFNA(vlookup(H4655,IMPORTRANGE(""1vUGwO1n0QQGx9kKbO0_M5gmuhXZ6-LaxQxgrmJnzgP0"",""'TP# look up'!A:C""),3,0),"""")"),"")</f>
        <v/>
      </c>
      <c r="AH4655" s="49">
        <f>LEFT(J4655,2)</f>
        <v/>
      </c>
    </row>
    <row r="4656" ht="12.75" customHeight="1">
      <c r="H4656" s="43" t="n"/>
      <c r="AG4656" s="49">
        <f>IFERROR(__xludf.DUMMYFUNCTION("IFNA(vlookup(H4656,IMPORTRANGE(""1vUGwO1n0QQGx9kKbO0_M5gmuhXZ6-LaxQxgrmJnzgP0"",""'TP# look up'!A:C""),3,0),"""")"),"")</f>
        <v/>
      </c>
      <c r="AH4656" s="49">
        <f>LEFT(J4656,2)</f>
        <v/>
      </c>
    </row>
    <row r="4657" ht="12.75" customHeight="1">
      <c r="H4657" s="43" t="n"/>
      <c r="AG4657" s="49">
        <f>IFERROR(__xludf.DUMMYFUNCTION("IFNA(vlookup(H4657,IMPORTRANGE(""1vUGwO1n0QQGx9kKbO0_M5gmuhXZ6-LaxQxgrmJnzgP0"",""'TP# look up'!A:C""),3,0),"""")"),"")</f>
        <v/>
      </c>
      <c r="AH4657" s="49">
        <f>LEFT(J4657,2)</f>
        <v/>
      </c>
    </row>
    <row r="4658" ht="12.75" customHeight="1">
      <c r="H4658" s="43" t="n"/>
      <c r="AG4658" s="49">
        <f>IFERROR(__xludf.DUMMYFUNCTION("IFNA(vlookup(H4658,IMPORTRANGE(""1vUGwO1n0QQGx9kKbO0_M5gmuhXZ6-LaxQxgrmJnzgP0"",""'TP# look up'!A:C""),3,0),"""")"),"")</f>
        <v/>
      </c>
      <c r="AH4658" s="49">
        <f>LEFT(J4658,2)</f>
        <v/>
      </c>
    </row>
    <row r="4659" ht="12.75" customHeight="1">
      <c r="H4659" s="43" t="n"/>
      <c r="AG4659" s="49">
        <f>IFERROR(__xludf.DUMMYFUNCTION("IFNA(vlookup(H4659,IMPORTRANGE(""1vUGwO1n0QQGx9kKbO0_M5gmuhXZ6-LaxQxgrmJnzgP0"",""'TP# look up'!A:C""),3,0),"""")"),"")</f>
        <v/>
      </c>
      <c r="AH4659" s="49">
        <f>LEFT(J4659,2)</f>
        <v/>
      </c>
    </row>
    <row r="4660" ht="12.75" customHeight="1">
      <c r="H4660" s="43" t="n"/>
      <c r="AG4660" s="49">
        <f>IFERROR(__xludf.DUMMYFUNCTION("IFNA(vlookup(H4660,IMPORTRANGE(""1vUGwO1n0QQGx9kKbO0_M5gmuhXZ6-LaxQxgrmJnzgP0"",""'TP# look up'!A:C""),3,0),"""")"),"")</f>
        <v/>
      </c>
      <c r="AH4660" s="49">
        <f>LEFT(J4660,2)</f>
        <v/>
      </c>
    </row>
    <row r="4661" ht="12.75" customHeight="1">
      <c r="H4661" s="43" t="n"/>
      <c r="AG4661" s="49">
        <f>IFERROR(__xludf.DUMMYFUNCTION("IFNA(vlookup(H4661,IMPORTRANGE(""1vUGwO1n0QQGx9kKbO0_M5gmuhXZ6-LaxQxgrmJnzgP0"",""'TP# look up'!A:C""),3,0),"""")"),"")</f>
        <v/>
      </c>
      <c r="AH4661" s="49">
        <f>LEFT(J4661,2)</f>
        <v/>
      </c>
    </row>
    <row r="4662" ht="12.75" customHeight="1">
      <c r="H4662" s="43" t="n"/>
      <c r="AG4662" s="49">
        <f>IFERROR(__xludf.DUMMYFUNCTION("IFNA(vlookup(H4662,IMPORTRANGE(""1vUGwO1n0QQGx9kKbO0_M5gmuhXZ6-LaxQxgrmJnzgP0"",""'TP# look up'!A:C""),3,0),"""")"),"")</f>
        <v/>
      </c>
      <c r="AH4662" s="49">
        <f>LEFT(J4662,2)</f>
        <v/>
      </c>
    </row>
    <row r="4663" ht="12.75" customHeight="1">
      <c r="H4663" s="43" t="n"/>
      <c r="AG4663" s="49">
        <f>IFERROR(__xludf.DUMMYFUNCTION("IFNA(vlookup(H4663,IMPORTRANGE(""1vUGwO1n0QQGx9kKbO0_M5gmuhXZ6-LaxQxgrmJnzgP0"",""'TP# look up'!A:C""),3,0),"""")"),"")</f>
        <v/>
      </c>
      <c r="AH4663" s="49">
        <f>LEFT(J4663,2)</f>
        <v/>
      </c>
    </row>
    <row r="4664" ht="12.75" customHeight="1">
      <c r="H4664" s="43" t="n"/>
      <c r="AG4664" s="49">
        <f>IFERROR(__xludf.DUMMYFUNCTION("IFNA(vlookup(H4664,IMPORTRANGE(""1vUGwO1n0QQGx9kKbO0_M5gmuhXZ6-LaxQxgrmJnzgP0"",""'TP# look up'!A:C""),3,0),"""")"),"")</f>
        <v/>
      </c>
      <c r="AH4664" s="49">
        <f>LEFT(J4664,2)</f>
        <v/>
      </c>
    </row>
    <row r="4665" ht="12.75" customHeight="1">
      <c r="H4665" s="43" t="n"/>
      <c r="AG4665" s="49">
        <f>IFERROR(__xludf.DUMMYFUNCTION("IFNA(vlookup(H4665,IMPORTRANGE(""1vUGwO1n0QQGx9kKbO0_M5gmuhXZ6-LaxQxgrmJnzgP0"",""'TP# look up'!A:C""),3,0),"""")"),"")</f>
        <v/>
      </c>
      <c r="AH4665" s="49">
        <f>LEFT(J4665,2)</f>
        <v/>
      </c>
    </row>
    <row r="4666" ht="12.75" customHeight="1">
      <c r="H4666" s="43" t="n"/>
      <c r="AG4666" s="49">
        <f>IFERROR(__xludf.DUMMYFUNCTION("IFNA(vlookup(H4666,IMPORTRANGE(""1vUGwO1n0QQGx9kKbO0_M5gmuhXZ6-LaxQxgrmJnzgP0"",""'TP# look up'!A:C""),3,0),"""")"),"")</f>
        <v/>
      </c>
      <c r="AH4666" s="49">
        <f>LEFT(J4666,2)</f>
        <v/>
      </c>
    </row>
    <row r="4667" ht="12.75" customHeight="1">
      <c r="H4667" s="43" t="n"/>
      <c r="AG4667" s="49">
        <f>IFERROR(__xludf.DUMMYFUNCTION("IFNA(vlookup(H4667,IMPORTRANGE(""1vUGwO1n0QQGx9kKbO0_M5gmuhXZ6-LaxQxgrmJnzgP0"",""'TP# look up'!A:C""),3,0),"""")"),"")</f>
        <v/>
      </c>
      <c r="AH4667" s="49">
        <f>LEFT(J4667,2)</f>
        <v/>
      </c>
    </row>
    <row r="4668" ht="12.75" customHeight="1">
      <c r="H4668" s="43" t="n"/>
      <c r="AG4668" s="49">
        <f>IFERROR(__xludf.DUMMYFUNCTION("IFNA(vlookup(H4668,IMPORTRANGE(""1vUGwO1n0QQGx9kKbO0_M5gmuhXZ6-LaxQxgrmJnzgP0"",""'TP# look up'!A:C""),3,0),"""")"),"")</f>
        <v/>
      </c>
      <c r="AH4668" s="49">
        <f>LEFT(J4668,2)</f>
        <v/>
      </c>
    </row>
    <row r="4669" ht="12.75" customHeight="1">
      <c r="H4669" s="43" t="n"/>
      <c r="AG4669" s="49">
        <f>IFERROR(__xludf.DUMMYFUNCTION("IFNA(vlookup(H4669,IMPORTRANGE(""1vUGwO1n0QQGx9kKbO0_M5gmuhXZ6-LaxQxgrmJnzgP0"",""'TP# look up'!A:C""),3,0),"""")"),"")</f>
        <v/>
      </c>
      <c r="AH4669" s="49">
        <f>LEFT(J4669,2)</f>
        <v/>
      </c>
    </row>
    <row r="4670" ht="12.75" customHeight="1">
      <c r="H4670" s="43" t="n"/>
      <c r="AG4670" s="49">
        <f>IFERROR(__xludf.DUMMYFUNCTION("IFNA(vlookup(H4670,IMPORTRANGE(""1vUGwO1n0QQGx9kKbO0_M5gmuhXZ6-LaxQxgrmJnzgP0"",""'TP# look up'!A:C""),3,0),"""")"),"")</f>
        <v/>
      </c>
      <c r="AH4670" s="49">
        <f>LEFT(J4670,2)</f>
        <v/>
      </c>
    </row>
    <row r="4671" ht="12.75" customHeight="1">
      <c r="H4671" s="43" t="n"/>
      <c r="AG4671" s="49">
        <f>IFERROR(__xludf.DUMMYFUNCTION("IFNA(vlookup(H4671,IMPORTRANGE(""1vUGwO1n0QQGx9kKbO0_M5gmuhXZ6-LaxQxgrmJnzgP0"",""'TP# look up'!A:C""),3,0),"""")"),"")</f>
        <v/>
      </c>
      <c r="AH4671" s="49">
        <f>LEFT(J4671,2)</f>
        <v/>
      </c>
    </row>
    <row r="4672" ht="12.75" customHeight="1">
      <c r="H4672" s="43" t="n"/>
      <c r="AG4672" s="49">
        <f>IFERROR(__xludf.DUMMYFUNCTION("IFNA(vlookup(H4672,IMPORTRANGE(""1vUGwO1n0QQGx9kKbO0_M5gmuhXZ6-LaxQxgrmJnzgP0"",""'TP# look up'!A:C""),3,0),"""")"),"")</f>
        <v/>
      </c>
      <c r="AH4672" s="49">
        <f>LEFT(J4672,2)</f>
        <v/>
      </c>
    </row>
    <row r="4673" ht="12.75" customHeight="1">
      <c r="H4673" s="43" t="n"/>
      <c r="AG4673" s="49">
        <f>IFERROR(__xludf.DUMMYFUNCTION("IFNA(vlookup(H4673,IMPORTRANGE(""1vUGwO1n0QQGx9kKbO0_M5gmuhXZ6-LaxQxgrmJnzgP0"",""'TP# look up'!A:C""),3,0),"""")"),"")</f>
        <v/>
      </c>
      <c r="AH4673" s="49">
        <f>LEFT(J4673,2)</f>
        <v/>
      </c>
    </row>
    <row r="4674" ht="12.75" customHeight="1">
      <c r="H4674" s="43" t="n"/>
      <c r="AG4674" s="49">
        <f>IFERROR(__xludf.DUMMYFUNCTION("IFNA(vlookup(H4674,IMPORTRANGE(""1vUGwO1n0QQGx9kKbO0_M5gmuhXZ6-LaxQxgrmJnzgP0"",""'TP# look up'!A:C""),3,0),"""")"),"")</f>
        <v/>
      </c>
      <c r="AH4674" s="49">
        <f>LEFT(J4674,2)</f>
        <v/>
      </c>
    </row>
    <row r="4675" ht="12.75" customHeight="1">
      <c r="H4675" s="43" t="n"/>
      <c r="AG4675" s="49">
        <f>IFERROR(__xludf.DUMMYFUNCTION("IFNA(vlookup(H4675,IMPORTRANGE(""1vUGwO1n0QQGx9kKbO0_M5gmuhXZ6-LaxQxgrmJnzgP0"",""'TP# look up'!A:C""),3,0),"""")"),"")</f>
        <v/>
      </c>
      <c r="AH4675" s="49">
        <f>LEFT(J4675,2)</f>
        <v/>
      </c>
    </row>
    <row r="4676" ht="12.75" customHeight="1">
      <c r="H4676" s="43" t="n"/>
      <c r="AG4676" s="49">
        <f>IFERROR(__xludf.DUMMYFUNCTION("IFNA(vlookup(H4676,IMPORTRANGE(""1vUGwO1n0QQGx9kKbO0_M5gmuhXZ6-LaxQxgrmJnzgP0"",""'TP# look up'!A:C""),3,0),"""")"),"")</f>
        <v/>
      </c>
      <c r="AH4676" s="49">
        <f>LEFT(J4676,2)</f>
        <v/>
      </c>
    </row>
    <row r="4677" ht="12.75" customHeight="1">
      <c r="H4677" s="43" t="n"/>
      <c r="AG4677" s="49">
        <f>IFERROR(__xludf.DUMMYFUNCTION("IFNA(vlookup(H4677,IMPORTRANGE(""1vUGwO1n0QQGx9kKbO0_M5gmuhXZ6-LaxQxgrmJnzgP0"",""'TP# look up'!A:C""),3,0),"""")"),"")</f>
        <v/>
      </c>
      <c r="AH4677" s="49">
        <f>LEFT(J4677,2)</f>
        <v/>
      </c>
    </row>
    <row r="4678" ht="12.75" customHeight="1">
      <c r="H4678" s="43" t="n"/>
      <c r="AG4678" s="49">
        <f>IFERROR(__xludf.DUMMYFUNCTION("IFNA(vlookup(H4678,IMPORTRANGE(""1vUGwO1n0QQGx9kKbO0_M5gmuhXZ6-LaxQxgrmJnzgP0"",""'TP# look up'!A:C""),3,0),"""")"),"")</f>
        <v/>
      </c>
      <c r="AH4678" s="49">
        <f>LEFT(J4678,2)</f>
        <v/>
      </c>
    </row>
    <row r="4679" ht="12.75" customHeight="1">
      <c r="H4679" s="43" t="n"/>
      <c r="AG4679" s="49">
        <f>IFERROR(__xludf.DUMMYFUNCTION("IFNA(vlookup(H4679,IMPORTRANGE(""1vUGwO1n0QQGx9kKbO0_M5gmuhXZ6-LaxQxgrmJnzgP0"",""'TP# look up'!A:C""),3,0),"""")"),"")</f>
        <v/>
      </c>
      <c r="AH4679" s="49">
        <f>LEFT(J4679,2)</f>
        <v/>
      </c>
    </row>
    <row r="4680" ht="12.75" customHeight="1">
      <c r="H4680" s="43" t="n"/>
      <c r="AG4680" s="49">
        <f>IFERROR(__xludf.DUMMYFUNCTION("IFNA(vlookup(H4680,IMPORTRANGE(""1vUGwO1n0QQGx9kKbO0_M5gmuhXZ6-LaxQxgrmJnzgP0"",""'TP# look up'!A:C""),3,0),"""")"),"")</f>
        <v/>
      </c>
      <c r="AH4680" s="49">
        <f>LEFT(J4680,2)</f>
        <v/>
      </c>
    </row>
    <row r="4681" ht="12.75" customHeight="1">
      <c r="H4681" s="43" t="n"/>
      <c r="AG4681" s="49">
        <f>IFERROR(__xludf.DUMMYFUNCTION("IFNA(vlookup(H4681,IMPORTRANGE(""1vUGwO1n0QQGx9kKbO0_M5gmuhXZ6-LaxQxgrmJnzgP0"",""'TP# look up'!A:C""),3,0),"""")"),"")</f>
        <v/>
      </c>
      <c r="AH4681" s="49">
        <f>LEFT(J4681,2)</f>
        <v/>
      </c>
    </row>
    <row r="4682" ht="12.75" customHeight="1">
      <c r="H4682" s="43" t="n"/>
      <c r="AG4682" s="49">
        <f>IFERROR(__xludf.DUMMYFUNCTION("IFNA(vlookup(H4682,IMPORTRANGE(""1vUGwO1n0QQGx9kKbO0_M5gmuhXZ6-LaxQxgrmJnzgP0"",""'TP# look up'!A:C""),3,0),"""")"),"")</f>
        <v/>
      </c>
      <c r="AH4682" s="49">
        <f>LEFT(J4682,2)</f>
        <v/>
      </c>
    </row>
    <row r="4683" ht="12.75" customHeight="1">
      <c r="H4683" s="43" t="n"/>
      <c r="AG4683" s="49">
        <f>IFERROR(__xludf.DUMMYFUNCTION("IFNA(vlookup(H4683,IMPORTRANGE(""1vUGwO1n0QQGx9kKbO0_M5gmuhXZ6-LaxQxgrmJnzgP0"",""'TP# look up'!A:C""),3,0),"""")"),"")</f>
        <v/>
      </c>
      <c r="AH4683" s="49">
        <f>LEFT(J4683,2)</f>
        <v/>
      </c>
    </row>
    <row r="4684" ht="12.75" customHeight="1">
      <c r="H4684" s="43" t="n"/>
      <c r="AG4684" s="49">
        <f>IFERROR(__xludf.DUMMYFUNCTION("IFNA(vlookup(H4684,IMPORTRANGE(""1vUGwO1n0QQGx9kKbO0_M5gmuhXZ6-LaxQxgrmJnzgP0"",""'TP# look up'!A:C""),3,0),"""")"),"")</f>
        <v/>
      </c>
      <c r="AH4684" s="49">
        <f>LEFT(J4684,2)</f>
        <v/>
      </c>
    </row>
    <row r="4685" ht="12.75" customHeight="1">
      <c r="H4685" s="43" t="n"/>
      <c r="AG4685" s="49">
        <f>IFERROR(__xludf.DUMMYFUNCTION("IFNA(vlookup(H4685,IMPORTRANGE(""1vUGwO1n0QQGx9kKbO0_M5gmuhXZ6-LaxQxgrmJnzgP0"",""'TP# look up'!A:C""),3,0),"""")"),"")</f>
        <v/>
      </c>
      <c r="AH4685" s="49">
        <f>LEFT(J4685,2)</f>
        <v/>
      </c>
    </row>
    <row r="4686" ht="12.75" customHeight="1">
      <c r="H4686" s="43" t="n"/>
      <c r="AG4686" s="49">
        <f>IFERROR(__xludf.DUMMYFUNCTION("IFNA(vlookup(H4686,IMPORTRANGE(""1vUGwO1n0QQGx9kKbO0_M5gmuhXZ6-LaxQxgrmJnzgP0"",""'TP# look up'!A:C""),3,0),"""")"),"")</f>
        <v/>
      </c>
      <c r="AH4686" s="49">
        <f>LEFT(J4686,2)</f>
        <v/>
      </c>
    </row>
    <row r="4687" ht="12.75" customHeight="1">
      <c r="H4687" s="43" t="n"/>
      <c r="AG4687" s="49">
        <f>IFERROR(__xludf.DUMMYFUNCTION("IFNA(vlookup(H4687,IMPORTRANGE(""1vUGwO1n0QQGx9kKbO0_M5gmuhXZ6-LaxQxgrmJnzgP0"",""'TP# look up'!A:C""),3,0),"""")"),"")</f>
        <v/>
      </c>
      <c r="AH4687" s="49">
        <f>LEFT(J4687,2)</f>
        <v/>
      </c>
    </row>
    <row r="4688" ht="12.75" customHeight="1">
      <c r="H4688" s="43" t="n"/>
      <c r="AG4688" s="49">
        <f>IFERROR(__xludf.DUMMYFUNCTION("IFNA(vlookup(H4688,IMPORTRANGE(""1vUGwO1n0QQGx9kKbO0_M5gmuhXZ6-LaxQxgrmJnzgP0"",""'TP# look up'!A:C""),3,0),"""")"),"")</f>
        <v/>
      </c>
      <c r="AH4688" s="49">
        <f>LEFT(J4688,2)</f>
        <v/>
      </c>
    </row>
    <row r="4689" ht="12.75" customHeight="1">
      <c r="H4689" s="43" t="n"/>
      <c r="AG4689" s="49">
        <f>IFERROR(__xludf.DUMMYFUNCTION("IFNA(vlookup(H4689,IMPORTRANGE(""1vUGwO1n0QQGx9kKbO0_M5gmuhXZ6-LaxQxgrmJnzgP0"",""'TP# look up'!A:C""),3,0),"""")"),"")</f>
        <v/>
      </c>
      <c r="AH4689" s="49">
        <f>LEFT(J4689,2)</f>
        <v/>
      </c>
    </row>
    <row r="4690" ht="12.75" customHeight="1">
      <c r="H4690" s="43" t="n"/>
      <c r="AG4690" s="49">
        <f>IFERROR(__xludf.DUMMYFUNCTION("IFNA(vlookup(H4690,IMPORTRANGE(""1vUGwO1n0QQGx9kKbO0_M5gmuhXZ6-LaxQxgrmJnzgP0"",""'TP# look up'!A:C""),3,0),"""")"),"")</f>
        <v/>
      </c>
      <c r="AH4690" s="49">
        <f>LEFT(J4690,2)</f>
        <v/>
      </c>
    </row>
    <row r="4691" ht="12.75" customHeight="1">
      <c r="H4691" s="43" t="n"/>
      <c r="AG4691" s="49">
        <f>IFERROR(__xludf.DUMMYFUNCTION("IFNA(vlookup(H4691,IMPORTRANGE(""1vUGwO1n0QQGx9kKbO0_M5gmuhXZ6-LaxQxgrmJnzgP0"",""'TP# look up'!A:C""),3,0),"""")"),"")</f>
        <v/>
      </c>
      <c r="AH4691" s="49">
        <f>LEFT(J4691,2)</f>
        <v/>
      </c>
    </row>
    <row r="4692" ht="12.75" customHeight="1">
      <c r="H4692" s="43" t="n"/>
      <c r="AG4692" s="49">
        <f>IFERROR(__xludf.DUMMYFUNCTION("IFNA(vlookup(H4692,IMPORTRANGE(""1vUGwO1n0QQGx9kKbO0_M5gmuhXZ6-LaxQxgrmJnzgP0"",""'TP# look up'!A:C""),3,0),"""")"),"")</f>
        <v/>
      </c>
      <c r="AH4692" s="49">
        <f>LEFT(J4692,2)</f>
        <v/>
      </c>
    </row>
    <row r="4693" ht="12.75" customHeight="1">
      <c r="H4693" s="43" t="n"/>
      <c r="AG4693" s="49">
        <f>IFERROR(__xludf.DUMMYFUNCTION("IFNA(vlookup(H4693,IMPORTRANGE(""1vUGwO1n0QQGx9kKbO0_M5gmuhXZ6-LaxQxgrmJnzgP0"",""'TP# look up'!A:C""),3,0),"""")"),"")</f>
        <v/>
      </c>
      <c r="AH4693" s="49">
        <f>LEFT(J4693,2)</f>
        <v/>
      </c>
    </row>
    <row r="4694" ht="12.75" customHeight="1">
      <c r="H4694" s="43" t="n"/>
      <c r="AG4694" s="49">
        <f>IFERROR(__xludf.DUMMYFUNCTION("IFNA(vlookup(H4694,IMPORTRANGE(""1vUGwO1n0QQGx9kKbO0_M5gmuhXZ6-LaxQxgrmJnzgP0"",""'TP# look up'!A:C""),3,0),"""")"),"")</f>
        <v/>
      </c>
      <c r="AH4694" s="49">
        <f>LEFT(J4694,2)</f>
        <v/>
      </c>
    </row>
    <row r="4695" ht="12.75" customHeight="1">
      <c r="H4695" s="43" t="n"/>
      <c r="AG4695" s="49">
        <f>IFERROR(__xludf.DUMMYFUNCTION("IFNA(vlookup(H4695,IMPORTRANGE(""1vUGwO1n0QQGx9kKbO0_M5gmuhXZ6-LaxQxgrmJnzgP0"",""'TP# look up'!A:C""),3,0),"""")"),"")</f>
        <v/>
      </c>
      <c r="AH4695" s="49">
        <f>LEFT(J4695,2)</f>
        <v/>
      </c>
    </row>
    <row r="4696" ht="12.75" customHeight="1">
      <c r="H4696" s="43" t="n"/>
      <c r="AG4696" s="49">
        <f>IFERROR(__xludf.DUMMYFUNCTION("IFNA(vlookup(H4696,IMPORTRANGE(""1vUGwO1n0QQGx9kKbO0_M5gmuhXZ6-LaxQxgrmJnzgP0"",""'TP# look up'!A:C""),3,0),"""")"),"")</f>
        <v/>
      </c>
      <c r="AH4696" s="49">
        <f>LEFT(J4696,2)</f>
        <v/>
      </c>
    </row>
    <row r="4697" ht="12.75" customHeight="1">
      <c r="H4697" s="43" t="n"/>
      <c r="AG4697" s="49">
        <f>IFERROR(__xludf.DUMMYFUNCTION("IFNA(vlookup(H4697,IMPORTRANGE(""1vUGwO1n0QQGx9kKbO0_M5gmuhXZ6-LaxQxgrmJnzgP0"",""'TP# look up'!A:C""),3,0),"""")"),"")</f>
        <v/>
      </c>
      <c r="AH4697" s="49">
        <f>LEFT(J4697,2)</f>
        <v/>
      </c>
    </row>
    <row r="4698" ht="12.75" customHeight="1">
      <c r="H4698" s="43" t="n"/>
      <c r="AG4698" s="49">
        <f>IFERROR(__xludf.DUMMYFUNCTION("IFNA(vlookup(H4698,IMPORTRANGE(""1vUGwO1n0QQGx9kKbO0_M5gmuhXZ6-LaxQxgrmJnzgP0"",""'TP# look up'!A:C""),3,0),"""")"),"")</f>
        <v/>
      </c>
      <c r="AH4698" s="49">
        <f>LEFT(J4698,2)</f>
        <v/>
      </c>
    </row>
    <row r="4699" ht="12.75" customHeight="1">
      <c r="H4699" s="43" t="n"/>
      <c r="AG4699" s="49">
        <f>IFERROR(__xludf.DUMMYFUNCTION("IFNA(vlookup(H4699,IMPORTRANGE(""1vUGwO1n0QQGx9kKbO0_M5gmuhXZ6-LaxQxgrmJnzgP0"",""'TP# look up'!A:C""),3,0),"""")"),"")</f>
        <v/>
      </c>
      <c r="AH4699" s="49">
        <f>LEFT(J4699,2)</f>
        <v/>
      </c>
    </row>
    <row r="4700" ht="12.75" customHeight="1">
      <c r="H4700" s="43" t="n"/>
      <c r="AG4700" s="49">
        <f>IFERROR(__xludf.DUMMYFUNCTION("IFNA(vlookup(H4700,IMPORTRANGE(""1vUGwO1n0QQGx9kKbO0_M5gmuhXZ6-LaxQxgrmJnzgP0"",""'TP# look up'!A:C""),3,0),"""")"),"")</f>
        <v/>
      </c>
      <c r="AH4700" s="49">
        <f>LEFT(J4700,2)</f>
        <v/>
      </c>
    </row>
    <row r="4701" ht="12.75" customHeight="1">
      <c r="H4701" s="43" t="n"/>
      <c r="AG4701" s="49">
        <f>IFERROR(__xludf.DUMMYFUNCTION("IFNA(vlookup(H4701,IMPORTRANGE(""1vUGwO1n0QQGx9kKbO0_M5gmuhXZ6-LaxQxgrmJnzgP0"",""'TP# look up'!A:C""),3,0),"""")"),"")</f>
        <v/>
      </c>
      <c r="AH4701" s="49">
        <f>LEFT(J4701,2)</f>
        <v/>
      </c>
    </row>
    <row r="4702" ht="12.75" customHeight="1">
      <c r="H4702" s="43" t="n"/>
      <c r="AG4702" s="49">
        <f>IFERROR(__xludf.DUMMYFUNCTION("IFNA(vlookup(H4702,IMPORTRANGE(""1vUGwO1n0QQGx9kKbO0_M5gmuhXZ6-LaxQxgrmJnzgP0"",""'TP# look up'!A:C""),3,0),"""")"),"")</f>
        <v/>
      </c>
      <c r="AH4702" s="49">
        <f>LEFT(J4702,2)</f>
        <v/>
      </c>
    </row>
    <row r="4703" ht="12.75" customHeight="1">
      <c r="H4703" s="43" t="n"/>
      <c r="AG4703" s="49">
        <f>IFERROR(__xludf.DUMMYFUNCTION("IFNA(vlookup(H4703,IMPORTRANGE(""1vUGwO1n0QQGx9kKbO0_M5gmuhXZ6-LaxQxgrmJnzgP0"",""'TP# look up'!A:C""),3,0),"""")"),"")</f>
        <v/>
      </c>
      <c r="AH4703" s="49">
        <f>LEFT(J4703,2)</f>
        <v/>
      </c>
    </row>
    <row r="4704" ht="12.75" customHeight="1">
      <c r="H4704" s="43" t="n"/>
      <c r="AG4704" s="49">
        <f>IFERROR(__xludf.DUMMYFUNCTION("IFNA(vlookup(H4704,IMPORTRANGE(""1vUGwO1n0QQGx9kKbO0_M5gmuhXZ6-LaxQxgrmJnzgP0"",""'TP# look up'!A:C""),3,0),"""")"),"")</f>
        <v/>
      </c>
      <c r="AH4704" s="49">
        <f>LEFT(J4704,2)</f>
        <v/>
      </c>
    </row>
    <row r="4705" ht="12.75" customHeight="1">
      <c r="H4705" s="43" t="n"/>
      <c r="AG4705" s="49">
        <f>IFERROR(__xludf.DUMMYFUNCTION("IFNA(vlookup(H4705,IMPORTRANGE(""1vUGwO1n0QQGx9kKbO0_M5gmuhXZ6-LaxQxgrmJnzgP0"",""'TP# look up'!A:C""),3,0),"""")"),"")</f>
        <v/>
      </c>
      <c r="AH4705" s="49">
        <f>LEFT(J4705,2)</f>
        <v/>
      </c>
    </row>
    <row r="4706" ht="12.75" customHeight="1">
      <c r="H4706" s="43" t="n"/>
      <c r="AG4706" s="49">
        <f>IFERROR(__xludf.DUMMYFUNCTION("IFNA(vlookup(H4706,IMPORTRANGE(""1vUGwO1n0QQGx9kKbO0_M5gmuhXZ6-LaxQxgrmJnzgP0"",""'TP# look up'!A:C""),3,0),"""")"),"")</f>
        <v/>
      </c>
      <c r="AH4706" s="49">
        <f>LEFT(J4706,2)</f>
        <v/>
      </c>
    </row>
    <row r="4707" ht="12.75" customHeight="1">
      <c r="H4707" s="43" t="n"/>
      <c r="AG4707" s="49">
        <f>IFERROR(__xludf.DUMMYFUNCTION("IFNA(vlookup(H4707,IMPORTRANGE(""1vUGwO1n0QQGx9kKbO0_M5gmuhXZ6-LaxQxgrmJnzgP0"",""'TP# look up'!A:C""),3,0),"""")"),"")</f>
        <v/>
      </c>
      <c r="AH4707" s="49">
        <f>LEFT(J4707,2)</f>
        <v/>
      </c>
    </row>
    <row r="4708" ht="12.75" customHeight="1">
      <c r="H4708" s="43" t="n"/>
      <c r="AG4708" s="49">
        <f>IFERROR(__xludf.DUMMYFUNCTION("IFNA(vlookup(H4708,IMPORTRANGE(""1vUGwO1n0QQGx9kKbO0_M5gmuhXZ6-LaxQxgrmJnzgP0"",""'TP# look up'!A:C""),3,0),"""")"),"")</f>
        <v/>
      </c>
      <c r="AH4708" s="49">
        <f>LEFT(J4708,2)</f>
        <v/>
      </c>
    </row>
    <row r="4709" ht="12.75" customHeight="1">
      <c r="H4709" s="43" t="n"/>
      <c r="AG4709" s="49">
        <f>IFERROR(__xludf.DUMMYFUNCTION("IFNA(vlookup(H4709,IMPORTRANGE(""1vUGwO1n0QQGx9kKbO0_M5gmuhXZ6-LaxQxgrmJnzgP0"",""'TP# look up'!A:C""),3,0),"""")"),"")</f>
        <v/>
      </c>
      <c r="AH4709" s="49">
        <f>LEFT(J4709,2)</f>
        <v/>
      </c>
    </row>
    <row r="4710" ht="12.75" customHeight="1">
      <c r="H4710" s="43" t="n"/>
      <c r="AG4710" s="49">
        <f>IFERROR(__xludf.DUMMYFUNCTION("IFNA(vlookup(H4710,IMPORTRANGE(""1vUGwO1n0QQGx9kKbO0_M5gmuhXZ6-LaxQxgrmJnzgP0"",""'TP# look up'!A:C""),3,0),"""")"),"")</f>
        <v/>
      </c>
      <c r="AH4710" s="49">
        <f>LEFT(J4710,2)</f>
        <v/>
      </c>
    </row>
    <row r="4711" ht="12.75" customHeight="1">
      <c r="H4711" s="43" t="n"/>
      <c r="AG4711" s="49">
        <f>IFERROR(__xludf.DUMMYFUNCTION("IFNA(vlookup(H4711,IMPORTRANGE(""1vUGwO1n0QQGx9kKbO0_M5gmuhXZ6-LaxQxgrmJnzgP0"",""'TP# look up'!A:C""),3,0),"""")"),"")</f>
        <v/>
      </c>
      <c r="AH4711" s="49">
        <f>LEFT(J4711,2)</f>
        <v/>
      </c>
    </row>
    <row r="4712" ht="12.75" customHeight="1">
      <c r="H4712" s="43" t="n"/>
      <c r="AG4712" s="49">
        <f>IFERROR(__xludf.DUMMYFUNCTION("IFNA(vlookup(H4712,IMPORTRANGE(""1vUGwO1n0QQGx9kKbO0_M5gmuhXZ6-LaxQxgrmJnzgP0"",""'TP# look up'!A:C""),3,0),"""")"),"")</f>
        <v/>
      </c>
      <c r="AH4712" s="49">
        <f>LEFT(J4712,2)</f>
        <v/>
      </c>
    </row>
    <row r="4713" ht="12.75" customHeight="1">
      <c r="H4713" s="43" t="n"/>
      <c r="AG4713" s="49">
        <f>IFERROR(__xludf.DUMMYFUNCTION("IFNA(vlookup(H4713,IMPORTRANGE(""1vUGwO1n0QQGx9kKbO0_M5gmuhXZ6-LaxQxgrmJnzgP0"",""'TP# look up'!A:C""),3,0),"""")"),"")</f>
        <v/>
      </c>
      <c r="AH4713" s="49">
        <f>LEFT(J4713,2)</f>
        <v/>
      </c>
    </row>
    <row r="4714" ht="12.75" customHeight="1">
      <c r="H4714" s="43" t="n"/>
      <c r="AG4714" s="49">
        <f>IFERROR(__xludf.DUMMYFUNCTION("IFNA(vlookup(H4714,IMPORTRANGE(""1vUGwO1n0QQGx9kKbO0_M5gmuhXZ6-LaxQxgrmJnzgP0"",""'TP# look up'!A:C""),3,0),"""")"),"")</f>
        <v/>
      </c>
      <c r="AH4714" s="49">
        <f>LEFT(J4714,2)</f>
        <v/>
      </c>
    </row>
    <row r="4715" ht="12.75" customHeight="1">
      <c r="H4715" s="43" t="n"/>
      <c r="AG4715" s="49">
        <f>IFERROR(__xludf.DUMMYFUNCTION("IFNA(vlookup(H4715,IMPORTRANGE(""1vUGwO1n0QQGx9kKbO0_M5gmuhXZ6-LaxQxgrmJnzgP0"",""'TP# look up'!A:C""),3,0),"""")"),"")</f>
        <v/>
      </c>
      <c r="AH4715" s="49">
        <f>LEFT(J4715,2)</f>
        <v/>
      </c>
    </row>
    <row r="4716" ht="12.75" customHeight="1">
      <c r="H4716" s="43" t="n"/>
      <c r="AG4716" s="49">
        <f>IFERROR(__xludf.DUMMYFUNCTION("IFNA(vlookup(H4716,IMPORTRANGE(""1vUGwO1n0QQGx9kKbO0_M5gmuhXZ6-LaxQxgrmJnzgP0"",""'TP# look up'!A:C""),3,0),"""")"),"")</f>
        <v/>
      </c>
      <c r="AH4716" s="49">
        <f>LEFT(J4716,2)</f>
        <v/>
      </c>
    </row>
    <row r="4717" ht="12.75" customHeight="1">
      <c r="H4717" s="43" t="n"/>
      <c r="AG4717" s="49">
        <f>IFERROR(__xludf.DUMMYFUNCTION("IFNA(vlookup(H4717,IMPORTRANGE(""1vUGwO1n0QQGx9kKbO0_M5gmuhXZ6-LaxQxgrmJnzgP0"",""'TP# look up'!A:C""),3,0),"""")"),"")</f>
        <v/>
      </c>
      <c r="AH4717" s="49">
        <f>LEFT(J4717,2)</f>
        <v/>
      </c>
    </row>
    <row r="4718" ht="12.75" customHeight="1">
      <c r="H4718" s="43" t="n"/>
      <c r="AG4718" s="49">
        <f>IFERROR(__xludf.DUMMYFUNCTION("IFNA(vlookup(H4718,IMPORTRANGE(""1vUGwO1n0QQGx9kKbO0_M5gmuhXZ6-LaxQxgrmJnzgP0"",""'TP# look up'!A:C""),3,0),"""")"),"")</f>
        <v/>
      </c>
      <c r="AH4718" s="49">
        <f>LEFT(J4718,2)</f>
        <v/>
      </c>
    </row>
    <row r="4719" ht="12.75" customHeight="1">
      <c r="H4719" s="43" t="n"/>
      <c r="AG4719" s="49">
        <f>IFERROR(__xludf.DUMMYFUNCTION("IFNA(vlookup(H4719,IMPORTRANGE(""1vUGwO1n0QQGx9kKbO0_M5gmuhXZ6-LaxQxgrmJnzgP0"",""'TP# look up'!A:C""),3,0),"""")"),"")</f>
        <v/>
      </c>
      <c r="AH4719" s="49">
        <f>LEFT(J4719,2)</f>
        <v/>
      </c>
    </row>
    <row r="4720" ht="12.75" customHeight="1">
      <c r="H4720" s="43" t="n"/>
      <c r="AG4720" s="49">
        <f>IFERROR(__xludf.DUMMYFUNCTION("IFNA(vlookup(H4720,IMPORTRANGE(""1vUGwO1n0QQGx9kKbO0_M5gmuhXZ6-LaxQxgrmJnzgP0"",""'TP# look up'!A:C""),3,0),"""")"),"")</f>
        <v/>
      </c>
      <c r="AH4720" s="49">
        <f>LEFT(J4720,2)</f>
        <v/>
      </c>
    </row>
    <row r="4721" ht="12.75" customHeight="1">
      <c r="H4721" s="43" t="n"/>
      <c r="AG4721" s="49">
        <f>IFERROR(__xludf.DUMMYFUNCTION("IFNA(vlookup(H4721,IMPORTRANGE(""1vUGwO1n0QQGx9kKbO0_M5gmuhXZ6-LaxQxgrmJnzgP0"",""'TP# look up'!A:C""),3,0),"""")"),"")</f>
        <v/>
      </c>
      <c r="AH4721" s="49">
        <f>LEFT(J4721,2)</f>
        <v/>
      </c>
    </row>
    <row r="4722" ht="12.75" customHeight="1">
      <c r="H4722" s="43" t="n"/>
      <c r="AG4722" s="49">
        <f>IFERROR(__xludf.DUMMYFUNCTION("IFNA(vlookup(H4722,IMPORTRANGE(""1vUGwO1n0QQGx9kKbO0_M5gmuhXZ6-LaxQxgrmJnzgP0"",""'TP# look up'!A:C""),3,0),"""")"),"")</f>
        <v/>
      </c>
      <c r="AH4722" s="49">
        <f>LEFT(J4722,2)</f>
        <v/>
      </c>
    </row>
    <row r="4723" ht="12.75" customHeight="1">
      <c r="H4723" s="43" t="n"/>
      <c r="AG4723" s="49">
        <f>IFERROR(__xludf.DUMMYFUNCTION("IFNA(vlookup(H4723,IMPORTRANGE(""1vUGwO1n0QQGx9kKbO0_M5gmuhXZ6-LaxQxgrmJnzgP0"",""'TP# look up'!A:C""),3,0),"""")"),"")</f>
        <v/>
      </c>
      <c r="AH4723" s="49">
        <f>LEFT(J4723,2)</f>
        <v/>
      </c>
    </row>
    <row r="4724" ht="12.75" customHeight="1">
      <c r="H4724" s="43" t="n"/>
      <c r="AG4724" s="49">
        <f>IFERROR(__xludf.DUMMYFUNCTION("IFNA(vlookup(H4724,IMPORTRANGE(""1vUGwO1n0QQGx9kKbO0_M5gmuhXZ6-LaxQxgrmJnzgP0"",""'TP# look up'!A:C""),3,0),"""")"),"")</f>
        <v/>
      </c>
      <c r="AH4724" s="49">
        <f>LEFT(J4724,2)</f>
        <v/>
      </c>
    </row>
    <row r="4725" ht="12.75" customHeight="1">
      <c r="H4725" s="43" t="n"/>
      <c r="AG4725" s="49">
        <f>IFERROR(__xludf.DUMMYFUNCTION("IFNA(vlookup(H4725,IMPORTRANGE(""1vUGwO1n0QQGx9kKbO0_M5gmuhXZ6-LaxQxgrmJnzgP0"",""'TP# look up'!A:C""),3,0),"""")"),"")</f>
        <v/>
      </c>
      <c r="AH4725" s="49">
        <f>LEFT(J4725,2)</f>
        <v/>
      </c>
    </row>
    <row r="4726" ht="12.75" customHeight="1">
      <c r="H4726" s="43" t="n"/>
      <c r="AG4726" s="49">
        <f>IFERROR(__xludf.DUMMYFUNCTION("IFNA(vlookup(H4726,IMPORTRANGE(""1vUGwO1n0QQGx9kKbO0_M5gmuhXZ6-LaxQxgrmJnzgP0"",""'TP# look up'!A:C""),3,0),"""")"),"")</f>
        <v/>
      </c>
      <c r="AH4726" s="49">
        <f>LEFT(J4726,2)</f>
        <v/>
      </c>
    </row>
    <row r="4727" ht="12.75" customHeight="1">
      <c r="H4727" s="43" t="n"/>
      <c r="AG4727" s="49">
        <f>IFERROR(__xludf.DUMMYFUNCTION("IFNA(vlookup(H4727,IMPORTRANGE(""1vUGwO1n0QQGx9kKbO0_M5gmuhXZ6-LaxQxgrmJnzgP0"",""'TP# look up'!A:C""),3,0),"""")"),"")</f>
        <v/>
      </c>
      <c r="AH4727" s="49">
        <f>LEFT(J4727,2)</f>
        <v/>
      </c>
    </row>
    <row r="4728" ht="12.75" customHeight="1">
      <c r="H4728" s="43" t="n"/>
      <c r="AG4728" s="49">
        <f>IFERROR(__xludf.DUMMYFUNCTION("IFNA(vlookup(H4728,IMPORTRANGE(""1vUGwO1n0QQGx9kKbO0_M5gmuhXZ6-LaxQxgrmJnzgP0"",""'TP# look up'!A:C""),3,0),"""")"),"")</f>
        <v/>
      </c>
      <c r="AH4728" s="49">
        <f>LEFT(J4728,2)</f>
        <v/>
      </c>
    </row>
    <row r="4729" ht="12.75" customHeight="1">
      <c r="H4729" s="43" t="n"/>
      <c r="AG4729" s="49">
        <f>IFERROR(__xludf.DUMMYFUNCTION("IFNA(vlookup(H4729,IMPORTRANGE(""1vUGwO1n0QQGx9kKbO0_M5gmuhXZ6-LaxQxgrmJnzgP0"",""'TP# look up'!A:C""),3,0),"""")"),"")</f>
        <v/>
      </c>
      <c r="AH4729" s="49">
        <f>LEFT(J4729,2)</f>
        <v/>
      </c>
    </row>
    <row r="4730" ht="12.75" customHeight="1">
      <c r="H4730" s="43" t="n"/>
      <c r="AG4730" s="49">
        <f>IFERROR(__xludf.DUMMYFUNCTION("IFNA(vlookup(H4730,IMPORTRANGE(""1vUGwO1n0QQGx9kKbO0_M5gmuhXZ6-LaxQxgrmJnzgP0"",""'TP# look up'!A:C""),3,0),"""")"),"")</f>
        <v/>
      </c>
      <c r="AH4730" s="49">
        <f>LEFT(J4730,2)</f>
        <v/>
      </c>
    </row>
    <row r="4731" ht="12.75" customHeight="1">
      <c r="H4731" s="43" t="n"/>
      <c r="AG4731" s="49">
        <f>IFERROR(__xludf.DUMMYFUNCTION("IFNA(vlookup(H4731,IMPORTRANGE(""1vUGwO1n0QQGx9kKbO0_M5gmuhXZ6-LaxQxgrmJnzgP0"",""'TP# look up'!A:C""),3,0),"""")"),"")</f>
        <v/>
      </c>
      <c r="AH4731" s="49">
        <f>LEFT(J4731,2)</f>
        <v/>
      </c>
    </row>
    <row r="4732" ht="12.75" customHeight="1">
      <c r="H4732" s="43" t="n"/>
      <c r="AG4732" s="49">
        <f>IFERROR(__xludf.DUMMYFUNCTION("IFNA(vlookup(H4732,IMPORTRANGE(""1vUGwO1n0QQGx9kKbO0_M5gmuhXZ6-LaxQxgrmJnzgP0"",""'TP# look up'!A:C""),3,0),"""")"),"")</f>
        <v/>
      </c>
      <c r="AH4732" s="49">
        <f>LEFT(J4732,2)</f>
        <v/>
      </c>
    </row>
    <row r="4733" ht="12.75" customHeight="1">
      <c r="H4733" s="43" t="n"/>
      <c r="AG4733" s="49">
        <f>IFERROR(__xludf.DUMMYFUNCTION("IFNA(vlookup(H4733,IMPORTRANGE(""1vUGwO1n0QQGx9kKbO0_M5gmuhXZ6-LaxQxgrmJnzgP0"",""'TP# look up'!A:C""),3,0),"""")"),"")</f>
        <v/>
      </c>
      <c r="AH4733" s="49">
        <f>LEFT(J4733,2)</f>
        <v/>
      </c>
    </row>
    <row r="4734" ht="12.75" customHeight="1">
      <c r="H4734" s="43" t="n"/>
      <c r="AG4734" s="49">
        <f>IFERROR(__xludf.DUMMYFUNCTION("IFNA(vlookup(H4734,IMPORTRANGE(""1vUGwO1n0QQGx9kKbO0_M5gmuhXZ6-LaxQxgrmJnzgP0"",""'TP# look up'!A:C""),3,0),"""")"),"")</f>
        <v/>
      </c>
      <c r="AH4734" s="49">
        <f>LEFT(J4734,2)</f>
        <v/>
      </c>
    </row>
    <row r="4735" ht="12.75" customHeight="1">
      <c r="H4735" s="43" t="n"/>
      <c r="AG4735" s="49">
        <f>IFERROR(__xludf.DUMMYFUNCTION("IFNA(vlookup(H4735,IMPORTRANGE(""1vUGwO1n0QQGx9kKbO0_M5gmuhXZ6-LaxQxgrmJnzgP0"",""'TP# look up'!A:C""),3,0),"""")"),"")</f>
        <v/>
      </c>
      <c r="AH4735" s="49">
        <f>LEFT(J4735,2)</f>
        <v/>
      </c>
    </row>
    <row r="4736" ht="12.75" customHeight="1">
      <c r="H4736" s="43" t="n"/>
      <c r="AG4736" s="49">
        <f>IFERROR(__xludf.DUMMYFUNCTION("IFNA(vlookup(H4736,IMPORTRANGE(""1vUGwO1n0QQGx9kKbO0_M5gmuhXZ6-LaxQxgrmJnzgP0"",""'TP# look up'!A:C""),3,0),"""")"),"")</f>
        <v/>
      </c>
      <c r="AH4736" s="49">
        <f>LEFT(J4736,2)</f>
        <v/>
      </c>
    </row>
    <row r="4737" ht="12.75" customHeight="1">
      <c r="H4737" s="43" t="n"/>
      <c r="AG4737" s="49">
        <f>IFERROR(__xludf.DUMMYFUNCTION("IFNA(vlookup(H4737,IMPORTRANGE(""1vUGwO1n0QQGx9kKbO0_M5gmuhXZ6-LaxQxgrmJnzgP0"",""'TP# look up'!A:C""),3,0),"""")"),"")</f>
        <v/>
      </c>
      <c r="AH4737" s="49">
        <f>LEFT(J4737,2)</f>
        <v/>
      </c>
    </row>
    <row r="4738" ht="12.75" customHeight="1">
      <c r="H4738" s="43" t="n"/>
      <c r="AG4738" s="49">
        <f>IFERROR(__xludf.DUMMYFUNCTION("IFNA(vlookup(H4738,IMPORTRANGE(""1vUGwO1n0QQGx9kKbO0_M5gmuhXZ6-LaxQxgrmJnzgP0"",""'TP# look up'!A:C""),3,0),"""")"),"")</f>
        <v/>
      </c>
      <c r="AH4738" s="49">
        <f>LEFT(J4738,2)</f>
        <v/>
      </c>
    </row>
    <row r="4739" ht="12.75" customHeight="1">
      <c r="H4739" s="43" t="n"/>
      <c r="AG4739" s="49">
        <f>IFERROR(__xludf.DUMMYFUNCTION("IFNA(vlookup(H4739,IMPORTRANGE(""1vUGwO1n0QQGx9kKbO0_M5gmuhXZ6-LaxQxgrmJnzgP0"",""'TP# look up'!A:C""),3,0),"""")"),"")</f>
        <v/>
      </c>
      <c r="AH4739" s="49">
        <f>LEFT(J4739,2)</f>
        <v/>
      </c>
    </row>
    <row r="4740" ht="12.75" customHeight="1">
      <c r="H4740" s="43" t="n"/>
      <c r="AG4740" s="49">
        <f>IFERROR(__xludf.DUMMYFUNCTION("IFNA(vlookup(H4740,IMPORTRANGE(""1vUGwO1n0QQGx9kKbO0_M5gmuhXZ6-LaxQxgrmJnzgP0"",""'TP# look up'!A:C""),3,0),"""")"),"")</f>
        <v/>
      </c>
      <c r="AH4740" s="49">
        <f>LEFT(J4740,2)</f>
        <v/>
      </c>
    </row>
    <row r="4741" ht="12.75" customHeight="1">
      <c r="H4741" s="43" t="n"/>
      <c r="AG4741" s="49">
        <f>IFERROR(__xludf.DUMMYFUNCTION("IFNA(vlookup(H4741,IMPORTRANGE(""1vUGwO1n0QQGx9kKbO0_M5gmuhXZ6-LaxQxgrmJnzgP0"",""'TP# look up'!A:C""),3,0),"""")"),"")</f>
        <v/>
      </c>
      <c r="AH4741" s="49">
        <f>LEFT(J4741,2)</f>
        <v/>
      </c>
    </row>
    <row r="4742" ht="12.75" customHeight="1">
      <c r="H4742" s="43" t="n"/>
      <c r="AG4742" s="49">
        <f>IFERROR(__xludf.DUMMYFUNCTION("IFNA(vlookup(H4742,IMPORTRANGE(""1vUGwO1n0QQGx9kKbO0_M5gmuhXZ6-LaxQxgrmJnzgP0"",""'TP# look up'!A:C""),3,0),"""")"),"")</f>
        <v/>
      </c>
      <c r="AH4742" s="49">
        <f>LEFT(J4742,2)</f>
        <v/>
      </c>
    </row>
    <row r="4743" ht="12.75" customHeight="1">
      <c r="H4743" s="43" t="n"/>
      <c r="AG4743" s="49">
        <f>IFERROR(__xludf.DUMMYFUNCTION("IFNA(vlookup(H4743,IMPORTRANGE(""1vUGwO1n0QQGx9kKbO0_M5gmuhXZ6-LaxQxgrmJnzgP0"",""'TP# look up'!A:C""),3,0),"""")"),"")</f>
        <v/>
      </c>
      <c r="AH4743" s="49">
        <f>LEFT(J4743,2)</f>
        <v/>
      </c>
    </row>
    <row r="4744" ht="12.75" customHeight="1">
      <c r="H4744" s="43" t="n"/>
      <c r="AG4744" s="49">
        <f>IFERROR(__xludf.DUMMYFUNCTION("IFNA(vlookup(H4744,IMPORTRANGE(""1vUGwO1n0QQGx9kKbO0_M5gmuhXZ6-LaxQxgrmJnzgP0"",""'TP# look up'!A:C""),3,0),"""")"),"")</f>
        <v/>
      </c>
      <c r="AH4744" s="49">
        <f>LEFT(J4744,2)</f>
        <v/>
      </c>
    </row>
    <row r="4745" ht="12.75" customHeight="1">
      <c r="H4745" s="43" t="n"/>
      <c r="AG4745" s="49">
        <f>IFERROR(__xludf.DUMMYFUNCTION("IFNA(vlookup(H4745,IMPORTRANGE(""1vUGwO1n0QQGx9kKbO0_M5gmuhXZ6-LaxQxgrmJnzgP0"",""'TP# look up'!A:C""),3,0),"""")"),"")</f>
        <v/>
      </c>
      <c r="AH4745" s="49">
        <f>LEFT(J4745,2)</f>
        <v/>
      </c>
    </row>
    <row r="4746" ht="12.75" customHeight="1">
      <c r="H4746" s="43" t="n"/>
      <c r="AG4746" s="49">
        <f>IFERROR(__xludf.DUMMYFUNCTION("IFNA(vlookup(H4746,IMPORTRANGE(""1vUGwO1n0QQGx9kKbO0_M5gmuhXZ6-LaxQxgrmJnzgP0"",""'TP# look up'!A:C""),3,0),"""")"),"")</f>
        <v/>
      </c>
      <c r="AH4746" s="49">
        <f>LEFT(J4746,2)</f>
        <v/>
      </c>
    </row>
    <row r="4747" ht="12.75" customHeight="1">
      <c r="H4747" s="43" t="n"/>
      <c r="AG4747" s="49">
        <f>IFERROR(__xludf.DUMMYFUNCTION("IFNA(vlookup(H4747,IMPORTRANGE(""1vUGwO1n0QQGx9kKbO0_M5gmuhXZ6-LaxQxgrmJnzgP0"",""'TP# look up'!A:C""),3,0),"""")"),"")</f>
        <v/>
      </c>
      <c r="AH4747" s="49">
        <f>LEFT(J4747,2)</f>
        <v/>
      </c>
    </row>
    <row r="4748" ht="12.75" customHeight="1">
      <c r="H4748" s="43" t="n"/>
      <c r="AG4748" s="49">
        <f>IFERROR(__xludf.DUMMYFUNCTION("IFNA(vlookup(H4748,IMPORTRANGE(""1vUGwO1n0QQGx9kKbO0_M5gmuhXZ6-LaxQxgrmJnzgP0"",""'TP# look up'!A:C""),3,0),"""")"),"")</f>
        <v/>
      </c>
      <c r="AH4748" s="49">
        <f>LEFT(J4748,2)</f>
        <v/>
      </c>
    </row>
    <row r="4749" ht="12.75" customHeight="1">
      <c r="H4749" s="43" t="n"/>
      <c r="AG4749" s="49">
        <f>IFERROR(__xludf.DUMMYFUNCTION("IFNA(vlookup(H4749,IMPORTRANGE(""1vUGwO1n0QQGx9kKbO0_M5gmuhXZ6-LaxQxgrmJnzgP0"",""'TP# look up'!A:C""),3,0),"""")"),"")</f>
        <v/>
      </c>
      <c r="AH4749" s="49">
        <f>LEFT(J4749,2)</f>
        <v/>
      </c>
    </row>
    <row r="4750" ht="12.75" customHeight="1">
      <c r="H4750" s="43" t="n"/>
      <c r="AG4750" s="49">
        <f>IFERROR(__xludf.DUMMYFUNCTION("IFNA(vlookup(H4750,IMPORTRANGE(""1vUGwO1n0QQGx9kKbO0_M5gmuhXZ6-LaxQxgrmJnzgP0"",""'TP# look up'!A:C""),3,0),"""")"),"")</f>
        <v/>
      </c>
      <c r="AH4750" s="49">
        <f>LEFT(J4750,2)</f>
        <v/>
      </c>
    </row>
    <row r="4751" ht="12.75" customHeight="1">
      <c r="H4751" s="43" t="n"/>
      <c r="AG4751" s="49">
        <f>IFERROR(__xludf.DUMMYFUNCTION("IFNA(vlookup(H4751,IMPORTRANGE(""1vUGwO1n0QQGx9kKbO0_M5gmuhXZ6-LaxQxgrmJnzgP0"",""'TP# look up'!A:C""),3,0),"""")"),"")</f>
        <v/>
      </c>
      <c r="AH4751" s="49">
        <f>LEFT(J4751,2)</f>
        <v/>
      </c>
    </row>
    <row r="4752" ht="12.75" customHeight="1">
      <c r="H4752" s="43" t="n"/>
      <c r="AG4752" s="49">
        <f>IFERROR(__xludf.DUMMYFUNCTION("IFNA(vlookup(H4752,IMPORTRANGE(""1vUGwO1n0QQGx9kKbO0_M5gmuhXZ6-LaxQxgrmJnzgP0"",""'TP# look up'!A:C""),3,0),"""")"),"")</f>
        <v/>
      </c>
      <c r="AH4752" s="49">
        <f>LEFT(J4752,2)</f>
        <v/>
      </c>
    </row>
    <row r="4753" ht="12.75" customHeight="1">
      <c r="H4753" s="43" t="n"/>
      <c r="AG4753" s="49">
        <f>IFERROR(__xludf.DUMMYFUNCTION("IFNA(vlookup(H4753,IMPORTRANGE(""1vUGwO1n0QQGx9kKbO0_M5gmuhXZ6-LaxQxgrmJnzgP0"",""'TP# look up'!A:C""),3,0),"""")"),"")</f>
        <v/>
      </c>
      <c r="AH4753" s="49">
        <f>LEFT(J4753,2)</f>
        <v/>
      </c>
    </row>
    <row r="4754" ht="12.75" customHeight="1">
      <c r="H4754" s="43" t="n"/>
      <c r="AG4754" s="49">
        <f>IFERROR(__xludf.DUMMYFUNCTION("IFNA(vlookup(H4754,IMPORTRANGE(""1vUGwO1n0QQGx9kKbO0_M5gmuhXZ6-LaxQxgrmJnzgP0"",""'TP# look up'!A:C""),3,0),"""")"),"")</f>
        <v/>
      </c>
      <c r="AH4754" s="49">
        <f>LEFT(J4754,2)</f>
        <v/>
      </c>
    </row>
    <row r="4755" ht="12.75" customHeight="1">
      <c r="H4755" s="43" t="n"/>
      <c r="AG4755" s="49">
        <f>IFERROR(__xludf.DUMMYFUNCTION("IFNA(vlookup(H4755,IMPORTRANGE(""1vUGwO1n0QQGx9kKbO0_M5gmuhXZ6-LaxQxgrmJnzgP0"",""'TP# look up'!A:C""),3,0),"""")"),"")</f>
        <v/>
      </c>
      <c r="AH4755" s="49">
        <f>LEFT(J4755,2)</f>
        <v/>
      </c>
    </row>
    <row r="4756" ht="12.75" customHeight="1">
      <c r="H4756" s="43" t="n"/>
      <c r="AG4756" s="49">
        <f>IFERROR(__xludf.DUMMYFUNCTION("IFNA(vlookup(H4756,IMPORTRANGE(""1vUGwO1n0QQGx9kKbO0_M5gmuhXZ6-LaxQxgrmJnzgP0"",""'TP# look up'!A:C""),3,0),"""")"),"")</f>
        <v/>
      </c>
      <c r="AH4756" s="49">
        <f>LEFT(J4756,2)</f>
        <v/>
      </c>
    </row>
    <row r="4757" ht="12.75" customHeight="1">
      <c r="H4757" s="43" t="n"/>
      <c r="AG4757" s="49">
        <f>IFERROR(__xludf.DUMMYFUNCTION("IFNA(vlookup(H4757,IMPORTRANGE(""1vUGwO1n0QQGx9kKbO0_M5gmuhXZ6-LaxQxgrmJnzgP0"",""'TP# look up'!A:C""),3,0),"""")"),"")</f>
        <v/>
      </c>
      <c r="AH4757" s="49">
        <f>LEFT(J4757,2)</f>
        <v/>
      </c>
    </row>
    <row r="4758" ht="12.75" customHeight="1">
      <c r="H4758" s="43" t="n"/>
      <c r="AG4758" s="49">
        <f>IFERROR(__xludf.DUMMYFUNCTION("IFNA(vlookup(H4758,IMPORTRANGE(""1vUGwO1n0QQGx9kKbO0_M5gmuhXZ6-LaxQxgrmJnzgP0"",""'TP# look up'!A:C""),3,0),"""")"),"")</f>
        <v/>
      </c>
      <c r="AH4758" s="49">
        <f>LEFT(J4758,2)</f>
        <v/>
      </c>
    </row>
    <row r="4759" ht="12.75" customHeight="1">
      <c r="H4759" s="43" t="n"/>
      <c r="AG4759" s="49">
        <f>IFERROR(__xludf.DUMMYFUNCTION("IFNA(vlookup(H4759,IMPORTRANGE(""1vUGwO1n0QQGx9kKbO0_M5gmuhXZ6-LaxQxgrmJnzgP0"",""'TP# look up'!A:C""),3,0),"""")"),"")</f>
        <v/>
      </c>
      <c r="AH4759" s="49">
        <f>LEFT(J4759,2)</f>
        <v/>
      </c>
    </row>
    <row r="4760" ht="12.75" customHeight="1">
      <c r="H4760" s="43" t="n"/>
      <c r="AG4760" s="49">
        <f>IFERROR(__xludf.DUMMYFUNCTION("IFNA(vlookup(H4760,IMPORTRANGE(""1vUGwO1n0QQGx9kKbO0_M5gmuhXZ6-LaxQxgrmJnzgP0"",""'TP# look up'!A:C""),3,0),"""")"),"")</f>
        <v/>
      </c>
      <c r="AH4760" s="49">
        <f>LEFT(J4760,2)</f>
        <v/>
      </c>
    </row>
    <row r="4761" ht="12.75" customHeight="1">
      <c r="H4761" s="43" t="n"/>
      <c r="AG4761" s="49">
        <f>IFERROR(__xludf.DUMMYFUNCTION("IFNA(vlookup(H4761,IMPORTRANGE(""1vUGwO1n0QQGx9kKbO0_M5gmuhXZ6-LaxQxgrmJnzgP0"",""'TP# look up'!A:C""),3,0),"""")"),"")</f>
        <v/>
      </c>
      <c r="AH4761" s="49">
        <f>LEFT(J4761,2)</f>
        <v/>
      </c>
    </row>
    <row r="4762" ht="12.75" customHeight="1">
      <c r="H4762" s="43" t="n"/>
      <c r="AG4762" s="49">
        <f>IFERROR(__xludf.DUMMYFUNCTION("IFNA(vlookup(H4762,IMPORTRANGE(""1vUGwO1n0QQGx9kKbO0_M5gmuhXZ6-LaxQxgrmJnzgP0"",""'TP# look up'!A:C""),3,0),"""")"),"")</f>
        <v/>
      </c>
      <c r="AH4762" s="49">
        <f>LEFT(J4762,2)</f>
        <v/>
      </c>
    </row>
    <row r="4763" ht="12.75" customHeight="1">
      <c r="H4763" s="43" t="n"/>
      <c r="AG4763" s="49">
        <f>IFERROR(__xludf.DUMMYFUNCTION("IFNA(vlookup(H4763,IMPORTRANGE(""1vUGwO1n0QQGx9kKbO0_M5gmuhXZ6-LaxQxgrmJnzgP0"",""'TP# look up'!A:C""),3,0),"""")"),"")</f>
        <v/>
      </c>
      <c r="AH4763" s="49">
        <f>LEFT(J4763,2)</f>
        <v/>
      </c>
    </row>
    <row r="4764" ht="12.75" customHeight="1">
      <c r="H4764" s="43" t="n"/>
      <c r="AG4764" s="49">
        <f>IFERROR(__xludf.DUMMYFUNCTION("IFNA(vlookup(H4764,IMPORTRANGE(""1vUGwO1n0QQGx9kKbO0_M5gmuhXZ6-LaxQxgrmJnzgP0"",""'TP# look up'!A:C""),3,0),"""")"),"")</f>
        <v/>
      </c>
      <c r="AH4764" s="49">
        <f>LEFT(J4764,2)</f>
        <v/>
      </c>
    </row>
    <row r="4765" ht="12.75" customHeight="1">
      <c r="H4765" s="43" t="n"/>
      <c r="AG4765" s="49">
        <f>IFERROR(__xludf.DUMMYFUNCTION("IFNA(vlookup(H4765,IMPORTRANGE(""1vUGwO1n0QQGx9kKbO0_M5gmuhXZ6-LaxQxgrmJnzgP0"",""'TP# look up'!A:C""),3,0),"""")"),"")</f>
        <v/>
      </c>
      <c r="AH4765" s="49">
        <f>LEFT(J4765,2)</f>
        <v/>
      </c>
    </row>
    <row r="4766" ht="12.75" customHeight="1">
      <c r="H4766" s="43" t="n"/>
      <c r="AG4766" s="49">
        <f>IFERROR(__xludf.DUMMYFUNCTION("IFNA(vlookup(H4766,IMPORTRANGE(""1vUGwO1n0QQGx9kKbO0_M5gmuhXZ6-LaxQxgrmJnzgP0"",""'TP# look up'!A:C""),3,0),"""")"),"")</f>
        <v/>
      </c>
      <c r="AH4766" s="49">
        <f>LEFT(J4766,2)</f>
        <v/>
      </c>
    </row>
    <row r="4767" ht="12.75" customHeight="1">
      <c r="H4767" s="43" t="n"/>
      <c r="AG4767" s="49">
        <f>IFERROR(__xludf.DUMMYFUNCTION("IFNA(vlookup(H4767,IMPORTRANGE(""1vUGwO1n0QQGx9kKbO0_M5gmuhXZ6-LaxQxgrmJnzgP0"",""'TP# look up'!A:C""),3,0),"""")"),"")</f>
        <v/>
      </c>
      <c r="AH4767" s="49">
        <f>LEFT(J4767,2)</f>
        <v/>
      </c>
    </row>
    <row r="4768" ht="12.75" customHeight="1">
      <c r="H4768" s="43" t="n"/>
      <c r="AG4768" s="49">
        <f>IFERROR(__xludf.DUMMYFUNCTION("IFNA(vlookup(H4768,IMPORTRANGE(""1vUGwO1n0QQGx9kKbO0_M5gmuhXZ6-LaxQxgrmJnzgP0"",""'TP# look up'!A:C""),3,0),"""")"),"")</f>
        <v/>
      </c>
      <c r="AH4768" s="49">
        <f>LEFT(J4768,2)</f>
        <v/>
      </c>
    </row>
    <row r="4769" ht="12.75" customHeight="1">
      <c r="H4769" s="43" t="n"/>
      <c r="AG4769" s="49">
        <f>IFERROR(__xludf.DUMMYFUNCTION("IFNA(vlookup(H4769,IMPORTRANGE(""1vUGwO1n0QQGx9kKbO0_M5gmuhXZ6-LaxQxgrmJnzgP0"",""'TP# look up'!A:C""),3,0),"""")"),"")</f>
        <v/>
      </c>
      <c r="AH4769" s="49">
        <f>LEFT(J4769,2)</f>
        <v/>
      </c>
    </row>
    <row r="4770" ht="12.75" customHeight="1">
      <c r="H4770" s="43" t="n"/>
      <c r="AG4770" s="49">
        <f>IFERROR(__xludf.DUMMYFUNCTION("IFNA(vlookup(H4770,IMPORTRANGE(""1vUGwO1n0QQGx9kKbO0_M5gmuhXZ6-LaxQxgrmJnzgP0"",""'TP# look up'!A:C""),3,0),"""")"),"")</f>
        <v/>
      </c>
      <c r="AH4770" s="49">
        <f>LEFT(J4770,2)</f>
        <v/>
      </c>
    </row>
    <row r="4771" ht="12.75" customHeight="1">
      <c r="H4771" s="43" t="n"/>
      <c r="AG4771" s="49">
        <f>IFERROR(__xludf.DUMMYFUNCTION("IFNA(vlookup(H4771,IMPORTRANGE(""1vUGwO1n0QQGx9kKbO0_M5gmuhXZ6-LaxQxgrmJnzgP0"",""'TP# look up'!A:C""),3,0),"""")"),"")</f>
        <v/>
      </c>
      <c r="AH4771" s="49">
        <f>LEFT(J4771,2)</f>
        <v/>
      </c>
    </row>
    <row r="4772" ht="12.75" customHeight="1">
      <c r="H4772" s="43" t="n"/>
      <c r="AG4772" s="49">
        <f>IFERROR(__xludf.DUMMYFUNCTION("IFNA(vlookup(H4772,IMPORTRANGE(""1vUGwO1n0QQGx9kKbO0_M5gmuhXZ6-LaxQxgrmJnzgP0"",""'TP# look up'!A:C""),3,0),"""")"),"")</f>
        <v/>
      </c>
      <c r="AH4772" s="49">
        <f>LEFT(J4772,2)</f>
        <v/>
      </c>
    </row>
    <row r="4773" ht="12.75" customHeight="1">
      <c r="H4773" s="43" t="n"/>
      <c r="AG4773" s="49">
        <f>IFERROR(__xludf.DUMMYFUNCTION("IFNA(vlookup(H4773,IMPORTRANGE(""1vUGwO1n0QQGx9kKbO0_M5gmuhXZ6-LaxQxgrmJnzgP0"",""'TP# look up'!A:C""),3,0),"""")"),"")</f>
        <v/>
      </c>
      <c r="AH4773" s="49">
        <f>LEFT(J4773,2)</f>
        <v/>
      </c>
    </row>
    <row r="4774" ht="12.75" customHeight="1">
      <c r="H4774" s="43" t="n"/>
      <c r="AG4774" s="49">
        <f>IFERROR(__xludf.DUMMYFUNCTION("IFNA(vlookup(H4774,IMPORTRANGE(""1vUGwO1n0QQGx9kKbO0_M5gmuhXZ6-LaxQxgrmJnzgP0"",""'TP# look up'!A:C""),3,0),"""")"),"")</f>
        <v/>
      </c>
      <c r="AH4774" s="49">
        <f>LEFT(J4774,2)</f>
        <v/>
      </c>
    </row>
    <row r="4775" ht="12.75" customHeight="1">
      <c r="H4775" s="43" t="n"/>
      <c r="AG4775" s="49">
        <f>IFERROR(__xludf.DUMMYFUNCTION("IFNA(vlookup(H4775,IMPORTRANGE(""1vUGwO1n0QQGx9kKbO0_M5gmuhXZ6-LaxQxgrmJnzgP0"",""'TP# look up'!A:C""),3,0),"""")"),"")</f>
        <v/>
      </c>
      <c r="AH4775" s="49">
        <f>LEFT(J4775,2)</f>
        <v/>
      </c>
    </row>
    <row r="4776" ht="12.75" customHeight="1">
      <c r="H4776" s="43" t="n"/>
      <c r="AG4776" s="49">
        <f>IFERROR(__xludf.DUMMYFUNCTION("IFNA(vlookup(H4776,IMPORTRANGE(""1vUGwO1n0QQGx9kKbO0_M5gmuhXZ6-LaxQxgrmJnzgP0"",""'TP# look up'!A:C""),3,0),"""")"),"")</f>
        <v/>
      </c>
      <c r="AH4776" s="49">
        <f>LEFT(J4776,2)</f>
        <v/>
      </c>
    </row>
    <row r="4777" ht="12.75" customHeight="1">
      <c r="H4777" s="43" t="n"/>
      <c r="AG4777" s="49">
        <f>IFERROR(__xludf.DUMMYFUNCTION("IFNA(vlookup(H4777,IMPORTRANGE(""1vUGwO1n0QQGx9kKbO0_M5gmuhXZ6-LaxQxgrmJnzgP0"",""'TP# look up'!A:C""),3,0),"""")"),"")</f>
        <v/>
      </c>
      <c r="AH4777" s="49">
        <f>LEFT(J4777,2)</f>
        <v/>
      </c>
    </row>
    <row r="4778" ht="12.75" customHeight="1">
      <c r="H4778" s="43" t="n"/>
      <c r="AG4778" s="49">
        <f>IFERROR(__xludf.DUMMYFUNCTION("IFNA(vlookup(H4778,IMPORTRANGE(""1vUGwO1n0QQGx9kKbO0_M5gmuhXZ6-LaxQxgrmJnzgP0"",""'TP# look up'!A:C""),3,0),"""")"),"")</f>
        <v/>
      </c>
      <c r="AH4778" s="49">
        <f>LEFT(J4778,2)</f>
        <v/>
      </c>
    </row>
    <row r="4779" ht="12.75" customHeight="1">
      <c r="H4779" s="43" t="n"/>
      <c r="AG4779" s="49">
        <f>IFERROR(__xludf.DUMMYFUNCTION("IFNA(vlookup(H4779,IMPORTRANGE(""1vUGwO1n0QQGx9kKbO0_M5gmuhXZ6-LaxQxgrmJnzgP0"",""'TP# look up'!A:C""),3,0),"""")"),"")</f>
        <v/>
      </c>
      <c r="AH4779" s="49">
        <f>LEFT(J4779,2)</f>
        <v/>
      </c>
    </row>
    <row r="4780" ht="12.75" customHeight="1">
      <c r="H4780" s="43" t="n"/>
      <c r="AG4780" s="49">
        <f>IFERROR(__xludf.DUMMYFUNCTION("IFNA(vlookup(H4780,IMPORTRANGE(""1vUGwO1n0QQGx9kKbO0_M5gmuhXZ6-LaxQxgrmJnzgP0"",""'TP# look up'!A:C""),3,0),"""")"),"")</f>
        <v/>
      </c>
      <c r="AH4780" s="49">
        <f>LEFT(J4780,2)</f>
        <v/>
      </c>
    </row>
    <row r="4781" ht="12.75" customHeight="1">
      <c r="H4781" s="43" t="n"/>
      <c r="AG4781" s="49">
        <f>IFERROR(__xludf.DUMMYFUNCTION("IFNA(vlookup(H4781,IMPORTRANGE(""1vUGwO1n0QQGx9kKbO0_M5gmuhXZ6-LaxQxgrmJnzgP0"",""'TP# look up'!A:C""),3,0),"""")"),"")</f>
        <v/>
      </c>
      <c r="AH4781" s="49">
        <f>LEFT(J4781,2)</f>
        <v/>
      </c>
    </row>
    <row r="4782" ht="12.75" customHeight="1">
      <c r="H4782" s="43" t="n"/>
      <c r="AG4782" s="49">
        <f>IFERROR(__xludf.DUMMYFUNCTION("IFNA(vlookup(H4782,IMPORTRANGE(""1vUGwO1n0QQGx9kKbO0_M5gmuhXZ6-LaxQxgrmJnzgP0"",""'TP# look up'!A:C""),3,0),"""")"),"")</f>
        <v/>
      </c>
      <c r="AH4782" s="49">
        <f>LEFT(J4782,2)</f>
        <v/>
      </c>
    </row>
    <row r="4783" ht="12.75" customHeight="1">
      <c r="H4783" s="43" t="n"/>
      <c r="AG4783" s="49">
        <f>IFERROR(__xludf.DUMMYFUNCTION("IFNA(vlookup(H4783,IMPORTRANGE(""1vUGwO1n0QQGx9kKbO0_M5gmuhXZ6-LaxQxgrmJnzgP0"",""'TP# look up'!A:C""),3,0),"""")"),"")</f>
        <v/>
      </c>
      <c r="AH4783" s="49">
        <f>LEFT(J4783,2)</f>
        <v/>
      </c>
    </row>
    <row r="4784" ht="12.75" customHeight="1">
      <c r="H4784" s="43" t="n"/>
      <c r="AG4784" s="49">
        <f>IFERROR(__xludf.DUMMYFUNCTION("IFNA(vlookup(H4784,IMPORTRANGE(""1vUGwO1n0QQGx9kKbO0_M5gmuhXZ6-LaxQxgrmJnzgP0"",""'TP# look up'!A:C""),3,0),"""")"),"")</f>
        <v/>
      </c>
      <c r="AH4784" s="49">
        <f>LEFT(J4784,2)</f>
        <v/>
      </c>
    </row>
    <row r="4785" ht="12.75" customHeight="1">
      <c r="H4785" s="43" t="n"/>
      <c r="AG4785" s="49">
        <f>IFERROR(__xludf.DUMMYFUNCTION("IFNA(vlookup(H4785,IMPORTRANGE(""1vUGwO1n0QQGx9kKbO0_M5gmuhXZ6-LaxQxgrmJnzgP0"",""'TP# look up'!A:C""),3,0),"""")"),"")</f>
        <v/>
      </c>
      <c r="AH4785" s="49">
        <f>LEFT(J4785,2)</f>
        <v/>
      </c>
    </row>
    <row r="4786" ht="12.75" customHeight="1">
      <c r="H4786" s="43" t="n"/>
      <c r="AG4786" s="49">
        <f>IFERROR(__xludf.DUMMYFUNCTION("IFNA(vlookup(H4786,IMPORTRANGE(""1vUGwO1n0QQGx9kKbO0_M5gmuhXZ6-LaxQxgrmJnzgP0"",""'TP# look up'!A:C""),3,0),"""")"),"")</f>
        <v/>
      </c>
      <c r="AH4786" s="49">
        <f>LEFT(J4786,2)</f>
        <v/>
      </c>
    </row>
    <row r="4787" ht="12.75" customHeight="1">
      <c r="H4787" s="43" t="n"/>
      <c r="AG4787" s="49">
        <f>IFERROR(__xludf.DUMMYFUNCTION("IFNA(vlookup(H4787,IMPORTRANGE(""1vUGwO1n0QQGx9kKbO0_M5gmuhXZ6-LaxQxgrmJnzgP0"",""'TP# look up'!A:C""),3,0),"""")"),"")</f>
        <v/>
      </c>
      <c r="AH4787" s="49">
        <f>LEFT(J4787,2)</f>
        <v/>
      </c>
    </row>
    <row r="4788" ht="12.75" customHeight="1">
      <c r="H4788" s="43" t="n"/>
      <c r="AG4788" s="49">
        <f>IFERROR(__xludf.DUMMYFUNCTION("IFNA(vlookup(H4788,IMPORTRANGE(""1vUGwO1n0QQGx9kKbO0_M5gmuhXZ6-LaxQxgrmJnzgP0"",""'TP# look up'!A:C""),3,0),"""")"),"")</f>
        <v/>
      </c>
      <c r="AH4788" s="49">
        <f>LEFT(J4788,2)</f>
        <v/>
      </c>
    </row>
    <row r="4789" ht="12.75" customHeight="1">
      <c r="H4789" s="43" t="n"/>
      <c r="AG4789" s="49">
        <f>IFERROR(__xludf.DUMMYFUNCTION("IFNA(vlookup(H4789,IMPORTRANGE(""1vUGwO1n0QQGx9kKbO0_M5gmuhXZ6-LaxQxgrmJnzgP0"",""'TP# look up'!A:C""),3,0),"""")"),"")</f>
        <v/>
      </c>
      <c r="AH4789" s="49">
        <f>LEFT(J4789,2)</f>
        <v/>
      </c>
    </row>
    <row r="4790" ht="12.75" customHeight="1">
      <c r="H4790" s="43" t="n"/>
      <c r="AG4790" s="49">
        <f>IFERROR(__xludf.DUMMYFUNCTION("IFNA(vlookup(H4790,IMPORTRANGE(""1vUGwO1n0QQGx9kKbO0_M5gmuhXZ6-LaxQxgrmJnzgP0"",""'TP# look up'!A:C""),3,0),"""")"),"")</f>
        <v/>
      </c>
      <c r="AH4790" s="49">
        <f>LEFT(J4790,2)</f>
        <v/>
      </c>
    </row>
    <row r="4791" ht="12.75" customHeight="1">
      <c r="H4791" s="43" t="n"/>
      <c r="AG4791" s="49">
        <f>IFERROR(__xludf.DUMMYFUNCTION("IFNA(vlookup(H4791,IMPORTRANGE(""1vUGwO1n0QQGx9kKbO0_M5gmuhXZ6-LaxQxgrmJnzgP0"",""'TP# look up'!A:C""),3,0),"""")"),"")</f>
        <v/>
      </c>
      <c r="AH4791" s="49">
        <f>LEFT(J4791,2)</f>
        <v/>
      </c>
    </row>
    <row r="4792" ht="12.75" customHeight="1">
      <c r="H4792" s="43" t="n"/>
      <c r="AG4792" s="49">
        <f>IFERROR(__xludf.DUMMYFUNCTION("IFNA(vlookup(H4792,IMPORTRANGE(""1vUGwO1n0QQGx9kKbO0_M5gmuhXZ6-LaxQxgrmJnzgP0"",""'TP# look up'!A:C""),3,0),"""")"),"")</f>
        <v/>
      </c>
      <c r="AH4792" s="49">
        <f>LEFT(J4792,2)</f>
        <v/>
      </c>
    </row>
    <row r="4793" ht="12.75" customHeight="1">
      <c r="H4793" s="43" t="n"/>
      <c r="AG4793" s="49">
        <f>IFERROR(__xludf.DUMMYFUNCTION("IFNA(vlookup(H4793,IMPORTRANGE(""1vUGwO1n0QQGx9kKbO0_M5gmuhXZ6-LaxQxgrmJnzgP0"",""'TP# look up'!A:C""),3,0),"""")"),"")</f>
        <v/>
      </c>
      <c r="AH4793" s="49">
        <f>LEFT(J4793,2)</f>
        <v/>
      </c>
    </row>
    <row r="4794" ht="12.75" customHeight="1">
      <c r="H4794" s="43" t="n"/>
      <c r="AG4794" s="49">
        <f>IFERROR(__xludf.DUMMYFUNCTION("IFNA(vlookup(H4794,IMPORTRANGE(""1vUGwO1n0QQGx9kKbO0_M5gmuhXZ6-LaxQxgrmJnzgP0"",""'TP# look up'!A:C""),3,0),"""")"),"")</f>
        <v/>
      </c>
      <c r="AH4794" s="49">
        <f>LEFT(J4794,2)</f>
        <v/>
      </c>
    </row>
    <row r="4795" ht="12.75" customHeight="1">
      <c r="H4795" s="43" t="n"/>
      <c r="AG4795" s="49">
        <f>IFERROR(__xludf.DUMMYFUNCTION("IFNA(vlookup(H4795,IMPORTRANGE(""1vUGwO1n0QQGx9kKbO0_M5gmuhXZ6-LaxQxgrmJnzgP0"",""'TP# look up'!A:C""),3,0),"""")"),"")</f>
        <v/>
      </c>
      <c r="AH4795" s="49">
        <f>LEFT(J4795,2)</f>
        <v/>
      </c>
    </row>
    <row r="4796" ht="12.75" customHeight="1">
      <c r="H4796" s="43" t="n"/>
      <c r="AG4796" s="49">
        <f>IFERROR(__xludf.DUMMYFUNCTION("IFNA(vlookup(H4796,IMPORTRANGE(""1vUGwO1n0QQGx9kKbO0_M5gmuhXZ6-LaxQxgrmJnzgP0"",""'TP# look up'!A:C""),3,0),"""")"),"")</f>
        <v/>
      </c>
      <c r="AH4796" s="49">
        <f>LEFT(J4796,2)</f>
        <v/>
      </c>
    </row>
    <row r="4797" ht="12.75" customHeight="1">
      <c r="H4797" s="43" t="n"/>
      <c r="AG4797" s="49">
        <f>IFERROR(__xludf.DUMMYFUNCTION("IFNA(vlookup(H4797,IMPORTRANGE(""1vUGwO1n0QQGx9kKbO0_M5gmuhXZ6-LaxQxgrmJnzgP0"",""'TP# look up'!A:C""),3,0),"""")"),"")</f>
        <v/>
      </c>
      <c r="AH4797" s="49">
        <f>LEFT(J4797,2)</f>
        <v/>
      </c>
    </row>
    <row r="4798" ht="12.75" customHeight="1">
      <c r="H4798" s="43" t="n"/>
      <c r="AG4798" s="49">
        <f>IFERROR(__xludf.DUMMYFUNCTION("IFNA(vlookup(H4798,IMPORTRANGE(""1vUGwO1n0QQGx9kKbO0_M5gmuhXZ6-LaxQxgrmJnzgP0"",""'TP# look up'!A:C""),3,0),"""")"),"")</f>
        <v/>
      </c>
      <c r="AH4798" s="49">
        <f>LEFT(J4798,2)</f>
        <v/>
      </c>
    </row>
    <row r="4799" ht="12.75" customHeight="1">
      <c r="H4799" s="43" t="n"/>
      <c r="AG4799" s="49">
        <f>IFERROR(__xludf.DUMMYFUNCTION("IFNA(vlookup(H4799,IMPORTRANGE(""1vUGwO1n0QQGx9kKbO0_M5gmuhXZ6-LaxQxgrmJnzgP0"",""'TP# look up'!A:C""),3,0),"""")"),"")</f>
        <v/>
      </c>
      <c r="AH4799" s="49">
        <f>LEFT(J4799,2)</f>
        <v/>
      </c>
    </row>
    <row r="4800" ht="12.75" customHeight="1">
      <c r="H4800" s="43" t="n"/>
      <c r="AG4800" s="49">
        <f>IFERROR(__xludf.DUMMYFUNCTION("IFNA(vlookup(H4800,IMPORTRANGE(""1vUGwO1n0QQGx9kKbO0_M5gmuhXZ6-LaxQxgrmJnzgP0"",""'TP# look up'!A:C""),3,0),"""")"),"")</f>
        <v/>
      </c>
      <c r="AH4800" s="49">
        <f>LEFT(J4800,2)</f>
        <v/>
      </c>
    </row>
    <row r="4801" ht="12.75" customHeight="1">
      <c r="H4801" s="43" t="n"/>
      <c r="AG4801" s="49">
        <f>IFERROR(__xludf.DUMMYFUNCTION("IFNA(vlookup(H4801,IMPORTRANGE(""1vUGwO1n0QQGx9kKbO0_M5gmuhXZ6-LaxQxgrmJnzgP0"",""'TP# look up'!A:C""),3,0),"""")"),"")</f>
        <v/>
      </c>
      <c r="AH4801" s="49">
        <f>LEFT(J4801,2)</f>
        <v/>
      </c>
    </row>
    <row r="4802" ht="12.75" customHeight="1">
      <c r="H4802" s="43" t="n"/>
      <c r="AG4802" s="49">
        <f>IFERROR(__xludf.DUMMYFUNCTION("IFNA(vlookup(H4802,IMPORTRANGE(""1vUGwO1n0QQGx9kKbO0_M5gmuhXZ6-LaxQxgrmJnzgP0"",""'TP# look up'!A:C""),3,0),"""")"),"")</f>
        <v/>
      </c>
      <c r="AH4802" s="49">
        <f>LEFT(J4802,2)</f>
        <v/>
      </c>
    </row>
    <row r="4803" ht="12.75" customHeight="1">
      <c r="H4803" s="43" t="n"/>
      <c r="AG4803" s="49">
        <f>IFERROR(__xludf.DUMMYFUNCTION("IFNA(vlookup(H4803,IMPORTRANGE(""1vUGwO1n0QQGx9kKbO0_M5gmuhXZ6-LaxQxgrmJnzgP0"",""'TP# look up'!A:C""),3,0),"""")"),"")</f>
        <v/>
      </c>
      <c r="AH4803" s="49">
        <f>LEFT(J4803,2)</f>
        <v/>
      </c>
    </row>
    <row r="4804" ht="12.75" customHeight="1">
      <c r="H4804" s="43" t="n"/>
      <c r="AG4804" s="49">
        <f>IFERROR(__xludf.DUMMYFUNCTION("IFNA(vlookup(H4804,IMPORTRANGE(""1vUGwO1n0QQGx9kKbO0_M5gmuhXZ6-LaxQxgrmJnzgP0"",""'TP# look up'!A:C""),3,0),"""")"),"")</f>
        <v/>
      </c>
      <c r="AH4804" s="49">
        <f>LEFT(J4804,2)</f>
        <v/>
      </c>
    </row>
    <row r="4805" ht="12.75" customHeight="1">
      <c r="H4805" s="43" t="n"/>
      <c r="AG4805" s="49">
        <f>IFERROR(__xludf.DUMMYFUNCTION("IFNA(vlookup(H4805,IMPORTRANGE(""1vUGwO1n0QQGx9kKbO0_M5gmuhXZ6-LaxQxgrmJnzgP0"",""'TP# look up'!A:C""),3,0),"""")"),"")</f>
        <v/>
      </c>
      <c r="AH4805" s="49">
        <f>LEFT(J4805,2)</f>
        <v/>
      </c>
    </row>
    <row r="4806" ht="12.75" customHeight="1">
      <c r="H4806" s="43" t="n"/>
      <c r="AG4806" s="49">
        <f>IFERROR(__xludf.DUMMYFUNCTION("IFNA(vlookup(H4806,IMPORTRANGE(""1vUGwO1n0QQGx9kKbO0_M5gmuhXZ6-LaxQxgrmJnzgP0"",""'TP# look up'!A:C""),3,0),"""")"),"")</f>
        <v/>
      </c>
      <c r="AH4806" s="49">
        <f>LEFT(J4806,2)</f>
        <v/>
      </c>
    </row>
    <row r="4807" ht="12.75" customHeight="1">
      <c r="H4807" s="43" t="n"/>
      <c r="AG4807" s="49">
        <f>IFERROR(__xludf.DUMMYFUNCTION("IFNA(vlookup(H4807,IMPORTRANGE(""1vUGwO1n0QQGx9kKbO0_M5gmuhXZ6-LaxQxgrmJnzgP0"",""'TP# look up'!A:C""),3,0),"""")"),"")</f>
        <v/>
      </c>
      <c r="AH4807" s="49">
        <f>LEFT(J4807,2)</f>
        <v/>
      </c>
    </row>
    <row r="4808" ht="12.75" customHeight="1">
      <c r="H4808" s="43" t="n"/>
      <c r="AG4808" s="49">
        <f>IFERROR(__xludf.DUMMYFUNCTION("IFNA(vlookup(H4808,IMPORTRANGE(""1vUGwO1n0QQGx9kKbO0_M5gmuhXZ6-LaxQxgrmJnzgP0"",""'TP# look up'!A:C""),3,0),"""")"),"")</f>
        <v/>
      </c>
      <c r="AH4808" s="49">
        <f>LEFT(J4808,2)</f>
        <v/>
      </c>
    </row>
    <row r="4809" ht="12.75" customHeight="1">
      <c r="H4809" s="43" t="n"/>
      <c r="AG4809" s="49">
        <f>IFERROR(__xludf.DUMMYFUNCTION("IFNA(vlookup(H4809,IMPORTRANGE(""1vUGwO1n0QQGx9kKbO0_M5gmuhXZ6-LaxQxgrmJnzgP0"",""'TP# look up'!A:C""),3,0),"""")"),"")</f>
        <v/>
      </c>
      <c r="AH4809" s="49">
        <f>LEFT(J4809,2)</f>
        <v/>
      </c>
    </row>
    <row r="4810" ht="12.75" customHeight="1">
      <c r="H4810" s="43" t="n"/>
      <c r="AG4810" s="49">
        <f>IFERROR(__xludf.DUMMYFUNCTION("IFNA(vlookup(H4810,IMPORTRANGE(""1vUGwO1n0QQGx9kKbO0_M5gmuhXZ6-LaxQxgrmJnzgP0"",""'TP# look up'!A:C""),3,0),"""")"),"")</f>
        <v/>
      </c>
      <c r="AH4810" s="49">
        <f>LEFT(J4810,2)</f>
        <v/>
      </c>
    </row>
    <row r="4811" ht="12.75" customHeight="1">
      <c r="H4811" s="43" t="n"/>
      <c r="AG4811" s="49">
        <f>IFERROR(__xludf.DUMMYFUNCTION("IFNA(vlookup(H4811,IMPORTRANGE(""1vUGwO1n0QQGx9kKbO0_M5gmuhXZ6-LaxQxgrmJnzgP0"",""'TP# look up'!A:C""),3,0),"""")"),"")</f>
        <v/>
      </c>
      <c r="AH4811" s="49">
        <f>LEFT(J4811,2)</f>
        <v/>
      </c>
    </row>
    <row r="4812" ht="12.75" customHeight="1">
      <c r="H4812" s="43" t="n"/>
      <c r="AG4812" s="49">
        <f>IFERROR(__xludf.DUMMYFUNCTION("IFNA(vlookup(H4812,IMPORTRANGE(""1vUGwO1n0QQGx9kKbO0_M5gmuhXZ6-LaxQxgrmJnzgP0"",""'TP# look up'!A:C""),3,0),"""")"),"")</f>
        <v/>
      </c>
      <c r="AH4812" s="49">
        <f>LEFT(J4812,2)</f>
        <v/>
      </c>
    </row>
    <row r="4813" ht="12.75" customHeight="1">
      <c r="H4813" s="43" t="n"/>
      <c r="AG4813" s="49">
        <f>IFERROR(__xludf.DUMMYFUNCTION("IFNA(vlookup(H4813,IMPORTRANGE(""1vUGwO1n0QQGx9kKbO0_M5gmuhXZ6-LaxQxgrmJnzgP0"",""'TP# look up'!A:C""),3,0),"""")"),"")</f>
        <v/>
      </c>
      <c r="AH4813" s="49">
        <f>LEFT(J4813,2)</f>
        <v/>
      </c>
    </row>
    <row r="4814" ht="12.75" customHeight="1">
      <c r="H4814" s="43" t="n"/>
      <c r="AG4814" s="49">
        <f>IFERROR(__xludf.DUMMYFUNCTION("IFNA(vlookup(H4814,IMPORTRANGE(""1vUGwO1n0QQGx9kKbO0_M5gmuhXZ6-LaxQxgrmJnzgP0"",""'TP# look up'!A:C""),3,0),"""")"),"")</f>
        <v/>
      </c>
      <c r="AH4814" s="49">
        <f>LEFT(J4814,2)</f>
        <v/>
      </c>
    </row>
    <row r="4815" ht="12.75" customHeight="1">
      <c r="H4815" s="43" t="n"/>
      <c r="AG4815" s="49">
        <f>IFERROR(__xludf.DUMMYFUNCTION("IFNA(vlookup(H4815,IMPORTRANGE(""1vUGwO1n0QQGx9kKbO0_M5gmuhXZ6-LaxQxgrmJnzgP0"",""'TP# look up'!A:C""),3,0),"""")"),"")</f>
        <v/>
      </c>
      <c r="AH4815" s="49">
        <f>LEFT(J4815,2)</f>
        <v/>
      </c>
    </row>
    <row r="4816" ht="12.75" customHeight="1">
      <c r="H4816" s="43" t="n"/>
      <c r="AG4816" s="49">
        <f>IFERROR(__xludf.DUMMYFUNCTION("IFNA(vlookup(H4816,IMPORTRANGE(""1vUGwO1n0QQGx9kKbO0_M5gmuhXZ6-LaxQxgrmJnzgP0"",""'TP# look up'!A:C""),3,0),"""")"),"")</f>
        <v/>
      </c>
      <c r="AH4816" s="49">
        <f>LEFT(J4816,2)</f>
        <v/>
      </c>
    </row>
    <row r="4817" ht="12.75" customHeight="1">
      <c r="H4817" s="43" t="n"/>
      <c r="AG4817" s="49">
        <f>IFERROR(__xludf.DUMMYFUNCTION("IFNA(vlookup(H4817,IMPORTRANGE(""1vUGwO1n0QQGx9kKbO0_M5gmuhXZ6-LaxQxgrmJnzgP0"",""'TP# look up'!A:C""),3,0),"""")"),"")</f>
        <v/>
      </c>
      <c r="AH4817" s="49">
        <f>LEFT(J4817,2)</f>
        <v/>
      </c>
    </row>
    <row r="4818" ht="12.75" customHeight="1">
      <c r="H4818" s="43" t="n"/>
      <c r="AG4818" s="49">
        <f>IFERROR(__xludf.DUMMYFUNCTION("IFNA(vlookup(H4818,IMPORTRANGE(""1vUGwO1n0QQGx9kKbO0_M5gmuhXZ6-LaxQxgrmJnzgP0"",""'TP# look up'!A:C""),3,0),"""")"),"")</f>
        <v/>
      </c>
      <c r="AH4818" s="49">
        <f>LEFT(J4818,2)</f>
        <v/>
      </c>
    </row>
    <row r="4819" ht="12.75" customHeight="1">
      <c r="H4819" s="43" t="n"/>
      <c r="AG4819" s="49">
        <f>IFERROR(__xludf.DUMMYFUNCTION("IFNA(vlookup(H4819,IMPORTRANGE(""1vUGwO1n0QQGx9kKbO0_M5gmuhXZ6-LaxQxgrmJnzgP0"",""'TP# look up'!A:C""),3,0),"""")"),"")</f>
        <v/>
      </c>
      <c r="AH4819" s="49">
        <f>LEFT(J4819,2)</f>
        <v/>
      </c>
    </row>
    <row r="4820" ht="12.75" customHeight="1">
      <c r="H4820" s="43" t="n"/>
      <c r="AG4820" s="49">
        <f>IFERROR(__xludf.DUMMYFUNCTION("IFNA(vlookup(H4820,IMPORTRANGE(""1vUGwO1n0QQGx9kKbO0_M5gmuhXZ6-LaxQxgrmJnzgP0"",""'TP# look up'!A:C""),3,0),"""")"),"")</f>
        <v/>
      </c>
      <c r="AH4820" s="49">
        <f>LEFT(J4820,2)</f>
        <v/>
      </c>
    </row>
    <row r="4821" ht="12.75" customHeight="1">
      <c r="H4821" s="43" t="n"/>
      <c r="AG4821" s="49">
        <f>IFERROR(__xludf.DUMMYFUNCTION("IFNA(vlookup(H4821,IMPORTRANGE(""1vUGwO1n0QQGx9kKbO0_M5gmuhXZ6-LaxQxgrmJnzgP0"",""'TP# look up'!A:C""),3,0),"""")"),"")</f>
        <v/>
      </c>
      <c r="AH4821" s="49">
        <f>LEFT(J4821,2)</f>
        <v/>
      </c>
    </row>
    <row r="4822" ht="12.75" customHeight="1">
      <c r="H4822" s="43" t="n"/>
      <c r="AG4822" s="49">
        <f>IFERROR(__xludf.DUMMYFUNCTION("IFNA(vlookup(H4822,IMPORTRANGE(""1vUGwO1n0QQGx9kKbO0_M5gmuhXZ6-LaxQxgrmJnzgP0"",""'TP# look up'!A:C""),3,0),"""")"),"")</f>
        <v/>
      </c>
      <c r="AH4822" s="49">
        <f>LEFT(J4822,2)</f>
        <v/>
      </c>
    </row>
    <row r="4823" ht="12.75" customHeight="1">
      <c r="H4823" s="43" t="n"/>
      <c r="AG4823" s="49">
        <f>IFERROR(__xludf.DUMMYFUNCTION("IFNA(vlookup(H4823,IMPORTRANGE(""1vUGwO1n0QQGx9kKbO0_M5gmuhXZ6-LaxQxgrmJnzgP0"",""'TP# look up'!A:C""),3,0),"""")"),"")</f>
        <v/>
      </c>
      <c r="AH4823" s="49">
        <f>LEFT(J4823,2)</f>
        <v/>
      </c>
    </row>
    <row r="4824" ht="12.75" customHeight="1">
      <c r="H4824" s="43" t="n"/>
      <c r="AG4824" s="49">
        <f>IFERROR(__xludf.DUMMYFUNCTION("IFNA(vlookup(H4824,IMPORTRANGE(""1vUGwO1n0QQGx9kKbO0_M5gmuhXZ6-LaxQxgrmJnzgP0"",""'TP# look up'!A:C""),3,0),"""")"),"")</f>
        <v/>
      </c>
      <c r="AH4824" s="49">
        <f>LEFT(J4824,2)</f>
        <v/>
      </c>
    </row>
    <row r="4825" ht="12.75" customHeight="1">
      <c r="H4825" s="43" t="n"/>
      <c r="AG4825" s="49">
        <f>IFERROR(__xludf.DUMMYFUNCTION("IFNA(vlookup(H4825,IMPORTRANGE(""1vUGwO1n0QQGx9kKbO0_M5gmuhXZ6-LaxQxgrmJnzgP0"",""'TP# look up'!A:C""),3,0),"""")"),"")</f>
        <v/>
      </c>
      <c r="AH4825" s="49">
        <f>LEFT(J4825,2)</f>
        <v/>
      </c>
    </row>
    <row r="4826" ht="12.75" customHeight="1">
      <c r="H4826" s="43" t="n"/>
      <c r="AG4826" s="49">
        <f>IFERROR(__xludf.DUMMYFUNCTION("IFNA(vlookup(H4826,IMPORTRANGE(""1vUGwO1n0QQGx9kKbO0_M5gmuhXZ6-LaxQxgrmJnzgP0"",""'TP# look up'!A:C""),3,0),"""")"),"")</f>
        <v/>
      </c>
      <c r="AH4826" s="49">
        <f>LEFT(J4826,2)</f>
        <v/>
      </c>
    </row>
    <row r="4827" ht="12.75" customHeight="1">
      <c r="H4827" s="43" t="n"/>
      <c r="AG4827" s="49">
        <f>IFERROR(__xludf.DUMMYFUNCTION("IFNA(vlookup(H4827,IMPORTRANGE(""1vUGwO1n0QQGx9kKbO0_M5gmuhXZ6-LaxQxgrmJnzgP0"",""'TP# look up'!A:C""),3,0),"""")"),"")</f>
        <v/>
      </c>
      <c r="AH4827" s="49">
        <f>LEFT(J4827,2)</f>
        <v/>
      </c>
    </row>
    <row r="4828" ht="12.75" customHeight="1">
      <c r="H4828" s="43" t="n"/>
      <c r="AG4828" s="49">
        <f>IFERROR(__xludf.DUMMYFUNCTION("IFNA(vlookup(H4828,IMPORTRANGE(""1vUGwO1n0QQGx9kKbO0_M5gmuhXZ6-LaxQxgrmJnzgP0"",""'TP# look up'!A:C""),3,0),"""")"),"")</f>
        <v/>
      </c>
      <c r="AH4828" s="49">
        <f>LEFT(J4828,2)</f>
        <v/>
      </c>
    </row>
    <row r="4829" ht="12.75" customHeight="1">
      <c r="H4829" s="43" t="n"/>
      <c r="AG4829" s="49">
        <f>IFERROR(__xludf.DUMMYFUNCTION("IFNA(vlookup(H4829,IMPORTRANGE(""1vUGwO1n0QQGx9kKbO0_M5gmuhXZ6-LaxQxgrmJnzgP0"",""'TP# look up'!A:C""),3,0),"""")"),"")</f>
        <v/>
      </c>
      <c r="AH4829" s="49">
        <f>LEFT(J4829,2)</f>
        <v/>
      </c>
    </row>
    <row r="4830" ht="12.75" customHeight="1">
      <c r="H4830" s="43" t="n"/>
      <c r="AG4830" s="49">
        <f>IFERROR(__xludf.DUMMYFUNCTION("IFNA(vlookup(H4830,IMPORTRANGE(""1vUGwO1n0QQGx9kKbO0_M5gmuhXZ6-LaxQxgrmJnzgP0"",""'TP# look up'!A:C""),3,0),"""")"),"")</f>
        <v/>
      </c>
      <c r="AH4830" s="49">
        <f>LEFT(J4830,2)</f>
        <v/>
      </c>
    </row>
    <row r="4831" ht="12.75" customHeight="1">
      <c r="H4831" s="43" t="n"/>
      <c r="AG4831" s="49">
        <f>IFERROR(__xludf.DUMMYFUNCTION("IFNA(vlookup(H4831,IMPORTRANGE(""1vUGwO1n0QQGx9kKbO0_M5gmuhXZ6-LaxQxgrmJnzgP0"",""'TP# look up'!A:C""),3,0),"""")"),"")</f>
        <v/>
      </c>
      <c r="AH4831" s="49">
        <f>LEFT(J4831,2)</f>
        <v/>
      </c>
    </row>
    <row r="4832" ht="12.75" customHeight="1">
      <c r="H4832" s="43" t="n"/>
      <c r="AG4832" s="49">
        <f>IFERROR(__xludf.DUMMYFUNCTION("IFNA(vlookup(H4832,IMPORTRANGE(""1vUGwO1n0QQGx9kKbO0_M5gmuhXZ6-LaxQxgrmJnzgP0"",""'TP# look up'!A:C""),3,0),"""")"),"")</f>
        <v/>
      </c>
      <c r="AH4832" s="49">
        <f>LEFT(J4832,2)</f>
        <v/>
      </c>
    </row>
    <row r="4833" ht="12.75" customHeight="1">
      <c r="H4833" s="43" t="n"/>
      <c r="AG4833" s="49">
        <f>IFERROR(__xludf.DUMMYFUNCTION("IFNA(vlookup(H4833,IMPORTRANGE(""1vUGwO1n0QQGx9kKbO0_M5gmuhXZ6-LaxQxgrmJnzgP0"",""'TP# look up'!A:C""),3,0),"""")"),"")</f>
        <v/>
      </c>
      <c r="AH4833" s="49">
        <f>LEFT(J4833,2)</f>
        <v/>
      </c>
    </row>
    <row r="4834" ht="12.75" customHeight="1">
      <c r="H4834" s="43" t="n"/>
      <c r="AG4834" s="49">
        <f>IFERROR(__xludf.DUMMYFUNCTION("IFNA(vlookup(H4834,IMPORTRANGE(""1vUGwO1n0QQGx9kKbO0_M5gmuhXZ6-LaxQxgrmJnzgP0"",""'TP# look up'!A:C""),3,0),"""")"),"")</f>
        <v/>
      </c>
      <c r="AH4834" s="49">
        <f>LEFT(J4834,2)</f>
        <v/>
      </c>
    </row>
    <row r="4835" ht="12.75" customHeight="1">
      <c r="H4835" s="43" t="n"/>
      <c r="AG4835" s="49">
        <f>IFERROR(__xludf.DUMMYFUNCTION("IFNA(vlookup(H4835,IMPORTRANGE(""1vUGwO1n0QQGx9kKbO0_M5gmuhXZ6-LaxQxgrmJnzgP0"",""'TP# look up'!A:C""),3,0),"""")"),"")</f>
        <v/>
      </c>
      <c r="AH4835" s="49">
        <f>LEFT(J4835,2)</f>
        <v/>
      </c>
    </row>
    <row r="4836" ht="12.75" customHeight="1">
      <c r="H4836" s="43" t="n"/>
      <c r="AG4836" s="49">
        <f>IFERROR(__xludf.DUMMYFUNCTION("IFNA(vlookup(H4836,IMPORTRANGE(""1vUGwO1n0QQGx9kKbO0_M5gmuhXZ6-LaxQxgrmJnzgP0"",""'TP# look up'!A:C""),3,0),"""")"),"")</f>
        <v/>
      </c>
      <c r="AH4836" s="49">
        <f>LEFT(J4836,2)</f>
        <v/>
      </c>
    </row>
    <row r="4837" ht="12.75" customHeight="1">
      <c r="H4837" s="43" t="n"/>
      <c r="AG4837" s="49">
        <f>IFERROR(__xludf.DUMMYFUNCTION("IFNA(vlookup(H4837,IMPORTRANGE(""1vUGwO1n0QQGx9kKbO0_M5gmuhXZ6-LaxQxgrmJnzgP0"",""'TP# look up'!A:C""),3,0),"""")"),"")</f>
        <v/>
      </c>
      <c r="AH4837" s="49">
        <f>LEFT(J4837,2)</f>
        <v/>
      </c>
    </row>
    <row r="4838" ht="12.75" customHeight="1">
      <c r="H4838" s="43" t="n"/>
      <c r="AG4838" s="49">
        <f>IFERROR(__xludf.DUMMYFUNCTION("IFNA(vlookup(H4838,IMPORTRANGE(""1vUGwO1n0QQGx9kKbO0_M5gmuhXZ6-LaxQxgrmJnzgP0"",""'TP# look up'!A:C""),3,0),"""")"),"")</f>
        <v/>
      </c>
      <c r="AH4838" s="49">
        <f>LEFT(J4838,2)</f>
        <v/>
      </c>
    </row>
    <row r="4839" ht="12.75" customHeight="1">
      <c r="H4839" s="43" t="n"/>
      <c r="AG4839" s="49">
        <f>IFERROR(__xludf.DUMMYFUNCTION("IFNA(vlookup(H4839,IMPORTRANGE(""1vUGwO1n0QQGx9kKbO0_M5gmuhXZ6-LaxQxgrmJnzgP0"",""'TP# look up'!A:C""),3,0),"""")"),"")</f>
        <v/>
      </c>
      <c r="AH4839" s="49">
        <f>LEFT(J4839,2)</f>
        <v/>
      </c>
    </row>
    <row r="4840" ht="12.75" customHeight="1">
      <c r="H4840" s="43" t="n"/>
      <c r="AG4840" s="49">
        <f>IFERROR(__xludf.DUMMYFUNCTION("IFNA(vlookup(H4840,IMPORTRANGE(""1vUGwO1n0QQGx9kKbO0_M5gmuhXZ6-LaxQxgrmJnzgP0"",""'TP# look up'!A:C""),3,0),"""")"),"")</f>
        <v/>
      </c>
      <c r="AH4840" s="49">
        <f>LEFT(J4840,2)</f>
        <v/>
      </c>
    </row>
    <row r="4841" ht="12.75" customHeight="1">
      <c r="H4841" s="43" t="n"/>
      <c r="AG4841" s="49">
        <f>IFERROR(__xludf.DUMMYFUNCTION("IFNA(vlookup(H4841,IMPORTRANGE(""1vUGwO1n0QQGx9kKbO0_M5gmuhXZ6-LaxQxgrmJnzgP0"",""'TP# look up'!A:C""),3,0),"""")"),"")</f>
        <v/>
      </c>
      <c r="AH4841" s="49">
        <f>LEFT(J4841,2)</f>
        <v/>
      </c>
    </row>
    <row r="4842" ht="12.75" customHeight="1">
      <c r="H4842" s="43" t="n"/>
      <c r="AG4842" s="49">
        <f>IFERROR(__xludf.DUMMYFUNCTION("IFNA(vlookup(H4842,IMPORTRANGE(""1vUGwO1n0QQGx9kKbO0_M5gmuhXZ6-LaxQxgrmJnzgP0"",""'TP# look up'!A:C""),3,0),"""")"),"")</f>
        <v/>
      </c>
      <c r="AH4842" s="49">
        <f>LEFT(J4842,2)</f>
        <v/>
      </c>
    </row>
    <row r="4843" ht="12.75" customHeight="1">
      <c r="H4843" s="43" t="n"/>
      <c r="AG4843" s="49">
        <f>IFERROR(__xludf.DUMMYFUNCTION("IFNA(vlookup(H4843,IMPORTRANGE(""1vUGwO1n0QQGx9kKbO0_M5gmuhXZ6-LaxQxgrmJnzgP0"",""'TP# look up'!A:C""),3,0),"""")"),"")</f>
        <v/>
      </c>
      <c r="AH4843" s="49">
        <f>LEFT(J4843,2)</f>
        <v/>
      </c>
    </row>
    <row r="4844" ht="12.75" customHeight="1">
      <c r="H4844" s="43" t="n"/>
      <c r="AG4844" s="49">
        <f>IFERROR(__xludf.DUMMYFUNCTION("IFNA(vlookup(H4844,IMPORTRANGE(""1vUGwO1n0QQGx9kKbO0_M5gmuhXZ6-LaxQxgrmJnzgP0"",""'TP# look up'!A:C""),3,0),"""")"),"")</f>
        <v/>
      </c>
      <c r="AH4844" s="49">
        <f>LEFT(J4844,2)</f>
        <v/>
      </c>
    </row>
    <row r="4845" ht="12.75" customHeight="1">
      <c r="H4845" s="43" t="n"/>
      <c r="AG4845" s="49">
        <f>IFERROR(__xludf.DUMMYFUNCTION("IFNA(vlookup(H4845,IMPORTRANGE(""1vUGwO1n0QQGx9kKbO0_M5gmuhXZ6-LaxQxgrmJnzgP0"",""'TP# look up'!A:C""),3,0),"""")"),"")</f>
        <v/>
      </c>
      <c r="AH4845" s="49">
        <f>LEFT(J4845,2)</f>
        <v/>
      </c>
    </row>
    <row r="4846" ht="12.75" customHeight="1">
      <c r="H4846" s="43" t="n"/>
      <c r="AG4846" s="49">
        <f>IFERROR(__xludf.DUMMYFUNCTION("IFNA(vlookup(H4846,IMPORTRANGE(""1vUGwO1n0QQGx9kKbO0_M5gmuhXZ6-LaxQxgrmJnzgP0"",""'TP# look up'!A:C""),3,0),"""")"),"")</f>
        <v/>
      </c>
      <c r="AH4846" s="49">
        <f>LEFT(J4846,2)</f>
        <v/>
      </c>
    </row>
    <row r="4847" ht="12.75" customHeight="1">
      <c r="H4847" s="43" t="n"/>
      <c r="AG4847" s="49">
        <f>IFERROR(__xludf.DUMMYFUNCTION("IFNA(vlookup(H4847,IMPORTRANGE(""1vUGwO1n0QQGx9kKbO0_M5gmuhXZ6-LaxQxgrmJnzgP0"",""'TP# look up'!A:C""),3,0),"""")"),"")</f>
        <v/>
      </c>
      <c r="AH4847" s="49">
        <f>LEFT(J4847,2)</f>
        <v/>
      </c>
    </row>
    <row r="4848" ht="12.75" customHeight="1">
      <c r="H4848" s="43" t="n"/>
      <c r="AG4848" s="49">
        <f>IFERROR(__xludf.DUMMYFUNCTION("IFNA(vlookup(H4848,IMPORTRANGE(""1vUGwO1n0QQGx9kKbO0_M5gmuhXZ6-LaxQxgrmJnzgP0"",""'TP# look up'!A:C""),3,0),"""")"),"")</f>
        <v/>
      </c>
      <c r="AH4848" s="49">
        <f>LEFT(J4848,2)</f>
        <v/>
      </c>
    </row>
    <row r="4849" ht="12.75" customHeight="1">
      <c r="H4849" s="43" t="n"/>
      <c r="AG4849" s="49">
        <f>IFERROR(__xludf.DUMMYFUNCTION("IFNA(vlookup(H4849,IMPORTRANGE(""1vUGwO1n0QQGx9kKbO0_M5gmuhXZ6-LaxQxgrmJnzgP0"",""'TP# look up'!A:C""),3,0),"""")"),"")</f>
        <v/>
      </c>
      <c r="AH4849" s="49">
        <f>LEFT(J4849,2)</f>
        <v/>
      </c>
    </row>
    <row r="4850" ht="12.75" customHeight="1">
      <c r="H4850" s="43" t="n"/>
      <c r="AG4850" s="49">
        <f>IFERROR(__xludf.DUMMYFUNCTION("IFNA(vlookup(H4850,IMPORTRANGE(""1vUGwO1n0QQGx9kKbO0_M5gmuhXZ6-LaxQxgrmJnzgP0"",""'TP# look up'!A:C""),3,0),"""")"),"")</f>
        <v/>
      </c>
      <c r="AH4850" s="49">
        <f>LEFT(J4850,2)</f>
        <v/>
      </c>
    </row>
    <row r="4851" ht="12.75" customHeight="1">
      <c r="H4851" s="43" t="n"/>
      <c r="AG4851" s="49">
        <f>IFERROR(__xludf.DUMMYFUNCTION("IFNA(vlookup(H4851,IMPORTRANGE(""1vUGwO1n0QQGx9kKbO0_M5gmuhXZ6-LaxQxgrmJnzgP0"",""'TP# look up'!A:C""),3,0),"""")"),"")</f>
        <v/>
      </c>
      <c r="AH4851" s="49">
        <f>LEFT(J4851,2)</f>
        <v/>
      </c>
    </row>
    <row r="4852" ht="12.75" customHeight="1">
      <c r="H4852" s="43" t="n"/>
      <c r="AG4852" s="49">
        <f>IFERROR(__xludf.DUMMYFUNCTION("IFNA(vlookup(H4852,IMPORTRANGE(""1vUGwO1n0QQGx9kKbO0_M5gmuhXZ6-LaxQxgrmJnzgP0"",""'TP# look up'!A:C""),3,0),"""")"),"")</f>
        <v/>
      </c>
      <c r="AH4852" s="49">
        <f>LEFT(J4852,2)</f>
        <v/>
      </c>
    </row>
    <row r="4853" ht="12.75" customHeight="1">
      <c r="H4853" s="43" t="n"/>
      <c r="AG4853" s="49">
        <f>IFERROR(__xludf.DUMMYFUNCTION("IFNA(vlookup(H4853,IMPORTRANGE(""1vUGwO1n0QQGx9kKbO0_M5gmuhXZ6-LaxQxgrmJnzgP0"",""'TP# look up'!A:C""),3,0),"""")"),"")</f>
        <v/>
      </c>
      <c r="AH4853" s="49">
        <f>LEFT(J4853,2)</f>
        <v/>
      </c>
    </row>
    <row r="4854" ht="12.75" customHeight="1">
      <c r="H4854" s="43" t="n"/>
      <c r="AG4854" s="49">
        <f>IFERROR(__xludf.DUMMYFUNCTION("IFNA(vlookup(H4854,IMPORTRANGE(""1vUGwO1n0QQGx9kKbO0_M5gmuhXZ6-LaxQxgrmJnzgP0"",""'TP# look up'!A:C""),3,0),"""")"),"")</f>
        <v/>
      </c>
      <c r="AH4854" s="49">
        <f>LEFT(J4854,2)</f>
        <v/>
      </c>
    </row>
    <row r="4855" ht="12.75" customHeight="1">
      <c r="H4855" s="43" t="n"/>
      <c r="AG4855" s="49">
        <f>IFERROR(__xludf.DUMMYFUNCTION("IFNA(vlookup(H4855,IMPORTRANGE(""1vUGwO1n0QQGx9kKbO0_M5gmuhXZ6-LaxQxgrmJnzgP0"",""'TP# look up'!A:C""),3,0),"""")"),"")</f>
        <v/>
      </c>
      <c r="AH4855" s="49">
        <f>LEFT(J4855,2)</f>
        <v/>
      </c>
    </row>
    <row r="4856" ht="12.75" customHeight="1">
      <c r="H4856" s="43" t="n"/>
      <c r="AG4856" s="49">
        <f>IFERROR(__xludf.DUMMYFUNCTION("IFNA(vlookup(H4856,IMPORTRANGE(""1vUGwO1n0QQGx9kKbO0_M5gmuhXZ6-LaxQxgrmJnzgP0"",""'TP# look up'!A:C""),3,0),"""")"),"")</f>
        <v/>
      </c>
      <c r="AH4856" s="49">
        <f>LEFT(J4856,2)</f>
        <v/>
      </c>
    </row>
    <row r="4857" ht="12.75" customHeight="1">
      <c r="H4857" s="43" t="n"/>
      <c r="AG4857" s="49">
        <f>IFERROR(__xludf.DUMMYFUNCTION("IFNA(vlookup(H4857,IMPORTRANGE(""1vUGwO1n0QQGx9kKbO0_M5gmuhXZ6-LaxQxgrmJnzgP0"",""'TP# look up'!A:C""),3,0),"""")"),"")</f>
        <v/>
      </c>
      <c r="AH4857" s="49">
        <f>LEFT(J4857,2)</f>
        <v/>
      </c>
    </row>
    <row r="4858" ht="12.75" customHeight="1">
      <c r="H4858" s="43" t="n"/>
      <c r="AG4858" s="49">
        <f>IFERROR(__xludf.DUMMYFUNCTION("IFNA(vlookup(H4858,IMPORTRANGE(""1vUGwO1n0QQGx9kKbO0_M5gmuhXZ6-LaxQxgrmJnzgP0"",""'TP# look up'!A:C""),3,0),"""")"),"")</f>
        <v/>
      </c>
      <c r="AH4858" s="49">
        <f>LEFT(J4858,2)</f>
        <v/>
      </c>
    </row>
    <row r="4859" ht="12.75" customHeight="1">
      <c r="H4859" s="43" t="n"/>
      <c r="AG4859" s="49">
        <f>IFERROR(__xludf.DUMMYFUNCTION("IFNA(vlookup(H4859,IMPORTRANGE(""1vUGwO1n0QQGx9kKbO0_M5gmuhXZ6-LaxQxgrmJnzgP0"",""'TP# look up'!A:C""),3,0),"""")"),"")</f>
        <v/>
      </c>
      <c r="AH4859" s="49">
        <f>LEFT(J4859,2)</f>
        <v/>
      </c>
    </row>
    <row r="4860" ht="12.75" customHeight="1">
      <c r="H4860" s="43" t="n"/>
      <c r="AG4860" s="49">
        <f>IFERROR(__xludf.DUMMYFUNCTION("IFNA(vlookup(H4860,IMPORTRANGE(""1vUGwO1n0QQGx9kKbO0_M5gmuhXZ6-LaxQxgrmJnzgP0"",""'TP# look up'!A:C""),3,0),"""")"),"")</f>
        <v/>
      </c>
      <c r="AH4860" s="49">
        <f>LEFT(J4860,2)</f>
        <v/>
      </c>
    </row>
    <row r="4861" ht="12.75" customHeight="1">
      <c r="H4861" s="43" t="n"/>
      <c r="AG4861" s="49">
        <f>IFERROR(__xludf.DUMMYFUNCTION("IFNA(vlookup(H4861,IMPORTRANGE(""1vUGwO1n0QQGx9kKbO0_M5gmuhXZ6-LaxQxgrmJnzgP0"",""'TP# look up'!A:C""),3,0),"""")"),"")</f>
        <v/>
      </c>
      <c r="AH4861" s="49">
        <f>LEFT(J4861,2)</f>
        <v/>
      </c>
    </row>
    <row r="4862" ht="12.75" customHeight="1">
      <c r="H4862" s="43" t="n"/>
      <c r="AG4862" s="49">
        <f>IFERROR(__xludf.DUMMYFUNCTION("IFNA(vlookup(H4862,IMPORTRANGE(""1vUGwO1n0QQGx9kKbO0_M5gmuhXZ6-LaxQxgrmJnzgP0"",""'TP# look up'!A:C""),3,0),"""")"),"")</f>
        <v/>
      </c>
      <c r="AH4862" s="49">
        <f>LEFT(J4862,2)</f>
        <v/>
      </c>
    </row>
    <row r="4863" ht="12.75" customHeight="1">
      <c r="H4863" s="43" t="n"/>
      <c r="AG4863" s="49">
        <f>IFERROR(__xludf.DUMMYFUNCTION("IFNA(vlookup(H4863,IMPORTRANGE(""1vUGwO1n0QQGx9kKbO0_M5gmuhXZ6-LaxQxgrmJnzgP0"",""'TP# look up'!A:C""),3,0),"""")"),"")</f>
        <v/>
      </c>
      <c r="AH4863" s="49">
        <f>LEFT(J4863,2)</f>
        <v/>
      </c>
    </row>
    <row r="4864" ht="12.75" customHeight="1">
      <c r="H4864" s="43" t="n"/>
      <c r="AG4864" s="49">
        <f>IFERROR(__xludf.DUMMYFUNCTION("IFNA(vlookup(H4864,IMPORTRANGE(""1vUGwO1n0QQGx9kKbO0_M5gmuhXZ6-LaxQxgrmJnzgP0"",""'TP# look up'!A:C""),3,0),"""")"),"")</f>
        <v/>
      </c>
      <c r="AH4864" s="49">
        <f>LEFT(J4864,2)</f>
        <v/>
      </c>
    </row>
    <row r="4865" ht="12.75" customHeight="1">
      <c r="H4865" s="43" t="n"/>
      <c r="AG4865" s="49">
        <f>IFERROR(__xludf.DUMMYFUNCTION("IFNA(vlookup(H4865,IMPORTRANGE(""1vUGwO1n0QQGx9kKbO0_M5gmuhXZ6-LaxQxgrmJnzgP0"",""'TP# look up'!A:C""),3,0),"""")"),"")</f>
        <v/>
      </c>
      <c r="AH4865" s="49">
        <f>LEFT(J4865,2)</f>
        <v/>
      </c>
    </row>
    <row r="4866" ht="12.75" customHeight="1">
      <c r="H4866" s="43" t="n"/>
      <c r="AG4866" s="49">
        <f>IFERROR(__xludf.DUMMYFUNCTION("IFNA(vlookup(H4866,IMPORTRANGE(""1vUGwO1n0QQGx9kKbO0_M5gmuhXZ6-LaxQxgrmJnzgP0"",""'TP# look up'!A:C""),3,0),"""")"),"")</f>
        <v/>
      </c>
      <c r="AH4866" s="49">
        <f>LEFT(J4866,2)</f>
        <v/>
      </c>
    </row>
    <row r="4867" ht="12.75" customHeight="1">
      <c r="H4867" s="43" t="n"/>
      <c r="AG4867" s="49">
        <f>IFERROR(__xludf.DUMMYFUNCTION("IFNA(vlookup(H4867,IMPORTRANGE(""1vUGwO1n0QQGx9kKbO0_M5gmuhXZ6-LaxQxgrmJnzgP0"",""'TP# look up'!A:C""),3,0),"""")"),"")</f>
        <v/>
      </c>
      <c r="AH4867" s="49">
        <f>LEFT(J4867,2)</f>
        <v/>
      </c>
    </row>
    <row r="4868" ht="12.75" customHeight="1">
      <c r="H4868" s="43" t="n"/>
      <c r="AG4868" s="49">
        <f>IFERROR(__xludf.DUMMYFUNCTION("IFNA(vlookup(H4868,IMPORTRANGE(""1vUGwO1n0QQGx9kKbO0_M5gmuhXZ6-LaxQxgrmJnzgP0"",""'TP# look up'!A:C""),3,0),"""")"),"")</f>
        <v/>
      </c>
      <c r="AH4868" s="49">
        <f>LEFT(J4868,2)</f>
        <v/>
      </c>
    </row>
    <row r="4869" ht="12.75" customHeight="1">
      <c r="H4869" s="43" t="n"/>
      <c r="AG4869" s="49">
        <f>IFERROR(__xludf.DUMMYFUNCTION("IFNA(vlookup(H4869,IMPORTRANGE(""1vUGwO1n0QQGx9kKbO0_M5gmuhXZ6-LaxQxgrmJnzgP0"",""'TP# look up'!A:C""),3,0),"""")"),"")</f>
        <v/>
      </c>
      <c r="AH4869" s="49">
        <f>LEFT(J4869,2)</f>
        <v/>
      </c>
    </row>
    <row r="4870" ht="12.75" customHeight="1">
      <c r="H4870" s="43" t="n"/>
      <c r="AG4870" s="49">
        <f>IFERROR(__xludf.DUMMYFUNCTION("IFNA(vlookup(H4870,IMPORTRANGE(""1vUGwO1n0QQGx9kKbO0_M5gmuhXZ6-LaxQxgrmJnzgP0"",""'TP# look up'!A:C""),3,0),"""")"),"")</f>
        <v/>
      </c>
      <c r="AH4870" s="49">
        <f>LEFT(J4870,2)</f>
        <v/>
      </c>
    </row>
    <row r="4871" ht="12.75" customHeight="1">
      <c r="H4871" s="43" t="n"/>
      <c r="AG4871" s="49">
        <f>IFERROR(__xludf.DUMMYFUNCTION("IFNA(vlookup(H4871,IMPORTRANGE(""1vUGwO1n0QQGx9kKbO0_M5gmuhXZ6-LaxQxgrmJnzgP0"",""'TP# look up'!A:C""),3,0),"""")"),"")</f>
        <v/>
      </c>
      <c r="AH4871" s="49">
        <f>LEFT(J4871,2)</f>
        <v/>
      </c>
    </row>
    <row r="4872" ht="12.75" customHeight="1">
      <c r="H4872" s="43" t="n"/>
      <c r="AG4872" s="49">
        <f>IFERROR(__xludf.DUMMYFUNCTION("IFNA(vlookup(H4872,IMPORTRANGE(""1vUGwO1n0QQGx9kKbO0_M5gmuhXZ6-LaxQxgrmJnzgP0"",""'TP# look up'!A:C""),3,0),"""")"),"")</f>
        <v/>
      </c>
      <c r="AH4872" s="49">
        <f>LEFT(J4872,2)</f>
        <v/>
      </c>
    </row>
    <row r="4873" ht="12.75" customHeight="1">
      <c r="H4873" s="43" t="n"/>
      <c r="AG4873" s="49">
        <f>IFERROR(__xludf.DUMMYFUNCTION("IFNA(vlookup(H4873,IMPORTRANGE(""1vUGwO1n0QQGx9kKbO0_M5gmuhXZ6-LaxQxgrmJnzgP0"",""'TP# look up'!A:C""),3,0),"""")"),"")</f>
        <v/>
      </c>
      <c r="AH4873" s="49">
        <f>LEFT(J4873,2)</f>
        <v/>
      </c>
    </row>
    <row r="4874" ht="12.75" customHeight="1">
      <c r="H4874" s="43" t="n"/>
      <c r="AG4874" s="49">
        <f>IFERROR(__xludf.DUMMYFUNCTION("IFNA(vlookup(H4874,IMPORTRANGE(""1vUGwO1n0QQGx9kKbO0_M5gmuhXZ6-LaxQxgrmJnzgP0"",""'TP# look up'!A:C""),3,0),"""")"),"")</f>
        <v/>
      </c>
      <c r="AH4874" s="49">
        <f>LEFT(J4874,2)</f>
        <v/>
      </c>
    </row>
    <row r="4875" ht="12.75" customHeight="1">
      <c r="H4875" s="43" t="n"/>
      <c r="AG4875" s="49">
        <f>IFERROR(__xludf.DUMMYFUNCTION("IFNA(vlookup(H4875,IMPORTRANGE(""1vUGwO1n0QQGx9kKbO0_M5gmuhXZ6-LaxQxgrmJnzgP0"",""'TP# look up'!A:C""),3,0),"""")"),"")</f>
        <v/>
      </c>
      <c r="AH4875" s="49">
        <f>LEFT(J4875,2)</f>
        <v/>
      </c>
    </row>
    <row r="4876" ht="12.75" customHeight="1">
      <c r="H4876" s="43" t="n"/>
      <c r="AG4876" s="49">
        <f>IFERROR(__xludf.DUMMYFUNCTION("IFNA(vlookup(H4876,IMPORTRANGE(""1vUGwO1n0QQGx9kKbO0_M5gmuhXZ6-LaxQxgrmJnzgP0"",""'TP# look up'!A:C""),3,0),"""")"),"")</f>
        <v/>
      </c>
      <c r="AH4876" s="49">
        <f>LEFT(J4876,2)</f>
        <v/>
      </c>
    </row>
    <row r="4877" ht="12.75" customHeight="1">
      <c r="H4877" s="43" t="n"/>
      <c r="AG4877" s="49">
        <f>IFERROR(__xludf.DUMMYFUNCTION("IFNA(vlookup(H4877,IMPORTRANGE(""1vUGwO1n0QQGx9kKbO0_M5gmuhXZ6-LaxQxgrmJnzgP0"",""'TP# look up'!A:C""),3,0),"""")"),"")</f>
        <v/>
      </c>
      <c r="AH4877" s="49">
        <f>LEFT(J4877,2)</f>
        <v/>
      </c>
    </row>
    <row r="4878" ht="12.75" customHeight="1">
      <c r="H4878" s="43" t="n"/>
      <c r="AG4878" s="49">
        <f>IFERROR(__xludf.DUMMYFUNCTION("IFNA(vlookup(H4878,IMPORTRANGE(""1vUGwO1n0QQGx9kKbO0_M5gmuhXZ6-LaxQxgrmJnzgP0"",""'TP# look up'!A:C""),3,0),"""")"),"")</f>
        <v/>
      </c>
      <c r="AH4878" s="49">
        <f>LEFT(J4878,2)</f>
        <v/>
      </c>
    </row>
    <row r="4879" ht="12.75" customHeight="1">
      <c r="H4879" s="43" t="n"/>
      <c r="AG4879" s="49">
        <f>IFERROR(__xludf.DUMMYFUNCTION("IFNA(vlookup(H4879,IMPORTRANGE(""1vUGwO1n0QQGx9kKbO0_M5gmuhXZ6-LaxQxgrmJnzgP0"",""'TP# look up'!A:C""),3,0),"""")"),"")</f>
        <v/>
      </c>
      <c r="AH4879" s="49">
        <f>LEFT(J4879,2)</f>
        <v/>
      </c>
    </row>
    <row r="4880" ht="12.75" customHeight="1">
      <c r="H4880" s="43" t="n"/>
      <c r="AG4880" s="49">
        <f>IFERROR(__xludf.DUMMYFUNCTION("IFNA(vlookup(H4880,IMPORTRANGE(""1vUGwO1n0QQGx9kKbO0_M5gmuhXZ6-LaxQxgrmJnzgP0"",""'TP# look up'!A:C""),3,0),"""")"),"")</f>
        <v/>
      </c>
      <c r="AH4880" s="49">
        <f>LEFT(J4880,2)</f>
        <v/>
      </c>
    </row>
    <row r="4881" ht="12.75" customHeight="1">
      <c r="H4881" s="43" t="n"/>
      <c r="AG4881" s="49">
        <f>IFERROR(__xludf.DUMMYFUNCTION("IFNA(vlookup(H4881,IMPORTRANGE(""1vUGwO1n0QQGx9kKbO0_M5gmuhXZ6-LaxQxgrmJnzgP0"",""'TP# look up'!A:C""),3,0),"""")"),"")</f>
        <v/>
      </c>
      <c r="AH4881" s="49">
        <f>LEFT(J4881,2)</f>
        <v/>
      </c>
    </row>
    <row r="4882" ht="12.75" customHeight="1">
      <c r="H4882" s="43" t="n"/>
      <c r="AG4882" s="49">
        <f>IFERROR(__xludf.DUMMYFUNCTION("IFNA(vlookup(H4882,IMPORTRANGE(""1vUGwO1n0QQGx9kKbO0_M5gmuhXZ6-LaxQxgrmJnzgP0"",""'TP# look up'!A:C""),3,0),"""")"),"")</f>
        <v/>
      </c>
      <c r="AH4882" s="49">
        <f>LEFT(J4882,2)</f>
        <v/>
      </c>
    </row>
    <row r="4883" ht="12.75" customHeight="1">
      <c r="H4883" s="43" t="n"/>
      <c r="AG4883" s="49">
        <f>IFERROR(__xludf.DUMMYFUNCTION("IFNA(vlookup(H4883,IMPORTRANGE(""1vUGwO1n0QQGx9kKbO0_M5gmuhXZ6-LaxQxgrmJnzgP0"",""'TP# look up'!A:C""),3,0),"""")"),"")</f>
        <v/>
      </c>
      <c r="AH4883" s="49">
        <f>LEFT(J4883,2)</f>
        <v/>
      </c>
    </row>
    <row r="4884" ht="12.75" customHeight="1">
      <c r="H4884" s="43" t="n"/>
      <c r="AG4884" s="49">
        <f>IFERROR(__xludf.DUMMYFUNCTION("IFNA(vlookup(H4884,IMPORTRANGE(""1vUGwO1n0QQGx9kKbO0_M5gmuhXZ6-LaxQxgrmJnzgP0"",""'TP# look up'!A:C""),3,0),"""")"),"")</f>
        <v/>
      </c>
      <c r="AH4884" s="49">
        <f>LEFT(J4884,2)</f>
        <v/>
      </c>
    </row>
    <row r="4885" ht="12.75" customHeight="1">
      <c r="H4885" s="43" t="n"/>
      <c r="AG4885" s="49">
        <f>IFERROR(__xludf.DUMMYFUNCTION("IFNA(vlookup(H4885,IMPORTRANGE(""1vUGwO1n0QQGx9kKbO0_M5gmuhXZ6-LaxQxgrmJnzgP0"",""'TP# look up'!A:C""),3,0),"""")"),"")</f>
        <v/>
      </c>
      <c r="AH4885" s="49">
        <f>LEFT(J4885,2)</f>
        <v/>
      </c>
    </row>
    <row r="4886" ht="12.75" customHeight="1">
      <c r="H4886" s="43" t="n"/>
      <c r="AG4886" s="49">
        <f>IFERROR(__xludf.DUMMYFUNCTION("IFNA(vlookup(H4886,IMPORTRANGE(""1vUGwO1n0QQGx9kKbO0_M5gmuhXZ6-LaxQxgrmJnzgP0"",""'TP# look up'!A:C""),3,0),"""")"),"")</f>
        <v/>
      </c>
      <c r="AH4886" s="49">
        <f>LEFT(J4886,2)</f>
        <v/>
      </c>
    </row>
    <row r="4887" ht="12.75" customHeight="1">
      <c r="H4887" s="43" t="n"/>
      <c r="AG4887" s="49">
        <f>IFERROR(__xludf.DUMMYFUNCTION("IFNA(vlookup(H4887,IMPORTRANGE(""1vUGwO1n0QQGx9kKbO0_M5gmuhXZ6-LaxQxgrmJnzgP0"",""'TP# look up'!A:C""),3,0),"""")"),"")</f>
        <v/>
      </c>
      <c r="AH4887" s="49">
        <f>LEFT(J4887,2)</f>
        <v/>
      </c>
    </row>
    <row r="4888" ht="12.75" customHeight="1">
      <c r="H4888" s="43" t="n"/>
      <c r="AG4888" s="49">
        <f>IFERROR(__xludf.DUMMYFUNCTION("IFNA(vlookup(H4888,IMPORTRANGE(""1vUGwO1n0QQGx9kKbO0_M5gmuhXZ6-LaxQxgrmJnzgP0"",""'TP# look up'!A:C""),3,0),"""")"),"")</f>
        <v/>
      </c>
      <c r="AH4888" s="49">
        <f>LEFT(J4888,2)</f>
        <v/>
      </c>
    </row>
    <row r="4889" ht="12.75" customHeight="1">
      <c r="H4889" s="43" t="n"/>
      <c r="AG4889" s="49">
        <f>IFERROR(__xludf.DUMMYFUNCTION("IFNA(vlookup(H4889,IMPORTRANGE(""1vUGwO1n0QQGx9kKbO0_M5gmuhXZ6-LaxQxgrmJnzgP0"",""'TP# look up'!A:C""),3,0),"""")"),"")</f>
        <v/>
      </c>
      <c r="AH4889" s="49">
        <f>LEFT(J4889,2)</f>
        <v/>
      </c>
    </row>
    <row r="4890" ht="12.75" customHeight="1">
      <c r="H4890" s="43" t="n"/>
      <c r="AG4890" s="49">
        <f>IFERROR(__xludf.DUMMYFUNCTION("IFNA(vlookup(H4890,IMPORTRANGE(""1vUGwO1n0QQGx9kKbO0_M5gmuhXZ6-LaxQxgrmJnzgP0"",""'TP# look up'!A:C""),3,0),"""")"),"")</f>
        <v/>
      </c>
      <c r="AH4890" s="49">
        <f>LEFT(J4890,2)</f>
        <v/>
      </c>
    </row>
    <row r="4891" ht="12.75" customHeight="1">
      <c r="H4891" s="43" t="n"/>
      <c r="AG4891" s="49">
        <f>IFERROR(__xludf.DUMMYFUNCTION("IFNA(vlookup(H4891,IMPORTRANGE(""1vUGwO1n0QQGx9kKbO0_M5gmuhXZ6-LaxQxgrmJnzgP0"",""'TP# look up'!A:C""),3,0),"""")"),"")</f>
        <v/>
      </c>
      <c r="AH4891" s="49">
        <f>LEFT(J4891,2)</f>
        <v/>
      </c>
    </row>
    <row r="4892" ht="12.75" customHeight="1">
      <c r="H4892" s="43" t="n"/>
      <c r="AG4892" s="49">
        <f>IFERROR(__xludf.DUMMYFUNCTION("IFNA(vlookup(H4892,IMPORTRANGE(""1vUGwO1n0QQGx9kKbO0_M5gmuhXZ6-LaxQxgrmJnzgP0"",""'TP# look up'!A:C""),3,0),"""")"),"")</f>
        <v/>
      </c>
      <c r="AH4892" s="49">
        <f>LEFT(J4892,2)</f>
        <v/>
      </c>
    </row>
    <row r="4893" ht="12.75" customHeight="1">
      <c r="H4893" s="43" t="n"/>
      <c r="AG4893" s="49">
        <f>IFERROR(__xludf.DUMMYFUNCTION("IFNA(vlookup(H4893,IMPORTRANGE(""1vUGwO1n0QQGx9kKbO0_M5gmuhXZ6-LaxQxgrmJnzgP0"",""'TP# look up'!A:C""),3,0),"""")"),"")</f>
        <v/>
      </c>
      <c r="AH4893" s="49">
        <f>LEFT(J4893,2)</f>
        <v/>
      </c>
    </row>
    <row r="4894" ht="12.75" customHeight="1">
      <c r="H4894" s="43" t="n"/>
      <c r="AG4894" s="49">
        <f>IFERROR(__xludf.DUMMYFUNCTION("IFNA(vlookup(H4894,IMPORTRANGE(""1vUGwO1n0QQGx9kKbO0_M5gmuhXZ6-LaxQxgrmJnzgP0"",""'TP# look up'!A:C""),3,0),"""")"),"")</f>
        <v/>
      </c>
      <c r="AH4894" s="49">
        <f>LEFT(J4894,2)</f>
        <v/>
      </c>
    </row>
    <row r="4895" ht="12.75" customHeight="1">
      <c r="H4895" s="43" t="n"/>
      <c r="AG4895" s="49">
        <f>IFERROR(__xludf.DUMMYFUNCTION("IFNA(vlookup(H4895,IMPORTRANGE(""1vUGwO1n0QQGx9kKbO0_M5gmuhXZ6-LaxQxgrmJnzgP0"",""'TP# look up'!A:C""),3,0),"""")"),"")</f>
        <v/>
      </c>
      <c r="AH4895" s="49">
        <f>LEFT(J4895,2)</f>
        <v/>
      </c>
    </row>
    <row r="4896" ht="12.75" customHeight="1">
      <c r="H4896" s="43" t="n"/>
      <c r="AG4896" s="49">
        <f>IFERROR(__xludf.DUMMYFUNCTION("IFNA(vlookup(H4896,IMPORTRANGE(""1vUGwO1n0QQGx9kKbO0_M5gmuhXZ6-LaxQxgrmJnzgP0"",""'TP# look up'!A:C""),3,0),"""")"),"")</f>
        <v/>
      </c>
      <c r="AH4896" s="49">
        <f>LEFT(J4896,2)</f>
        <v/>
      </c>
    </row>
    <row r="4897" ht="12.75" customHeight="1">
      <c r="H4897" s="43" t="n"/>
      <c r="AG4897" s="49">
        <f>IFERROR(__xludf.DUMMYFUNCTION("IFNA(vlookup(H4897,IMPORTRANGE(""1vUGwO1n0QQGx9kKbO0_M5gmuhXZ6-LaxQxgrmJnzgP0"",""'TP# look up'!A:C""),3,0),"""")"),"")</f>
        <v/>
      </c>
      <c r="AH4897" s="49">
        <f>LEFT(J4897,2)</f>
        <v/>
      </c>
    </row>
    <row r="4898" ht="12.75" customHeight="1">
      <c r="H4898" s="43" t="n"/>
      <c r="AG4898" s="49">
        <f>IFERROR(__xludf.DUMMYFUNCTION("IFNA(vlookup(H4898,IMPORTRANGE(""1vUGwO1n0QQGx9kKbO0_M5gmuhXZ6-LaxQxgrmJnzgP0"",""'TP# look up'!A:C""),3,0),"""")"),"")</f>
        <v/>
      </c>
      <c r="AH4898" s="49">
        <f>LEFT(J4898,2)</f>
        <v/>
      </c>
    </row>
    <row r="4899" ht="12.75" customHeight="1">
      <c r="H4899" s="43" t="n"/>
      <c r="AG4899" s="49">
        <f>IFERROR(__xludf.DUMMYFUNCTION("IFNA(vlookup(H4899,IMPORTRANGE(""1vUGwO1n0QQGx9kKbO0_M5gmuhXZ6-LaxQxgrmJnzgP0"",""'TP# look up'!A:C""),3,0),"""")"),"")</f>
        <v/>
      </c>
      <c r="AH4899" s="49">
        <f>LEFT(J4899,2)</f>
        <v/>
      </c>
    </row>
    <row r="4900" ht="12.75" customHeight="1">
      <c r="H4900" s="43" t="n"/>
      <c r="AG4900" s="49">
        <f>IFERROR(__xludf.DUMMYFUNCTION("IFNA(vlookup(H4900,IMPORTRANGE(""1vUGwO1n0QQGx9kKbO0_M5gmuhXZ6-LaxQxgrmJnzgP0"",""'TP# look up'!A:C""),3,0),"""")"),"")</f>
        <v/>
      </c>
      <c r="AH4900" s="49">
        <f>LEFT(J4900,2)</f>
        <v/>
      </c>
    </row>
    <row r="4901" ht="12.75" customHeight="1">
      <c r="H4901" s="43" t="n"/>
      <c r="AG4901" s="49">
        <f>IFERROR(__xludf.DUMMYFUNCTION("IFNA(vlookup(H4901,IMPORTRANGE(""1vUGwO1n0QQGx9kKbO0_M5gmuhXZ6-LaxQxgrmJnzgP0"",""'TP# look up'!A:C""),3,0),"""")"),"")</f>
        <v/>
      </c>
      <c r="AH4901" s="49">
        <f>LEFT(J4901,2)</f>
        <v/>
      </c>
    </row>
    <row r="4902" ht="12.75" customHeight="1">
      <c r="H4902" s="43" t="n"/>
      <c r="AG4902" s="49">
        <f>IFERROR(__xludf.DUMMYFUNCTION("IFNA(vlookup(H4902,IMPORTRANGE(""1vUGwO1n0QQGx9kKbO0_M5gmuhXZ6-LaxQxgrmJnzgP0"",""'TP# look up'!A:C""),3,0),"""")"),"")</f>
        <v/>
      </c>
      <c r="AH4902" s="49">
        <f>LEFT(J4902,2)</f>
        <v/>
      </c>
    </row>
    <row r="4903" ht="12.75" customHeight="1">
      <c r="H4903" s="43" t="n"/>
      <c r="AG4903" s="49">
        <f>IFERROR(__xludf.DUMMYFUNCTION("IFNA(vlookup(H4903,IMPORTRANGE(""1vUGwO1n0QQGx9kKbO0_M5gmuhXZ6-LaxQxgrmJnzgP0"",""'TP# look up'!A:C""),3,0),"""")"),"")</f>
        <v/>
      </c>
      <c r="AH4903" s="49">
        <f>LEFT(J4903,2)</f>
        <v/>
      </c>
    </row>
    <row r="4904" ht="12.75" customHeight="1">
      <c r="H4904" s="43" t="n"/>
      <c r="AG4904" s="49">
        <f>IFERROR(__xludf.DUMMYFUNCTION("IFNA(vlookup(H4904,IMPORTRANGE(""1vUGwO1n0QQGx9kKbO0_M5gmuhXZ6-LaxQxgrmJnzgP0"",""'TP# look up'!A:C""),3,0),"""")"),"")</f>
        <v/>
      </c>
      <c r="AH4904" s="49">
        <f>LEFT(J4904,2)</f>
        <v/>
      </c>
    </row>
    <row r="4905" ht="12.75" customHeight="1">
      <c r="H4905" s="43" t="n"/>
      <c r="AG4905" s="49">
        <f>IFERROR(__xludf.DUMMYFUNCTION("IFNA(vlookup(H4905,IMPORTRANGE(""1vUGwO1n0QQGx9kKbO0_M5gmuhXZ6-LaxQxgrmJnzgP0"",""'TP# look up'!A:C""),3,0),"""")"),"")</f>
        <v/>
      </c>
      <c r="AH4905" s="49">
        <f>LEFT(J4905,2)</f>
        <v/>
      </c>
    </row>
    <row r="4906" ht="12.75" customHeight="1">
      <c r="H4906" s="43" t="n"/>
      <c r="AG4906" s="49">
        <f>IFERROR(__xludf.DUMMYFUNCTION("IFNA(vlookup(H4906,IMPORTRANGE(""1vUGwO1n0QQGx9kKbO0_M5gmuhXZ6-LaxQxgrmJnzgP0"",""'TP# look up'!A:C""),3,0),"""")"),"")</f>
        <v/>
      </c>
      <c r="AH4906" s="49">
        <f>LEFT(J4906,2)</f>
        <v/>
      </c>
    </row>
    <row r="4907" ht="12.75" customHeight="1">
      <c r="H4907" s="43" t="n"/>
      <c r="AG4907" s="49">
        <f>IFERROR(__xludf.DUMMYFUNCTION("IFNA(vlookup(H4907,IMPORTRANGE(""1vUGwO1n0QQGx9kKbO0_M5gmuhXZ6-LaxQxgrmJnzgP0"",""'TP# look up'!A:C""),3,0),"""")"),"")</f>
        <v/>
      </c>
      <c r="AH4907" s="49">
        <f>LEFT(J4907,2)</f>
        <v/>
      </c>
    </row>
    <row r="4908" ht="12.75" customHeight="1">
      <c r="H4908" s="43" t="n"/>
      <c r="AG4908" s="49">
        <f>IFERROR(__xludf.DUMMYFUNCTION("IFNA(vlookup(H4908,IMPORTRANGE(""1vUGwO1n0QQGx9kKbO0_M5gmuhXZ6-LaxQxgrmJnzgP0"",""'TP# look up'!A:C""),3,0),"""")"),"")</f>
        <v/>
      </c>
      <c r="AH4908" s="49">
        <f>LEFT(J4908,2)</f>
        <v/>
      </c>
    </row>
    <row r="4909" ht="12.75" customHeight="1">
      <c r="H4909" s="43" t="n"/>
      <c r="AG4909" s="49">
        <f>IFERROR(__xludf.DUMMYFUNCTION("IFNA(vlookup(H4909,IMPORTRANGE(""1vUGwO1n0QQGx9kKbO0_M5gmuhXZ6-LaxQxgrmJnzgP0"",""'TP# look up'!A:C""),3,0),"""")"),"")</f>
        <v/>
      </c>
      <c r="AH4909" s="49">
        <f>LEFT(J4909,2)</f>
        <v/>
      </c>
    </row>
    <row r="4910" ht="12.75" customHeight="1">
      <c r="H4910" s="43" t="n"/>
      <c r="AG4910" s="49">
        <f>IFERROR(__xludf.DUMMYFUNCTION("IFNA(vlookup(H4910,IMPORTRANGE(""1vUGwO1n0QQGx9kKbO0_M5gmuhXZ6-LaxQxgrmJnzgP0"",""'TP# look up'!A:C""),3,0),"""")"),"")</f>
        <v/>
      </c>
      <c r="AH4910" s="49">
        <f>LEFT(J4910,2)</f>
        <v/>
      </c>
    </row>
    <row r="4911" ht="12.75" customHeight="1">
      <c r="H4911" s="43" t="n"/>
      <c r="AG4911" s="49">
        <f>IFERROR(__xludf.DUMMYFUNCTION("IFNA(vlookup(H4911,IMPORTRANGE(""1vUGwO1n0QQGx9kKbO0_M5gmuhXZ6-LaxQxgrmJnzgP0"",""'TP# look up'!A:C""),3,0),"""")"),"")</f>
        <v/>
      </c>
      <c r="AH4911" s="49">
        <f>LEFT(J4911,2)</f>
        <v/>
      </c>
    </row>
    <row r="4912" ht="12.75" customHeight="1">
      <c r="H4912" s="43" t="n"/>
      <c r="AG4912" s="49">
        <f>IFERROR(__xludf.DUMMYFUNCTION("IFNA(vlookup(H4912,IMPORTRANGE(""1vUGwO1n0QQGx9kKbO0_M5gmuhXZ6-LaxQxgrmJnzgP0"",""'TP# look up'!A:C""),3,0),"""")"),"")</f>
        <v/>
      </c>
      <c r="AH4912" s="49">
        <f>LEFT(J4912,2)</f>
        <v/>
      </c>
    </row>
    <row r="4913" ht="12.75" customHeight="1">
      <c r="H4913" s="43" t="n"/>
      <c r="AG4913" s="49">
        <f>IFERROR(__xludf.DUMMYFUNCTION("IFNA(vlookup(H4913,IMPORTRANGE(""1vUGwO1n0QQGx9kKbO0_M5gmuhXZ6-LaxQxgrmJnzgP0"",""'TP# look up'!A:C""),3,0),"""")"),"")</f>
        <v/>
      </c>
      <c r="AH4913" s="49">
        <f>LEFT(J4913,2)</f>
        <v/>
      </c>
    </row>
    <row r="4914" ht="12.75" customHeight="1">
      <c r="H4914" s="43" t="n"/>
      <c r="AG4914" s="49">
        <f>IFERROR(__xludf.DUMMYFUNCTION("IFNA(vlookup(H4914,IMPORTRANGE(""1vUGwO1n0QQGx9kKbO0_M5gmuhXZ6-LaxQxgrmJnzgP0"",""'TP# look up'!A:C""),3,0),"""")"),"")</f>
        <v/>
      </c>
      <c r="AH4914" s="49">
        <f>LEFT(J4914,2)</f>
        <v/>
      </c>
    </row>
    <row r="4915" ht="12.75" customHeight="1">
      <c r="H4915" s="43" t="n"/>
      <c r="AG4915" s="49">
        <f>IFERROR(__xludf.DUMMYFUNCTION("IFNA(vlookup(H4915,IMPORTRANGE(""1vUGwO1n0QQGx9kKbO0_M5gmuhXZ6-LaxQxgrmJnzgP0"",""'TP# look up'!A:C""),3,0),"""")"),"")</f>
        <v/>
      </c>
      <c r="AH4915" s="49">
        <f>LEFT(J4915,2)</f>
        <v/>
      </c>
    </row>
    <row r="4916" ht="12.75" customHeight="1">
      <c r="H4916" s="43" t="n"/>
      <c r="AG4916" s="49">
        <f>IFERROR(__xludf.DUMMYFUNCTION("IFNA(vlookup(H4916,IMPORTRANGE(""1vUGwO1n0QQGx9kKbO0_M5gmuhXZ6-LaxQxgrmJnzgP0"",""'TP# look up'!A:C""),3,0),"""")"),"")</f>
        <v/>
      </c>
      <c r="AH4916" s="49">
        <f>LEFT(J4916,2)</f>
        <v/>
      </c>
    </row>
    <row r="4917" ht="12.75" customHeight="1">
      <c r="H4917" s="43" t="n"/>
      <c r="AG4917" s="49">
        <f>IFERROR(__xludf.DUMMYFUNCTION("IFNA(vlookup(H4917,IMPORTRANGE(""1vUGwO1n0QQGx9kKbO0_M5gmuhXZ6-LaxQxgrmJnzgP0"",""'TP# look up'!A:C""),3,0),"""")"),"")</f>
        <v/>
      </c>
      <c r="AH4917" s="49">
        <f>LEFT(J4917,2)</f>
        <v/>
      </c>
    </row>
    <row r="4918" ht="12.75" customHeight="1">
      <c r="H4918" s="43" t="n"/>
      <c r="AG4918" s="49">
        <f>IFERROR(__xludf.DUMMYFUNCTION("IFNA(vlookup(H4918,IMPORTRANGE(""1vUGwO1n0QQGx9kKbO0_M5gmuhXZ6-LaxQxgrmJnzgP0"",""'TP# look up'!A:C""),3,0),"""")"),"")</f>
        <v/>
      </c>
      <c r="AH4918" s="49">
        <f>LEFT(J4918,2)</f>
        <v/>
      </c>
    </row>
    <row r="4919" ht="12.75" customHeight="1">
      <c r="H4919" s="43" t="n"/>
      <c r="AG4919" s="49">
        <f>IFERROR(__xludf.DUMMYFUNCTION("IFNA(vlookup(H4919,IMPORTRANGE(""1vUGwO1n0QQGx9kKbO0_M5gmuhXZ6-LaxQxgrmJnzgP0"",""'TP# look up'!A:C""),3,0),"""")"),"")</f>
        <v/>
      </c>
      <c r="AH4919" s="49">
        <f>LEFT(J4919,2)</f>
        <v/>
      </c>
    </row>
    <row r="4920" ht="12.75" customHeight="1">
      <c r="H4920" s="43" t="n"/>
      <c r="AG4920" s="49">
        <f>IFERROR(__xludf.DUMMYFUNCTION("IFNA(vlookup(H4920,IMPORTRANGE(""1vUGwO1n0QQGx9kKbO0_M5gmuhXZ6-LaxQxgrmJnzgP0"",""'TP# look up'!A:C""),3,0),"""")"),"")</f>
        <v/>
      </c>
      <c r="AH4920" s="49">
        <f>LEFT(J4920,2)</f>
        <v/>
      </c>
    </row>
    <row r="4921" ht="12.75" customHeight="1">
      <c r="H4921" s="43" t="n"/>
      <c r="AG4921" s="49">
        <f>IFERROR(__xludf.DUMMYFUNCTION("IFNA(vlookup(H4921,IMPORTRANGE(""1vUGwO1n0QQGx9kKbO0_M5gmuhXZ6-LaxQxgrmJnzgP0"",""'TP# look up'!A:C""),3,0),"""")"),"")</f>
        <v/>
      </c>
      <c r="AH4921" s="49">
        <f>LEFT(J4921,2)</f>
        <v/>
      </c>
    </row>
    <row r="4922" ht="12.75" customHeight="1">
      <c r="H4922" s="43" t="n"/>
      <c r="AG4922" s="49">
        <f>IFERROR(__xludf.DUMMYFUNCTION("IFNA(vlookup(H4922,IMPORTRANGE(""1vUGwO1n0QQGx9kKbO0_M5gmuhXZ6-LaxQxgrmJnzgP0"",""'TP# look up'!A:C""),3,0),"""")"),"")</f>
        <v/>
      </c>
      <c r="AH4922" s="49">
        <f>LEFT(J4922,2)</f>
        <v/>
      </c>
    </row>
    <row r="4923" ht="12.75" customHeight="1">
      <c r="H4923" s="43" t="n"/>
      <c r="AG4923" s="49">
        <f>IFERROR(__xludf.DUMMYFUNCTION("IFNA(vlookup(H4923,IMPORTRANGE(""1vUGwO1n0QQGx9kKbO0_M5gmuhXZ6-LaxQxgrmJnzgP0"",""'TP# look up'!A:C""),3,0),"""")"),"")</f>
        <v/>
      </c>
      <c r="AH4923" s="49">
        <f>LEFT(J4923,2)</f>
        <v/>
      </c>
    </row>
    <row r="4924" ht="12.75" customHeight="1">
      <c r="H4924" s="43" t="n"/>
      <c r="AG4924" s="49">
        <f>IFERROR(__xludf.DUMMYFUNCTION("IFNA(vlookup(H4924,IMPORTRANGE(""1vUGwO1n0QQGx9kKbO0_M5gmuhXZ6-LaxQxgrmJnzgP0"",""'TP# look up'!A:C""),3,0),"""")"),"")</f>
        <v/>
      </c>
      <c r="AH4924" s="49">
        <f>LEFT(J4924,2)</f>
        <v/>
      </c>
    </row>
    <row r="4925" ht="12.75" customHeight="1">
      <c r="H4925" s="43" t="n"/>
      <c r="AG4925" s="49">
        <f>IFERROR(__xludf.DUMMYFUNCTION("IFNA(vlookup(H4925,IMPORTRANGE(""1vUGwO1n0QQGx9kKbO0_M5gmuhXZ6-LaxQxgrmJnzgP0"",""'TP# look up'!A:C""),3,0),"""")"),"")</f>
        <v/>
      </c>
      <c r="AH4925" s="49">
        <f>LEFT(J4925,2)</f>
        <v/>
      </c>
    </row>
    <row r="4926" ht="12.75" customHeight="1">
      <c r="H4926" s="43" t="n"/>
      <c r="AG4926" s="49">
        <f>IFERROR(__xludf.DUMMYFUNCTION("IFNA(vlookup(H4926,IMPORTRANGE(""1vUGwO1n0QQGx9kKbO0_M5gmuhXZ6-LaxQxgrmJnzgP0"",""'TP# look up'!A:C""),3,0),"""")"),"")</f>
        <v/>
      </c>
      <c r="AH4926" s="49">
        <f>LEFT(J4926,2)</f>
        <v/>
      </c>
    </row>
    <row r="4927" ht="12.75" customHeight="1">
      <c r="H4927" s="43" t="n"/>
      <c r="AG4927" s="49">
        <f>IFERROR(__xludf.DUMMYFUNCTION("IFNA(vlookup(H4927,IMPORTRANGE(""1vUGwO1n0QQGx9kKbO0_M5gmuhXZ6-LaxQxgrmJnzgP0"",""'TP# look up'!A:C""),3,0),"""")"),"")</f>
        <v/>
      </c>
      <c r="AH4927" s="49">
        <f>LEFT(J4927,2)</f>
        <v/>
      </c>
    </row>
    <row r="4928" ht="12.75" customHeight="1">
      <c r="H4928" s="43" t="n"/>
      <c r="AG4928" s="49">
        <f>IFERROR(__xludf.DUMMYFUNCTION("IFNA(vlookup(H4928,IMPORTRANGE(""1vUGwO1n0QQGx9kKbO0_M5gmuhXZ6-LaxQxgrmJnzgP0"",""'TP# look up'!A:C""),3,0),"""")"),"")</f>
        <v/>
      </c>
      <c r="AH4928" s="49">
        <f>LEFT(J4928,2)</f>
        <v/>
      </c>
    </row>
    <row r="4929" ht="12.75" customHeight="1">
      <c r="H4929" s="43" t="n"/>
      <c r="AG4929" s="49">
        <f>IFERROR(__xludf.DUMMYFUNCTION("IFNA(vlookup(H4929,IMPORTRANGE(""1vUGwO1n0QQGx9kKbO0_M5gmuhXZ6-LaxQxgrmJnzgP0"",""'TP# look up'!A:C""),3,0),"""")"),"")</f>
        <v/>
      </c>
      <c r="AH4929" s="49">
        <f>LEFT(J4929,2)</f>
        <v/>
      </c>
    </row>
    <row r="4930" ht="12.75" customHeight="1">
      <c r="H4930" s="43" t="n"/>
      <c r="AG4930" s="49">
        <f>IFERROR(__xludf.DUMMYFUNCTION("IFNA(vlookup(H4930,IMPORTRANGE(""1vUGwO1n0QQGx9kKbO0_M5gmuhXZ6-LaxQxgrmJnzgP0"",""'TP# look up'!A:C""),3,0),"""")"),"")</f>
        <v/>
      </c>
      <c r="AH4930" s="49">
        <f>LEFT(J4930,2)</f>
        <v/>
      </c>
    </row>
    <row r="4931" ht="12.75" customHeight="1">
      <c r="H4931" s="43" t="n"/>
      <c r="AG4931" s="49">
        <f>IFERROR(__xludf.DUMMYFUNCTION("IFNA(vlookup(H4931,IMPORTRANGE(""1vUGwO1n0QQGx9kKbO0_M5gmuhXZ6-LaxQxgrmJnzgP0"",""'TP# look up'!A:C""),3,0),"""")"),"")</f>
        <v/>
      </c>
      <c r="AH4931" s="49">
        <f>LEFT(J4931,2)</f>
        <v/>
      </c>
    </row>
    <row r="4932" ht="12.75" customHeight="1">
      <c r="H4932" s="43" t="n"/>
      <c r="AG4932" s="49">
        <f>IFERROR(__xludf.DUMMYFUNCTION("IFNA(vlookup(H4932,IMPORTRANGE(""1vUGwO1n0QQGx9kKbO0_M5gmuhXZ6-LaxQxgrmJnzgP0"",""'TP# look up'!A:C""),3,0),"""")"),"")</f>
        <v/>
      </c>
      <c r="AH4932" s="49">
        <f>LEFT(J4932,2)</f>
        <v/>
      </c>
    </row>
    <row r="4933" ht="12.75" customHeight="1">
      <c r="H4933" s="43" t="n"/>
      <c r="AG4933" s="49">
        <f>IFERROR(__xludf.DUMMYFUNCTION("IFNA(vlookup(H4933,IMPORTRANGE(""1vUGwO1n0QQGx9kKbO0_M5gmuhXZ6-LaxQxgrmJnzgP0"",""'TP# look up'!A:C""),3,0),"""")"),"")</f>
        <v/>
      </c>
      <c r="AH4933" s="49">
        <f>LEFT(J4933,2)</f>
        <v/>
      </c>
    </row>
    <row r="4934" ht="12.75" customHeight="1">
      <c r="H4934" s="43" t="n"/>
      <c r="AG4934" s="49">
        <f>IFERROR(__xludf.DUMMYFUNCTION("IFNA(vlookup(H4934,IMPORTRANGE(""1vUGwO1n0QQGx9kKbO0_M5gmuhXZ6-LaxQxgrmJnzgP0"",""'TP# look up'!A:C""),3,0),"""")"),"")</f>
        <v/>
      </c>
      <c r="AH4934" s="49">
        <f>LEFT(J4934,2)</f>
        <v/>
      </c>
    </row>
    <row r="4935" ht="12.75" customHeight="1">
      <c r="H4935" s="43" t="n"/>
      <c r="AG4935" s="49">
        <f>IFERROR(__xludf.DUMMYFUNCTION("IFNA(vlookup(H4935,IMPORTRANGE(""1vUGwO1n0QQGx9kKbO0_M5gmuhXZ6-LaxQxgrmJnzgP0"",""'TP# look up'!A:C""),3,0),"""")"),"")</f>
        <v/>
      </c>
      <c r="AH4935" s="49">
        <f>LEFT(J4935,2)</f>
        <v/>
      </c>
    </row>
    <row r="4936" ht="12.75" customHeight="1">
      <c r="H4936" s="43" t="n"/>
      <c r="AG4936" s="49">
        <f>IFERROR(__xludf.DUMMYFUNCTION("IFNA(vlookup(H4936,IMPORTRANGE(""1vUGwO1n0QQGx9kKbO0_M5gmuhXZ6-LaxQxgrmJnzgP0"",""'TP# look up'!A:C""),3,0),"""")"),"")</f>
        <v/>
      </c>
      <c r="AH4936" s="49">
        <f>LEFT(J4936,2)</f>
        <v/>
      </c>
    </row>
    <row r="4937" ht="12.75" customHeight="1">
      <c r="H4937" s="43" t="n"/>
      <c r="AG4937" s="49">
        <f>IFERROR(__xludf.DUMMYFUNCTION("IFNA(vlookup(H4937,IMPORTRANGE(""1vUGwO1n0QQGx9kKbO0_M5gmuhXZ6-LaxQxgrmJnzgP0"",""'TP# look up'!A:C""),3,0),"""")"),"")</f>
        <v/>
      </c>
      <c r="AH4937" s="49">
        <f>LEFT(J4937,2)</f>
        <v/>
      </c>
    </row>
    <row r="4938" ht="12.75" customHeight="1">
      <c r="H4938" s="43" t="n"/>
      <c r="AG4938" s="49">
        <f>IFERROR(__xludf.DUMMYFUNCTION("IFNA(vlookup(H4938,IMPORTRANGE(""1vUGwO1n0QQGx9kKbO0_M5gmuhXZ6-LaxQxgrmJnzgP0"",""'TP# look up'!A:C""),3,0),"""")"),"")</f>
        <v/>
      </c>
      <c r="AH4938" s="49">
        <f>LEFT(J4938,2)</f>
        <v/>
      </c>
    </row>
    <row r="4939" ht="12.75" customHeight="1">
      <c r="H4939" s="43" t="n"/>
      <c r="AG4939" s="49">
        <f>IFERROR(__xludf.DUMMYFUNCTION("IFNA(vlookup(H4939,IMPORTRANGE(""1vUGwO1n0QQGx9kKbO0_M5gmuhXZ6-LaxQxgrmJnzgP0"",""'TP# look up'!A:C""),3,0),"""")"),"")</f>
        <v/>
      </c>
      <c r="AH4939" s="49">
        <f>LEFT(J4939,2)</f>
        <v/>
      </c>
    </row>
    <row r="4940" ht="12.75" customHeight="1">
      <c r="H4940" s="43" t="n"/>
      <c r="AG4940" s="49">
        <f>IFERROR(__xludf.DUMMYFUNCTION("IFNA(vlookup(H4940,IMPORTRANGE(""1vUGwO1n0QQGx9kKbO0_M5gmuhXZ6-LaxQxgrmJnzgP0"",""'TP# look up'!A:C""),3,0),"""")"),"")</f>
        <v/>
      </c>
      <c r="AH4940" s="49">
        <f>LEFT(J4940,2)</f>
        <v/>
      </c>
    </row>
    <row r="4941" ht="12.75" customHeight="1">
      <c r="H4941" s="43" t="n"/>
      <c r="AG4941" s="49">
        <f>IFERROR(__xludf.DUMMYFUNCTION("IFNA(vlookup(H4941,IMPORTRANGE(""1vUGwO1n0QQGx9kKbO0_M5gmuhXZ6-LaxQxgrmJnzgP0"",""'TP# look up'!A:C""),3,0),"""")"),"")</f>
        <v/>
      </c>
      <c r="AH4941" s="49">
        <f>LEFT(J4941,2)</f>
        <v/>
      </c>
    </row>
    <row r="4942" ht="12.75" customHeight="1">
      <c r="H4942" s="43" t="n"/>
      <c r="AG4942" s="49">
        <f>IFERROR(__xludf.DUMMYFUNCTION("IFNA(vlookup(H4942,IMPORTRANGE(""1vUGwO1n0QQGx9kKbO0_M5gmuhXZ6-LaxQxgrmJnzgP0"",""'TP# look up'!A:C""),3,0),"""")"),"")</f>
        <v/>
      </c>
      <c r="AH4942" s="49">
        <f>LEFT(J4942,2)</f>
        <v/>
      </c>
    </row>
    <row r="4943" ht="12.75" customHeight="1">
      <c r="H4943" s="43" t="n"/>
      <c r="AG4943" s="49">
        <f>IFERROR(__xludf.DUMMYFUNCTION("IFNA(vlookup(H4943,IMPORTRANGE(""1vUGwO1n0QQGx9kKbO0_M5gmuhXZ6-LaxQxgrmJnzgP0"",""'TP# look up'!A:C""),3,0),"""")"),"")</f>
        <v/>
      </c>
      <c r="AH4943" s="49">
        <f>LEFT(J4943,2)</f>
        <v/>
      </c>
    </row>
    <row r="4944" ht="12.75" customHeight="1">
      <c r="H4944" s="43" t="n"/>
      <c r="AG4944" s="49">
        <f>IFERROR(__xludf.DUMMYFUNCTION("IFNA(vlookup(H4944,IMPORTRANGE(""1vUGwO1n0QQGx9kKbO0_M5gmuhXZ6-LaxQxgrmJnzgP0"",""'TP# look up'!A:C""),3,0),"""")"),"")</f>
        <v/>
      </c>
      <c r="AH4944" s="49">
        <f>LEFT(J4944,2)</f>
        <v/>
      </c>
    </row>
    <row r="4945" ht="12.75" customHeight="1">
      <c r="H4945" s="43" t="n"/>
      <c r="AG4945" s="49">
        <f>IFERROR(__xludf.DUMMYFUNCTION("IFNA(vlookup(H4945,IMPORTRANGE(""1vUGwO1n0QQGx9kKbO0_M5gmuhXZ6-LaxQxgrmJnzgP0"",""'TP# look up'!A:C""),3,0),"""")"),"")</f>
        <v/>
      </c>
      <c r="AH4945" s="49">
        <f>LEFT(J4945,2)</f>
        <v/>
      </c>
    </row>
    <row r="4946" ht="12.75" customHeight="1">
      <c r="H4946" s="43" t="n"/>
      <c r="AG4946" s="49">
        <f>IFERROR(__xludf.DUMMYFUNCTION("IFNA(vlookup(H4946,IMPORTRANGE(""1vUGwO1n0QQGx9kKbO0_M5gmuhXZ6-LaxQxgrmJnzgP0"",""'TP# look up'!A:C""),3,0),"""")"),"")</f>
        <v/>
      </c>
      <c r="AH4946" s="49">
        <f>LEFT(J4946,2)</f>
        <v/>
      </c>
    </row>
    <row r="4947" ht="12.75" customHeight="1">
      <c r="H4947" s="43" t="n"/>
      <c r="AG4947" s="49">
        <f>IFERROR(__xludf.DUMMYFUNCTION("IFNA(vlookup(H4947,IMPORTRANGE(""1vUGwO1n0QQGx9kKbO0_M5gmuhXZ6-LaxQxgrmJnzgP0"",""'TP# look up'!A:C""),3,0),"""")"),"")</f>
        <v/>
      </c>
      <c r="AH4947" s="49">
        <f>LEFT(J4947,2)</f>
        <v/>
      </c>
    </row>
    <row r="4948" ht="12.75" customHeight="1">
      <c r="H4948" s="43" t="n"/>
      <c r="AG4948" s="49">
        <f>IFERROR(__xludf.DUMMYFUNCTION("IFNA(vlookup(H4948,IMPORTRANGE(""1vUGwO1n0QQGx9kKbO0_M5gmuhXZ6-LaxQxgrmJnzgP0"",""'TP# look up'!A:C""),3,0),"""")"),"")</f>
        <v/>
      </c>
      <c r="AH4948" s="49">
        <f>LEFT(J4948,2)</f>
        <v/>
      </c>
    </row>
    <row r="4949" ht="12.75" customHeight="1">
      <c r="H4949" s="43" t="n"/>
      <c r="AG4949" s="49">
        <f>IFERROR(__xludf.DUMMYFUNCTION("IFNA(vlookup(H4949,IMPORTRANGE(""1vUGwO1n0QQGx9kKbO0_M5gmuhXZ6-LaxQxgrmJnzgP0"",""'TP# look up'!A:C""),3,0),"""")"),"")</f>
        <v/>
      </c>
      <c r="AH4949" s="49">
        <f>LEFT(J4949,2)</f>
        <v/>
      </c>
    </row>
    <row r="4950" ht="12.75" customHeight="1">
      <c r="H4950" s="43" t="n"/>
      <c r="AG4950" s="49">
        <f>IFERROR(__xludf.DUMMYFUNCTION("IFNA(vlookup(H4950,IMPORTRANGE(""1vUGwO1n0QQGx9kKbO0_M5gmuhXZ6-LaxQxgrmJnzgP0"",""'TP# look up'!A:C""),3,0),"""")"),"")</f>
        <v/>
      </c>
      <c r="AH4950" s="49">
        <f>LEFT(J4950,2)</f>
        <v/>
      </c>
    </row>
    <row r="4951" ht="12.75" customHeight="1">
      <c r="H4951" s="43" t="n"/>
      <c r="AG4951" s="49">
        <f>IFERROR(__xludf.DUMMYFUNCTION("IFNA(vlookup(H4951,IMPORTRANGE(""1vUGwO1n0QQGx9kKbO0_M5gmuhXZ6-LaxQxgrmJnzgP0"",""'TP# look up'!A:C""),3,0),"""")"),"")</f>
        <v/>
      </c>
      <c r="AH4951" s="49">
        <f>LEFT(J4951,2)</f>
        <v/>
      </c>
    </row>
    <row r="4952" ht="12.75" customHeight="1">
      <c r="H4952" s="43" t="n"/>
      <c r="AG4952" s="49">
        <f>IFERROR(__xludf.DUMMYFUNCTION("IFNA(vlookup(H4952,IMPORTRANGE(""1vUGwO1n0QQGx9kKbO0_M5gmuhXZ6-LaxQxgrmJnzgP0"",""'TP# look up'!A:C""),3,0),"""")"),"")</f>
        <v/>
      </c>
      <c r="AH4952" s="49">
        <f>LEFT(J4952,2)</f>
        <v/>
      </c>
    </row>
    <row r="4953" ht="12.75" customHeight="1">
      <c r="H4953" s="43" t="n"/>
      <c r="AG4953" s="49">
        <f>IFERROR(__xludf.DUMMYFUNCTION("IFNA(vlookup(H4953,IMPORTRANGE(""1vUGwO1n0QQGx9kKbO0_M5gmuhXZ6-LaxQxgrmJnzgP0"",""'TP# look up'!A:C""),3,0),"""")"),"")</f>
        <v/>
      </c>
      <c r="AH4953" s="49">
        <f>LEFT(J4953,2)</f>
        <v/>
      </c>
    </row>
    <row r="4954" ht="12.75" customHeight="1">
      <c r="H4954" s="43" t="n"/>
      <c r="AG4954" s="49">
        <f>IFERROR(__xludf.DUMMYFUNCTION("IFNA(vlookup(H4954,IMPORTRANGE(""1vUGwO1n0QQGx9kKbO0_M5gmuhXZ6-LaxQxgrmJnzgP0"",""'TP# look up'!A:C""),3,0),"""")"),"")</f>
        <v/>
      </c>
      <c r="AH4954" s="49">
        <f>LEFT(J4954,2)</f>
        <v/>
      </c>
    </row>
    <row r="4955" ht="12.75" customHeight="1">
      <c r="H4955" s="43" t="n"/>
      <c r="AG4955" s="49">
        <f>IFERROR(__xludf.DUMMYFUNCTION("IFNA(vlookup(H4955,IMPORTRANGE(""1vUGwO1n0QQGx9kKbO0_M5gmuhXZ6-LaxQxgrmJnzgP0"",""'TP# look up'!A:C""),3,0),"""")"),"")</f>
        <v/>
      </c>
      <c r="AH4955" s="49">
        <f>LEFT(J4955,2)</f>
        <v/>
      </c>
    </row>
    <row r="4956" ht="12.75" customHeight="1">
      <c r="H4956" s="43" t="n"/>
      <c r="AG4956" s="49">
        <f>IFERROR(__xludf.DUMMYFUNCTION("IFNA(vlookup(H4956,IMPORTRANGE(""1vUGwO1n0QQGx9kKbO0_M5gmuhXZ6-LaxQxgrmJnzgP0"",""'TP# look up'!A:C""),3,0),"""")"),"")</f>
        <v/>
      </c>
      <c r="AH4956" s="49">
        <f>LEFT(J4956,2)</f>
        <v/>
      </c>
    </row>
    <row r="4957" ht="12.75" customHeight="1">
      <c r="H4957" s="43" t="n"/>
      <c r="AG4957" s="49">
        <f>IFERROR(__xludf.DUMMYFUNCTION("IFNA(vlookup(H4957,IMPORTRANGE(""1vUGwO1n0QQGx9kKbO0_M5gmuhXZ6-LaxQxgrmJnzgP0"",""'TP# look up'!A:C""),3,0),"""")"),"")</f>
        <v/>
      </c>
      <c r="AH4957" s="49">
        <f>LEFT(J4957,2)</f>
        <v/>
      </c>
    </row>
    <row r="4958" ht="12.75" customHeight="1">
      <c r="H4958" s="43" t="n"/>
      <c r="AG4958" s="49">
        <f>IFERROR(__xludf.DUMMYFUNCTION("IFNA(vlookup(H4958,IMPORTRANGE(""1vUGwO1n0QQGx9kKbO0_M5gmuhXZ6-LaxQxgrmJnzgP0"",""'TP# look up'!A:C""),3,0),"""")"),"")</f>
        <v/>
      </c>
      <c r="AH4958" s="49">
        <f>LEFT(J4958,2)</f>
        <v/>
      </c>
    </row>
    <row r="4959" ht="12.75" customHeight="1">
      <c r="H4959" s="43" t="n"/>
      <c r="AG4959" s="49">
        <f>IFERROR(__xludf.DUMMYFUNCTION("IFNA(vlookup(H4959,IMPORTRANGE(""1vUGwO1n0QQGx9kKbO0_M5gmuhXZ6-LaxQxgrmJnzgP0"",""'TP# look up'!A:C""),3,0),"""")"),"")</f>
        <v/>
      </c>
      <c r="AH4959" s="49">
        <f>LEFT(J4959,2)</f>
        <v/>
      </c>
    </row>
    <row r="4960" ht="12.75" customHeight="1">
      <c r="H4960" s="43" t="n"/>
      <c r="AG4960" s="49">
        <f>IFERROR(__xludf.DUMMYFUNCTION("IFNA(vlookup(H4960,IMPORTRANGE(""1vUGwO1n0QQGx9kKbO0_M5gmuhXZ6-LaxQxgrmJnzgP0"",""'TP# look up'!A:C""),3,0),"""")"),"")</f>
        <v/>
      </c>
      <c r="AH4960" s="49">
        <f>LEFT(J4960,2)</f>
        <v/>
      </c>
    </row>
    <row r="4961" ht="12.75" customHeight="1">
      <c r="H4961" s="43" t="n"/>
      <c r="AG4961" s="49">
        <f>IFERROR(__xludf.DUMMYFUNCTION("IFNA(vlookup(H4961,IMPORTRANGE(""1vUGwO1n0QQGx9kKbO0_M5gmuhXZ6-LaxQxgrmJnzgP0"",""'TP# look up'!A:C""),3,0),"""")"),"")</f>
        <v/>
      </c>
      <c r="AH4961" s="49">
        <f>LEFT(J4961,2)</f>
        <v/>
      </c>
    </row>
    <row r="4962" ht="12.75" customHeight="1">
      <c r="H4962" s="43" t="n"/>
      <c r="AG4962" s="49">
        <f>IFERROR(__xludf.DUMMYFUNCTION("IFNA(vlookup(H4962,IMPORTRANGE(""1vUGwO1n0QQGx9kKbO0_M5gmuhXZ6-LaxQxgrmJnzgP0"",""'TP# look up'!A:C""),3,0),"""")"),"")</f>
        <v/>
      </c>
      <c r="AH4962" s="49">
        <f>LEFT(J4962,2)</f>
        <v/>
      </c>
    </row>
    <row r="4963" ht="12.75" customHeight="1">
      <c r="H4963" s="43" t="n"/>
      <c r="AG4963" s="49">
        <f>IFERROR(__xludf.DUMMYFUNCTION("IFNA(vlookup(H4963,IMPORTRANGE(""1vUGwO1n0QQGx9kKbO0_M5gmuhXZ6-LaxQxgrmJnzgP0"",""'TP# look up'!A:C""),3,0),"""")"),"")</f>
        <v/>
      </c>
      <c r="AH4963" s="49">
        <f>LEFT(J4963,2)</f>
        <v/>
      </c>
    </row>
    <row r="4964" ht="12.75" customHeight="1">
      <c r="H4964" s="43" t="n"/>
      <c r="AG4964" s="49">
        <f>IFERROR(__xludf.DUMMYFUNCTION("IFNA(vlookup(H4964,IMPORTRANGE(""1vUGwO1n0QQGx9kKbO0_M5gmuhXZ6-LaxQxgrmJnzgP0"",""'TP# look up'!A:C""),3,0),"""")"),"")</f>
        <v/>
      </c>
      <c r="AH4964" s="49">
        <f>LEFT(J4964,2)</f>
        <v/>
      </c>
    </row>
    <row r="4965" ht="12.75" customHeight="1">
      <c r="H4965" s="43" t="n"/>
      <c r="AG4965" s="49">
        <f>IFERROR(__xludf.DUMMYFUNCTION("IFNA(vlookup(H4965,IMPORTRANGE(""1vUGwO1n0QQGx9kKbO0_M5gmuhXZ6-LaxQxgrmJnzgP0"",""'TP# look up'!A:C""),3,0),"""")"),"")</f>
        <v/>
      </c>
      <c r="AH4965" s="49">
        <f>LEFT(J4965,2)</f>
        <v/>
      </c>
    </row>
    <row r="4966" ht="12.75" customHeight="1">
      <c r="H4966" s="43" t="n"/>
      <c r="AG4966" s="49">
        <f>IFERROR(__xludf.DUMMYFUNCTION("IFNA(vlookup(H4966,IMPORTRANGE(""1vUGwO1n0QQGx9kKbO0_M5gmuhXZ6-LaxQxgrmJnzgP0"",""'TP# look up'!A:C""),3,0),"""")"),"")</f>
        <v/>
      </c>
      <c r="AH4966" s="49">
        <f>LEFT(J4966,2)</f>
        <v/>
      </c>
    </row>
    <row r="4967" ht="12.75" customHeight="1">
      <c r="H4967" s="43" t="n"/>
      <c r="AG4967" s="49">
        <f>IFERROR(__xludf.DUMMYFUNCTION("IFNA(vlookup(H4967,IMPORTRANGE(""1vUGwO1n0QQGx9kKbO0_M5gmuhXZ6-LaxQxgrmJnzgP0"",""'TP# look up'!A:C""),3,0),"""")"),"")</f>
        <v/>
      </c>
      <c r="AH4967" s="49">
        <f>LEFT(J4967,2)</f>
        <v/>
      </c>
    </row>
    <row r="4968" ht="12.75" customHeight="1">
      <c r="H4968" s="43" t="n"/>
      <c r="AG4968" s="49">
        <f>IFERROR(__xludf.DUMMYFUNCTION("IFNA(vlookup(H4968,IMPORTRANGE(""1vUGwO1n0QQGx9kKbO0_M5gmuhXZ6-LaxQxgrmJnzgP0"",""'TP# look up'!A:C""),3,0),"""")"),"")</f>
        <v/>
      </c>
      <c r="AH4968" s="49">
        <f>LEFT(J4968,2)</f>
        <v/>
      </c>
    </row>
    <row r="4969" ht="12.75" customHeight="1">
      <c r="H4969" s="43" t="n"/>
      <c r="AG4969" s="49">
        <f>IFERROR(__xludf.DUMMYFUNCTION("IFNA(vlookup(H4969,IMPORTRANGE(""1vUGwO1n0QQGx9kKbO0_M5gmuhXZ6-LaxQxgrmJnzgP0"",""'TP# look up'!A:C""),3,0),"""")"),"")</f>
        <v/>
      </c>
      <c r="AH4969" s="49">
        <f>LEFT(J4969,2)</f>
        <v/>
      </c>
    </row>
    <row r="4970" ht="12.75" customHeight="1">
      <c r="H4970" s="43" t="n"/>
      <c r="AG4970" s="49">
        <f>IFERROR(__xludf.DUMMYFUNCTION("IFNA(vlookup(H4970,IMPORTRANGE(""1vUGwO1n0QQGx9kKbO0_M5gmuhXZ6-LaxQxgrmJnzgP0"",""'TP# look up'!A:C""),3,0),"""")"),"")</f>
        <v/>
      </c>
      <c r="AH4970" s="49">
        <f>LEFT(J4970,2)</f>
        <v/>
      </c>
    </row>
    <row r="4971" ht="12.75" customHeight="1">
      <c r="H4971" s="43" t="n"/>
      <c r="AG4971" s="49">
        <f>IFERROR(__xludf.DUMMYFUNCTION("IFNA(vlookup(H4971,IMPORTRANGE(""1vUGwO1n0QQGx9kKbO0_M5gmuhXZ6-LaxQxgrmJnzgP0"",""'TP# look up'!A:C""),3,0),"""")"),"")</f>
        <v/>
      </c>
      <c r="AH4971" s="49">
        <f>LEFT(J4971,2)</f>
        <v/>
      </c>
    </row>
    <row r="4972" ht="12.75" customHeight="1">
      <c r="H4972" s="43" t="n"/>
      <c r="AG4972" s="49">
        <f>IFERROR(__xludf.DUMMYFUNCTION("IFNA(vlookup(H4972,IMPORTRANGE(""1vUGwO1n0QQGx9kKbO0_M5gmuhXZ6-LaxQxgrmJnzgP0"",""'TP# look up'!A:C""),3,0),"""")"),"")</f>
        <v/>
      </c>
      <c r="AH4972" s="49">
        <f>LEFT(J4972,2)</f>
        <v/>
      </c>
    </row>
    <row r="4973" ht="12.75" customHeight="1">
      <c r="H4973" s="43" t="n"/>
      <c r="AG4973" s="49">
        <f>IFERROR(__xludf.DUMMYFUNCTION("IFNA(vlookup(H4973,IMPORTRANGE(""1vUGwO1n0QQGx9kKbO0_M5gmuhXZ6-LaxQxgrmJnzgP0"",""'TP# look up'!A:C""),3,0),"""")"),"")</f>
        <v/>
      </c>
      <c r="AH4973" s="49">
        <f>LEFT(J4973,2)</f>
        <v/>
      </c>
    </row>
    <row r="4974" ht="12.75" customHeight="1">
      <c r="H4974" s="43" t="n"/>
      <c r="AG4974" s="49">
        <f>IFERROR(__xludf.DUMMYFUNCTION("IFNA(vlookup(H4974,IMPORTRANGE(""1vUGwO1n0QQGx9kKbO0_M5gmuhXZ6-LaxQxgrmJnzgP0"",""'TP# look up'!A:C""),3,0),"""")"),"")</f>
        <v/>
      </c>
      <c r="AH4974" s="49">
        <f>LEFT(J4974,2)</f>
        <v/>
      </c>
    </row>
    <row r="4975" ht="12.75" customHeight="1">
      <c r="H4975" s="43" t="n"/>
      <c r="AG4975" s="49">
        <f>IFERROR(__xludf.DUMMYFUNCTION("IFNA(vlookup(H4975,IMPORTRANGE(""1vUGwO1n0QQGx9kKbO0_M5gmuhXZ6-LaxQxgrmJnzgP0"",""'TP# look up'!A:C""),3,0),"""")"),"")</f>
        <v/>
      </c>
      <c r="AH4975" s="49">
        <f>LEFT(J4975,2)</f>
        <v/>
      </c>
    </row>
    <row r="4976" ht="12.75" customHeight="1">
      <c r="H4976" s="43" t="n"/>
      <c r="AG4976" s="49">
        <f>IFERROR(__xludf.DUMMYFUNCTION("IFNA(vlookup(H4976,IMPORTRANGE(""1vUGwO1n0QQGx9kKbO0_M5gmuhXZ6-LaxQxgrmJnzgP0"",""'TP# look up'!A:C""),3,0),"""")"),"")</f>
        <v/>
      </c>
      <c r="AH4976" s="49">
        <f>LEFT(J4976,2)</f>
        <v/>
      </c>
    </row>
    <row r="4977" ht="12.75" customHeight="1">
      <c r="H4977" s="43" t="n"/>
      <c r="AG4977" s="49">
        <f>IFERROR(__xludf.DUMMYFUNCTION("IFNA(vlookup(H4977,IMPORTRANGE(""1vUGwO1n0QQGx9kKbO0_M5gmuhXZ6-LaxQxgrmJnzgP0"",""'TP# look up'!A:C""),3,0),"""")"),"")</f>
        <v/>
      </c>
      <c r="AH4977" s="49">
        <f>LEFT(J4977,2)</f>
        <v/>
      </c>
    </row>
    <row r="4978" ht="12.75" customHeight="1">
      <c r="H4978" s="43" t="n"/>
      <c r="AG4978" s="49">
        <f>IFERROR(__xludf.DUMMYFUNCTION("IFNA(vlookup(H4978,IMPORTRANGE(""1vUGwO1n0QQGx9kKbO0_M5gmuhXZ6-LaxQxgrmJnzgP0"",""'TP# look up'!A:C""),3,0),"""")"),"")</f>
        <v/>
      </c>
      <c r="AH4978" s="49">
        <f>LEFT(J4978,2)</f>
        <v/>
      </c>
    </row>
    <row r="4979" ht="12.75" customHeight="1">
      <c r="H4979" s="43" t="n"/>
      <c r="AG4979" s="49">
        <f>IFERROR(__xludf.DUMMYFUNCTION("IFNA(vlookup(H4979,IMPORTRANGE(""1vUGwO1n0QQGx9kKbO0_M5gmuhXZ6-LaxQxgrmJnzgP0"",""'TP# look up'!A:C""),3,0),"""")"),"")</f>
        <v/>
      </c>
      <c r="AH4979" s="49">
        <f>LEFT(J4979,2)</f>
        <v/>
      </c>
    </row>
    <row r="4980" ht="12.75" customHeight="1">
      <c r="H4980" s="43" t="n"/>
      <c r="AG4980" s="49">
        <f>IFERROR(__xludf.DUMMYFUNCTION("IFNA(vlookup(H4980,IMPORTRANGE(""1vUGwO1n0QQGx9kKbO0_M5gmuhXZ6-LaxQxgrmJnzgP0"",""'TP# look up'!A:C""),3,0),"""")"),"")</f>
        <v/>
      </c>
      <c r="AH4980" s="49">
        <f>LEFT(J4980,2)</f>
        <v/>
      </c>
    </row>
    <row r="4981" ht="12.75" customHeight="1">
      <c r="H4981" s="43" t="n"/>
      <c r="AG4981" s="49">
        <f>IFERROR(__xludf.DUMMYFUNCTION("IFNA(vlookup(H4981,IMPORTRANGE(""1vUGwO1n0QQGx9kKbO0_M5gmuhXZ6-LaxQxgrmJnzgP0"",""'TP# look up'!A:C""),3,0),"""")"),"")</f>
        <v/>
      </c>
      <c r="AH4981" s="49">
        <f>LEFT(J4981,2)</f>
        <v/>
      </c>
    </row>
    <row r="4982" ht="12.75" customHeight="1">
      <c r="H4982" s="43" t="n"/>
      <c r="AG4982" s="49">
        <f>IFERROR(__xludf.DUMMYFUNCTION("IFNA(vlookup(H4982,IMPORTRANGE(""1vUGwO1n0QQGx9kKbO0_M5gmuhXZ6-LaxQxgrmJnzgP0"",""'TP# look up'!A:C""),3,0),"""")"),"")</f>
        <v/>
      </c>
      <c r="AH4982" s="49">
        <f>LEFT(J4982,2)</f>
        <v/>
      </c>
    </row>
    <row r="4983" ht="12.75" customHeight="1">
      <c r="H4983" s="43" t="n"/>
      <c r="AG4983" s="49">
        <f>IFERROR(__xludf.DUMMYFUNCTION("IFNA(vlookup(H4983,IMPORTRANGE(""1vUGwO1n0QQGx9kKbO0_M5gmuhXZ6-LaxQxgrmJnzgP0"",""'TP# look up'!A:C""),3,0),"""")"),"")</f>
        <v/>
      </c>
      <c r="AH4983" s="49">
        <f>LEFT(J4983,2)</f>
        <v/>
      </c>
    </row>
    <row r="4984" ht="12.75" customHeight="1">
      <c r="H4984" s="43" t="n"/>
      <c r="AG4984" s="49">
        <f>IFERROR(__xludf.DUMMYFUNCTION("IFNA(vlookup(H4984,IMPORTRANGE(""1vUGwO1n0QQGx9kKbO0_M5gmuhXZ6-LaxQxgrmJnzgP0"",""'TP# look up'!A:C""),3,0),"""")"),"")</f>
        <v/>
      </c>
      <c r="AH4984" s="49">
        <f>LEFT(J4984,2)</f>
        <v/>
      </c>
    </row>
    <row r="4985" ht="12.75" customHeight="1">
      <c r="H4985" s="43" t="n"/>
      <c r="AG4985" s="49">
        <f>IFERROR(__xludf.DUMMYFUNCTION("IFNA(vlookup(H4985,IMPORTRANGE(""1vUGwO1n0QQGx9kKbO0_M5gmuhXZ6-LaxQxgrmJnzgP0"",""'TP# look up'!A:C""),3,0),"""")"),"")</f>
        <v/>
      </c>
      <c r="AH4985" s="49">
        <f>LEFT(J4985,2)</f>
        <v/>
      </c>
    </row>
    <row r="4986" ht="12.75" customHeight="1">
      <c r="H4986" s="43" t="n"/>
      <c r="AG4986" s="49">
        <f>IFERROR(__xludf.DUMMYFUNCTION("IFNA(vlookup(H4986,IMPORTRANGE(""1vUGwO1n0QQGx9kKbO0_M5gmuhXZ6-LaxQxgrmJnzgP0"",""'TP# look up'!A:C""),3,0),"""")"),"")</f>
        <v/>
      </c>
      <c r="AH4986" s="49">
        <f>LEFT(J4986,2)</f>
        <v/>
      </c>
    </row>
    <row r="4987" ht="12.75" customHeight="1">
      <c r="H4987" s="43" t="n"/>
      <c r="AG4987" s="49">
        <f>IFERROR(__xludf.DUMMYFUNCTION("IFNA(vlookup(H4987,IMPORTRANGE(""1vUGwO1n0QQGx9kKbO0_M5gmuhXZ6-LaxQxgrmJnzgP0"",""'TP# look up'!A:C""),3,0),"""")"),"")</f>
        <v/>
      </c>
      <c r="AH4987" s="49">
        <f>LEFT(J4987,2)</f>
        <v/>
      </c>
    </row>
    <row r="4988" ht="12.75" customHeight="1">
      <c r="H4988" s="43" t="n"/>
      <c r="AG4988" s="49">
        <f>IFERROR(__xludf.DUMMYFUNCTION("IFNA(vlookup(H4988,IMPORTRANGE(""1vUGwO1n0QQGx9kKbO0_M5gmuhXZ6-LaxQxgrmJnzgP0"",""'TP# look up'!A:C""),3,0),"""")"),"")</f>
        <v/>
      </c>
      <c r="AH4988" s="49">
        <f>LEFT(J4988,2)</f>
        <v/>
      </c>
    </row>
    <row r="4989" ht="12.75" customHeight="1">
      <c r="H4989" s="43" t="n"/>
      <c r="AG4989" s="49">
        <f>IFERROR(__xludf.DUMMYFUNCTION("IFNA(vlookup(H4989,IMPORTRANGE(""1vUGwO1n0QQGx9kKbO0_M5gmuhXZ6-LaxQxgrmJnzgP0"",""'TP# look up'!A:C""),3,0),"""")"),"")</f>
        <v/>
      </c>
      <c r="AH4989" s="49">
        <f>LEFT(J4989,2)</f>
        <v/>
      </c>
    </row>
    <row r="4990" ht="12.75" customHeight="1">
      <c r="H4990" s="43" t="n"/>
      <c r="AG4990" s="49">
        <f>IFERROR(__xludf.DUMMYFUNCTION("IFNA(vlookup(H4990,IMPORTRANGE(""1vUGwO1n0QQGx9kKbO0_M5gmuhXZ6-LaxQxgrmJnzgP0"",""'TP# look up'!A:C""),3,0),"""")"),"")</f>
        <v/>
      </c>
      <c r="AH4990" s="49">
        <f>LEFT(J4990,2)</f>
        <v/>
      </c>
    </row>
    <row r="4991" ht="12.75" customHeight="1">
      <c r="H4991" s="43" t="n"/>
      <c r="AG4991" s="49">
        <f>IFERROR(__xludf.DUMMYFUNCTION("IFNA(vlookup(H4991,IMPORTRANGE(""1vUGwO1n0QQGx9kKbO0_M5gmuhXZ6-LaxQxgrmJnzgP0"",""'TP# look up'!A:C""),3,0),"""")"),"")</f>
        <v/>
      </c>
      <c r="AH4991" s="49">
        <f>LEFT(J4991,2)</f>
        <v/>
      </c>
    </row>
    <row r="4992" ht="12.75" customHeight="1">
      <c r="H4992" s="43" t="n"/>
      <c r="AG4992" s="49">
        <f>IFERROR(__xludf.DUMMYFUNCTION("IFNA(vlookup(H4992,IMPORTRANGE(""1vUGwO1n0QQGx9kKbO0_M5gmuhXZ6-LaxQxgrmJnzgP0"",""'TP# look up'!A:C""),3,0),"""")"),"")</f>
        <v/>
      </c>
      <c r="AH4992" s="49">
        <f>LEFT(J4992,2)</f>
        <v/>
      </c>
    </row>
    <row r="4993" ht="12.75" customHeight="1">
      <c r="H4993" s="43" t="n"/>
      <c r="AG4993" s="49">
        <f>IFERROR(__xludf.DUMMYFUNCTION("IFNA(vlookup(H4993,IMPORTRANGE(""1vUGwO1n0QQGx9kKbO0_M5gmuhXZ6-LaxQxgrmJnzgP0"",""'TP# look up'!A:C""),3,0),"""")"),"")</f>
        <v/>
      </c>
      <c r="AH4993" s="49">
        <f>LEFT(J4993,2)</f>
        <v/>
      </c>
    </row>
    <row r="4994" ht="12.75" customHeight="1">
      <c r="H4994" s="43" t="n"/>
      <c r="AG4994" s="49">
        <f>IFERROR(__xludf.DUMMYFUNCTION("IFNA(vlookup(H4994,IMPORTRANGE(""1vUGwO1n0QQGx9kKbO0_M5gmuhXZ6-LaxQxgrmJnzgP0"",""'TP# look up'!A:C""),3,0),"""")"),"")</f>
        <v/>
      </c>
      <c r="AH4994" s="49">
        <f>LEFT(J4994,2)</f>
        <v/>
      </c>
    </row>
    <row r="4995" ht="12.75" customHeight="1">
      <c r="H4995" s="43" t="n"/>
      <c r="AG4995" s="49">
        <f>IFERROR(__xludf.DUMMYFUNCTION("IFNA(vlookup(H4995,IMPORTRANGE(""1vUGwO1n0QQGx9kKbO0_M5gmuhXZ6-LaxQxgrmJnzgP0"",""'TP# look up'!A:C""),3,0),"""")"),"")</f>
        <v/>
      </c>
      <c r="AH4995" s="49">
        <f>LEFT(J4995,2)</f>
        <v/>
      </c>
    </row>
    <row r="4996" ht="12.75" customHeight="1">
      <c r="H4996" s="43" t="n"/>
      <c r="AG4996" s="49">
        <f>IFERROR(__xludf.DUMMYFUNCTION("IFNA(vlookup(H4996,IMPORTRANGE(""1vUGwO1n0QQGx9kKbO0_M5gmuhXZ6-LaxQxgrmJnzgP0"",""'TP# look up'!A:C""),3,0),"""")"),"")</f>
        <v/>
      </c>
      <c r="AH4996" s="49">
        <f>LEFT(J4996,2)</f>
        <v/>
      </c>
    </row>
    <row r="4997" ht="12.75" customHeight="1">
      <c r="H4997" s="43" t="n"/>
      <c r="AG4997" s="49">
        <f>IFERROR(__xludf.DUMMYFUNCTION("IFNA(vlookup(H4997,IMPORTRANGE(""1vUGwO1n0QQGx9kKbO0_M5gmuhXZ6-LaxQxgrmJnzgP0"",""'TP# look up'!A:C""),3,0),"""")"),"")</f>
        <v/>
      </c>
      <c r="AH4997" s="49">
        <f>LEFT(J4997,2)</f>
        <v/>
      </c>
    </row>
    <row r="4998" ht="12.75" customHeight="1">
      <c r="H4998" s="43" t="n"/>
      <c r="AG4998" s="49">
        <f>IFERROR(__xludf.DUMMYFUNCTION("IFNA(vlookup(H4998,IMPORTRANGE(""1vUGwO1n0QQGx9kKbO0_M5gmuhXZ6-LaxQxgrmJnzgP0"",""'TP# look up'!A:C""),3,0),"""")"),"")</f>
        <v/>
      </c>
      <c r="AH4998" s="49">
        <f>LEFT(J4998,2)</f>
        <v/>
      </c>
    </row>
    <row r="4999" ht="12.75" customHeight="1">
      <c r="H4999" s="43" t="n"/>
      <c r="AG4999" s="49">
        <f>IFERROR(__xludf.DUMMYFUNCTION("IFNA(vlookup(H4999,IMPORTRANGE(""1vUGwO1n0QQGx9kKbO0_M5gmuhXZ6-LaxQxgrmJnzgP0"",""'TP# look up'!A:C""),3,0),"""")"),"")</f>
        <v/>
      </c>
      <c r="AH4999" s="49">
        <f>LEFT(J4999,2)</f>
        <v/>
      </c>
    </row>
    <row r="5000" ht="12.75" customHeight="1">
      <c r="H5000" s="43" t="n"/>
      <c r="AG5000" s="49">
        <f>IFERROR(__xludf.DUMMYFUNCTION("IFNA(vlookup(H5000,IMPORTRANGE(""1vUGwO1n0QQGx9kKbO0_M5gmuhXZ6-LaxQxgrmJnzgP0"",""'TP# look up'!A:C""),3,0),"""")"),"")</f>
        <v/>
      </c>
      <c r="AH5000" s="49">
        <f>LEFT(J5000,2)</f>
        <v/>
      </c>
    </row>
    <row r="5001" ht="12.75" customHeight="1">
      <c r="H5001" s="43" t="n"/>
      <c r="AG5001" s="49">
        <f>IFERROR(__xludf.DUMMYFUNCTION("IFNA(vlookup(H5001,IMPORTRANGE(""1vUGwO1n0QQGx9kKbO0_M5gmuhXZ6-LaxQxgrmJnzgP0"",""'TP# look up'!A:C""),3,0),"""")"),"")</f>
        <v/>
      </c>
      <c r="AH5001" s="49">
        <f>LEFT(J5001,2)</f>
        <v/>
      </c>
    </row>
    <row r="5002" ht="12.75" customHeight="1">
      <c r="H5002" s="43" t="n"/>
      <c r="AG5002" s="49">
        <f>IFERROR(__xludf.DUMMYFUNCTION("IFNA(vlookup(H5002,IMPORTRANGE(""1vUGwO1n0QQGx9kKbO0_M5gmuhXZ6-LaxQxgrmJnzgP0"",""'TP# look up'!A:C""),3,0),"""")"),"")</f>
        <v/>
      </c>
      <c r="AH5002" s="49">
        <f>LEFT(J5002,2)</f>
        <v/>
      </c>
    </row>
    <row r="5003" ht="12.75" customHeight="1">
      <c r="H5003" s="43" t="n"/>
      <c r="AG5003" s="49">
        <f>IFERROR(__xludf.DUMMYFUNCTION("IFNA(vlookup(H5003,IMPORTRANGE(""1vUGwO1n0QQGx9kKbO0_M5gmuhXZ6-LaxQxgrmJnzgP0"",""'TP# look up'!A:C""),3,0),"""")"),"")</f>
        <v/>
      </c>
      <c r="AH5003" s="49">
        <f>LEFT(J5003,2)</f>
        <v/>
      </c>
    </row>
    <row r="5004" ht="12.75" customHeight="1">
      <c r="H5004" s="43" t="n"/>
      <c r="AG5004" s="49">
        <f>IFERROR(__xludf.DUMMYFUNCTION("IFNA(vlookup(H5004,IMPORTRANGE(""1vUGwO1n0QQGx9kKbO0_M5gmuhXZ6-LaxQxgrmJnzgP0"",""'TP# look up'!A:C""),3,0),"""")"),"")</f>
        <v/>
      </c>
      <c r="AH5004" s="49">
        <f>LEFT(J5004,2)</f>
        <v/>
      </c>
    </row>
    <row r="5005" ht="12.75" customHeight="1">
      <c r="H5005" s="43" t="n"/>
      <c r="AG5005" s="49">
        <f>IFERROR(__xludf.DUMMYFUNCTION("IFNA(vlookup(H5005,IMPORTRANGE(""1vUGwO1n0QQGx9kKbO0_M5gmuhXZ6-LaxQxgrmJnzgP0"",""'TP# look up'!A:C""),3,0),"""")"),"")</f>
        <v/>
      </c>
      <c r="AH5005" s="49">
        <f>LEFT(J5005,2)</f>
        <v/>
      </c>
    </row>
    <row r="5006" ht="12.75" customHeight="1">
      <c r="H5006" s="43" t="n"/>
      <c r="AG5006" s="49">
        <f>IFERROR(__xludf.DUMMYFUNCTION("IFNA(vlookup(H5006,IMPORTRANGE(""1vUGwO1n0QQGx9kKbO0_M5gmuhXZ6-LaxQxgrmJnzgP0"",""'TP# look up'!A:C""),3,0),"""")"),"")</f>
        <v/>
      </c>
      <c r="AH5006" s="49">
        <f>LEFT(J5006,2)</f>
        <v/>
      </c>
    </row>
    <row r="5007" ht="12.75" customHeight="1">
      <c r="H5007" s="43" t="n"/>
      <c r="AG5007" s="49">
        <f>IFERROR(__xludf.DUMMYFUNCTION("IFNA(vlookup(H5007,IMPORTRANGE(""1vUGwO1n0QQGx9kKbO0_M5gmuhXZ6-LaxQxgrmJnzgP0"",""'TP# look up'!A:C""),3,0),"""")"),"")</f>
        <v/>
      </c>
      <c r="AH5007" s="49">
        <f>LEFT(J5007,2)</f>
        <v/>
      </c>
    </row>
    <row r="5008" ht="12.75" customHeight="1">
      <c r="H5008" s="43" t="n"/>
      <c r="AG5008" s="49">
        <f>IFERROR(__xludf.DUMMYFUNCTION("IFNA(vlookup(H5008,IMPORTRANGE(""1vUGwO1n0QQGx9kKbO0_M5gmuhXZ6-LaxQxgrmJnzgP0"",""'TP# look up'!A:C""),3,0),"""")"),"")</f>
        <v/>
      </c>
      <c r="AH5008" s="49">
        <f>LEFT(J5008,2)</f>
        <v/>
      </c>
    </row>
    <row r="5009" ht="12.75" customHeight="1">
      <c r="H5009" s="43" t="n"/>
      <c r="AG5009" s="49">
        <f>IFERROR(__xludf.DUMMYFUNCTION("IFNA(vlookup(H5009,IMPORTRANGE(""1vUGwO1n0QQGx9kKbO0_M5gmuhXZ6-LaxQxgrmJnzgP0"",""'TP# look up'!A:C""),3,0),"""")"),"")</f>
        <v/>
      </c>
      <c r="AH5009" s="49">
        <f>LEFT(J5009,2)</f>
        <v/>
      </c>
    </row>
    <row r="5010" ht="12.75" customHeight="1">
      <c r="H5010" s="43" t="n"/>
      <c r="AG5010" s="49">
        <f>IFERROR(__xludf.DUMMYFUNCTION("IFNA(vlookup(H5010,IMPORTRANGE(""1vUGwO1n0QQGx9kKbO0_M5gmuhXZ6-LaxQxgrmJnzgP0"",""'TP# look up'!A:C""),3,0),"""")"),"")</f>
        <v/>
      </c>
      <c r="AH5010" s="49">
        <f>LEFT(J5010,2)</f>
        <v/>
      </c>
    </row>
    <row r="5011" ht="12.75" customHeight="1">
      <c r="H5011" s="43" t="n"/>
      <c r="AG5011" s="49">
        <f>IFERROR(__xludf.DUMMYFUNCTION("IFNA(vlookup(H5011,IMPORTRANGE(""1vUGwO1n0QQGx9kKbO0_M5gmuhXZ6-LaxQxgrmJnzgP0"",""'TP# look up'!A:C""),3,0),"""")"),"")</f>
        <v/>
      </c>
      <c r="AH5011" s="49">
        <f>LEFT(J5011,2)</f>
        <v/>
      </c>
    </row>
    <row r="5012" ht="12.75" customHeight="1">
      <c r="H5012" s="43" t="n"/>
      <c r="AG5012" s="49">
        <f>IFERROR(__xludf.DUMMYFUNCTION("IFNA(vlookup(H5012,IMPORTRANGE(""1vUGwO1n0QQGx9kKbO0_M5gmuhXZ6-LaxQxgrmJnzgP0"",""'TP# look up'!A:C""),3,0),"""")"),"")</f>
        <v/>
      </c>
      <c r="AH5012" s="49">
        <f>LEFT(J5012,2)</f>
        <v/>
      </c>
    </row>
    <row r="5013" ht="12.75" customHeight="1">
      <c r="H5013" s="43" t="n"/>
      <c r="AG5013" s="49">
        <f>IFERROR(__xludf.DUMMYFUNCTION("IFNA(vlookup(H5013,IMPORTRANGE(""1vUGwO1n0QQGx9kKbO0_M5gmuhXZ6-LaxQxgrmJnzgP0"",""'TP# look up'!A:C""),3,0),"""")"),"")</f>
        <v/>
      </c>
      <c r="AH5013" s="49">
        <f>LEFT(J5013,2)</f>
        <v/>
      </c>
    </row>
    <row r="5014" ht="12.75" customHeight="1">
      <c r="H5014" s="43" t="n"/>
      <c r="AG5014" s="49">
        <f>IFERROR(__xludf.DUMMYFUNCTION("IFNA(vlookup(H5014,IMPORTRANGE(""1vUGwO1n0QQGx9kKbO0_M5gmuhXZ6-LaxQxgrmJnzgP0"",""'TP# look up'!A:C""),3,0),"""")"),"")</f>
        <v/>
      </c>
      <c r="AH5014" s="49">
        <f>LEFT(J5014,2)</f>
        <v/>
      </c>
    </row>
    <row r="5015" ht="12.75" customHeight="1">
      <c r="H5015" s="43" t="n"/>
      <c r="AG5015" s="49">
        <f>IFERROR(__xludf.DUMMYFUNCTION("IFNA(vlookup(H5015,IMPORTRANGE(""1vUGwO1n0QQGx9kKbO0_M5gmuhXZ6-LaxQxgrmJnzgP0"",""'TP# look up'!A:C""),3,0),"""")"),"")</f>
        <v/>
      </c>
      <c r="AH5015" s="49">
        <f>LEFT(J5015,2)</f>
        <v/>
      </c>
    </row>
    <row r="5016" ht="12.75" customHeight="1">
      <c r="H5016" s="43" t="n"/>
      <c r="AG5016" s="49">
        <f>IFERROR(__xludf.DUMMYFUNCTION("IFNA(vlookup(H5016,IMPORTRANGE(""1vUGwO1n0QQGx9kKbO0_M5gmuhXZ6-LaxQxgrmJnzgP0"",""'TP# look up'!A:C""),3,0),"""")"),"")</f>
        <v/>
      </c>
      <c r="AH5016" s="49">
        <f>LEFT(J5016,2)</f>
        <v/>
      </c>
    </row>
    <row r="5017" ht="12.75" customHeight="1">
      <c r="H5017" s="43" t="n"/>
      <c r="AG5017" s="49">
        <f>IFERROR(__xludf.DUMMYFUNCTION("IFNA(vlookup(H5017,IMPORTRANGE(""1vUGwO1n0QQGx9kKbO0_M5gmuhXZ6-LaxQxgrmJnzgP0"",""'TP# look up'!A:C""),3,0),"""")"),"")</f>
        <v/>
      </c>
      <c r="AH5017" s="49">
        <f>LEFT(J5017,2)</f>
        <v/>
      </c>
    </row>
    <row r="5018" ht="12.75" customHeight="1">
      <c r="H5018" s="43" t="n"/>
      <c r="AG5018" s="49">
        <f>IFERROR(__xludf.DUMMYFUNCTION("IFNA(vlookup(H5018,IMPORTRANGE(""1vUGwO1n0QQGx9kKbO0_M5gmuhXZ6-LaxQxgrmJnzgP0"",""'TP# look up'!A:C""),3,0),"""")"),"")</f>
        <v/>
      </c>
      <c r="AH5018" s="49">
        <f>LEFT(J5018,2)</f>
        <v/>
      </c>
    </row>
    <row r="5019" ht="12.75" customHeight="1">
      <c r="H5019" s="43" t="n"/>
      <c r="AG5019" s="49">
        <f>IFERROR(__xludf.DUMMYFUNCTION("IFNA(vlookup(H5019,IMPORTRANGE(""1vUGwO1n0QQGx9kKbO0_M5gmuhXZ6-LaxQxgrmJnzgP0"",""'TP# look up'!A:C""),3,0),"""")"),"")</f>
        <v/>
      </c>
      <c r="AH5019" s="49">
        <f>LEFT(J5019,2)</f>
        <v/>
      </c>
    </row>
    <row r="5020" ht="12.75" customHeight="1">
      <c r="H5020" s="43" t="n"/>
      <c r="AG5020" s="49">
        <f>IFERROR(__xludf.DUMMYFUNCTION("IFNA(vlookup(H5020,IMPORTRANGE(""1vUGwO1n0QQGx9kKbO0_M5gmuhXZ6-LaxQxgrmJnzgP0"",""'TP# look up'!A:C""),3,0),"""")"),"")</f>
        <v/>
      </c>
      <c r="AH5020" s="49">
        <f>LEFT(J5020,2)</f>
        <v/>
      </c>
    </row>
    <row r="5021" ht="12.75" customHeight="1">
      <c r="H5021" s="43" t="n"/>
      <c r="AG5021" s="49">
        <f>IFERROR(__xludf.DUMMYFUNCTION("IFNA(vlookup(H5021,IMPORTRANGE(""1vUGwO1n0QQGx9kKbO0_M5gmuhXZ6-LaxQxgrmJnzgP0"",""'TP# look up'!A:C""),3,0),"""")"),"")</f>
        <v/>
      </c>
      <c r="AH5021" s="49">
        <f>LEFT(J5021,2)</f>
        <v/>
      </c>
    </row>
    <row r="5022" ht="12.75" customHeight="1">
      <c r="H5022" s="43" t="n"/>
      <c r="AG5022" s="49">
        <f>IFERROR(__xludf.DUMMYFUNCTION("IFNA(vlookup(H5022,IMPORTRANGE(""1vUGwO1n0QQGx9kKbO0_M5gmuhXZ6-LaxQxgrmJnzgP0"",""'TP# look up'!A:C""),3,0),"""")"),"")</f>
        <v/>
      </c>
      <c r="AH5022" s="49">
        <f>LEFT(J5022,2)</f>
        <v/>
      </c>
    </row>
    <row r="5023" ht="12.75" customHeight="1">
      <c r="H5023" s="43" t="n"/>
      <c r="AG5023" s="49">
        <f>IFERROR(__xludf.DUMMYFUNCTION("IFNA(vlookup(H5023,IMPORTRANGE(""1vUGwO1n0QQGx9kKbO0_M5gmuhXZ6-LaxQxgrmJnzgP0"",""'TP# look up'!A:C""),3,0),"""")"),"")</f>
        <v/>
      </c>
      <c r="AH5023" s="49">
        <f>LEFT(J5023,2)</f>
        <v/>
      </c>
    </row>
    <row r="5024" ht="12.75" customHeight="1">
      <c r="H5024" s="43" t="n"/>
      <c r="AG5024" s="49">
        <f>IFERROR(__xludf.DUMMYFUNCTION("IFNA(vlookup(H5024,IMPORTRANGE(""1vUGwO1n0QQGx9kKbO0_M5gmuhXZ6-LaxQxgrmJnzgP0"",""'TP# look up'!A:C""),3,0),"""")"),"")</f>
        <v/>
      </c>
      <c r="AH5024" s="49">
        <f>LEFT(J5024,2)</f>
        <v/>
      </c>
    </row>
    <row r="5025" ht="12.75" customHeight="1">
      <c r="H5025" s="43" t="n"/>
      <c r="AG5025" s="49">
        <f>IFERROR(__xludf.DUMMYFUNCTION("IFNA(vlookup(H5025,IMPORTRANGE(""1vUGwO1n0QQGx9kKbO0_M5gmuhXZ6-LaxQxgrmJnzgP0"",""'TP# look up'!A:C""),3,0),"""")"),"")</f>
        <v/>
      </c>
      <c r="AH5025" s="49">
        <f>LEFT(J5025,2)</f>
        <v/>
      </c>
    </row>
    <row r="5026" ht="12.75" customHeight="1">
      <c r="H5026" s="43" t="n"/>
      <c r="AG5026" s="49">
        <f>IFERROR(__xludf.DUMMYFUNCTION("IFNA(vlookup(H5026,IMPORTRANGE(""1vUGwO1n0QQGx9kKbO0_M5gmuhXZ6-LaxQxgrmJnzgP0"",""'TP# look up'!A:C""),3,0),"""")"),"")</f>
        <v/>
      </c>
      <c r="AH5026" s="49">
        <f>LEFT(J5026,2)</f>
        <v/>
      </c>
    </row>
    <row r="5027" ht="12.75" customHeight="1">
      <c r="H5027" s="43" t="n"/>
      <c r="AG5027" s="49">
        <f>IFERROR(__xludf.DUMMYFUNCTION("IFNA(vlookup(H5027,IMPORTRANGE(""1vUGwO1n0QQGx9kKbO0_M5gmuhXZ6-LaxQxgrmJnzgP0"",""'TP# look up'!A:C""),3,0),"""")"),"")</f>
        <v/>
      </c>
      <c r="AH5027" s="49">
        <f>LEFT(J5027,2)</f>
        <v/>
      </c>
    </row>
    <row r="5028" ht="12.75" customHeight="1">
      <c r="H5028" s="43" t="n"/>
      <c r="AG5028" s="49">
        <f>IFERROR(__xludf.DUMMYFUNCTION("IFNA(vlookup(H5028,IMPORTRANGE(""1vUGwO1n0QQGx9kKbO0_M5gmuhXZ6-LaxQxgrmJnzgP0"",""'TP# look up'!A:C""),3,0),"""")"),"")</f>
        <v/>
      </c>
      <c r="AH5028" s="49">
        <f>LEFT(J5028,2)</f>
        <v/>
      </c>
    </row>
    <row r="5029" ht="12.75" customHeight="1">
      <c r="H5029" s="43" t="n"/>
      <c r="AG5029" s="49">
        <f>IFERROR(__xludf.DUMMYFUNCTION("IFNA(vlookup(H5029,IMPORTRANGE(""1vUGwO1n0QQGx9kKbO0_M5gmuhXZ6-LaxQxgrmJnzgP0"",""'TP# look up'!A:C""),3,0),"""")"),"")</f>
        <v/>
      </c>
      <c r="AH5029" s="49">
        <f>LEFT(J5029,2)</f>
        <v/>
      </c>
    </row>
    <row r="5030" ht="12.75" customHeight="1">
      <c r="H5030" s="43" t="n"/>
      <c r="AG5030" s="49">
        <f>IFERROR(__xludf.DUMMYFUNCTION("IFNA(vlookup(H5030,IMPORTRANGE(""1vUGwO1n0QQGx9kKbO0_M5gmuhXZ6-LaxQxgrmJnzgP0"",""'TP# look up'!A:C""),3,0),"""")"),"")</f>
        <v/>
      </c>
      <c r="AH5030" s="49">
        <f>LEFT(J5030,2)</f>
        <v/>
      </c>
    </row>
    <row r="5031" ht="12.75" customHeight="1">
      <c r="H5031" s="43" t="n"/>
      <c r="AG5031" s="49">
        <f>IFERROR(__xludf.DUMMYFUNCTION("IFNA(vlookup(H5031,IMPORTRANGE(""1vUGwO1n0QQGx9kKbO0_M5gmuhXZ6-LaxQxgrmJnzgP0"",""'TP# look up'!A:C""),3,0),"""")"),"")</f>
        <v/>
      </c>
      <c r="AH5031" s="49">
        <f>LEFT(J5031,2)</f>
        <v/>
      </c>
    </row>
    <row r="5032" ht="12.75" customHeight="1">
      <c r="H5032" s="43" t="n"/>
      <c r="AG5032" s="49">
        <f>IFERROR(__xludf.DUMMYFUNCTION("IFNA(vlookup(H5032,IMPORTRANGE(""1vUGwO1n0QQGx9kKbO0_M5gmuhXZ6-LaxQxgrmJnzgP0"",""'TP# look up'!A:C""),3,0),"""")"),"")</f>
        <v/>
      </c>
      <c r="AH5032" s="49">
        <f>LEFT(J5032,2)</f>
        <v/>
      </c>
    </row>
    <row r="5033" ht="12.75" customHeight="1">
      <c r="H5033" s="43" t="n"/>
      <c r="AG5033" s="49">
        <f>IFERROR(__xludf.DUMMYFUNCTION("IFNA(vlookup(H5033,IMPORTRANGE(""1vUGwO1n0QQGx9kKbO0_M5gmuhXZ6-LaxQxgrmJnzgP0"",""'TP# look up'!A:C""),3,0),"""")"),"")</f>
        <v/>
      </c>
      <c r="AH5033" s="49">
        <f>LEFT(J5033,2)</f>
        <v/>
      </c>
    </row>
    <row r="5034" ht="12.75" customHeight="1">
      <c r="H5034" s="43" t="n"/>
      <c r="AG5034" s="49">
        <f>IFERROR(__xludf.DUMMYFUNCTION("IFNA(vlookup(H5034,IMPORTRANGE(""1vUGwO1n0QQGx9kKbO0_M5gmuhXZ6-LaxQxgrmJnzgP0"",""'TP# look up'!A:C""),3,0),"""")"),"")</f>
        <v/>
      </c>
      <c r="AH5034" s="49">
        <f>LEFT(J5034,2)</f>
        <v/>
      </c>
    </row>
    <row r="5035" ht="12.75" customHeight="1">
      <c r="H5035" s="43" t="n"/>
      <c r="AG5035" s="49">
        <f>IFERROR(__xludf.DUMMYFUNCTION("IFNA(vlookup(H5035,IMPORTRANGE(""1vUGwO1n0QQGx9kKbO0_M5gmuhXZ6-LaxQxgrmJnzgP0"",""'TP# look up'!A:C""),3,0),"""")"),"")</f>
        <v/>
      </c>
      <c r="AH5035" s="49">
        <f>LEFT(J5035,2)</f>
        <v/>
      </c>
    </row>
    <row r="5036" ht="12.75" customHeight="1">
      <c r="H5036" s="43" t="n"/>
      <c r="AG5036" s="49">
        <f>IFERROR(__xludf.DUMMYFUNCTION("IFNA(vlookup(H5036,IMPORTRANGE(""1vUGwO1n0QQGx9kKbO0_M5gmuhXZ6-LaxQxgrmJnzgP0"",""'TP# look up'!A:C""),3,0),"""")"),"")</f>
        <v/>
      </c>
      <c r="AH5036" s="49">
        <f>LEFT(J5036,2)</f>
        <v/>
      </c>
    </row>
    <row r="5037" ht="12.75" customHeight="1">
      <c r="H5037" s="43" t="n"/>
      <c r="AG5037" s="49">
        <f>IFERROR(__xludf.DUMMYFUNCTION("IFNA(vlookup(H5037,IMPORTRANGE(""1vUGwO1n0QQGx9kKbO0_M5gmuhXZ6-LaxQxgrmJnzgP0"",""'TP# look up'!A:C""),3,0),"""")"),"")</f>
        <v/>
      </c>
      <c r="AH5037" s="49">
        <f>LEFT(J5037,2)</f>
        <v/>
      </c>
    </row>
    <row r="5038" ht="12.75" customHeight="1">
      <c r="H5038" s="43" t="n"/>
      <c r="AG5038" s="49">
        <f>IFERROR(__xludf.DUMMYFUNCTION("IFNA(vlookup(H5038,IMPORTRANGE(""1vUGwO1n0QQGx9kKbO0_M5gmuhXZ6-LaxQxgrmJnzgP0"",""'TP# look up'!A:C""),3,0),"""")"),"")</f>
        <v/>
      </c>
      <c r="AH5038" s="49">
        <f>LEFT(J5038,2)</f>
        <v/>
      </c>
    </row>
    <row r="5039" ht="12.75" customHeight="1">
      <c r="H5039" s="43" t="n"/>
      <c r="AG5039" s="49">
        <f>IFERROR(__xludf.DUMMYFUNCTION("IFNA(vlookup(H5039,IMPORTRANGE(""1vUGwO1n0QQGx9kKbO0_M5gmuhXZ6-LaxQxgrmJnzgP0"",""'TP# look up'!A:C""),3,0),"""")"),"")</f>
        <v/>
      </c>
      <c r="AH5039" s="49">
        <f>LEFT(J5039,2)</f>
        <v/>
      </c>
    </row>
    <row r="5040" ht="12.75" customHeight="1">
      <c r="H5040" s="43" t="n"/>
      <c r="AG5040" s="49">
        <f>IFERROR(__xludf.DUMMYFUNCTION("IFNA(vlookup(H5040,IMPORTRANGE(""1vUGwO1n0QQGx9kKbO0_M5gmuhXZ6-LaxQxgrmJnzgP0"",""'TP# look up'!A:C""),3,0),"""")"),"")</f>
        <v/>
      </c>
      <c r="AH5040" s="49">
        <f>LEFT(J5040,2)</f>
        <v/>
      </c>
    </row>
    <row r="5041" ht="12.75" customHeight="1">
      <c r="H5041" s="43" t="n"/>
      <c r="AG5041" s="49">
        <f>IFERROR(__xludf.DUMMYFUNCTION("IFNA(vlookup(H5041,IMPORTRANGE(""1vUGwO1n0QQGx9kKbO0_M5gmuhXZ6-LaxQxgrmJnzgP0"",""'TP# look up'!A:C""),3,0),"""")"),"")</f>
        <v/>
      </c>
      <c r="AH5041" s="49">
        <f>LEFT(J5041,2)</f>
        <v/>
      </c>
    </row>
    <row r="5042" ht="12.75" customHeight="1">
      <c r="H5042" s="43" t="n"/>
      <c r="AG5042" s="49">
        <f>IFERROR(__xludf.DUMMYFUNCTION("IFNA(vlookup(H5042,IMPORTRANGE(""1vUGwO1n0QQGx9kKbO0_M5gmuhXZ6-LaxQxgrmJnzgP0"",""'TP# look up'!A:C""),3,0),"""")"),"")</f>
        <v/>
      </c>
      <c r="AH5042" s="49">
        <f>LEFT(J5042,2)</f>
        <v/>
      </c>
    </row>
    <row r="5043" ht="12.75" customHeight="1">
      <c r="H5043" s="43" t="n"/>
      <c r="AG5043" s="49">
        <f>IFERROR(__xludf.DUMMYFUNCTION("IFNA(vlookup(H5043,IMPORTRANGE(""1vUGwO1n0QQGx9kKbO0_M5gmuhXZ6-LaxQxgrmJnzgP0"",""'TP# look up'!A:C""),3,0),"""")"),"")</f>
        <v/>
      </c>
      <c r="AH5043" s="49">
        <f>LEFT(J5043,2)</f>
        <v/>
      </c>
    </row>
    <row r="5044" ht="12.75" customHeight="1">
      <c r="H5044" s="43" t="n"/>
      <c r="AG5044" s="49">
        <f>IFERROR(__xludf.DUMMYFUNCTION("IFNA(vlookup(H5044,IMPORTRANGE(""1vUGwO1n0QQGx9kKbO0_M5gmuhXZ6-LaxQxgrmJnzgP0"",""'TP# look up'!A:C""),3,0),"""")"),"")</f>
        <v/>
      </c>
      <c r="AH5044" s="49">
        <f>LEFT(J5044,2)</f>
        <v/>
      </c>
    </row>
    <row r="5045" ht="12.75" customHeight="1">
      <c r="H5045" s="43" t="n"/>
      <c r="AG5045" s="49">
        <f>IFERROR(__xludf.DUMMYFUNCTION("IFNA(vlookup(H5045,IMPORTRANGE(""1vUGwO1n0QQGx9kKbO0_M5gmuhXZ6-LaxQxgrmJnzgP0"",""'TP# look up'!A:C""),3,0),"""")"),"")</f>
        <v/>
      </c>
      <c r="AH5045" s="49">
        <f>LEFT(J5045,2)</f>
        <v/>
      </c>
    </row>
    <row r="5046" ht="12.75" customHeight="1">
      <c r="H5046" s="43" t="n"/>
      <c r="AG5046" s="49">
        <f>IFERROR(__xludf.DUMMYFUNCTION("IFNA(vlookup(H5046,IMPORTRANGE(""1vUGwO1n0QQGx9kKbO0_M5gmuhXZ6-LaxQxgrmJnzgP0"",""'TP# look up'!A:C""),3,0),"""")"),"")</f>
        <v/>
      </c>
      <c r="AH5046" s="49">
        <f>LEFT(J5046,2)</f>
        <v/>
      </c>
    </row>
    <row r="5047" ht="12.75" customHeight="1">
      <c r="H5047" s="43" t="n"/>
      <c r="AG5047" s="49">
        <f>IFERROR(__xludf.DUMMYFUNCTION("IFNA(vlookup(H5047,IMPORTRANGE(""1vUGwO1n0QQGx9kKbO0_M5gmuhXZ6-LaxQxgrmJnzgP0"",""'TP# look up'!A:C""),3,0),"""")"),"")</f>
        <v/>
      </c>
      <c r="AH5047" s="49">
        <f>LEFT(J5047,2)</f>
        <v/>
      </c>
    </row>
    <row r="5048" ht="12.75" customHeight="1">
      <c r="H5048" s="43" t="n"/>
      <c r="AG5048" s="49">
        <f>IFERROR(__xludf.DUMMYFUNCTION("IFNA(vlookup(H5048,IMPORTRANGE(""1vUGwO1n0QQGx9kKbO0_M5gmuhXZ6-LaxQxgrmJnzgP0"",""'TP# look up'!A:C""),3,0),"""")"),"")</f>
        <v/>
      </c>
      <c r="AH5048" s="49">
        <f>LEFT(J5048,2)</f>
        <v/>
      </c>
    </row>
    <row r="5049" ht="12.75" customHeight="1">
      <c r="H5049" s="43" t="n"/>
      <c r="AG5049" s="49">
        <f>IFERROR(__xludf.DUMMYFUNCTION("IFNA(vlookup(H5049,IMPORTRANGE(""1vUGwO1n0QQGx9kKbO0_M5gmuhXZ6-LaxQxgrmJnzgP0"",""'TP# look up'!A:C""),3,0),"""")"),"")</f>
        <v/>
      </c>
      <c r="AH5049" s="49">
        <f>LEFT(J5049,2)</f>
        <v/>
      </c>
    </row>
    <row r="5050" ht="12.75" customHeight="1">
      <c r="H5050" s="43" t="n"/>
      <c r="AG5050" s="49">
        <f>IFERROR(__xludf.DUMMYFUNCTION("IFNA(vlookup(H5050,IMPORTRANGE(""1vUGwO1n0QQGx9kKbO0_M5gmuhXZ6-LaxQxgrmJnzgP0"",""'TP# look up'!A:C""),3,0),"""")"),"")</f>
        <v/>
      </c>
      <c r="AH5050" s="49">
        <f>LEFT(J5050,2)</f>
        <v/>
      </c>
    </row>
    <row r="5051" ht="12.75" customHeight="1">
      <c r="H5051" s="43" t="n"/>
      <c r="AG5051" s="49">
        <f>IFERROR(__xludf.DUMMYFUNCTION("IFNA(vlookup(H5051,IMPORTRANGE(""1vUGwO1n0QQGx9kKbO0_M5gmuhXZ6-LaxQxgrmJnzgP0"",""'TP# look up'!A:C""),3,0),"""")"),"")</f>
        <v/>
      </c>
      <c r="AH5051" s="49">
        <f>LEFT(J5051,2)</f>
        <v/>
      </c>
    </row>
    <row r="5052" ht="12.75" customHeight="1">
      <c r="H5052" s="43" t="n"/>
      <c r="AG5052" s="49">
        <f>IFERROR(__xludf.DUMMYFUNCTION("IFNA(vlookup(H5052,IMPORTRANGE(""1vUGwO1n0QQGx9kKbO0_M5gmuhXZ6-LaxQxgrmJnzgP0"",""'TP# look up'!A:C""),3,0),"""")"),"")</f>
        <v/>
      </c>
      <c r="AH5052" s="49">
        <f>LEFT(J5052,2)</f>
        <v/>
      </c>
    </row>
    <row r="5053" ht="12.75" customHeight="1">
      <c r="H5053" s="43" t="n"/>
      <c r="AG5053" s="49">
        <f>IFERROR(__xludf.DUMMYFUNCTION("IFNA(vlookup(H5053,IMPORTRANGE(""1vUGwO1n0QQGx9kKbO0_M5gmuhXZ6-LaxQxgrmJnzgP0"",""'TP# look up'!A:C""),3,0),"""")"),"")</f>
        <v/>
      </c>
      <c r="AH5053" s="49">
        <f>LEFT(J5053,2)</f>
        <v/>
      </c>
    </row>
    <row r="5054" ht="12.75" customHeight="1">
      <c r="H5054" s="43" t="n"/>
      <c r="AG5054" s="49">
        <f>IFERROR(__xludf.DUMMYFUNCTION("IFNA(vlookup(H5054,IMPORTRANGE(""1vUGwO1n0QQGx9kKbO0_M5gmuhXZ6-LaxQxgrmJnzgP0"",""'TP# look up'!A:C""),3,0),"""")"),"")</f>
        <v/>
      </c>
      <c r="AH5054" s="49">
        <f>LEFT(J5054,2)</f>
        <v/>
      </c>
    </row>
    <row r="5055" ht="12.75" customHeight="1">
      <c r="H5055" s="43" t="n"/>
      <c r="AG5055" s="49">
        <f>IFERROR(__xludf.DUMMYFUNCTION("IFNA(vlookup(H5055,IMPORTRANGE(""1vUGwO1n0QQGx9kKbO0_M5gmuhXZ6-LaxQxgrmJnzgP0"",""'TP# look up'!A:C""),3,0),"""")"),"")</f>
        <v/>
      </c>
      <c r="AH5055" s="49">
        <f>LEFT(J5055,2)</f>
        <v/>
      </c>
    </row>
    <row r="5056" ht="12.75" customHeight="1">
      <c r="H5056" s="43" t="n"/>
      <c r="AG5056" s="49">
        <f>IFERROR(__xludf.DUMMYFUNCTION("IFNA(vlookup(H5056,IMPORTRANGE(""1vUGwO1n0QQGx9kKbO0_M5gmuhXZ6-LaxQxgrmJnzgP0"",""'TP# look up'!A:C""),3,0),"""")"),"")</f>
        <v/>
      </c>
      <c r="AH5056" s="49">
        <f>LEFT(J5056,2)</f>
        <v/>
      </c>
    </row>
    <row r="5057" ht="12.75" customHeight="1">
      <c r="H5057" s="43" t="n"/>
      <c r="AG5057" s="49">
        <f>IFERROR(__xludf.DUMMYFUNCTION("IFNA(vlookup(H5057,IMPORTRANGE(""1vUGwO1n0QQGx9kKbO0_M5gmuhXZ6-LaxQxgrmJnzgP0"",""'TP# look up'!A:C""),3,0),"""")"),"")</f>
        <v/>
      </c>
      <c r="AH5057" s="49">
        <f>LEFT(J5057,2)</f>
        <v/>
      </c>
    </row>
    <row r="5058" ht="12.75" customHeight="1">
      <c r="H5058" s="43" t="n"/>
      <c r="AG5058" s="49">
        <f>IFERROR(__xludf.DUMMYFUNCTION("IFNA(vlookup(H5058,IMPORTRANGE(""1vUGwO1n0QQGx9kKbO0_M5gmuhXZ6-LaxQxgrmJnzgP0"",""'TP# look up'!A:C""),3,0),"""")"),"")</f>
        <v/>
      </c>
      <c r="AH5058" s="49">
        <f>LEFT(J5058,2)</f>
        <v/>
      </c>
    </row>
    <row r="5059" ht="12.75" customHeight="1">
      <c r="H5059" s="43" t="n"/>
      <c r="AG5059" s="49">
        <f>IFERROR(__xludf.DUMMYFUNCTION("IFNA(vlookup(H5059,IMPORTRANGE(""1vUGwO1n0QQGx9kKbO0_M5gmuhXZ6-LaxQxgrmJnzgP0"",""'TP# look up'!A:C""),3,0),"""")"),"")</f>
        <v/>
      </c>
      <c r="AH5059" s="49">
        <f>LEFT(J5059,2)</f>
        <v/>
      </c>
    </row>
    <row r="5060" ht="12.75" customHeight="1">
      <c r="H5060" s="43" t="n"/>
      <c r="AG5060" s="49">
        <f>IFERROR(__xludf.DUMMYFUNCTION("IFNA(vlookup(H5060,IMPORTRANGE(""1vUGwO1n0QQGx9kKbO0_M5gmuhXZ6-LaxQxgrmJnzgP0"",""'TP# look up'!A:C""),3,0),"""")"),"")</f>
        <v/>
      </c>
      <c r="AH5060" s="49">
        <f>LEFT(J5060,2)</f>
        <v/>
      </c>
    </row>
    <row r="5061" ht="12.75" customHeight="1">
      <c r="H5061" s="43" t="n"/>
      <c r="AG5061" s="49">
        <f>IFERROR(__xludf.DUMMYFUNCTION("IFNA(vlookup(H5061,IMPORTRANGE(""1vUGwO1n0QQGx9kKbO0_M5gmuhXZ6-LaxQxgrmJnzgP0"",""'TP# look up'!A:C""),3,0),"""")"),"")</f>
        <v/>
      </c>
      <c r="AH5061" s="49">
        <f>LEFT(J5061,2)</f>
        <v/>
      </c>
    </row>
    <row r="5062" ht="12.75" customHeight="1">
      <c r="H5062" s="43" t="n"/>
      <c r="AG5062" s="49">
        <f>IFERROR(__xludf.DUMMYFUNCTION("IFNA(vlookup(H5062,IMPORTRANGE(""1vUGwO1n0QQGx9kKbO0_M5gmuhXZ6-LaxQxgrmJnzgP0"",""'TP# look up'!A:C""),3,0),"""")"),"")</f>
        <v/>
      </c>
      <c r="AH5062" s="49">
        <f>LEFT(J5062,2)</f>
        <v/>
      </c>
    </row>
    <row r="5063" ht="12.75" customHeight="1">
      <c r="H5063" s="43" t="n"/>
      <c r="AG5063" s="49">
        <f>IFERROR(__xludf.DUMMYFUNCTION("IFNA(vlookup(H5063,IMPORTRANGE(""1vUGwO1n0QQGx9kKbO0_M5gmuhXZ6-LaxQxgrmJnzgP0"",""'TP# look up'!A:C""),3,0),"""")"),"")</f>
        <v/>
      </c>
      <c r="AH5063" s="49">
        <f>LEFT(J5063,2)</f>
        <v/>
      </c>
    </row>
    <row r="5064" ht="12.75" customHeight="1">
      <c r="H5064" s="43" t="n"/>
      <c r="AG5064" s="49">
        <f>IFERROR(__xludf.DUMMYFUNCTION("IFNA(vlookup(H5064,IMPORTRANGE(""1vUGwO1n0QQGx9kKbO0_M5gmuhXZ6-LaxQxgrmJnzgP0"",""'TP# look up'!A:C""),3,0),"""")"),"")</f>
        <v/>
      </c>
      <c r="AH5064" s="49">
        <f>LEFT(J5064,2)</f>
        <v/>
      </c>
    </row>
    <row r="5065" ht="12.75" customHeight="1">
      <c r="H5065" s="43" t="n"/>
      <c r="AG5065" s="49">
        <f>IFERROR(__xludf.DUMMYFUNCTION("IFNA(vlookup(H5065,IMPORTRANGE(""1vUGwO1n0QQGx9kKbO0_M5gmuhXZ6-LaxQxgrmJnzgP0"",""'TP# look up'!A:C""),3,0),"""")"),"")</f>
        <v/>
      </c>
      <c r="AH5065" s="49">
        <f>LEFT(J5065,2)</f>
        <v/>
      </c>
    </row>
    <row r="5066" ht="12.75" customHeight="1">
      <c r="H5066" s="43" t="n"/>
      <c r="AG5066" s="49">
        <f>IFERROR(__xludf.DUMMYFUNCTION("IFNA(vlookup(H5066,IMPORTRANGE(""1vUGwO1n0QQGx9kKbO0_M5gmuhXZ6-LaxQxgrmJnzgP0"",""'TP# look up'!A:C""),3,0),"""")"),"")</f>
        <v/>
      </c>
      <c r="AH5066" s="49">
        <f>LEFT(J5066,2)</f>
        <v/>
      </c>
    </row>
    <row r="5067" ht="12.75" customHeight="1">
      <c r="H5067" s="43" t="n"/>
      <c r="AG5067" s="49">
        <f>IFERROR(__xludf.DUMMYFUNCTION("IFNA(vlookup(H5067,IMPORTRANGE(""1vUGwO1n0QQGx9kKbO0_M5gmuhXZ6-LaxQxgrmJnzgP0"",""'TP# look up'!A:C""),3,0),"""")"),"")</f>
        <v/>
      </c>
      <c r="AH5067" s="49">
        <f>LEFT(J5067,2)</f>
        <v/>
      </c>
    </row>
    <row r="5068" ht="12.75" customHeight="1">
      <c r="H5068" s="43" t="n"/>
      <c r="AG5068" s="49">
        <f>IFERROR(__xludf.DUMMYFUNCTION("IFNA(vlookup(H5068,IMPORTRANGE(""1vUGwO1n0QQGx9kKbO0_M5gmuhXZ6-LaxQxgrmJnzgP0"",""'TP# look up'!A:C""),3,0),"""")"),"")</f>
        <v/>
      </c>
      <c r="AH5068" s="49">
        <f>LEFT(J5068,2)</f>
        <v/>
      </c>
    </row>
    <row r="5069" ht="12.75" customHeight="1">
      <c r="H5069" s="43" t="n"/>
      <c r="AG5069" s="49">
        <f>IFERROR(__xludf.DUMMYFUNCTION("IFNA(vlookup(H5069,IMPORTRANGE(""1vUGwO1n0QQGx9kKbO0_M5gmuhXZ6-LaxQxgrmJnzgP0"",""'TP# look up'!A:C""),3,0),"""")"),"")</f>
        <v/>
      </c>
      <c r="AH5069" s="49">
        <f>LEFT(J5069,2)</f>
        <v/>
      </c>
    </row>
    <row r="5070" ht="12.75" customHeight="1">
      <c r="H5070" s="43" t="n"/>
      <c r="AG5070" s="49">
        <f>IFERROR(__xludf.DUMMYFUNCTION("IFNA(vlookup(H5070,IMPORTRANGE(""1vUGwO1n0QQGx9kKbO0_M5gmuhXZ6-LaxQxgrmJnzgP0"",""'TP# look up'!A:C""),3,0),"""")"),"")</f>
        <v/>
      </c>
      <c r="AH5070" s="49">
        <f>LEFT(J5070,2)</f>
        <v/>
      </c>
    </row>
    <row r="5071" ht="12.75" customHeight="1">
      <c r="H5071" s="43" t="n"/>
      <c r="AG5071" s="49">
        <f>IFERROR(__xludf.DUMMYFUNCTION("IFNA(vlookup(H5071,IMPORTRANGE(""1vUGwO1n0QQGx9kKbO0_M5gmuhXZ6-LaxQxgrmJnzgP0"",""'TP# look up'!A:C""),3,0),"""")"),"")</f>
        <v/>
      </c>
      <c r="AH5071" s="49">
        <f>LEFT(J5071,2)</f>
        <v/>
      </c>
    </row>
    <row r="5072" ht="12.75" customHeight="1">
      <c r="H5072" s="43" t="n"/>
      <c r="AG5072" s="49">
        <f>IFERROR(__xludf.DUMMYFUNCTION("IFNA(vlookup(H5072,IMPORTRANGE(""1vUGwO1n0QQGx9kKbO0_M5gmuhXZ6-LaxQxgrmJnzgP0"",""'TP# look up'!A:C""),3,0),"""")"),"")</f>
        <v/>
      </c>
      <c r="AH5072" s="49">
        <f>LEFT(J5072,2)</f>
        <v/>
      </c>
    </row>
    <row r="5073" ht="12.75" customHeight="1">
      <c r="H5073" s="43" t="n"/>
      <c r="AG5073" s="49">
        <f>IFERROR(__xludf.DUMMYFUNCTION("IFNA(vlookup(H5073,IMPORTRANGE(""1vUGwO1n0QQGx9kKbO0_M5gmuhXZ6-LaxQxgrmJnzgP0"",""'TP# look up'!A:C""),3,0),"""")"),"")</f>
        <v/>
      </c>
      <c r="AH5073" s="49">
        <f>LEFT(J5073,2)</f>
        <v/>
      </c>
    </row>
    <row r="5074" ht="12.75" customHeight="1">
      <c r="H5074" s="43" t="n"/>
      <c r="AG5074" s="49">
        <f>IFERROR(__xludf.DUMMYFUNCTION("IFNA(vlookup(H5074,IMPORTRANGE(""1vUGwO1n0QQGx9kKbO0_M5gmuhXZ6-LaxQxgrmJnzgP0"",""'TP# look up'!A:C""),3,0),"""")"),"")</f>
        <v/>
      </c>
      <c r="AH5074" s="49">
        <f>LEFT(J5074,2)</f>
        <v/>
      </c>
    </row>
    <row r="5075" ht="12.75" customHeight="1">
      <c r="H5075" s="43" t="n"/>
      <c r="AG5075" s="49">
        <f>IFERROR(__xludf.DUMMYFUNCTION("IFNA(vlookup(H5075,IMPORTRANGE(""1vUGwO1n0QQGx9kKbO0_M5gmuhXZ6-LaxQxgrmJnzgP0"",""'TP# look up'!A:C""),3,0),"""")"),"")</f>
        <v/>
      </c>
      <c r="AH5075" s="49">
        <f>LEFT(J5075,2)</f>
        <v/>
      </c>
    </row>
    <row r="5076" ht="12.75" customHeight="1">
      <c r="H5076" s="43" t="n"/>
      <c r="AG5076" s="49">
        <f>IFERROR(__xludf.DUMMYFUNCTION("IFNA(vlookup(H5076,IMPORTRANGE(""1vUGwO1n0QQGx9kKbO0_M5gmuhXZ6-LaxQxgrmJnzgP0"",""'TP# look up'!A:C""),3,0),"""")"),"")</f>
        <v/>
      </c>
      <c r="AH5076" s="49">
        <f>LEFT(J5076,2)</f>
        <v/>
      </c>
    </row>
    <row r="5077" ht="12.75" customHeight="1">
      <c r="H5077" s="43" t="n"/>
      <c r="AG5077" s="49">
        <f>IFERROR(__xludf.DUMMYFUNCTION("IFNA(vlookup(H5077,IMPORTRANGE(""1vUGwO1n0QQGx9kKbO0_M5gmuhXZ6-LaxQxgrmJnzgP0"",""'TP# look up'!A:C""),3,0),"""")"),"")</f>
        <v/>
      </c>
      <c r="AH5077" s="49">
        <f>LEFT(J5077,2)</f>
        <v/>
      </c>
    </row>
    <row r="5078" ht="12.75" customHeight="1">
      <c r="H5078" s="43" t="n"/>
      <c r="AG5078" s="49">
        <f>IFERROR(__xludf.DUMMYFUNCTION("IFNA(vlookup(H5078,IMPORTRANGE(""1vUGwO1n0QQGx9kKbO0_M5gmuhXZ6-LaxQxgrmJnzgP0"",""'TP# look up'!A:C""),3,0),"""")"),"")</f>
        <v/>
      </c>
      <c r="AH5078" s="49">
        <f>LEFT(J5078,2)</f>
        <v/>
      </c>
    </row>
    <row r="5079" ht="12.75" customHeight="1">
      <c r="H5079" s="43" t="n"/>
      <c r="AG5079" s="49">
        <f>IFERROR(__xludf.DUMMYFUNCTION("IFNA(vlookup(H5079,IMPORTRANGE(""1vUGwO1n0QQGx9kKbO0_M5gmuhXZ6-LaxQxgrmJnzgP0"",""'TP# look up'!A:C""),3,0),"""")"),"")</f>
        <v/>
      </c>
      <c r="AH5079" s="49">
        <f>LEFT(J5079,2)</f>
        <v/>
      </c>
    </row>
    <row r="5080" ht="12.75" customHeight="1">
      <c r="H5080" s="43" t="n"/>
      <c r="AG5080" s="49">
        <f>IFERROR(__xludf.DUMMYFUNCTION("IFNA(vlookup(H5080,IMPORTRANGE(""1vUGwO1n0QQGx9kKbO0_M5gmuhXZ6-LaxQxgrmJnzgP0"",""'TP# look up'!A:C""),3,0),"""")"),"")</f>
        <v/>
      </c>
      <c r="AH5080" s="49">
        <f>LEFT(J5080,2)</f>
        <v/>
      </c>
    </row>
    <row r="5081" ht="12.75" customHeight="1">
      <c r="H5081" s="43" t="n"/>
      <c r="AG5081" s="49">
        <f>IFERROR(__xludf.DUMMYFUNCTION("IFNA(vlookup(H5081,IMPORTRANGE(""1vUGwO1n0QQGx9kKbO0_M5gmuhXZ6-LaxQxgrmJnzgP0"",""'TP# look up'!A:C""),3,0),"""")"),"")</f>
        <v/>
      </c>
      <c r="AH5081" s="49">
        <f>LEFT(J5081,2)</f>
        <v/>
      </c>
    </row>
    <row r="5082" ht="12.75" customHeight="1">
      <c r="H5082" s="43" t="n"/>
      <c r="AG5082" s="49">
        <f>IFERROR(__xludf.DUMMYFUNCTION("IFNA(vlookup(H5082,IMPORTRANGE(""1vUGwO1n0QQGx9kKbO0_M5gmuhXZ6-LaxQxgrmJnzgP0"",""'TP# look up'!A:C""),3,0),"""")"),"")</f>
        <v/>
      </c>
      <c r="AH5082" s="49">
        <f>LEFT(J5082,2)</f>
        <v/>
      </c>
    </row>
    <row r="5083" ht="12.75" customHeight="1">
      <c r="H5083" s="43" t="n"/>
      <c r="AG5083" s="49">
        <f>IFERROR(__xludf.DUMMYFUNCTION("IFNA(vlookup(H5083,IMPORTRANGE(""1vUGwO1n0QQGx9kKbO0_M5gmuhXZ6-LaxQxgrmJnzgP0"",""'TP# look up'!A:C""),3,0),"""")"),"")</f>
        <v/>
      </c>
      <c r="AH5083" s="49">
        <f>LEFT(J5083,2)</f>
        <v/>
      </c>
    </row>
    <row r="5084" ht="12.75" customHeight="1">
      <c r="H5084" s="43" t="n"/>
      <c r="AG5084" s="49">
        <f>IFERROR(__xludf.DUMMYFUNCTION("IFNA(vlookup(H5084,IMPORTRANGE(""1vUGwO1n0QQGx9kKbO0_M5gmuhXZ6-LaxQxgrmJnzgP0"",""'TP# look up'!A:C""),3,0),"""")"),"")</f>
        <v/>
      </c>
      <c r="AH5084" s="49">
        <f>LEFT(J5084,2)</f>
        <v/>
      </c>
    </row>
    <row r="5085" ht="12.75" customHeight="1">
      <c r="H5085" s="43" t="n"/>
      <c r="AG5085" s="49">
        <f>IFERROR(__xludf.DUMMYFUNCTION("IFNA(vlookup(H5085,IMPORTRANGE(""1vUGwO1n0QQGx9kKbO0_M5gmuhXZ6-LaxQxgrmJnzgP0"",""'TP# look up'!A:C""),3,0),"""")"),"")</f>
        <v/>
      </c>
      <c r="AH5085" s="49">
        <f>LEFT(J5085,2)</f>
        <v/>
      </c>
    </row>
    <row r="5086" ht="12.75" customHeight="1">
      <c r="H5086" s="43" t="n"/>
      <c r="AG5086" s="49">
        <f>IFERROR(__xludf.DUMMYFUNCTION("IFNA(vlookup(H5086,IMPORTRANGE(""1vUGwO1n0QQGx9kKbO0_M5gmuhXZ6-LaxQxgrmJnzgP0"",""'TP# look up'!A:C""),3,0),"""")"),"")</f>
        <v/>
      </c>
      <c r="AH5086" s="49">
        <f>LEFT(J5086,2)</f>
        <v/>
      </c>
    </row>
    <row r="5087" ht="12.75" customHeight="1">
      <c r="H5087" s="43" t="n"/>
      <c r="AG5087" s="49">
        <f>IFERROR(__xludf.DUMMYFUNCTION("IFNA(vlookup(H5087,IMPORTRANGE(""1vUGwO1n0QQGx9kKbO0_M5gmuhXZ6-LaxQxgrmJnzgP0"",""'TP# look up'!A:C""),3,0),"""")"),"")</f>
        <v/>
      </c>
      <c r="AH5087" s="49">
        <f>LEFT(J5087,2)</f>
        <v/>
      </c>
    </row>
    <row r="5088" ht="12.75" customHeight="1">
      <c r="H5088" s="43" t="n"/>
      <c r="AG5088" s="49">
        <f>IFERROR(__xludf.DUMMYFUNCTION("IFNA(vlookup(H5088,IMPORTRANGE(""1vUGwO1n0QQGx9kKbO0_M5gmuhXZ6-LaxQxgrmJnzgP0"",""'TP# look up'!A:C""),3,0),"""")"),"")</f>
        <v/>
      </c>
      <c r="AH5088" s="49">
        <f>LEFT(J5088,2)</f>
        <v/>
      </c>
    </row>
    <row r="5089" ht="12.75" customHeight="1">
      <c r="H5089" s="43" t="n"/>
      <c r="AG5089" s="49">
        <f>IFERROR(__xludf.DUMMYFUNCTION("IFNA(vlookup(H5089,IMPORTRANGE(""1vUGwO1n0QQGx9kKbO0_M5gmuhXZ6-LaxQxgrmJnzgP0"",""'TP# look up'!A:C""),3,0),"""")"),"")</f>
        <v/>
      </c>
      <c r="AH5089" s="49">
        <f>LEFT(J5089,2)</f>
        <v/>
      </c>
    </row>
    <row r="5090" ht="12.75" customHeight="1">
      <c r="H5090" s="43" t="n"/>
      <c r="AG5090" s="49">
        <f>IFERROR(__xludf.DUMMYFUNCTION("IFNA(vlookup(H5090,IMPORTRANGE(""1vUGwO1n0QQGx9kKbO0_M5gmuhXZ6-LaxQxgrmJnzgP0"",""'TP# look up'!A:C""),3,0),"""")"),"")</f>
        <v/>
      </c>
      <c r="AH5090" s="49">
        <f>LEFT(J5090,2)</f>
        <v/>
      </c>
    </row>
    <row r="5091" ht="12.75" customHeight="1">
      <c r="H5091" s="43" t="n"/>
      <c r="AG5091" s="49">
        <f>IFERROR(__xludf.DUMMYFUNCTION("IFNA(vlookup(H5091,IMPORTRANGE(""1vUGwO1n0QQGx9kKbO0_M5gmuhXZ6-LaxQxgrmJnzgP0"",""'TP# look up'!A:C""),3,0),"""")"),"")</f>
        <v/>
      </c>
      <c r="AH5091" s="49">
        <f>LEFT(J5091,2)</f>
        <v/>
      </c>
    </row>
    <row r="5092" ht="12.75" customHeight="1">
      <c r="H5092" s="43" t="n"/>
      <c r="AG5092" s="49">
        <f>IFERROR(__xludf.DUMMYFUNCTION("IFNA(vlookup(H5092,IMPORTRANGE(""1vUGwO1n0QQGx9kKbO0_M5gmuhXZ6-LaxQxgrmJnzgP0"",""'TP# look up'!A:C""),3,0),"""")"),"")</f>
        <v/>
      </c>
      <c r="AH5092" s="49">
        <f>LEFT(J5092,2)</f>
        <v/>
      </c>
    </row>
    <row r="5093" ht="12.75" customHeight="1">
      <c r="H5093" s="43" t="n"/>
      <c r="AG5093" s="49">
        <f>IFERROR(__xludf.DUMMYFUNCTION("IFNA(vlookup(H5093,IMPORTRANGE(""1vUGwO1n0QQGx9kKbO0_M5gmuhXZ6-LaxQxgrmJnzgP0"",""'TP# look up'!A:C""),3,0),"""")"),"")</f>
        <v/>
      </c>
      <c r="AH5093" s="49">
        <f>LEFT(J5093,2)</f>
        <v/>
      </c>
    </row>
    <row r="5094" ht="12.75" customHeight="1">
      <c r="H5094" s="43" t="n"/>
      <c r="AG5094" s="49">
        <f>IFERROR(__xludf.DUMMYFUNCTION("IFNA(vlookup(H5094,IMPORTRANGE(""1vUGwO1n0QQGx9kKbO0_M5gmuhXZ6-LaxQxgrmJnzgP0"",""'TP# look up'!A:C""),3,0),"""")"),"")</f>
        <v/>
      </c>
      <c r="AH5094" s="49">
        <f>LEFT(J5094,2)</f>
        <v/>
      </c>
    </row>
    <row r="5095" ht="12.75" customHeight="1">
      <c r="H5095" s="43" t="n"/>
      <c r="AG5095" s="49">
        <f>IFERROR(__xludf.DUMMYFUNCTION("IFNA(vlookup(H5095,IMPORTRANGE(""1vUGwO1n0QQGx9kKbO0_M5gmuhXZ6-LaxQxgrmJnzgP0"",""'TP# look up'!A:C""),3,0),"""")"),"")</f>
        <v/>
      </c>
      <c r="AH5095" s="49">
        <f>LEFT(J5095,2)</f>
        <v/>
      </c>
    </row>
    <row r="5096" ht="12.75" customHeight="1">
      <c r="H5096" s="43" t="n"/>
      <c r="AG5096" s="49">
        <f>IFERROR(__xludf.DUMMYFUNCTION("IFNA(vlookup(H5096,IMPORTRANGE(""1vUGwO1n0QQGx9kKbO0_M5gmuhXZ6-LaxQxgrmJnzgP0"",""'TP# look up'!A:C""),3,0),"""")"),"")</f>
        <v/>
      </c>
      <c r="AH5096" s="49">
        <f>LEFT(J5096,2)</f>
        <v/>
      </c>
    </row>
    <row r="5097" ht="12.75" customHeight="1">
      <c r="H5097" s="43" t="n"/>
      <c r="AG5097" s="49">
        <f>IFERROR(__xludf.DUMMYFUNCTION("IFNA(vlookup(H5097,IMPORTRANGE(""1vUGwO1n0QQGx9kKbO0_M5gmuhXZ6-LaxQxgrmJnzgP0"",""'TP# look up'!A:C""),3,0),"""")"),"")</f>
        <v/>
      </c>
      <c r="AH5097" s="49">
        <f>LEFT(J5097,2)</f>
        <v/>
      </c>
    </row>
    <row r="5098" ht="12.75" customHeight="1">
      <c r="H5098" s="43" t="n"/>
      <c r="AG5098" s="49">
        <f>IFERROR(__xludf.DUMMYFUNCTION("IFNA(vlookup(H5098,IMPORTRANGE(""1vUGwO1n0QQGx9kKbO0_M5gmuhXZ6-LaxQxgrmJnzgP0"",""'TP# look up'!A:C""),3,0),"""")"),"")</f>
        <v/>
      </c>
      <c r="AH5098" s="49">
        <f>LEFT(J5098,2)</f>
        <v/>
      </c>
    </row>
    <row r="5099" ht="12.75" customHeight="1">
      <c r="H5099" s="43" t="n"/>
      <c r="AG5099" s="49">
        <f>IFERROR(__xludf.DUMMYFUNCTION("IFNA(vlookup(H5099,IMPORTRANGE(""1vUGwO1n0QQGx9kKbO0_M5gmuhXZ6-LaxQxgrmJnzgP0"",""'TP# look up'!A:C""),3,0),"""")"),"")</f>
        <v/>
      </c>
      <c r="AH5099" s="49">
        <f>LEFT(J5099,2)</f>
        <v/>
      </c>
    </row>
    <row r="5100" ht="12.75" customHeight="1">
      <c r="H5100" s="43" t="n"/>
      <c r="AG5100" s="49">
        <f>IFERROR(__xludf.DUMMYFUNCTION("IFNA(vlookup(H5100,IMPORTRANGE(""1vUGwO1n0QQGx9kKbO0_M5gmuhXZ6-LaxQxgrmJnzgP0"",""'TP# look up'!A:C""),3,0),"""")"),"")</f>
        <v/>
      </c>
      <c r="AH5100" s="49">
        <f>LEFT(J5100,2)</f>
        <v/>
      </c>
    </row>
    <row r="5101" ht="12.75" customHeight="1">
      <c r="H5101" s="43" t="n"/>
      <c r="AG5101" s="49">
        <f>IFERROR(__xludf.DUMMYFUNCTION("IFNA(vlookup(H5101,IMPORTRANGE(""1vUGwO1n0QQGx9kKbO0_M5gmuhXZ6-LaxQxgrmJnzgP0"",""'TP# look up'!A:C""),3,0),"""")"),"")</f>
        <v/>
      </c>
      <c r="AH5101" s="49">
        <f>LEFT(J5101,2)</f>
        <v/>
      </c>
    </row>
    <row r="5102" ht="12.75" customHeight="1">
      <c r="H5102" s="43" t="n"/>
      <c r="AG5102" s="49">
        <f>IFERROR(__xludf.DUMMYFUNCTION("IFNA(vlookup(H5102,IMPORTRANGE(""1vUGwO1n0QQGx9kKbO0_M5gmuhXZ6-LaxQxgrmJnzgP0"",""'TP# look up'!A:C""),3,0),"""")"),"")</f>
        <v/>
      </c>
      <c r="AH5102" s="49">
        <f>LEFT(J5102,2)</f>
        <v/>
      </c>
    </row>
    <row r="5103" ht="12.75" customHeight="1">
      <c r="H5103" s="43" t="n"/>
      <c r="AG5103" s="49">
        <f>IFERROR(__xludf.DUMMYFUNCTION("IFNA(vlookup(H5103,IMPORTRANGE(""1vUGwO1n0QQGx9kKbO0_M5gmuhXZ6-LaxQxgrmJnzgP0"",""'TP# look up'!A:C""),3,0),"""")"),"")</f>
        <v/>
      </c>
      <c r="AH5103" s="49">
        <f>LEFT(J5103,2)</f>
        <v/>
      </c>
    </row>
    <row r="5104" ht="12.75" customHeight="1">
      <c r="H5104" s="43" t="n"/>
      <c r="AG5104" s="49">
        <f>IFERROR(__xludf.DUMMYFUNCTION("IFNA(vlookup(H5104,IMPORTRANGE(""1vUGwO1n0QQGx9kKbO0_M5gmuhXZ6-LaxQxgrmJnzgP0"",""'TP# look up'!A:C""),3,0),"""")"),"")</f>
        <v/>
      </c>
      <c r="AH5104" s="49">
        <f>LEFT(J5104,2)</f>
        <v/>
      </c>
    </row>
    <row r="5105" ht="12.75" customHeight="1">
      <c r="H5105" s="43" t="n"/>
      <c r="AG5105" s="49">
        <f>IFERROR(__xludf.DUMMYFUNCTION("IFNA(vlookup(H5105,IMPORTRANGE(""1vUGwO1n0QQGx9kKbO0_M5gmuhXZ6-LaxQxgrmJnzgP0"",""'TP# look up'!A:C""),3,0),"""")"),"")</f>
        <v/>
      </c>
      <c r="AH5105" s="49">
        <f>LEFT(J5105,2)</f>
        <v/>
      </c>
    </row>
    <row r="5106" ht="12.75" customHeight="1">
      <c r="H5106" s="43" t="n"/>
      <c r="AG5106" s="49">
        <f>IFERROR(__xludf.DUMMYFUNCTION("IFNA(vlookup(H5106,IMPORTRANGE(""1vUGwO1n0QQGx9kKbO0_M5gmuhXZ6-LaxQxgrmJnzgP0"",""'TP# look up'!A:C""),3,0),"""")"),"")</f>
        <v/>
      </c>
      <c r="AH5106" s="49">
        <f>LEFT(J5106,2)</f>
        <v/>
      </c>
    </row>
    <row r="5107" ht="12.75" customHeight="1">
      <c r="H5107" s="43" t="n"/>
      <c r="AG5107" s="49">
        <f>IFERROR(__xludf.DUMMYFUNCTION("IFNA(vlookup(H5107,IMPORTRANGE(""1vUGwO1n0QQGx9kKbO0_M5gmuhXZ6-LaxQxgrmJnzgP0"",""'TP# look up'!A:C""),3,0),"""")"),"")</f>
        <v/>
      </c>
      <c r="AH5107" s="49">
        <f>LEFT(J5107,2)</f>
        <v/>
      </c>
    </row>
    <row r="5108" ht="12.75" customHeight="1">
      <c r="H5108" s="43" t="n"/>
      <c r="AG5108" s="49">
        <f>IFERROR(__xludf.DUMMYFUNCTION("IFNA(vlookup(H5108,IMPORTRANGE(""1vUGwO1n0QQGx9kKbO0_M5gmuhXZ6-LaxQxgrmJnzgP0"",""'TP# look up'!A:C""),3,0),"""")"),"")</f>
        <v/>
      </c>
      <c r="AH5108" s="49">
        <f>LEFT(J5108,2)</f>
        <v/>
      </c>
    </row>
    <row r="5109" ht="12.75" customHeight="1">
      <c r="H5109" s="43" t="n"/>
      <c r="AG5109" s="49">
        <f>IFERROR(__xludf.DUMMYFUNCTION("IFNA(vlookup(H5109,IMPORTRANGE(""1vUGwO1n0QQGx9kKbO0_M5gmuhXZ6-LaxQxgrmJnzgP0"",""'TP# look up'!A:C""),3,0),"""")"),"")</f>
        <v/>
      </c>
      <c r="AH5109" s="49">
        <f>LEFT(J5109,2)</f>
        <v/>
      </c>
    </row>
    <row r="5110" ht="12.75" customHeight="1">
      <c r="H5110" s="43" t="n"/>
      <c r="AG5110" s="49">
        <f>IFERROR(__xludf.DUMMYFUNCTION("IFNA(vlookup(H5110,IMPORTRANGE(""1vUGwO1n0QQGx9kKbO0_M5gmuhXZ6-LaxQxgrmJnzgP0"",""'TP# look up'!A:C""),3,0),"""")"),"")</f>
        <v/>
      </c>
      <c r="AH5110" s="49">
        <f>LEFT(J5110,2)</f>
        <v/>
      </c>
    </row>
    <row r="5111" ht="12.75" customHeight="1">
      <c r="H5111" s="43" t="n"/>
      <c r="AG5111" s="49">
        <f>IFERROR(__xludf.DUMMYFUNCTION("IFNA(vlookup(H5111,IMPORTRANGE(""1vUGwO1n0QQGx9kKbO0_M5gmuhXZ6-LaxQxgrmJnzgP0"",""'TP# look up'!A:C""),3,0),"""")"),"")</f>
        <v/>
      </c>
      <c r="AH5111" s="49">
        <f>LEFT(J5111,2)</f>
        <v/>
      </c>
    </row>
    <row r="5112" ht="12.75" customHeight="1">
      <c r="H5112" s="43" t="n"/>
      <c r="AG5112" s="49">
        <f>IFERROR(__xludf.DUMMYFUNCTION("IFNA(vlookup(H5112,IMPORTRANGE(""1vUGwO1n0QQGx9kKbO0_M5gmuhXZ6-LaxQxgrmJnzgP0"",""'TP# look up'!A:C""),3,0),"""")"),"")</f>
        <v/>
      </c>
      <c r="AH5112" s="49">
        <f>LEFT(J5112,2)</f>
        <v/>
      </c>
    </row>
    <row r="5113" ht="12.75" customHeight="1">
      <c r="H5113" s="43" t="n"/>
      <c r="AG5113" s="49">
        <f>IFERROR(__xludf.DUMMYFUNCTION("IFNA(vlookup(H5113,IMPORTRANGE(""1vUGwO1n0QQGx9kKbO0_M5gmuhXZ6-LaxQxgrmJnzgP0"",""'TP# look up'!A:C""),3,0),"""")"),"")</f>
        <v/>
      </c>
      <c r="AH5113" s="49">
        <f>LEFT(J5113,2)</f>
        <v/>
      </c>
    </row>
    <row r="5114" ht="12.75" customHeight="1">
      <c r="H5114" s="43" t="n"/>
      <c r="AG5114" s="49">
        <f>IFERROR(__xludf.DUMMYFUNCTION("IFNA(vlookup(H5114,IMPORTRANGE(""1vUGwO1n0QQGx9kKbO0_M5gmuhXZ6-LaxQxgrmJnzgP0"",""'TP# look up'!A:C""),3,0),"""")"),"")</f>
        <v/>
      </c>
      <c r="AH5114" s="49">
        <f>LEFT(J5114,2)</f>
        <v/>
      </c>
    </row>
    <row r="5115" ht="12.75" customHeight="1">
      <c r="H5115" s="43" t="n"/>
      <c r="AG5115" s="49">
        <f>IFERROR(__xludf.DUMMYFUNCTION("IFNA(vlookup(H5115,IMPORTRANGE(""1vUGwO1n0QQGx9kKbO0_M5gmuhXZ6-LaxQxgrmJnzgP0"",""'TP# look up'!A:C""),3,0),"""")"),"")</f>
        <v/>
      </c>
      <c r="AH5115" s="49">
        <f>LEFT(J5115,2)</f>
        <v/>
      </c>
    </row>
    <row r="5116" ht="12.75" customHeight="1">
      <c r="H5116" s="43" t="n"/>
      <c r="AG5116" s="49">
        <f>IFERROR(__xludf.DUMMYFUNCTION("IFNA(vlookup(H5116,IMPORTRANGE(""1vUGwO1n0QQGx9kKbO0_M5gmuhXZ6-LaxQxgrmJnzgP0"",""'TP# look up'!A:C""),3,0),"""")"),"")</f>
        <v/>
      </c>
      <c r="AH5116" s="49">
        <f>LEFT(J5116,2)</f>
        <v/>
      </c>
    </row>
    <row r="5117" ht="12.75" customHeight="1">
      <c r="H5117" s="43" t="n"/>
      <c r="AG5117" s="49">
        <f>IFERROR(__xludf.DUMMYFUNCTION("IFNA(vlookup(H5117,IMPORTRANGE(""1vUGwO1n0QQGx9kKbO0_M5gmuhXZ6-LaxQxgrmJnzgP0"",""'TP# look up'!A:C""),3,0),"""")"),"")</f>
        <v/>
      </c>
      <c r="AH5117" s="49">
        <f>LEFT(J5117,2)</f>
        <v/>
      </c>
    </row>
    <row r="5118" ht="12.75" customHeight="1">
      <c r="H5118" s="43" t="n"/>
      <c r="AG5118" s="49">
        <f>IFERROR(__xludf.DUMMYFUNCTION("IFNA(vlookup(H5118,IMPORTRANGE(""1vUGwO1n0QQGx9kKbO0_M5gmuhXZ6-LaxQxgrmJnzgP0"",""'TP# look up'!A:C""),3,0),"""")"),"")</f>
        <v/>
      </c>
      <c r="AH5118" s="49">
        <f>LEFT(J5118,2)</f>
        <v/>
      </c>
    </row>
    <row r="5119" ht="12.75" customHeight="1">
      <c r="H5119" s="43" t="n"/>
      <c r="AG5119" s="49">
        <f>IFERROR(__xludf.DUMMYFUNCTION("IFNA(vlookup(H5119,IMPORTRANGE(""1vUGwO1n0QQGx9kKbO0_M5gmuhXZ6-LaxQxgrmJnzgP0"",""'TP# look up'!A:C""),3,0),"""")"),"")</f>
        <v/>
      </c>
      <c r="AH5119" s="49">
        <f>LEFT(J5119,2)</f>
        <v/>
      </c>
    </row>
    <row r="5120" ht="12.75" customHeight="1">
      <c r="H5120" s="43" t="n"/>
      <c r="AG5120" s="49">
        <f>IFERROR(__xludf.DUMMYFUNCTION("IFNA(vlookup(H5120,IMPORTRANGE(""1vUGwO1n0QQGx9kKbO0_M5gmuhXZ6-LaxQxgrmJnzgP0"",""'TP# look up'!A:C""),3,0),"""")"),"")</f>
        <v/>
      </c>
      <c r="AH5120" s="49">
        <f>LEFT(J5120,2)</f>
        <v/>
      </c>
    </row>
    <row r="5121" ht="12.75" customHeight="1">
      <c r="H5121" s="43" t="n"/>
      <c r="AG5121" s="49">
        <f>IFERROR(__xludf.DUMMYFUNCTION("IFNA(vlookup(H5121,IMPORTRANGE(""1vUGwO1n0QQGx9kKbO0_M5gmuhXZ6-LaxQxgrmJnzgP0"",""'TP# look up'!A:C""),3,0),"""")"),"")</f>
        <v/>
      </c>
      <c r="AH5121" s="49">
        <f>LEFT(J5121,2)</f>
        <v/>
      </c>
    </row>
    <row r="5122" ht="12.75" customHeight="1">
      <c r="H5122" s="43" t="n"/>
      <c r="AG5122" s="49">
        <f>IFERROR(__xludf.DUMMYFUNCTION("IFNA(vlookup(H5122,IMPORTRANGE(""1vUGwO1n0QQGx9kKbO0_M5gmuhXZ6-LaxQxgrmJnzgP0"",""'TP# look up'!A:C""),3,0),"""")"),"")</f>
        <v/>
      </c>
      <c r="AH5122" s="49">
        <f>LEFT(J5122,2)</f>
        <v/>
      </c>
    </row>
    <row r="5123" ht="12.75" customHeight="1">
      <c r="H5123" s="43" t="n"/>
      <c r="AG5123" s="49">
        <f>IFERROR(__xludf.DUMMYFUNCTION("IFNA(vlookup(H5123,IMPORTRANGE(""1vUGwO1n0QQGx9kKbO0_M5gmuhXZ6-LaxQxgrmJnzgP0"",""'TP# look up'!A:C""),3,0),"""")"),"")</f>
        <v/>
      </c>
      <c r="AH5123" s="49">
        <f>LEFT(J5123,2)</f>
        <v/>
      </c>
    </row>
    <row r="5124" ht="12.75" customHeight="1">
      <c r="H5124" s="43" t="n"/>
      <c r="AG5124" s="49">
        <f>IFERROR(__xludf.DUMMYFUNCTION("IFNA(vlookup(H5124,IMPORTRANGE(""1vUGwO1n0QQGx9kKbO0_M5gmuhXZ6-LaxQxgrmJnzgP0"",""'TP# look up'!A:C""),3,0),"""")"),"")</f>
        <v/>
      </c>
      <c r="AH5124" s="49">
        <f>LEFT(J5124,2)</f>
        <v/>
      </c>
    </row>
    <row r="5125" ht="12.75" customHeight="1">
      <c r="H5125" s="43" t="n"/>
      <c r="AG5125" s="49">
        <f>IFERROR(__xludf.DUMMYFUNCTION("IFNA(vlookup(H5125,IMPORTRANGE(""1vUGwO1n0QQGx9kKbO0_M5gmuhXZ6-LaxQxgrmJnzgP0"",""'TP# look up'!A:C""),3,0),"""")"),"")</f>
        <v/>
      </c>
      <c r="AH5125" s="49">
        <f>LEFT(J5125,2)</f>
        <v/>
      </c>
    </row>
    <row r="5126" ht="12.75" customHeight="1">
      <c r="H5126" s="43" t="n"/>
      <c r="AG5126" s="49">
        <f>IFERROR(__xludf.DUMMYFUNCTION("IFNA(vlookup(H5126,IMPORTRANGE(""1vUGwO1n0QQGx9kKbO0_M5gmuhXZ6-LaxQxgrmJnzgP0"",""'TP# look up'!A:C""),3,0),"""")"),"")</f>
        <v/>
      </c>
      <c r="AH5126" s="49">
        <f>LEFT(J5126,2)</f>
        <v/>
      </c>
    </row>
    <row r="5127" ht="12.75" customHeight="1">
      <c r="H5127" s="43" t="n"/>
      <c r="AG5127" s="49">
        <f>IFERROR(__xludf.DUMMYFUNCTION("IFNA(vlookup(H5127,IMPORTRANGE(""1vUGwO1n0QQGx9kKbO0_M5gmuhXZ6-LaxQxgrmJnzgP0"",""'TP# look up'!A:C""),3,0),"""")"),"")</f>
        <v/>
      </c>
      <c r="AH5127" s="49">
        <f>LEFT(J5127,2)</f>
        <v/>
      </c>
    </row>
    <row r="5128" ht="12.75" customHeight="1">
      <c r="H5128" s="43" t="n"/>
      <c r="AG5128" s="49">
        <f>IFERROR(__xludf.DUMMYFUNCTION("IFNA(vlookup(H5128,IMPORTRANGE(""1vUGwO1n0QQGx9kKbO0_M5gmuhXZ6-LaxQxgrmJnzgP0"",""'TP# look up'!A:C""),3,0),"""")"),"")</f>
        <v/>
      </c>
      <c r="AH5128" s="49">
        <f>LEFT(J5128,2)</f>
        <v/>
      </c>
    </row>
    <row r="5129" ht="12.75" customHeight="1">
      <c r="H5129" s="43" t="n"/>
      <c r="AG5129" s="49">
        <f>IFERROR(__xludf.DUMMYFUNCTION("IFNA(vlookup(H5129,IMPORTRANGE(""1vUGwO1n0QQGx9kKbO0_M5gmuhXZ6-LaxQxgrmJnzgP0"",""'TP# look up'!A:C""),3,0),"""")"),"")</f>
        <v/>
      </c>
      <c r="AH5129" s="49">
        <f>LEFT(J5129,2)</f>
        <v/>
      </c>
    </row>
    <row r="5130" ht="12.75" customHeight="1">
      <c r="H5130" s="43" t="n"/>
      <c r="AG5130" s="49">
        <f>IFERROR(__xludf.DUMMYFUNCTION("IFNA(vlookup(H5130,IMPORTRANGE(""1vUGwO1n0QQGx9kKbO0_M5gmuhXZ6-LaxQxgrmJnzgP0"",""'TP# look up'!A:C""),3,0),"""")"),"")</f>
        <v/>
      </c>
      <c r="AH5130" s="49">
        <f>LEFT(J5130,2)</f>
        <v/>
      </c>
    </row>
    <row r="5131" ht="12.75" customHeight="1">
      <c r="H5131" s="43" t="n"/>
      <c r="AG5131" s="49">
        <f>IFERROR(__xludf.DUMMYFUNCTION("IFNA(vlookup(H5131,IMPORTRANGE(""1vUGwO1n0QQGx9kKbO0_M5gmuhXZ6-LaxQxgrmJnzgP0"",""'TP# look up'!A:C""),3,0),"""")"),"")</f>
        <v/>
      </c>
      <c r="AH5131" s="49">
        <f>LEFT(J5131,2)</f>
        <v/>
      </c>
    </row>
    <row r="5132" ht="12.75" customHeight="1">
      <c r="H5132" s="43" t="n"/>
      <c r="AG5132" s="49">
        <f>IFERROR(__xludf.DUMMYFUNCTION("IFNA(vlookup(H5132,IMPORTRANGE(""1vUGwO1n0QQGx9kKbO0_M5gmuhXZ6-LaxQxgrmJnzgP0"",""'TP# look up'!A:C""),3,0),"""")"),"")</f>
        <v/>
      </c>
      <c r="AH5132" s="49">
        <f>LEFT(J5132,2)</f>
        <v/>
      </c>
    </row>
    <row r="5133" ht="12.75" customHeight="1">
      <c r="H5133" s="43" t="n"/>
      <c r="AG5133" s="49">
        <f>IFERROR(__xludf.DUMMYFUNCTION("IFNA(vlookup(H5133,IMPORTRANGE(""1vUGwO1n0QQGx9kKbO0_M5gmuhXZ6-LaxQxgrmJnzgP0"",""'TP# look up'!A:C""),3,0),"""")"),"")</f>
        <v/>
      </c>
      <c r="AH5133" s="49">
        <f>LEFT(J5133,2)</f>
        <v/>
      </c>
    </row>
    <row r="5134" ht="12.75" customHeight="1">
      <c r="H5134" s="43" t="n"/>
      <c r="AG5134" s="49">
        <f>IFERROR(__xludf.DUMMYFUNCTION("IFNA(vlookup(H5134,IMPORTRANGE(""1vUGwO1n0QQGx9kKbO0_M5gmuhXZ6-LaxQxgrmJnzgP0"",""'TP# look up'!A:C""),3,0),"""")"),"")</f>
        <v/>
      </c>
      <c r="AH5134" s="49">
        <f>LEFT(J5134,2)</f>
        <v/>
      </c>
    </row>
    <row r="5135" ht="12.75" customHeight="1">
      <c r="H5135" s="43" t="n"/>
      <c r="AG5135" s="49">
        <f>IFERROR(__xludf.DUMMYFUNCTION("IFNA(vlookup(H5135,IMPORTRANGE(""1vUGwO1n0QQGx9kKbO0_M5gmuhXZ6-LaxQxgrmJnzgP0"",""'TP# look up'!A:C""),3,0),"""")"),"")</f>
        <v/>
      </c>
      <c r="AH5135" s="49">
        <f>LEFT(J5135,2)</f>
        <v/>
      </c>
    </row>
    <row r="5136" ht="12.75" customHeight="1">
      <c r="H5136" s="43" t="n"/>
      <c r="AG5136" s="49">
        <f>IFERROR(__xludf.DUMMYFUNCTION("IFNA(vlookup(H5136,IMPORTRANGE(""1vUGwO1n0QQGx9kKbO0_M5gmuhXZ6-LaxQxgrmJnzgP0"",""'TP# look up'!A:C""),3,0),"""")"),"")</f>
        <v/>
      </c>
      <c r="AH5136" s="49">
        <f>LEFT(J5136,2)</f>
        <v/>
      </c>
    </row>
    <row r="5137" ht="12.75" customHeight="1">
      <c r="H5137" s="43" t="n"/>
      <c r="AG5137" s="49">
        <f>IFERROR(__xludf.DUMMYFUNCTION("IFNA(vlookup(H5137,IMPORTRANGE(""1vUGwO1n0QQGx9kKbO0_M5gmuhXZ6-LaxQxgrmJnzgP0"",""'TP# look up'!A:C""),3,0),"""")"),"")</f>
        <v/>
      </c>
      <c r="AH5137" s="49">
        <f>LEFT(J5137,2)</f>
        <v/>
      </c>
    </row>
    <row r="5138" ht="12.75" customHeight="1">
      <c r="H5138" s="43" t="n"/>
      <c r="AG5138" s="49">
        <f>IFERROR(__xludf.DUMMYFUNCTION("IFNA(vlookup(H5138,IMPORTRANGE(""1vUGwO1n0QQGx9kKbO0_M5gmuhXZ6-LaxQxgrmJnzgP0"",""'TP# look up'!A:C""),3,0),"""")"),"")</f>
        <v/>
      </c>
      <c r="AH5138" s="49">
        <f>LEFT(J5138,2)</f>
        <v/>
      </c>
    </row>
    <row r="5139" ht="12.75" customHeight="1">
      <c r="H5139" s="43" t="n"/>
      <c r="AG5139" s="49">
        <f>IFERROR(__xludf.DUMMYFUNCTION("IFNA(vlookup(H5139,IMPORTRANGE(""1vUGwO1n0QQGx9kKbO0_M5gmuhXZ6-LaxQxgrmJnzgP0"",""'TP# look up'!A:C""),3,0),"""")"),"")</f>
        <v/>
      </c>
      <c r="AH5139" s="49">
        <f>LEFT(J5139,2)</f>
        <v/>
      </c>
    </row>
    <row r="5140" ht="12.75" customHeight="1">
      <c r="H5140" s="43" t="n"/>
      <c r="AG5140" s="49">
        <f>IFERROR(__xludf.DUMMYFUNCTION("IFNA(vlookup(H5140,IMPORTRANGE(""1vUGwO1n0QQGx9kKbO0_M5gmuhXZ6-LaxQxgrmJnzgP0"",""'TP# look up'!A:C""),3,0),"""")"),"")</f>
        <v/>
      </c>
      <c r="AH5140" s="49">
        <f>LEFT(J5140,2)</f>
        <v/>
      </c>
    </row>
    <row r="5141" ht="12.75" customHeight="1">
      <c r="H5141" s="43" t="n"/>
      <c r="AG5141" s="49">
        <f>IFERROR(__xludf.DUMMYFUNCTION("IFNA(vlookup(H5141,IMPORTRANGE(""1vUGwO1n0QQGx9kKbO0_M5gmuhXZ6-LaxQxgrmJnzgP0"",""'TP# look up'!A:C""),3,0),"""")"),"")</f>
        <v/>
      </c>
      <c r="AH5141" s="49">
        <f>LEFT(J5141,2)</f>
        <v/>
      </c>
    </row>
    <row r="5142" ht="12.75" customHeight="1">
      <c r="H5142" s="43" t="n"/>
      <c r="AG5142" s="49">
        <f>IFERROR(__xludf.DUMMYFUNCTION("IFNA(vlookup(H5142,IMPORTRANGE(""1vUGwO1n0QQGx9kKbO0_M5gmuhXZ6-LaxQxgrmJnzgP0"",""'TP# look up'!A:C""),3,0),"""")"),"")</f>
        <v/>
      </c>
      <c r="AH5142" s="49">
        <f>LEFT(J5142,2)</f>
        <v/>
      </c>
    </row>
    <row r="5143" ht="12.75" customHeight="1">
      <c r="H5143" s="43" t="n"/>
      <c r="AG5143" s="49">
        <f>IFERROR(__xludf.DUMMYFUNCTION("IFNA(vlookup(H5143,IMPORTRANGE(""1vUGwO1n0QQGx9kKbO0_M5gmuhXZ6-LaxQxgrmJnzgP0"",""'TP# look up'!A:C""),3,0),"""")"),"")</f>
        <v/>
      </c>
      <c r="AH5143" s="49">
        <f>LEFT(J5143,2)</f>
        <v/>
      </c>
    </row>
    <row r="5144" ht="12.75" customHeight="1">
      <c r="H5144" s="43" t="n"/>
      <c r="AG5144" s="49">
        <f>IFERROR(__xludf.DUMMYFUNCTION("IFNA(vlookup(H5144,IMPORTRANGE(""1vUGwO1n0QQGx9kKbO0_M5gmuhXZ6-LaxQxgrmJnzgP0"",""'TP# look up'!A:C""),3,0),"""")"),"")</f>
        <v/>
      </c>
      <c r="AH5144" s="49">
        <f>LEFT(J5144,2)</f>
        <v/>
      </c>
    </row>
    <row r="5145" ht="12.75" customHeight="1">
      <c r="H5145" s="43" t="n"/>
      <c r="AG5145" s="49">
        <f>IFERROR(__xludf.DUMMYFUNCTION("IFNA(vlookup(H5145,IMPORTRANGE(""1vUGwO1n0QQGx9kKbO0_M5gmuhXZ6-LaxQxgrmJnzgP0"",""'TP# look up'!A:C""),3,0),"""")"),"")</f>
        <v/>
      </c>
      <c r="AH5145" s="49">
        <f>LEFT(J5145,2)</f>
        <v/>
      </c>
    </row>
    <row r="5146" ht="12.75" customHeight="1">
      <c r="H5146" s="43" t="n"/>
      <c r="AG5146" s="49">
        <f>IFERROR(__xludf.DUMMYFUNCTION("IFNA(vlookup(H5146,IMPORTRANGE(""1vUGwO1n0QQGx9kKbO0_M5gmuhXZ6-LaxQxgrmJnzgP0"",""'TP# look up'!A:C""),3,0),"""")"),"")</f>
        <v/>
      </c>
      <c r="AH5146" s="49">
        <f>LEFT(J5146,2)</f>
        <v/>
      </c>
    </row>
    <row r="5147" ht="12.75" customHeight="1">
      <c r="H5147" s="43" t="n"/>
      <c r="AG5147" s="49">
        <f>IFERROR(__xludf.DUMMYFUNCTION("IFNA(vlookup(H5147,IMPORTRANGE(""1vUGwO1n0QQGx9kKbO0_M5gmuhXZ6-LaxQxgrmJnzgP0"",""'TP# look up'!A:C""),3,0),"""")"),"")</f>
        <v/>
      </c>
      <c r="AH5147" s="49">
        <f>LEFT(J5147,2)</f>
        <v/>
      </c>
    </row>
    <row r="5148" ht="12.75" customHeight="1">
      <c r="H5148" s="43" t="n"/>
      <c r="AG5148" s="49">
        <f>IFERROR(__xludf.DUMMYFUNCTION("IFNA(vlookup(H5148,IMPORTRANGE(""1vUGwO1n0QQGx9kKbO0_M5gmuhXZ6-LaxQxgrmJnzgP0"",""'TP# look up'!A:C""),3,0),"""")"),"")</f>
        <v/>
      </c>
      <c r="AH5148" s="49">
        <f>LEFT(J5148,2)</f>
        <v/>
      </c>
    </row>
    <row r="5149" ht="12.75" customHeight="1">
      <c r="H5149" s="43" t="n"/>
      <c r="AG5149" s="49">
        <f>IFERROR(__xludf.DUMMYFUNCTION("IFNA(vlookup(H5149,IMPORTRANGE(""1vUGwO1n0QQGx9kKbO0_M5gmuhXZ6-LaxQxgrmJnzgP0"",""'TP# look up'!A:C""),3,0),"""")"),"")</f>
        <v/>
      </c>
      <c r="AH5149" s="49">
        <f>LEFT(J5149,2)</f>
        <v/>
      </c>
    </row>
    <row r="5150" ht="12.75" customHeight="1">
      <c r="H5150" s="43" t="n"/>
      <c r="AG5150" s="49">
        <f>IFERROR(__xludf.DUMMYFUNCTION("IFNA(vlookup(H5150,IMPORTRANGE(""1vUGwO1n0QQGx9kKbO0_M5gmuhXZ6-LaxQxgrmJnzgP0"",""'TP# look up'!A:C""),3,0),"""")"),"")</f>
        <v/>
      </c>
      <c r="AH5150" s="49">
        <f>LEFT(J5150,2)</f>
        <v/>
      </c>
    </row>
    <row r="5151" ht="12.75" customHeight="1">
      <c r="H5151" s="43" t="n"/>
      <c r="AG5151" s="49">
        <f>IFERROR(__xludf.DUMMYFUNCTION("IFNA(vlookup(H5151,IMPORTRANGE(""1vUGwO1n0QQGx9kKbO0_M5gmuhXZ6-LaxQxgrmJnzgP0"",""'TP# look up'!A:C""),3,0),"""")"),"")</f>
        <v/>
      </c>
      <c r="AH5151" s="49">
        <f>LEFT(J5151,2)</f>
        <v/>
      </c>
    </row>
    <row r="5152" ht="12.75" customHeight="1">
      <c r="H5152" s="43" t="n"/>
      <c r="AG5152" s="49">
        <f>IFERROR(__xludf.DUMMYFUNCTION("IFNA(vlookup(H5152,IMPORTRANGE(""1vUGwO1n0QQGx9kKbO0_M5gmuhXZ6-LaxQxgrmJnzgP0"",""'TP# look up'!A:C""),3,0),"""")"),"")</f>
        <v/>
      </c>
      <c r="AH5152" s="49">
        <f>LEFT(J5152,2)</f>
        <v/>
      </c>
    </row>
    <row r="5153" ht="12.75" customHeight="1">
      <c r="H5153" s="43" t="n"/>
      <c r="AG5153" s="49">
        <f>IFERROR(__xludf.DUMMYFUNCTION("IFNA(vlookup(H5153,IMPORTRANGE(""1vUGwO1n0QQGx9kKbO0_M5gmuhXZ6-LaxQxgrmJnzgP0"",""'TP# look up'!A:C""),3,0),"""")"),"")</f>
        <v/>
      </c>
      <c r="AH5153" s="49">
        <f>LEFT(J5153,2)</f>
        <v/>
      </c>
    </row>
    <row r="5154" ht="12.75" customHeight="1">
      <c r="H5154" s="43" t="n"/>
      <c r="AG5154" s="49">
        <f>IFERROR(__xludf.DUMMYFUNCTION("IFNA(vlookup(H5154,IMPORTRANGE(""1vUGwO1n0QQGx9kKbO0_M5gmuhXZ6-LaxQxgrmJnzgP0"",""'TP# look up'!A:C""),3,0),"""")"),"")</f>
        <v/>
      </c>
      <c r="AH5154" s="49">
        <f>LEFT(J5154,2)</f>
        <v/>
      </c>
    </row>
    <row r="5155" ht="12.75" customHeight="1">
      <c r="H5155" s="43" t="n"/>
      <c r="AG5155" s="49">
        <f>IFERROR(__xludf.DUMMYFUNCTION("IFNA(vlookup(H5155,IMPORTRANGE(""1vUGwO1n0QQGx9kKbO0_M5gmuhXZ6-LaxQxgrmJnzgP0"",""'TP# look up'!A:C""),3,0),"""")"),"")</f>
        <v/>
      </c>
      <c r="AH5155" s="49">
        <f>LEFT(J5155,2)</f>
        <v/>
      </c>
    </row>
    <row r="5156" ht="12.75" customHeight="1">
      <c r="H5156" s="43" t="n"/>
      <c r="AG5156" s="49">
        <f>IFERROR(__xludf.DUMMYFUNCTION("IFNA(vlookup(H5156,IMPORTRANGE(""1vUGwO1n0QQGx9kKbO0_M5gmuhXZ6-LaxQxgrmJnzgP0"",""'TP# look up'!A:C""),3,0),"""")"),"")</f>
        <v/>
      </c>
      <c r="AH5156" s="49">
        <f>LEFT(J5156,2)</f>
        <v/>
      </c>
    </row>
    <row r="5157" ht="12.75" customHeight="1">
      <c r="H5157" s="43" t="n"/>
      <c r="AG5157" s="49">
        <f>IFERROR(__xludf.DUMMYFUNCTION("IFNA(vlookup(H5157,IMPORTRANGE(""1vUGwO1n0QQGx9kKbO0_M5gmuhXZ6-LaxQxgrmJnzgP0"",""'TP# look up'!A:C""),3,0),"""")"),"")</f>
        <v/>
      </c>
      <c r="AH5157" s="49">
        <f>LEFT(J5157,2)</f>
        <v/>
      </c>
    </row>
    <row r="5158" ht="12.75" customHeight="1">
      <c r="H5158" s="43" t="n"/>
      <c r="AG5158" s="49">
        <f>IFERROR(__xludf.DUMMYFUNCTION("IFNA(vlookup(H5158,IMPORTRANGE(""1vUGwO1n0QQGx9kKbO0_M5gmuhXZ6-LaxQxgrmJnzgP0"",""'TP# look up'!A:C""),3,0),"""")"),"")</f>
        <v/>
      </c>
      <c r="AH5158" s="49">
        <f>LEFT(J5158,2)</f>
        <v/>
      </c>
    </row>
    <row r="5159" ht="12.75" customHeight="1">
      <c r="H5159" s="43" t="n"/>
      <c r="AG5159" s="49">
        <f>IFERROR(__xludf.DUMMYFUNCTION("IFNA(vlookup(H5159,IMPORTRANGE(""1vUGwO1n0QQGx9kKbO0_M5gmuhXZ6-LaxQxgrmJnzgP0"",""'TP# look up'!A:C""),3,0),"""")"),"")</f>
        <v/>
      </c>
      <c r="AH5159" s="49">
        <f>LEFT(J5159,2)</f>
        <v/>
      </c>
    </row>
    <row r="5160" ht="12.75" customHeight="1">
      <c r="H5160" s="43" t="n"/>
      <c r="AG5160" s="49">
        <f>IFERROR(__xludf.DUMMYFUNCTION("IFNA(vlookup(H5160,IMPORTRANGE(""1vUGwO1n0QQGx9kKbO0_M5gmuhXZ6-LaxQxgrmJnzgP0"",""'TP# look up'!A:C""),3,0),"""")"),"")</f>
        <v/>
      </c>
      <c r="AH5160" s="49">
        <f>LEFT(J5160,2)</f>
        <v/>
      </c>
    </row>
    <row r="5161" ht="12.75" customHeight="1">
      <c r="H5161" s="43" t="n"/>
      <c r="AG5161" s="49">
        <f>IFERROR(__xludf.DUMMYFUNCTION("IFNA(vlookup(H5161,IMPORTRANGE(""1vUGwO1n0QQGx9kKbO0_M5gmuhXZ6-LaxQxgrmJnzgP0"",""'TP# look up'!A:C""),3,0),"""")"),"")</f>
        <v/>
      </c>
      <c r="AH5161" s="49">
        <f>LEFT(J5161,2)</f>
        <v/>
      </c>
    </row>
    <row r="5162" ht="12.75" customHeight="1">
      <c r="H5162" s="43" t="n"/>
      <c r="AG5162" s="49">
        <f>IFERROR(__xludf.DUMMYFUNCTION("IFNA(vlookup(H5162,IMPORTRANGE(""1vUGwO1n0QQGx9kKbO0_M5gmuhXZ6-LaxQxgrmJnzgP0"",""'TP# look up'!A:C""),3,0),"""")"),"")</f>
        <v/>
      </c>
      <c r="AH5162" s="49">
        <f>LEFT(J5162,2)</f>
        <v/>
      </c>
    </row>
    <row r="5163" ht="12.75" customHeight="1">
      <c r="H5163" s="43" t="n"/>
      <c r="AG5163" s="49">
        <f>IFERROR(__xludf.DUMMYFUNCTION("IFNA(vlookup(H5163,IMPORTRANGE(""1vUGwO1n0QQGx9kKbO0_M5gmuhXZ6-LaxQxgrmJnzgP0"",""'TP# look up'!A:C""),3,0),"""")"),"")</f>
        <v/>
      </c>
      <c r="AH5163" s="49">
        <f>LEFT(J5163,2)</f>
        <v/>
      </c>
    </row>
    <row r="5164" ht="12.75" customHeight="1">
      <c r="H5164" s="43" t="n"/>
      <c r="AG5164" s="49">
        <f>IFERROR(__xludf.DUMMYFUNCTION("IFNA(vlookup(H5164,IMPORTRANGE(""1vUGwO1n0QQGx9kKbO0_M5gmuhXZ6-LaxQxgrmJnzgP0"",""'TP# look up'!A:C""),3,0),"""")"),"")</f>
        <v/>
      </c>
      <c r="AH5164" s="49">
        <f>LEFT(J5164,2)</f>
        <v/>
      </c>
    </row>
    <row r="5165" ht="12.75" customHeight="1">
      <c r="H5165" s="43" t="n"/>
      <c r="AG5165" s="49">
        <f>IFERROR(__xludf.DUMMYFUNCTION("IFNA(vlookup(H5165,IMPORTRANGE(""1vUGwO1n0QQGx9kKbO0_M5gmuhXZ6-LaxQxgrmJnzgP0"",""'TP# look up'!A:C""),3,0),"""")"),"")</f>
        <v/>
      </c>
      <c r="AH5165" s="49">
        <f>LEFT(J5165,2)</f>
        <v/>
      </c>
    </row>
    <row r="5166" ht="12.75" customHeight="1">
      <c r="H5166" s="43" t="n"/>
      <c r="AG5166" s="49">
        <f>IFERROR(__xludf.DUMMYFUNCTION("IFNA(vlookup(H5166,IMPORTRANGE(""1vUGwO1n0QQGx9kKbO0_M5gmuhXZ6-LaxQxgrmJnzgP0"",""'TP# look up'!A:C""),3,0),"""")"),"")</f>
        <v/>
      </c>
      <c r="AH5166" s="49">
        <f>LEFT(J5166,2)</f>
        <v/>
      </c>
    </row>
    <row r="5167" ht="12.75" customHeight="1">
      <c r="H5167" s="43" t="n"/>
      <c r="AG5167" s="49">
        <f>IFERROR(__xludf.DUMMYFUNCTION("IFNA(vlookup(H5167,IMPORTRANGE(""1vUGwO1n0QQGx9kKbO0_M5gmuhXZ6-LaxQxgrmJnzgP0"",""'TP# look up'!A:C""),3,0),"""")"),"")</f>
        <v/>
      </c>
      <c r="AH5167" s="49">
        <f>LEFT(J5167,2)</f>
        <v/>
      </c>
    </row>
    <row r="5168" ht="12.75" customHeight="1">
      <c r="H5168" s="43" t="n"/>
      <c r="AG5168" s="49">
        <f>IFERROR(__xludf.DUMMYFUNCTION("IFNA(vlookup(H5168,IMPORTRANGE(""1vUGwO1n0QQGx9kKbO0_M5gmuhXZ6-LaxQxgrmJnzgP0"",""'TP# look up'!A:C""),3,0),"""")"),"")</f>
        <v/>
      </c>
      <c r="AH5168" s="49">
        <f>LEFT(J5168,2)</f>
        <v/>
      </c>
    </row>
    <row r="5169" ht="12.75" customHeight="1">
      <c r="H5169" s="43" t="n"/>
      <c r="AG5169" s="49">
        <f>IFERROR(__xludf.DUMMYFUNCTION("IFNA(vlookup(H5169,IMPORTRANGE(""1vUGwO1n0QQGx9kKbO0_M5gmuhXZ6-LaxQxgrmJnzgP0"",""'TP# look up'!A:C""),3,0),"""")"),"")</f>
        <v/>
      </c>
      <c r="AH5169" s="49">
        <f>LEFT(J5169,2)</f>
        <v/>
      </c>
    </row>
    <row r="5170" ht="12.75" customHeight="1">
      <c r="H5170" s="43" t="n"/>
      <c r="AG5170" s="49">
        <f>IFERROR(__xludf.DUMMYFUNCTION("IFNA(vlookup(H5170,IMPORTRANGE(""1vUGwO1n0QQGx9kKbO0_M5gmuhXZ6-LaxQxgrmJnzgP0"",""'TP# look up'!A:C""),3,0),"""")"),"")</f>
        <v/>
      </c>
      <c r="AH5170" s="49">
        <f>LEFT(J5170,2)</f>
        <v/>
      </c>
    </row>
    <row r="5171" ht="12.75" customHeight="1">
      <c r="H5171" s="43" t="n"/>
      <c r="AG5171" s="49">
        <f>IFERROR(__xludf.DUMMYFUNCTION("IFNA(vlookup(H5171,IMPORTRANGE(""1vUGwO1n0QQGx9kKbO0_M5gmuhXZ6-LaxQxgrmJnzgP0"",""'TP# look up'!A:C""),3,0),"""")"),"")</f>
        <v/>
      </c>
      <c r="AH5171" s="49">
        <f>LEFT(J5171,2)</f>
        <v/>
      </c>
    </row>
    <row r="5172" ht="12.75" customHeight="1">
      <c r="H5172" s="43" t="n"/>
      <c r="AG5172" s="49">
        <f>IFERROR(__xludf.DUMMYFUNCTION("IFNA(vlookup(H5172,IMPORTRANGE(""1vUGwO1n0QQGx9kKbO0_M5gmuhXZ6-LaxQxgrmJnzgP0"",""'TP# look up'!A:C""),3,0),"""")"),"")</f>
        <v/>
      </c>
      <c r="AH5172" s="49">
        <f>LEFT(J5172,2)</f>
        <v/>
      </c>
    </row>
    <row r="5173" ht="12.75" customHeight="1">
      <c r="H5173" s="43" t="n"/>
      <c r="AG5173" s="49">
        <f>IFERROR(__xludf.DUMMYFUNCTION("IFNA(vlookup(H5173,IMPORTRANGE(""1vUGwO1n0QQGx9kKbO0_M5gmuhXZ6-LaxQxgrmJnzgP0"",""'TP# look up'!A:C""),3,0),"""")"),"")</f>
        <v/>
      </c>
      <c r="AH5173" s="49">
        <f>LEFT(J5173,2)</f>
        <v/>
      </c>
    </row>
    <row r="5174" ht="12.75" customHeight="1">
      <c r="H5174" s="43" t="n"/>
      <c r="AG5174" s="49">
        <f>IFERROR(__xludf.DUMMYFUNCTION("IFNA(vlookup(H5174,IMPORTRANGE(""1vUGwO1n0QQGx9kKbO0_M5gmuhXZ6-LaxQxgrmJnzgP0"",""'TP# look up'!A:C""),3,0),"""")"),"")</f>
        <v/>
      </c>
      <c r="AH5174" s="49">
        <f>LEFT(J5174,2)</f>
        <v/>
      </c>
    </row>
    <row r="5175" ht="12.75" customHeight="1">
      <c r="H5175" s="43" t="n"/>
      <c r="AG5175" s="49">
        <f>IFERROR(__xludf.DUMMYFUNCTION("IFNA(vlookup(H5175,IMPORTRANGE(""1vUGwO1n0QQGx9kKbO0_M5gmuhXZ6-LaxQxgrmJnzgP0"",""'TP# look up'!A:C""),3,0),"""")"),"")</f>
        <v/>
      </c>
      <c r="AH5175" s="49">
        <f>LEFT(J5175,2)</f>
        <v/>
      </c>
    </row>
    <row r="5176" ht="12.75" customHeight="1">
      <c r="H5176" s="43" t="n"/>
      <c r="AG5176" s="49">
        <f>IFERROR(__xludf.DUMMYFUNCTION("IFNA(vlookup(H5176,IMPORTRANGE(""1vUGwO1n0QQGx9kKbO0_M5gmuhXZ6-LaxQxgrmJnzgP0"",""'TP# look up'!A:C""),3,0),"""")"),"")</f>
        <v/>
      </c>
      <c r="AH5176" s="49">
        <f>LEFT(J5176,2)</f>
        <v/>
      </c>
    </row>
    <row r="5177" ht="12.75" customHeight="1">
      <c r="H5177" s="43" t="n"/>
      <c r="AG5177" s="49">
        <f>IFERROR(__xludf.DUMMYFUNCTION("IFNA(vlookup(H5177,IMPORTRANGE(""1vUGwO1n0QQGx9kKbO0_M5gmuhXZ6-LaxQxgrmJnzgP0"",""'TP# look up'!A:C""),3,0),"""")"),"")</f>
        <v/>
      </c>
      <c r="AH5177" s="49">
        <f>LEFT(J5177,2)</f>
        <v/>
      </c>
    </row>
    <row r="5178" ht="12.75" customHeight="1">
      <c r="H5178" s="43" t="n"/>
      <c r="AG5178" s="49">
        <f>IFERROR(__xludf.DUMMYFUNCTION("IFNA(vlookup(H5178,IMPORTRANGE(""1vUGwO1n0QQGx9kKbO0_M5gmuhXZ6-LaxQxgrmJnzgP0"",""'TP# look up'!A:C""),3,0),"""")"),"")</f>
        <v/>
      </c>
      <c r="AH5178" s="49">
        <f>LEFT(J5178,2)</f>
        <v/>
      </c>
    </row>
    <row r="5179" ht="12.75" customHeight="1">
      <c r="H5179" s="43" t="n"/>
      <c r="AG5179" s="49">
        <f>IFERROR(__xludf.DUMMYFUNCTION("IFNA(vlookup(H5179,IMPORTRANGE(""1vUGwO1n0QQGx9kKbO0_M5gmuhXZ6-LaxQxgrmJnzgP0"",""'TP# look up'!A:C""),3,0),"""")"),"")</f>
        <v/>
      </c>
      <c r="AH5179" s="49">
        <f>LEFT(J5179,2)</f>
        <v/>
      </c>
    </row>
    <row r="5180" ht="12.75" customHeight="1">
      <c r="H5180" s="43" t="n"/>
      <c r="AG5180" s="49">
        <f>IFERROR(__xludf.DUMMYFUNCTION("IFNA(vlookup(H5180,IMPORTRANGE(""1vUGwO1n0QQGx9kKbO0_M5gmuhXZ6-LaxQxgrmJnzgP0"",""'TP# look up'!A:C""),3,0),"""")"),"")</f>
        <v/>
      </c>
      <c r="AH5180" s="49">
        <f>LEFT(J5180,2)</f>
        <v/>
      </c>
    </row>
    <row r="5181" ht="12.75" customHeight="1">
      <c r="H5181" s="43" t="n"/>
      <c r="AG5181" s="49">
        <f>IFERROR(__xludf.DUMMYFUNCTION("IFNA(vlookup(H5181,IMPORTRANGE(""1vUGwO1n0QQGx9kKbO0_M5gmuhXZ6-LaxQxgrmJnzgP0"",""'TP# look up'!A:C""),3,0),"""")"),"")</f>
        <v/>
      </c>
      <c r="AH5181" s="49">
        <f>LEFT(J5181,2)</f>
        <v/>
      </c>
    </row>
    <row r="5182" ht="12.75" customHeight="1">
      <c r="H5182" s="43" t="n"/>
      <c r="AG5182" s="49">
        <f>IFERROR(__xludf.DUMMYFUNCTION("IFNA(vlookup(H5182,IMPORTRANGE(""1vUGwO1n0QQGx9kKbO0_M5gmuhXZ6-LaxQxgrmJnzgP0"",""'TP# look up'!A:C""),3,0),"""")"),"")</f>
        <v/>
      </c>
      <c r="AH5182" s="49">
        <f>LEFT(J5182,2)</f>
        <v/>
      </c>
    </row>
    <row r="5183" ht="12.75" customHeight="1">
      <c r="H5183" s="43" t="n"/>
      <c r="AG5183" s="49">
        <f>IFERROR(__xludf.DUMMYFUNCTION("IFNA(vlookup(H5183,IMPORTRANGE(""1vUGwO1n0QQGx9kKbO0_M5gmuhXZ6-LaxQxgrmJnzgP0"",""'TP# look up'!A:C""),3,0),"""")"),"")</f>
        <v/>
      </c>
      <c r="AH5183" s="49">
        <f>LEFT(J5183,2)</f>
        <v/>
      </c>
    </row>
    <row r="5184" ht="12.75" customHeight="1">
      <c r="H5184" s="43" t="n"/>
      <c r="AG5184" s="49">
        <f>IFERROR(__xludf.DUMMYFUNCTION("IFNA(vlookup(H5184,IMPORTRANGE(""1vUGwO1n0QQGx9kKbO0_M5gmuhXZ6-LaxQxgrmJnzgP0"",""'TP# look up'!A:C""),3,0),"""")"),"")</f>
        <v/>
      </c>
      <c r="AH5184" s="49">
        <f>LEFT(J5184,2)</f>
        <v/>
      </c>
    </row>
    <row r="5185" ht="12.75" customHeight="1">
      <c r="H5185" s="43" t="n"/>
      <c r="AG5185" s="49">
        <f>IFERROR(__xludf.DUMMYFUNCTION("IFNA(vlookup(H5185,IMPORTRANGE(""1vUGwO1n0QQGx9kKbO0_M5gmuhXZ6-LaxQxgrmJnzgP0"",""'TP# look up'!A:C""),3,0),"""")"),"")</f>
        <v/>
      </c>
      <c r="AH5185" s="49">
        <f>LEFT(J5185,2)</f>
        <v/>
      </c>
    </row>
    <row r="5186" ht="12.75" customHeight="1">
      <c r="H5186" s="43" t="n"/>
      <c r="AG5186" s="49">
        <f>IFERROR(__xludf.DUMMYFUNCTION("IFNA(vlookup(H5186,IMPORTRANGE(""1vUGwO1n0QQGx9kKbO0_M5gmuhXZ6-LaxQxgrmJnzgP0"",""'TP# look up'!A:C""),3,0),"""")"),"")</f>
        <v/>
      </c>
      <c r="AH5186" s="49">
        <f>LEFT(J5186,2)</f>
        <v/>
      </c>
    </row>
    <row r="5187" ht="12.75" customHeight="1">
      <c r="H5187" s="43" t="n"/>
      <c r="AG5187" s="49">
        <f>IFERROR(__xludf.DUMMYFUNCTION("IFNA(vlookup(H5187,IMPORTRANGE(""1vUGwO1n0QQGx9kKbO0_M5gmuhXZ6-LaxQxgrmJnzgP0"",""'TP# look up'!A:C""),3,0),"""")"),"")</f>
        <v/>
      </c>
      <c r="AH5187" s="49">
        <f>LEFT(J5187,2)</f>
        <v/>
      </c>
    </row>
    <row r="5188" ht="12.75" customHeight="1">
      <c r="H5188" s="43" t="n"/>
      <c r="AG5188" s="49">
        <f>IFERROR(__xludf.DUMMYFUNCTION("IFNA(vlookup(H5188,IMPORTRANGE(""1vUGwO1n0QQGx9kKbO0_M5gmuhXZ6-LaxQxgrmJnzgP0"",""'TP# look up'!A:C""),3,0),"""")"),"")</f>
        <v/>
      </c>
      <c r="AH5188" s="49">
        <f>LEFT(J5188,2)</f>
        <v/>
      </c>
    </row>
    <row r="5189" ht="12.75" customHeight="1">
      <c r="H5189" s="43" t="n"/>
      <c r="AG5189" s="49">
        <f>IFERROR(__xludf.DUMMYFUNCTION("IFNA(vlookup(H5189,IMPORTRANGE(""1vUGwO1n0QQGx9kKbO0_M5gmuhXZ6-LaxQxgrmJnzgP0"",""'TP# look up'!A:C""),3,0),"""")"),"")</f>
        <v/>
      </c>
      <c r="AH5189" s="49">
        <f>LEFT(J5189,2)</f>
        <v/>
      </c>
    </row>
    <row r="5190" ht="12.75" customHeight="1">
      <c r="H5190" s="43" t="n"/>
      <c r="AG5190" s="49">
        <f>IFERROR(__xludf.DUMMYFUNCTION("IFNA(vlookup(H5190,IMPORTRANGE(""1vUGwO1n0QQGx9kKbO0_M5gmuhXZ6-LaxQxgrmJnzgP0"",""'TP# look up'!A:C""),3,0),"""")"),"")</f>
        <v/>
      </c>
      <c r="AH5190" s="49">
        <f>LEFT(J5190,2)</f>
        <v/>
      </c>
    </row>
    <row r="5191" ht="12.75" customHeight="1">
      <c r="H5191" s="43" t="n"/>
      <c r="AG5191" s="49">
        <f>IFERROR(__xludf.DUMMYFUNCTION("IFNA(vlookup(H5191,IMPORTRANGE(""1vUGwO1n0QQGx9kKbO0_M5gmuhXZ6-LaxQxgrmJnzgP0"",""'TP# look up'!A:C""),3,0),"""")"),"")</f>
        <v/>
      </c>
      <c r="AH5191" s="49">
        <f>LEFT(J5191,2)</f>
        <v/>
      </c>
    </row>
    <row r="5192" ht="12.75" customHeight="1">
      <c r="H5192" s="43" t="n"/>
      <c r="AG5192" s="49">
        <f>IFERROR(__xludf.DUMMYFUNCTION("IFNA(vlookup(H5192,IMPORTRANGE(""1vUGwO1n0QQGx9kKbO0_M5gmuhXZ6-LaxQxgrmJnzgP0"",""'TP# look up'!A:C""),3,0),"""")"),"")</f>
        <v/>
      </c>
      <c r="AH5192" s="49">
        <f>LEFT(J5192,2)</f>
        <v/>
      </c>
    </row>
    <row r="5193" ht="12.75" customHeight="1">
      <c r="H5193" s="43" t="n"/>
      <c r="AG5193" s="49">
        <f>IFERROR(__xludf.DUMMYFUNCTION("IFNA(vlookup(H5193,IMPORTRANGE(""1vUGwO1n0QQGx9kKbO0_M5gmuhXZ6-LaxQxgrmJnzgP0"",""'TP# look up'!A:C""),3,0),"""")"),"")</f>
        <v/>
      </c>
      <c r="AH5193" s="49">
        <f>LEFT(J5193,2)</f>
        <v/>
      </c>
    </row>
    <row r="5194" ht="12.75" customHeight="1">
      <c r="H5194" s="43" t="n"/>
      <c r="AG5194" s="49">
        <f>IFERROR(__xludf.DUMMYFUNCTION("IFNA(vlookup(H5194,IMPORTRANGE(""1vUGwO1n0QQGx9kKbO0_M5gmuhXZ6-LaxQxgrmJnzgP0"",""'TP# look up'!A:C""),3,0),"""")"),"")</f>
        <v/>
      </c>
      <c r="AH5194" s="49">
        <f>LEFT(J5194,2)</f>
        <v/>
      </c>
    </row>
    <row r="5195" ht="12.75" customHeight="1">
      <c r="H5195" s="43" t="n"/>
      <c r="AG5195" s="49">
        <f>IFERROR(__xludf.DUMMYFUNCTION("IFNA(vlookup(H5195,IMPORTRANGE(""1vUGwO1n0QQGx9kKbO0_M5gmuhXZ6-LaxQxgrmJnzgP0"",""'TP# look up'!A:C""),3,0),"""")"),"")</f>
        <v/>
      </c>
      <c r="AH5195" s="49">
        <f>LEFT(J5195,2)</f>
        <v/>
      </c>
    </row>
    <row r="5196" ht="12.75" customHeight="1">
      <c r="H5196" s="43" t="n"/>
      <c r="AG5196" s="49">
        <f>IFERROR(__xludf.DUMMYFUNCTION("IFNA(vlookup(H5196,IMPORTRANGE(""1vUGwO1n0QQGx9kKbO0_M5gmuhXZ6-LaxQxgrmJnzgP0"",""'TP# look up'!A:C""),3,0),"""")"),"")</f>
        <v/>
      </c>
      <c r="AH5196" s="49">
        <f>LEFT(J5196,2)</f>
        <v/>
      </c>
    </row>
    <row r="5197" ht="12.75" customHeight="1">
      <c r="H5197" s="43" t="n"/>
      <c r="AG5197" s="49">
        <f>IFERROR(__xludf.DUMMYFUNCTION("IFNA(vlookup(H5197,IMPORTRANGE(""1vUGwO1n0QQGx9kKbO0_M5gmuhXZ6-LaxQxgrmJnzgP0"",""'TP# look up'!A:C""),3,0),"""")"),"")</f>
        <v/>
      </c>
      <c r="AH5197" s="49">
        <f>LEFT(J5197,2)</f>
        <v/>
      </c>
    </row>
    <row r="5198" ht="12.75" customHeight="1">
      <c r="H5198" s="43" t="n"/>
      <c r="AG5198" s="49">
        <f>IFERROR(__xludf.DUMMYFUNCTION("IFNA(vlookup(H5198,IMPORTRANGE(""1vUGwO1n0QQGx9kKbO0_M5gmuhXZ6-LaxQxgrmJnzgP0"",""'TP# look up'!A:C""),3,0),"""")"),"")</f>
        <v/>
      </c>
      <c r="AH5198" s="49">
        <f>LEFT(J5198,2)</f>
        <v/>
      </c>
    </row>
    <row r="5199" ht="12.75" customHeight="1">
      <c r="H5199" s="43" t="n"/>
      <c r="AG5199" s="49">
        <f>IFERROR(__xludf.DUMMYFUNCTION("IFNA(vlookup(H5199,IMPORTRANGE(""1vUGwO1n0QQGx9kKbO0_M5gmuhXZ6-LaxQxgrmJnzgP0"",""'TP# look up'!A:C""),3,0),"""")"),"")</f>
        <v/>
      </c>
      <c r="AH5199" s="49">
        <f>LEFT(J5199,2)</f>
        <v/>
      </c>
    </row>
    <row r="5200" ht="12.75" customHeight="1">
      <c r="H5200" s="43" t="n"/>
      <c r="AG5200" s="49">
        <f>IFERROR(__xludf.DUMMYFUNCTION("IFNA(vlookup(H5200,IMPORTRANGE(""1vUGwO1n0QQGx9kKbO0_M5gmuhXZ6-LaxQxgrmJnzgP0"",""'TP# look up'!A:C""),3,0),"""")"),"")</f>
        <v/>
      </c>
      <c r="AH5200" s="49">
        <f>LEFT(J5200,2)</f>
        <v/>
      </c>
    </row>
    <row r="5201" ht="12.75" customHeight="1">
      <c r="H5201" s="43" t="n"/>
      <c r="AG5201" s="49">
        <f>IFERROR(__xludf.DUMMYFUNCTION("IFNA(vlookup(H5201,IMPORTRANGE(""1vUGwO1n0QQGx9kKbO0_M5gmuhXZ6-LaxQxgrmJnzgP0"",""'TP# look up'!A:C""),3,0),"""")"),"")</f>
        <v/>
      </c>
      <c r="AH5201" s="49">
        <f>LEFT(J5201,2)</f>
        <v/>
      </c>
    </row>
    <row r="5202" ht="12.75" customHeight="1">
      <c r="H5202" s="43" t="n"/>
      <c r="AG5202" s="49">
        <f>IFERROR(__xludf.DUMMYFUNCTION("IFNA(vlookup(H5202,IMPORTRANGE(""1vUGwO1n0QQGx9kKbO0_M5gmuhXZ6-LaxQxgrmJnzgP0"",""'TP# look up'!A:C""),3,0),"""")"),"")</f>
        <v/>
      </c>
      <c r="AH5202" s="49">
        <f>LEFT(J5202,2)</f>
        <v/>
      </c>
    </row>
    <row r="5203" ht="12.75" customHeight="1">
      <c r="H5203" s="43" t="n"/>
      <c r="AG5203" s="49">
        <f>IFERROR(__xludf.DUMMYFUNCTION("IFNA(vlookup(H5203,IMPORTRANGE(""1vUGwO1n0QQGx9kKbO0_M5gmuhXZ6-LaxQxgrmJnzgP0"",""'TP# look up'!A:C""),3,0),"""")"),"")</f>
        <v/>
      </c>
      <c r="AH5203" s="49">
        <f>LEFT(J5203,2)</f>
        <v/>
      </c>
    </row>
    <row r="5204" ht="12.75" customHeight="1">
      <c r="H5204" s="43" t="n"/>
      <c r="AG5204" s="49">
        <f>IFERROR(__xludf.DUMMYFUNCTION("IFNA(vlookup(H5204,IMPORTRANGE(""1vUGwO1n0QQGx9kKbO0_M5gmuhXZ6-LaxQxgrmJnzgP0"",""'TP# look up'!A:C""),3,0),"""")"),"")</f>
        <v/>
      </c>
      <c r="AH5204" s="49">
        <f>LEFT(J5204,2)</f>
        <v/>
      </c>
    </row>
    <row r="5205" ht="12.75" customHeight="1">
      <c r="H5205" s="43" t="n"/>
      <c r="AG5205" s="49">
        <f>IFERROR(__xludf.DUMMYFUNCTION("IFNA(vlookup(H5205,IMPORTRANGE(""1vUGwO1n0QQGx9kKbO0_M5gmuhXZ6-LaxQxgrmJnzgP0"",""'TP# look up'!A:C""),3,0),"""")"),"")</f>
        <v/>
      </c>
      <c r="AH5205" s="49">
        <f>LEFT(J5205,2)</f>
        <v/>
      </c>
    </row>
    <row r="5206" ht="12.75" customHeight="1">
      <c r="H5206" s="43" t="n"/>
      <c r="AG5206" s="49">
        <f>IFERROR(__xludf.DUMMYFUNCTION("IFNA(vlookup(H5206,IMPORTRANGE(""1vUGwO1n0QQGx9kKbO0_M5gmuhXZ6-LaxQxgrmJnzgP0"",""'TP# look up'!A:C""),3,0),"""")"),"")</f>
        <v/>
      </c>
      <c r="AH5206" s="49">
        <f>LEFT(J5206,2)</f>
        <v/>
      </c>
    </row>
    <row r="5207" ht="12.75" customHeight="1">
      <c r="H5207" s="43" t="n"/>
      <c r="AG5207" s="49">
        <f>IFERROR(__xludf.DUMMYFUNCTION("IFNA(vlookup(H5207,IMPORTRANGE(""1vUGwO1n0QQGx9kKbO0_M5gmuhXZ6-LaxQxgrmJnzgP0"",""'TP# look up'!A:C""),3,0),"""")"),"")</f>
        <v/>
      </c>
      <c r="AH5207" s="49">
        <f>LEFT(J5207,2)</f>
        <v/>
      </c>
    </row>
    <row r="5208" ht="12.75" customHeight="1">
      <c r="H5208" s="43" t="n"/>
      <c r="AG5208" s="49">
        <f>IFERROR(__xludf.DUMMYFUNCTION("IFNA(vlookup(H5208,IMPORTRANGE(""1vUGwO1n0QQGx9kKbO0_M5gmuhXZ6-LaxQxgrmJnzgP0"",""'TP# look up'!A:C""),3,0),"""")"),"")</f>
        <v/>
      </c>
      <c r="AH5208" s="49">
        <f>LEFT(J5208,2)</f>
        <v/>
      </c>
    </row>
    <row r="5209" ht="12.75" customHeight="1">
      <c r="H5209" s="43" t="n"/>
      <c r="AG5209" s="49">
        <f>IFERROR(__xludf.DUMMYFUNCTION("IFNA(vlookup(H5209,IMPORTRANGE(""1vUGwO1n0QQGx9kKbO0_M5gmuhXZ6-LaxQxgrmJnzgP0"",""'TP# look up'!A:C""),3,0),"""")"),"")</f>
        <v/>
      </c>
      <c r="AH5209" s="49">
        <f>LEFT(J5209,2)</f>
        <v/>
      </c>
    </row>
    <row r="5210" ht="12.75" customHeight="1">
      <c r="H5210" s="43" t="n"/>
      <c r="AG5210" s="49">
        <f>IFERROR(__xludf.DUMMYFUNCTION("IFNA(vlookup(H5210,IMPORTRANGE(""1vUGwO1n0QQGx9kKbO0_M5gmuhXZ6-LaxQxgrmJnzgP0"",""'TP# look up'!A:C""),3,0),"""")"),"")</f>
        <v/>
      </c>
      <c r="AH5210" s="49">
        <f>LEFT(J5210,2)</f>
        <v/>
      </c>
    </row>
    <row r="5211" ht="12.75" customHeight="1">
      <c r="H5211" s="43" t="n"/>
      <c r="AG5211" s="49">
        <f>IFERROR(__xludf.DUMMYFUNCTION("IFNA(vlookup(H5211,IMPORTRANGE(""1vUGwO1n0QQGx9kKbO0_M5gmuhXZ6-LaxQxgrmJnzgP0"",""'TP# look up'!A:C""),3,0),"""")"),"")</f>
        <v/>
      </c>
      <c r="AH5211" s="49">
        <f>LEFT(J5211,2)</f>
        <v/>
      </c>
    </row>
    <row r="5212" ht="12.75" customHeight="1">
      <c r="H5212" s="43" t="n"/>
      <c r="AG5212" s="49">
        <f>IFERROR(__xludf.DUMMYFUNCTION("IFNA(vlookup(H5212,IMPORTRANGE(""1vUGwO1n0QQGx9kKbO0_M5gmuhXZ6-LaxQxgrmJnzgP0"",""'TP# look up'!A:C""),3,0),"""")"),"")</f>
        <v/>
      </c>
      <c r="AH5212" s="49">
        <f>LEFT(J5212,2)</f>
        <v/>
      </c>
    </row>
    <row r="5213" ht="12.75" customHeight="1">
      <c r="H5213" s="43" t="n"/>
      <c r="AG5213" s="49">
        <f>IFERROR(__xludf.DUMMYFUNCTION("IFNA(vlookup(H5213,IMPORTRANGE(""1vUGwO1n0QQGx9kKbO0_M5gmuhXZ6-LaxQxgrmJnzgP0"",""'TP# look up'!A:C""),3,0),"""")"),"")</f>
        <v/>
      </c>
      <c r="AH5213" s="49">
        <f>LEFT(J5213,2)</f>
        <v/>
      </c>
    </row>
    <row r="5214" ht="12.75" customHeight="1">
      <c r="H5214" s="43" t="n"/>
      <c r="AG5214" s="49">
        <f>IFERROR(__xludf.DUMMYFUNCTION("IFNA(vlookup(H5214,IMPORTRANGE(""1vUGwO1n0QQGx9kKbO0_M5gmuhXZ6-LaxQxgrmJnzgP0"",""'TP# look up'!A:C""),3,0),"""")"),"")</f>
        <v/>
      </c>
      <c r="AH5214" s="49">
        <f>LEFT(J5214,2)</f>
        <v/>
      </c>
    </row>
    <row r="5215" ht="12.75" customHeight="1">
      <c r="H5215" s="43" t="n"/>
      <c r="AG5215" s="49">
        <f>IFERROR(__xludf.DUMMYFUNCTION("IFNA(vlookup(H5215,IMPORTRANGE(""1vUGwO1n0QQGx9kKbO0_M5gmuhXZ6-LaxQxgrmJnzgP0"",""'TP# look up'!A:C""),3,0),"""")"),"")</f>
        <v/>
      </c>
      <c r="AH5215" s="49">
        <f>LEFT(J5215,2)</f>
        <v/>
      </c>
    </row>
    <row r="5216" ht="12.75" customHeight="1">
      <c r="H5216" s="43" t="n"/>
      <c r="AG5216" s="49">
        <f>IFERROR(__xludf.DUMMYFUNCTION("IFNA(vlookup(H5216,IMPORTRANGE(""1vUGwO1n0QQGx9kKbO0_M5gmuhXZ6-LaxQxgrmJnzgP0"",""'TP# look up'!A:C""),3,0),"""")"),"")</f>
        <v/>
      </c>
      <c r="AH5216" s="49">
        <f>LEFT(J5216,2)</f>
        <v/>
      </c>
    </row>
    <row r="5217" ht="12.75" customHeight="1">
      <c r="H5217" s="43" t="n"/>
      <c r="AG5217" s="49">
        <f>IFERROR(__xludf.DUMMYFUNCTION("IFNA(vlookup(H5217,IMPORTRANGE(""1vUGwO1n0QQGx9kKbO0_M5gmuhXZ6-LaxQxgrmJnzgP0"",""'TP# look up'!A:C""),3,0),"""")"),"")</f>
        <v/>
      </c>
      <c r="AH5217" s="49">
        <f>LEFT(J5217,2)</f>
        <v/>
      </c>
    </row>
    <row r="5218" ht="12.75" customHeight="1">
      <c r="H5218" s="43" t="n"/>
      <c r="AG5218" s="49">
        <f>IFERROR(__xludf.DUMMYFUNCTION("IFNA(vlookup(H5218,IMPORTRANGE(""1vUGwO1n0QQGx9kKbO0_M5gmuhXZ6-LaxQxgrmJnzgP0"",""'TP# look up'!A:C""),3,0),"""")"),"")</f>
        <v/>
      </c>
      <c r="AH5218" s="49">
        <f>LEFT(J5218,2)</f>
        <v/>
      </c>
    </row>
    <row r="5219" ht="12.75" customHeight="1">
      <c r="H5219" s="43" t="n"/>
      <c r="AG5219" s="49">
        <f>IFERROR(__xludf.DUMMYFUNCTION("IFNA(vlookup(H5219,IMPORTRANGE(""1vUGwO1n0QQGx9kKbO0_M5gmuhXZ6-LaxQxgrmJnzgP0"",""'TP# look up'!A:C""),3,0),"""")"),"")</f>
        <v/>
      </c>
      <c r="AH5219" s="49">
        <f>LEFT(J5219,2)</f>
        <v/>
      </c>
    </row>
    <row r="5220" ht="12.75" customHeight="1">
      <c r="H5220" s="43" t="n"/>
      <c r="AG5220" s="49">
        <f>IFERROR(__xludf.DUMMYFUNCTION("IFNA(vlookup(H5220,IMPORTRANGE(""1vUGwO1n0QQGx9kKbO0_M5gmuhXZ6-LaxQxgrmJnzgP0"",""'TP# look up'!A:C""),3,0),"""")"),"")</f>
        <v/>
      </c>
      <c r="AH5220" s="49">
        <f>LEFT(J5220,2)</f>
        <v/>
      </c>
    </row>
    <row r="5221" ht="12.75" customHeight="1">
      <c r="H5221" s="43" t="n"/>
      <c r="AG5221" s="49">
        <f>IFERROR(__xludf.DUMMYFUNCTION("IFNA(vlookup(H5221,IMPORTRANGE(""1vUGwO1n0QQGx9kKbO0_M5gmuhXZ6-LaxQxgrmJnzgP0"",""'TP# look up'!A:C""),3,0),"""")"),"")</f>
        <v/>
      </c>
      <c r="AH5221" s="49">
        <f>LEFT(J5221,2)</f>
        <v/>
      </c>
    </row>
    <row r="5222" ht="12.75" customHeight="1">
      <c r="H5222" s="43" t="n"/>
      <c r="AG5222" s="49">
        <f>IFERROR(__xludf.DUMMYFUNCTION("IFNA(vlookup(H5222,IMPORTRANGE(""1vUGwO1n0QQGx9kKbO0_M5gmuhXZ6-LaxQxgrmJnzgP0"",""'TP# look up'!A:C""),3,0),"""")"),"")</f>
        <v/>
      </c>
      <c r="AH5222" s="49">
        <f>LEFT(J5222,2)</f>
        <v/>
      </c>
    </row>
    <row r="5223" ht="12.75" customHeight="1">
      <c r="H5223" s="43" t="n"/>
      <c r="AG5223" s="49">
        <f>IFERROR(__xludf.DUMMYFUNCTION("IFNA(vlookup(H5223,IMPORTRANGE(""1vUGwO1n0QQGx9kKbO0_M5gmuhXZ6-LaxQxgrmJnzgP0"",""'TP# look up'!A:C""),3,0),"""")"),"")</f>
        <v/>
      </c>
      <c r="AH5223" s="49">
        <f>LEFT(J5223,2)</f>
        <v/>
      </c>
    </row>
    <row r="5224" ht="12.75" customHeight="1">
      <c r="H5224" s="43" t="n"/>
      <c r="AG5224" s="49">
        <f>IFERROR(__xludf.DUMMYFUNCTION("IFNA(vlookup(H5224,IMPORTRANGE(""1vUGwO1n0QQGx9kKbO0_M5gmuhXZ6-LaxQxgrmJnzgP0"",""'TP# look up'!A:C""),3,0),"""")"),"")</f>
        <v/>
      </c>
      <c r="AH5224" s="49">
        <f>LEFT(J5224,2)</f>
        <v/>
      </c>
    </row>
    <row r="5225" ht="12.75" customHeight="1">
      <c r="H5225" s="43" t="n"/>
      <c r="AG5225" s="49">
        <f>IFERROR(__xludf.DUMMYFUNCTION("IFNA(vlookup(H5225,IMPORTRANGE(""1vUGwO1n0QQGx9kKbO0_M5gmuhXZ6-LaxQxgrmJnzgP0"",""'TP# look up'!A:C""),3,0),"""")"),"")</f>
        <v/>
      </c>
      <c r="AH5225" s="49">
        <f>LEFT(J5225,2)</f>
        <v/>
      </c>
    </row>
    <row r="5226" ht="12.75" customHeight="1">
      <c r="H5226" s="43" t="n"/>
      <c r="AG5226" s="49">
        <f>IFERROR(__xludf.DUMMYFUNCTION("IFNA(vlookup(H5226,IMPORTRANGE(""1vUGwO1n0QQGx9kKbO0_M5gmuhXZ6-LaxQxgrmJnzgP0"",""'TP# look up'!A:C""),3,0),"""")"),"")</f>
        <v/>
      </c>
      <c r="AH5226" s="49">
        <f>LEFT(J5226,2)</f>
        <v/>
      </c>
    </row>
    <row r="5227" ht="12.75" customHeight="1">
      <c r="H5227" s="43" t="n"/>
      <c r="AG5227" s="49">
        <f>IFERROR(__xludf.DUMMYFUNCTION("IFNA(vlookup(H5227,IMPORTRANGE(""1vUGwO1n0QQGx9kKbO0_M5gmuhXZ6-LaxQxgrmJnzgP0"",""'TP# look up'!A:C""),3,0),"""")"),"")</f>
        <v/>
      </c>
      <c r="AH5227" s="49">
        <f>LEFT(J5227,2)</f>
        <v/>
      </c>
    </row>
    <row r="5228" ht="12.75" customHeight="1">
      <c r="H5228" s="43" t="n"/>
      <c r="AG5228" s="49">
        <f>IFERROR(__xludf.DUMMYFUNCTION("IFNA(vlookup(H5228,IMPORTRANGE(""1vUGwO1n0QQGx9kKbO0_M5gmuhXZ6-LaxQxgrmJnzgP0"",""'TP# look up'!A:C""),3,0),"""")"),"")</f>
        <v/>
      </c>
      <c r="AH5228" s="49">
        <f>LEFT(J5228,2)</f>
        <v/>
      </c>
    </row>
    <row r="5229" ht="12.75" customHeight="1">
      <c r="H5229" s="43" t="n"/>
      <c r="AG5229" s="49">
        <f>IFERROR(__xludf.DUMMYFUNCTION("IFNA(vlookup(H5229,IMPORTRANGE(""1vUGwO1n0QQGx9kKbO0_M5gmuhXZ6-LaxQxgrmJnzgP0"",""'TP# look up'!A:C""),3,0),"""")"),"")</f>
        <v/>
      </c>
      <c r="AH5229" s="49">
        <f>LEFT(J5229,2)</f>
        <v/>
      </c>
    </row>
    <row r="5230" ht="12.75" customHeight="1">
      <c r="H5230" s="43" t="n"/>
      <c r="AG5230" s="49">
        <f>IFERROR(__xludf.DUMMYFUNCTION("IFNA(vlookup(H5230,IMPORTRANGE(""1vUGwO1n0QQGx9kKbO0_M5gmuhXZ6-LaxQxgrmJnzgP0"",""'TP# look up'!A:C""),3,0),"""")"),"")</f>
        <v/>
      </c>
      <c r="AH5230" s="49">
        <f>LEFT(J5230,2)</f>
        <v/>
      </c>
    </row>
    <row r="5231" ht="12.75" customHeight="1">
      <c r="H5231" s="43" t="n"/>
      <c r="AG5231" s="49">
        <f>IFERROR(__xludf.DUMMYFUNCTION("IFNA(vlookup(H5231,IMPORTRANGE(""1vUGwO1n0QQGx9kKbO0_M5gmuhXZ6-LaxQxgrmJnzgP0"",""'TP# look up'!A:C""),3,0),"""")"),"")</f>
        <v/>
      </c>
      <c r="AH5231" s="49">
        <f>LEFT(J5231,2)</f>
        <v/>
      </c>
    </row>
    <row r="5232" ht="12.75" customHeight="1">
      <c r="H5232" s="43" t="n"/>
      <c r="AG5232" s="49">
        <f>IFERROR(__xludf.DUMMYFUNCTION("IFNA(vlookup(H5232,IMPORTRANGE(""1vUGwO1n0QQGx9kKbO0_M5gmuhXZ6-LaxQxgrmJnzgP0"",""'TP# look up'!A:C""),3,0),"""")"),"")</f>
        <v/>
      </c>
      <c r="AH5232" s="49">
        <f>LEFT(J5232,2)</f>
        <v/>
      </c>
    </row>
    <row r="5233" ht="12.75" customHeight="1">
      <c r="H5233" s="43" t="n"/>
      <c r="AG5233" s="49">
        <f>IFERROR(__xludf.DUMMYFUNCTION("IFNA(vlookup(H5233,IMPORTRANGE(""1vUGwO1n0QQGx9kKbO0_M5gmuhXZ6-LaxQxgrmJnzgP0"",""'TP# look up'!A:C""),3,0),"""")"),"")</f>
        <v/>
      </c>
      <c r="AH5233" s="49">
        <f>LEFT(J5233,2)</f>
        <v/>
      </c>
    </row>
    <row r="5234" ht="12.75" customHeight="1">
      <c r="H5234" s="43" t="n"/>
      <c r="AG5234" s="49">
        <f>IFERROR(__xludf.DUMMYFUNCTION("IFNA(vlookup(H5234,IMPORTRANGE(""1vUGwO1n0QQGx9kKbO0_M5gmuhXZ6-LaxQxgrmJnzgP0"",""'TP# look up'!A:C""),3,0),"""")"),"")</f>
        <v/>
      </c>
      <c r="AH5234" s="49">
        <f>LEFT(J5234,2)</f>
        <v/>
      </c>
    </row>
    <row r="5235" ht="12.75" customHeight="1">
      <c r="H5235" s="43" t="n"/>
      <c r="AG5235" s="49">
        <f>IFERROR(__xludf.DUMMYFUNCTION("IFNA(vlookup(H5235,IMPORTRANGE(""1vUGwO1n0QQGx9kKbO0_M5gmuhXZ6-LaxQxgrmJnzgP0"",""'TP# look up'!A:C""),3,0),"""")"),"")</f>
        <v/>
      </c>
      <c r="AH5235" s="49">
        <f>LEFT(J5235,2)</f>
        <v/>
      </c>
    </row>
    <row r="5236" ht="12.75" customHeight="1">
      <c r="H5236" s="43" t="n"/>
      <c r="AG5236" s="49">
        <f>IFERROR(__xludf.DUMMYFUNCTION("IFNA(vlookup(H5236,IMPORTRANGE(""1vUGwO1n0QQGx9kKbO0_M5gmuhXZ6-LaxQxgrmJnzgP0"",""'TP# look up'!A:C""),3,0),"""")"),"")</f>
        <v/>
      </c>
      <c r="AH5236" s="49">
        <f>LEFT(J5236,2)</f>
        <v/>
      </c>
    </row>
    <row r="5237" ht="12.75" customHeight="1">
      <c r="H5237" s="43" t="n"/>
      <c r="AG5237" s="49">
        <f>IFERROR(__xludf.DUMMYFUNCTION("IFNA(vlookup(H5237,IMPORTRANGE(""1vUGwO1n0QQGx9kKbO0_M5gmuhXZ6-LaxQxgrmJnzgP0"",""'TP# look up'!A:C""),3,0),"""")"),"")</f>
        <v/>
      </c>
      <c r="AH5237" s="49">
        <f>LEFT(J5237,2)</f>
        <v/>
      </c>
    </row>
    <row r="5238" ht="12.75" customHeight="1">
      <c r="H5238" s="43" t="n"/>
      <c r="AG5238" s="49">
        <f>IFERROR(__xludf.DUMMYFUNCTION("IFNA(vlookup(H5238,IMPORTRANGE(""1vUGwO1n0QQGx9kKbO0_M5gmuhXZ6-LaxQxgrmJnzgP0"",""'TP# look up'!A:C""),3,0),"""")"),"")</f>
        <v/>
      </c>
      <c r="AH5238" s="49">
        <f>LEFT(J5238,2)</f>
        <v/>
      </c>
    </row>
    <row r="5239" ht="12.75" customHeight="1">
      <c r="H5239" s="43" t="n"/>
      <c r="AG5239" s="49">
        <f>IFERROR(__xludf.DUMMYFUNCTION("IFNA(vlookup(H5239,IMPORTRANGE(""1vUGwO1n0QQGx9kKbO0_M5gmuhXZ6-LaxQxgrmJnzgP0"",""'TP# look up'!A:C""),3,0),"""")"),"")</f>
        <v/>
      </c>
      <c r="AH5239" s="49">
        <f>LEFT(J5239,2)</f>
        <v/>
      </c>
    </row>
    <row r="5240" ht="12.75" customHeight="1">
      <c r="H5240" s="43" t="n"/>
      <c r="AG5240" s="49">
        <f>IFERROR(__xludf.DUMMYFUNCTION("IFNA(vlookup(H5240,IMPORTRANGE(""1vUGwO1n0QQGx9kKbO0_M5gmuhXZ6-LaxQxgrmJnzgP0"",""'TP# look up'!A:C""),3,0),"""")"),"")</f>
        <v/>
      </c>
      <c r="AH5240" s="49">
        <f>LEFT(J5240,2)</f>
        <v/>
      </c>
    </row>
    <row r="5241" ht="12.75" customHeight="1">
      <c r="H5241" s="43" t="n"/>
      <c r="AG5241" s="49">
        <f>IFERROR(__xludf.DUMMYFUNCTION("IFNA(vlookup(H5241,IMPORTRANGE(""1vUGwO1n0QQGx9kKbO0_M5gmuhXZ6-LaxQxgrmJnzgP0"",""'TP# look up'!A:C""),3,0),"""")"),"")</f>
        <v/>
      </c>
      <c r="AH5241" s="49">
        <f>LEFT(J5241,2)</f>
        <v/>
      </c>
    </row>
    <row r="5242" ht="12.75" customHeight="1">
      <c r="H5242" s="43" t="n"/>
      <c r="AG5242" s="49">
        <f>IFERROR(__xludf.DUMMYFUNCTION("IFNA(vlookup(H5242,IMPORTRANGE(""1vUGwO1n0QQGx9kKbO0_M5gmuhXZ6-LaxQxgrmJnzgP0"",""'TP# look up'!A:C""),3,0),"""")"),"")</f>
        <v/>
      </c>
      <c r="AH5242" s="49">
        <f>LEFT(J5242,2)</f>
        <v/>
      </c>
    </row>
    <row r="5243" ht="12.75" customHeight="1">
      <c r="H5243" s="43" t="n"/>
      <c r="AG5243" s="49">
        <f>IFERROR(__xludf.DUMMYFUNCTION("IFNA(vlookup(H5243,IMPORTRANGE(""1vUGwO1n0QQGx9kKbO0_M5gmuhXZ6-LaxQxgrmJnzgP0"",""'TP# look up'!A:C""),3,0),"""")"),"")</f>
        <v/>
      </c>
      <c r="AH5243" s="49">
        <f>LEFT(J5243,2)</f>
        <v/>
      </c>
    </row>
    <row r="5244" ht="12.75" customHeight="1">
      <c r="H5244" s="43" t="n"/>
      <c r="AG5244" s="49">
        <f>IFERROR(__xludf.DUMMYFUNCTION("IFNA(vlookup(H5244,IMPORTRANGE(""1vUGwO1n0QQGx9kKbO0_M5gmuhXZ6-LaxQxgrmJnzgP0"",""'TP# look up'!A:C""),3,0),"""")"),"")</f>
        <v/>
      </c>
      <c r="AH5244" s="49">
        <f>LEFT(J5244,2)</f>
        <v/>
      </c>
    </row>
    <row r="5245" ht="12.75" customHeight="1">
      <c r="H5245" s="43" t="n"/>
      <c r="AG5245" s="49">
        <f>IFERROR(__xludf.DUMMYFUNCTION("IFNA(vlookup(H5245,IMPORTRANGE(""1vUGwO1n0QQGx9kKbO0_M5gmuhXZ6-LaxQxgrmJnzgP0"",""'TP# look up'!A:C""),3,0),"""")"),"")</f>
        <v/>
      </c>
      <c r="AH5245" s="49">
        <f>LEFT(J5245,2)</f>
        <v/>
      </c>
    </row>
    <row r="5246" ht="12.75" customHeight="1">
      <c r="H5246" s="43" t="n"/>
      <c r="AG5246" s="49">
        <f>IFERROR(__xludf.DUMMYFUNCTION("IFNA(vlookup(H5246,IMPORTRANGE(""1vUGwO1n0QQGx9kKbO0_M5gmuhXZ6-LaxQxgrmJnzgP0"",""'TP# look up'!A:C""),3,0),"""")"),"")</f>
        <v/>
      </c>
      <c r="AH5246" s="49">
        <f>LEFT(J5246,2)</f>
        <v/>
      </c>
    </row>
    <row r="5247" ht="12.75" customHeight="1">
      <c r="H5247" s="43" t="n"/>
      <c r="AG5247" s="49">
        <f>IFERROR(__xludf.DUMMYFUNCTION("IFNA(vlookup(H5247,IMPORTRANGE(""1vUGwO1n0QQGx9kKbO0_M5gmuhXZ6-LaxQxgrmJnzgP0"",""'TP# look up'!A:C""),3,0),"""")"),"")</f>
        <v/>
      </c>
      <c r="AH5247" s="49">
        <f>LEFT(J5247,2)</f>
        <v/>
      </c>
    </row>
    <row r="5248" ht="12.75" customHeight="1">
      <c r="H5248" s="43" t="n"/>
      <c r="AG5248" s="49">
        <f>IFERROR(__xludf.DUMMYFUNCTION("IFNA(vlookup(H5248,IMPORTRANGE(""1vUGwO1n0QQGx9kKbO0_M5gmuhXZ6-LaxQxgrmJnzgP0"",""'TP# look up'!A:C""),3,0),"""")"),"")</f>
        <v/>
      </c>
      <c r="AH5248" s="49">
        <f>LEFT(J5248,2)</f>
        <v/>
      </c>
    </row>
    <row r="5249" ht="12.75" customHeight="1">
      <c r="H5249" s="43" t="n"/>
      <c r="AG5249" s="49">
        <f>IFERROR(__xludf.DUMMYFUNCTION("IFNA(vlookup(H5249,IMPORTRANGE(""1vUGwO1n0QQGx9kKbO0_M5gmuhXZ6-LaxQxgrmJnzgP0"",""'TP# look up'!A:C""),3,0),"""")"),"")</f>
        <v/>
      </c>
      <c r="AH5249" s="49">
        <f>LEFT(J5249,2)</f>
        <v/>
      </c>
    </row>
    <row r="5250" ht="12.75" customHeight="1">
      <c r="H5250" s="43" t="n"/>
      <c r="AG5250" s="49">
        <f>IFERROR(__xludf.DUMMYFUNCTION("IFNA(vlookup(H5250,IMPORTRANGE(""1vUGwO1n0QQGx9kKbO0_M5gmuhXZ6-LaxQxgrmJnzgP0"",""'TP# look up'!A:C""),3,0),"""")"),"")</f>
        <v/>
      </c>
      <c r="AH5250" s="49">
        <f>LEFT(J5250,2)</f>
        <v/>
      </c>
    </row>
    <row r="5251" ht="12.75" customHeight="1">
      <c r="H5251" s="43" t="n"/>
      <c r="AG5251" s="49">
        <f>IFERROR(__xludf.DUMMYFUNCTION("IFNA(vlookup(H5251,IMPORTRANGE(""1vUGwO1n0QQGx9kKbO0_M5gmuhXZ6-LaxQxgrmJnzgP0"",""'TP# look up'!A:C""),3,0),"""")"),"")</f>
        <v/>
      </c>
      <c r="AH5251" s="49">
        <f>LEFT(J5251,2)</f>
        <v/>
      </c>
    </row>
    <row r="5252" ht="12.75" customHeight="1">
      <c r="H5252" s="43" t="n"/>
      <c r="AG5252" s="49">
        <f>IFERROR(__xludf.DUMMYFUNCTION("IFNA(vlookup(H5252,IMPORTRANGE(""1vUGwO1n0QQGx9kKbO0_M5gmuhXZ6-LaxQxgrmJnzgP0"",""'TP# look up'!A:C""),3,0),"""")"),"")</f>
        <v/>
      </c>
      <c r="AH5252" s="49">
        <f>LEFT(J5252,2)</f>
        <v/>
      </c>
    </row>
    <row r="5253" ht="12.75" customHeight="1">
      <c r="H5253" s="43" t="n"/>
      <c r="AG5253" s="49">
        <f>IFERROR(__xludf.DUMMYFUNCTION("IFNA(vlookup(H5253,IMPORTRANGE(""1vUGwO1n0QQGx9kKbO0_M5gmuhXZ6-LaxQxgrmJnzgP0"",""'TP# look up'!A:C""),3,0),"""")"),"")</f>
        <v/>
      </c>
      <c r="AH5253" s="49">
        <f>LEFT(J5253,2)</f>
        <v/>
      </c>
    </row>
    <row r="5254" ht="12.75" customHeight="1">
      <c r="H5254" s="43" t="n"/>
      <c r="AG5254" s="49">
        <f>IFERROR(__xludf.DUMMYFUNCTION("IFNA(vlookup(H5254,IMPORTRANGE(""1vUGwO1n0QQGx9kKbO0_M5gmuhXZ6-LaxQxgrmJnzgP0"",""'TP# look up'!A:C""),3,0),"""")"),"")</f>
        <v/>
      </c>
      <c r="AH5254" s="49">
        <f>LEFT(J5254,2)</f>
        <v/>
      </c>
    </row>
    <row r="5255" ht="12.75" customHeight="1">
      <c r="H5255" s="43" t="n"/>
      <c r="AG5255" s="49">
        <f>IFERROR(__xludf.DUMMYFUNCTION("IFNA(vlookup(H5255,IMPORTRANGE(""1vUGwO1n0QQGx9kKbO0_M5gmuhXZ6-LaxQxgrmJnzgP0"",""'TP# look up'!A:C""),3,0),"""")"),"")</f>
        <v/>
      </c>
      <c r="AH5255" s="49">
        <f>LEFT(J5255,2)</f>
        <v/>
      </c>
    </row>
    <row r="5256" ht="12.75" customHeight="1">
      <c r="H5256" s="43" t="n"/>
      <c r="AG5256" s="49">
        <f>IFERROR(__xludf.DUMMYFUNCTION("IFNA(vlookup(H5256,IMPORTRANGE(""1vUGwO1n0QQGx9kKbO0_M5gmuhXZ6-LaxQxgrmJnzgP0"",""'TP# look up'!A:C""),3,0),"""")"),"")</f>
        <v/>
      </c>
      <c r="AH5256" s="49">
        <f>LEFT(J5256,2)</f>
        <v/>
      </c>
    </row>
    <row r="5257" ht="12.75" customHeight="1">
      <c r="H5257" s="43" t="n"/>
      <c r="AG5257" s="49">
        <f>IFERROR(__xludf.DUMMYFUNCTION("IFNA(vlookup(H5257,IMPORTRANGE(""1vUGwO1n0QQGx9kKbO0_M5gmuhXZ6-LaxQxgrmJnzgP0"",""'TP# look up'!A:C""),3,0),"""")"),"")</f>
        <v/>
      </c>
      <c r="AH5257" s="49">
        <f>LEFT(J5257,2)</f>
        <v/>
      </c>
    </row>
    <row r="5258" ht="12.75" customHeight="1">
      <c r="H5258" s="43" t="n"/>
      <c r="AG5258" s="49">
        <f>IFERROR(__xludf.DUMMYFUNCTION("IFNA(vlookup(H5258,IMPORTRANGE(""1vUGwO1n0QQGx9kKbO0_M5gmuhXZ6-LaxQxgrmJnzgP0"",""'TP# look up'!A:C""),3,0),"""")"),"")</f>
        <v/>
      </c>
      <c r="AH5258" s="49">
        <f>LEFT(J5258,2)</f>
        <v/>
      </c>
    </row>
    <row r="5259" ht="12.75" customHeight="1">
      <c r="H5259" s="43" t="n"/>
      <c r="AG5259" s="49">
        <f>IFERROR(__xludf.DUMMYFUNCTION("IFNA(vlookup(H5259,IMPORTRANGE(""1vUGwO1n0QQGx9kKbO0_M5gmuhXZ6-LaxQxgrmJnzgP0"",""'TP# look up'!A:C""),3,0),"""")"),"")</f>
        <v/>
      </c>
      <c r="AH5259" s="49">
        <f>LEFT(J5259,2)</f>
        <v/>
      </c>
    </row>
    <row r="5260" ht="12.75" customHeight="1">
      <c r="H5260" s="43" t="n"/>
      <c r="AG5260" s="49">
        <f>IFERROR(__xludf.DUMMYFUNCTION("IFNA(vlookup(H5260,IMPORTRANGE(""1vUGwO1n0QQGx9kKbO0_M5gmuhXZ6-LaxQxgrmJnzgP0"",""'TP# look up'!A:C""),3,0),"""")"),"")</f>
        <v/>
      </c>
      <c r="AH5260" s="49">
        <f>LEFT(J5260,2)</f>
        <v/>
      </c>
    </row>
    <row r="5261" ht="12.75" customHeight="1">
      <c r="H5261" s="43" t="n"/>
      <c r="AG5261" s="49">
        <f>IFERROR(__xludf.DUMMYFUNCTION("IFNA(vlookup(H5261,IMPORTRANGE(""1vUGwO1n0QQGx9kKbO0_M5gmuhXZ6-LaxQxgrmJnzgP0"",""'TP# look up'!A:C""),3,0),"""")"),"")</f>
        <v/>
      </c>
      <c r="AH5261" s="49">
        <f>LEFT(J5261,2)</f>
        <v/>
      </c>
    </row>
    <row r="5262" ht="12.75" customHeight="1">
      <c r="H5262" s="43" t="n"/>
      <c r="AG5262" s="49">
        <f>IFERROR(__xludf.DUMMYFUNCTION("IFNA(vlookup(H5262,IMPORTRANGE(""1vUGwO1n0QQGx9kKbO0_M5gmuhXZ6-LaxQxgrmJnzgP0"",""'TP# look up'!A:C""),3,0),"""")"),"")</f>
        <v/>
      </c>
      <c r="AH5262" s="49">
        <f>LEFT(J5262,2)</f>
        <v/>
      </c>
    </row>
    <row r="5263" ht="12.75" customHeight="1">
      <c r="H5263" s="43" t="n"/>
      <c r="AG5263" s="49">
        <f>IFERROR(__xludf.DUMMYFUNCTION("IFNA(vlookup(H5263,IMPORTRANGE(""1vUGwO1n0QQGx9kKbO0_M5gmuhXZ6-LaxQxgrmJnzgP0"",""'TP# look up'!A:C""),3,0),"""")"),"")</f>
        <v/>
      </c>
      <c r="AH5263" s="49">
        <f>LEFT(J5263,2)</f>
        <v/>
      </c>
    </row>
    <row r="5264" ht="12.75" customHeight="1">
      <c r="H5264" s="43" t="n"/>
      <c r="AG5264" s="49">
        <f>IFERROR(__xludf.DUMMYFUNCTION("IFNA(vlookup(H5264,IMPORTRANGE(""1vUGwO1n0QQGx9kKbO0_M5gmuhXZ6-LaxQxgrmJnzgP0"",""'TP# look up'!A:C""),3,0),"""")"),"")</f>
        <v/>
      </c>
      <c r="AH5264" s="49">
        <f>LEFT(J5264,2)</f>
        <v/>
      </c>
    </row>
    <row r="5265" ht="12.75" customHeight="1">
      <c r="H5265" s="43" t="n"/>
      <c r="AG5265" s="49">
        <f>IFERROR(__xludf.DUMMYFUNCTION("IFNA(vlookup(H5265,IMPORTRANGE(""1vUGwO1n0QQGx9kKbO0_M5gmuhXZ6-LaxQxgrmJnzgP0"",""'TP# look up'!A:C""),3,0),"""")"),"")</f>
        <v/>
      </c>
      <c r="AH5265" s="49">
        <f>LEFT(J5265,2)</f>
        <v/>
      </c>
    </row>
    <row r="5266" ht="12.75" customHeight="1">
      <c r="H5266" s="43" t="n"/>
      <c r="AG5266" s="49">
        <f>IFERROR(__xludf.DUMMYFUNCTION("IFNA(vlookup(H5266,IMPORTRANGE(""1vUGwO1n0QQGx9kKbO0_M5gmuhXZ6-LaxQxgrmJnzgP0"",""'TP# look up'!A:C""),3,0),"""")"),"")</f>
        <v/>
      </c>
      <c r="AH5266" s="49">
        <f>LEFT(J5266,2)</f>
        <v/>
      </c>
    </row>
    <row r="5267" ht="12.75" customHeight="1">
      <c r="H5267" s="43" t="n"/>
      <c r="AG5267" s="49">
        <f>IFERROR(__xludf.DUMMYFUNCTION("IFNA(vlookup(H5267,IMPORTRANGE(""1vUGwO1n0QQGx9kKbO0_M5gmuhXZ6-LaxQxgrmJnzgP0"",""'TP# look up'!A:C""),3,0),"""")"),"")</f>
        <v/>
      </c>
      <c r="AH5267" s="49">
        <f>LEFT(J5267,2)</f>
        <v/>
      </c>
    </row>
    <row r="5268" ht="12.75" customHeight="1">
      <c r="H5268" s="43" t="n"/>
      <c r="AG5268" s="49">
        <f>IFERROR(__xludf.DUMMYFUNCTION("IFNA(vlookup(H5268,IMPORTRANGE(""1vUGwO1n0QQGx9kKbO0_M5gmuhXZ6-LaxQxgrmJnzgP0"",""'TP# look up'!A:C""),3,0),"""")"),"")</f>
        <v/>
      </c>
      <c r="AH5268" s="49">
        <f>LEFT(J5268,2)</f>
        <v/>
      </c>
    </row>
    <row r="5269" ht="12.75" customHeight="1">
      <c r="H5269" s="43" t="n"/>
      <c r="AG5269" s="49">
        <f>IFERROR(__xludf.DUMMYFUNCTION("IFNA(vlookup(H5269,IMPORTRANGE(""1vUGwO1n0QQGx9kKbO0_M5gmuhXZ6-LaxQxgrmJnzgP0"",""'TP# look up'!A:C""),3,0),"""")"),"")</f>
        <v/>
      </c>
      <c r="AH5269" s="49">
        <f>LEFT(J5269,2)</f>
        <v/>
      </c>
    </row>
    <row r="5270" ht="12.75" customHeight="1">
      <c r="H5270" s="43" t="n"/>
      <c r="AG5270" s="49">
        <f>IFERROR(__xludf.DUMMYFUNCTION("IFNA(vlookup(H5270,IMPORTRANGE(""1vUGwO1n0QQGx9kKbO0_M5gmuhXZ6-LaxQxgrmJnzgP0"",""'TP# look up'!A:C""),3,0),"""")"),"")</f>
        <v/>
      </c>
      <c r="AH5270" s="49">
        <f>LEFT(J5270,2)</f>
        <v/>
      </c>
    </row>
    <row r="5271" ht="12.75" customHeight="1">
      <c r="H5271" s="43" t="n"/>
      <c r="AG5271" s="49">
        <f>IFERROR(__xludf.DUMMYFUNCTION("IFNA(vlookup(H5271,IMPORTRANGE(""1vUGwO1n0QQGx9kKbO0_M5gmuhXZ6-LaxQxgrmJnzgP0"",""'TP# look up'!A:C""),3,0),"""")"),"")</f>
        <v/>
      </c>
      <c r="AH5271" s="49">
        <f>LEFT(J5271,2)</f>
        <v/>
      </c>
    </row>
    <row r="5272" ht="12.75" customHeight="1">
      <c r="H5272" s="43" t="n"/>
      <c r="AG5272" s="49">
        <f>IFERROR(__xludf.DUMMYFUNCTION("IFNA(vlookup(H5272,IMPORTRANGE(""1vUGwO1n0QQGx9kKbO0_M5gmuhXZ6-LaxQxgrmJnzgP0"",""'TP# look up'!A:C""),3,0),"""")"),"")</f>
        <v/>
      </c>
      <c r="AH5272" s="49">
        <f>LEFT(J5272,2)</f>
        <v/>
      </c>
    </row>
    <row r="5273" ht="12.75" customHeight="1">
      <c r="H5273" s="43" t="n"/>
      <c r="AG5273" s="49">
        <f>IFERROR(__xludf.DUMMYFUNCTION("IFNA(vlookup(H5273,IMPORTRANGE(""1vUGwO1n0QQGx9kKbO0_M5gmuhXZ6-LaxQxgrmJnzgP0"",""'TP# look up'!A:C""),3,0),"""")"),"")</f>
        <v/>
      </c>
      <c r="AH5273" s="49">
        <f>LEFT(J5273,2)</f>
        <v/>
      </c>
    </row>
    <row r="5274" ht="12.75" customHeight="1">
      <c r="H5274" s="43" t="n"/>
      <c r="AG5274" s="49">
        <f>IFERROR(__xludf.DUMMYFUNCTION("IFNA(vlookup(H5274,IMPORTRANGE(""1vUGwO1n0QQGx9kKbO0_M5gmuhXZ6-LaxQxgrmJnzgP0"",""'TP# look up'!A:C""),3,0),"""")"),"")</f>
        <v/>
      </c>
      <c r="AH5274" s="49">
        <f>LEFT(J5274,2)</f>
        <v/>
      </c>
    </row>
    <row r="5275" ht="12.75" customHeight="1">
      <c r="H5275" s="43" t="n"/>
      <c r="AG5275" s="49">
        <f>IFERROR(__xludf.DUMMYFUNCTION("IFNA(vlookup(H5275,IMPORTRANGE(""1vUGwO1n0QQGx9kKbO0_M5gmuhXZ6-LaxQxgrmJnzgP0"",""'TP# look up'!A:C""),3,0),"""")"),"")</f>
        <v/>
      </c>
      <c r="AH5275" s="49">
        <f>LEFT(J5275,2)</f>
        <v/>
      </c>
    </row>
    <row r="5276" ht="12.75" customHeight="1">
      <c r="H5276" s="43" t="n"/>
      <c r="AG5276" s="49">
        <f>IFERROR(__xludf.DUMMYFUNCTION("IFNA(vlookup(H5276,IMPORTRANGE(""1vUGwO1n0QQGx9kKbO0_M5gmuhXZ6-LaxQxgrmJnzgP0"",""'TP# look up'!A:C""),3,0),"""")"),"")</f>
        <v/>
      </c>
      <c r="AH5276" s="49">
        <f>LEFT(J5276,2)</f>
        <v/>
      </c>
    </row>
    <row r="5277" ht="12.75" customHeight="1">
      <c r="H5277" s="43" t="n"/>
      <c r="AG5277" s="49">
        <f>IFERROR(__xludf.DUMMYFUNCTION("IFNA(vlookup(H5277,IMPORTRANGE(""1vUGwO1n0QQGx9kKbO0_M5gmuhXZ6-LaxQxgrmJnzgP0"",""'TP# look up'!A:C""),3,0),"""")"),"")</f>
        <v/>
      </c>
      <c r="AH5277" s="49">
        <f>LEFT(J5277,2)</f>
        <v/>
      </c>
    </row>
    <row r="5278" ht="12.75" customHeight="1">
      <c r="H5278" s="43" t="n"/>
      <c r="AG5278" s="49">
        <f>IFERROR(__xludf.DUMMYFUNCTION("IFNA(vlookup(H5278,IMPORTRANGE(""1vUGwO1n0QQGx9kKbO0_M5gmuhXZ6-LaxQxgrmJnzgP0"",""'TP# look up'!A:C""),3,0),"""")"),"")</f>
        <v/>
      </c>
      <c r="AH5278" s="49">
        <f>LEFT(J5278,2)</f>
        <v/>
      </c>
    </row>
    <row r="5279" ht="12.75" customHeight="1">
      <c r="H5279" s="43" t="n"/>
      <c r="AG5279" s="49">
        <f>IFERROR(__xludf.DUMMYFUNCTION("IFNA(vlookup(H5279,IMPORTRANGE(""1vUGwO1n0QQGx9kKbO0_M5gmuhXZ6-LaxQxgrmJnzgP0"",""'TP# look up'!A:C""),3,0),"""")"),"")</f>
        <v/>
      </c>
      <c r="AH5279" s="49">
        <f>LEFT(J5279,2)</f>
        <v/>
      </c>
    </row>
    <row r="5280" ht="12.75" customHeight="1">
      <c r="H5280" s="43" t="n"/>
      <c r="AG5280" s="49">
        <f>IFERROR(__xludf.DUMMYFUNCTION("IFNA(vlookup(H5280,IMPORTRANGE(""1vUGwO1n0QQGx9kKbO0_M5gmuhXZ6-LaxQxgrmJnzgP0"",""'TP# look up'!A:C""),3,0),"""")"),"")</f>
        <v/>
      </c>
      <c r="AH5280" s="49">
        <f>LEFT(J5280,2)</f>
        <v/>
      </c>
    </row>
    <row r="5281" ht="12.75" customHeight="1">
      <c r="H5281" s="43" t="n"/>
      <c r="AG5281" s="49">
        <f>IFERROR(__xludf.DUMMYFUNCTION("IFNA(vlookup(H5281,IMPORTRANGE(""1vUGwO1n0QQGx9kKbO0_M5gmuhXZ6-LaxQxgrmJnzgP0"",""'TP# look up'!A:C""),3,0),"""")"),"")</f>
        <v/>
      </c>
      <c r="AH5281" s="49">
        <f>LEFT(J5281,2)</f>
        <v/>
      </c>
    </row>
    <row r="5282" ht="12.75" customHeight="1">
      <c r="H5282" s="43" t="n"/>
      <c r="AG5282" s="49">
        <f>IFERROR(__xludf.DUMMYFUNCTION("IFNA(vlookup(H5282,IMPORTRANGE(""1vUGwO1n0QQGx9kKbO0_M5gmuhXZ6-LaxQxgrmJnzgP0"",""'TP# look up'!A:C""),3,0),"""")"),"")</f>
        <v/>
      </c>
      <c r="AH5282" s="49">
        <f>LEFT(J5282,2)</f>
        <v/>
      </c>
    </row>
    <row r="5283" ht="12.75" customHeight="1">
      <c r="H5283" s="43" t="n"/>
      <c r="AG5283" s="49">
        <f>IFERROR(__xludf.DUMMYFUNCTION("IFNA(vlookup(H5283,IMPORTRANGE(""1vUGwO1n0QQGx9kKbO0_M5gmuhXZ6-LaxQxgrmJnzgP0"",""'TP# look up'!A:C""),3,0),"""")"),"")</f>
        <v/>
      </c>
      <c r="AH5283" s="49">
        <f>LEFT(J5283,2)</f>
        <v/>
      </c>
    </row>
    <row r="5284" ht="12.75" customHeight="1">
      <c r="H5284" s="43" t="n"/>
      <c r="AG5284" s="49">
        <f>IFERROR(__xludf.DUMMYFUNCTION("IFNA(vlookup(H5284,IMPORTRANGE(""1vUGwO1n0QQGx9kKbO0_M5gmuhXZ6-LaxQxgrmJnzgP0"",""'TP# look up'!A:C""),3,0),"""")"),"")</f>
        <v/>
      </c>
      <c r="AH5284" s="49">
        <f>LEFT(J5284,2)</f>
        <v/>
      </c>
    </row>
    <row r="5285" ht="12.75" customHeight="1">
      <c r="H5285" s="43" t="n"/>
      <c r="AG5285" s="49">
        <f>IFERROR(__xludf.DUMMYFUNCTION("IFNA(vlookup(H5285,IMPORTRANGE(""1vUGwO1n0QQGx9kKbO0_M5gmuhXZ6-LaxQxgrmJnzgP0"",""'TP# look up'!A:C""),3,0),"""")"),"")</f>
        <v/>
      </c>
      <c r="AH5285" s="49">
        <f>LEFT(J5285,2)</f>
        <v/>
      </c>
    </row>
    <row r="5286" ht="12.75" customHeight="1">
      <c r="H5286" s="43" t="n"/>
      <c r="AG5286" s="49">
        <f>IFERROR(__xludf.DUMMYFUNCTION("IFNA(vlookup(H5286,IMPORTRANGE(""1vUGwO1n0QQGx9kKbO0_M5gmuhXZ6-LaxQxgrmJnzgP0"",""'TP# look up'!A:C""),3,0),"""")"),"")</f>
        <v/>
      </c>
      <c r="AH5286" s="49">
        <f>LEFT(J5286,2)</f>
        <v/>
      </c>
    </row>
    <row r="5287" ht="12.75" customHeight="1">
      <c r="H5287" s="43" t="n"/>
      <c r="AG5287" s="49">
        <f>IFERROR(__xludf.DUMMYFUNCTION("IFNA(vlookup(H5287,IMPORTRANGE(""1vUGwO1n0QQGx9kKbO0_M5gmuhXZ6-LaxQxgrmJnzgP0"",""'TP# look up'!A:C""),3,0),"""")"),"")</f>
        <v/>
      </c>
      <c r="AH5287" s="49">
        <f>LEFT(J5287,2)</f>
        <v/>
      </c>
    </row>
    <row r="5288" ht="12.75" customHeight="1">
      <c r="H5288" s="43" t="n"/>
      <c r="AG5288" s="49">
        <f>IFERROR(__xludf.DUMMYFUNCTION("IFNA(vlookup(H5288,IMPORTRANGE(""1vUGwO1n0QQGx9kKbO0_M5gmuhXZ6-LaxQxgrmJnzgP0"",""'TP# look up'!A:C""),3,0),"""")"),"")</f>
        <v/>
      </c>
      <c r="AH5288" s="49">
        <f>LEFT(J5288,2)</f>
        <v/>
      </c>
    </row>
    <row r="5289" ht="12.75" customHeight="1">
      <c r="H5289" s="43" t="n"/>
      <c r="AG5289" s="49">
        <f>IFERROR(__xludf.DUMMYFUNCTION("IFNA(vlookup(H5289,IMPORTRANGE(""1vUGwO1n0QQGx9kKbO0_M5gmuhXZ6-LaxQxgrmJnzgP0"",""'TP# look up'!A:C""),3,0),"""")"),"")</f>
        <v/>
      </c>
      <c r="AH5289" s="49">
        <f>LEFT(J5289,2)</f>
        <v/>
      </c>
    </row>
    <row r="5290" ht="12.75" customHeight="1">
      <c r="H5290" s="43" t="n"/>
      <c r="AG5290" s="49">
        <f>IFERROR(__xludf.DUMMYFUNCTION("IFNA(vlookup(H5290,IMPORTRANGE(""1vUGwO1n0QQGx9kKbO0_M5gmuhXZ6-LaxQxgrmJnzgP0"",""'TP# look up'!A:C""),3,0),"""")"),"")</f>
        <v/>
      </c>
      <c r="AH5290" s="49">
        <f>LEFT(J5290,2)</f>
        <v/>
      </c>
    </row>
    <row r="5291" ht="12.75" customHeight="1">
      <c r="H5291" s="43" t="n"/>
      <c r="AG5291" s="49">
        <f>IFERROR(__xludf.DUMMYFUNCTION("IFNA(vlookup(H5291,IMPORTRANGE(""1vUGwO1n0QQGx9kKbO0_M5gmuhXZ6-LaxQxgrmJnzgP0"",""'TP# look up'!A:C""),3,0),"""")"),"")</f>
        <v/>
      </c>
      <c r="AH5291" s="49">
        <f>LEFT(J5291,2)</f>
        <v/>
      </c>
    </row>
    <row r="5292" ht="12.75" customHeight="1">
      <c r="H5292" s="43" t="n"/>
      <c r="AG5292" s="49">
        <f>IFERROR(__xludf.DUMMYFUNCTION("IFNA(vlookup(H5292,IMPORTRANGE(""1vUGwO1n0QQGx9kKbO0_M5gmuhXZ6-LaxQxgrmJnzgP0"",""'TP# look up'!A:C""),3,0),"""")"),"")</f>
        <v/>
      </c>
      <c r="AH5292" s="49">
        <f>LEFT(J5292,2)</f>
        <v/>
      </c>
    </row>
    <row r="5293" ht="12.75" customHeight="1">
      <c r="H5293" s="43" t="n"/>
      <c r="AG5293" s="49">
        <f>IFERROR(__xludf.DUMMYFUNCTION("IFNA(vlookup(H5293,IMPORTRANGE(""1vUGwO1n0QQGx9kKbO0_M5gmuhXZ6-LaxQxgrmJnzgP0"",""'TP# look up'!A:C""),3,0),"""")"),"")</f>
        <v/>
      </c>
      <c r="AH5293" s="49">
        <f>LEFT(J5293,2)</f>
        <v/>
      </c>
    </row>
    <row r="5294" ht="12.75" customHeight="1">
      <c r="H5294" s="43" t="n"/>
      <c r="AG5294" s="49">
        <f>IFERROR(__xludf.DUMMYFUNCTION("IFNA(vlookup(H5294,IMPORTRANGE(""1vUGwO1n0QQGx9kKbO0_M5gmuhXZ6-LaxQxgrmJnzgP0"",""'TP# look up'!A:C""),3,0),"""")"),"")</f>
        <v/>
      </c>
      <c r="AH5294" s="49">
        <f>LEFT(J5294,2)</f>
        <v/>
      </c>
    </row>
    <row r="5295" ht="12.75" customHeight="1">
      <c r="H5295" s="43" t="n"/>
      <c r="AG5295" s="49">
        <f>IFERROR(__xludf.DUMMYFUNCTION("IFNA(vlookup(H5295,IMPORTRANGE(""1vUGwO1n0QQGx9kKbO0_M5gmuhXZ6-LaxQxgrmJnzgP0"",""'TP# look up'!A:C""),3,0),"""")"),"")</f>
        <v/>
      </c>
      <c r="AH5295" s="49">
        <f>LEFT(J5295,2)</f>
        <v/>
      </c>
    </row>
    <row r="5296" ht="12.75" customHeight="1">
      <c r="H5296" s="43" t="n"/>
      <c r="AG5296" s="49">
        <f>IFERROR(__xludf.DUMMYFUNCTION("IFNA(vlookup(H5296,IMPORTRANGE(""1vUGwO1n0QQGx9kKbO0_M5gmuhXZ6-LaxQxgrmJnzgP0"",""'TP# look up'!A:C""),3,0),"""")"),"")</f>
        <v/>
      </c>
      <c r="AH5296" s="49">
        <f>LEFT(J5296,2)</f>
        <v/>
      </c>
    </row>
    <row r="5297" ht="12.75" customHeight="1">
      <c r="H5297" s="43" t="n"/>
      <c r="AG5297" s="49">
        <f>IFERROR(__xludf.DUMMYFUNCTION("IFNA(vlookup(H5297,IMPORTRANGE(""1vUGwO1n0QQGx9kKbO0_M5gmuhXZ6-LaxQxgrmJnzgP0"",""'TP# look up'!A:C""),3,0),"""")"),"")</f>
        <v/>
      </c>
      <c r="AH5297" s="49">
        <f>LEFT(J5297,2)</f>
        <v/>
      </c>
    </row>
    <row r="5298" ht="12.75" customHeight="1">
      <c r="H5298" s="43" t="n"/>
      <c r="AG5298" s="49">
        <f>IFERROR(__xludf.DUMMYFUNCTION("IFNA(vlookup(H5298,IMPORTRANGE(""1vUGwO1n0QQGx9kKbO0_M5gmuhXZ6-LaxQxgrmJnzgP0"",""'TP# look up'!A:C""),3,0),"""")"),"")</f>
        <v/>
      </c>
      <c r="AH5298" s="49">
        <f>LEFT(J5298,2)</f>
        <v/>
      </c>
    </row>
    <row r="5299" ht="12.75" customHeight="1">
      <c r="H5299" s="43" t="n"/>
      <c r="AG5299" s="49">
        <f>IFERROR(__xludf.DUMMYFUNCTION("IFNA(vlookup(H5299,IMPORTRANGE(""1vUGwO1n0QQGx9kKbO0_M5gmuhXZ6-LaxQxgrmJnzgP0"",""'TP# look up'!A:C""),3,0),"""")"),"")</f>
        <v/>
      </c>
      <c r="AH5299" s="49">
        <f>LEFT(J5299,2)</f>
        <v/>
      </c>
    </row>
    <row r="5300" ht="12.75" customHeight="1">
      <c r="H5300" s="43" t="n"/>
      <c r="AG5300" s="49">
        <f>IFERROR(__xludf.DUMMYFUNCTION("IFNA(vlookup(H5300,IMPORTRANGE(""1vUGwO1n0QQGx9kKbO0_M5gmuhXZ6-LaxQxgrmJnzgP0"",""'TP# look up'!A:C""),3,0),"""")"),"")</f>
        <v/>
      </c>
      <c r="AH5300" s="49">
        <f>LEFT(J5300,2)</f>
        <v/>
      </c>
    </row>
    <row r="5301" ht="12.75" customHeight="1">
      <c r="H5301" s="43" t="n"/>
      <c r="AG5301" s="49">
        <f>IFERROR(__xludf.DUMMYFUNCTION("IFNA(vlookup(H5301,IMPORTRANGE(""1vUGwO1n0QQGx9kKbO0_M5gmuhXZ6-LaxQxgrmJnzgP0"",""'TP# look up'!A:C""),3,0),"""")"),"")</f>
        <v/>
      </c>
      <c r="AH5301" s="49">
        <f>LEFT(J5301,2)</f>
        <v/>
      </c>
    </row>
    <row r="5302" ht="12.75" customHeight="1">
      <c r="H5302" s="43" t="n"/>
      <c r="AG5302" s="49">
        <f>IFERROR(__xludf.DUMMYFUNCTION("IFNA(vlookup(H5302,IMPORTRANGE(""1vUGwO1n0QQGx9kKbO0_M5gmuhXZ6-LaxQxgrmJnzgP0"",""'TP# look up'!A:C""),3,0),"""")"),"")</f>
        <v/>
      </c>
      <c r="AH5302" s="49">
        <f>LEFT(J5302,2)</f>
        <v/>
      </c>
    </row>
    <row r="5303" ht="12.75" customHeight="1">
      <c r="H5303" s="43" t="n"/>
      <c r="AG5303" s="49">
        <f>IFERROR(__xludf.DUMMYFUNCTION("IFNA(vlookup(H5303,IMPORTRANGE(""1vUGwO1n0QQGx9kKbO0_M5gmuhXZ6-LaxQxgrmJnzgP0"",""'TP# look up'!A:C""),3,0),"""")"),"")</f>
        <v/>
      </c>
      <c r="AH5303" s="49">
        <f>LEFT(J5303,2)</f>
        <v/>
      </c>
    </row>
    <row r="5304" ht="12.75" customHeight="1">
      <c r="H5304" s="43" t="n"/>
      <c r="AG5304" s="49">
        <f>IFERROR(__xludf.DUMMYFUNCTION("IFNA(vlookup(H5304,IMPORTRANGE(""1vUGwO1n0QQGx9kKbO0_M5gmuhXZ6-LaxQxgrmJnzgP0"",""'TP# look up'!A:C""),3,0),"""")"),"")</f>
        <v/>
      </c>
      <c r="AH5304" s="49">
        <f>LEFT(J5304,2)</f>
        <v/>
      </c>
    </row>
    <row r="5305" ht="12.75" customHeight="1">
      <c r="H5305" s="43" t="n"/>
      <c r="AG5305" s="49">
        <f>IFERROR(__xludf.DUMMYFUNCTION("IFNA(vlookup(H5305,IMPORTRANGE(""1vUGwO1n0QQGx9kKbO0_M5gmuhXZ6-LaxQxgrmJnzgP0"",""'TP# look up'!A:C""),3,0),"""")"),"")</f>
        <v/>
      </c>
      <c r="AH5305" s="49">
        <f>LEFT(J5305,2)</f>
        <v/>
      </c>
    </row>
    <row r="5306" ht="12.75" customHeight="1">
      <c r="H5306" s="43" t="n"/>
      <c r="AG5306" s="49">
        <f>IFERROR(__xludf.DUMMYFUNCTION("IFNA(vlookup(H5306,IMPORTRANGE(""1vUGwO1n0QQGx9kKbO0_M5gmuhXZ6-LaxQxgrmJnzgP0"",""'TP# look up'!A:C""),3,0),"""")"),"")</f>
        <v/>
      </c>
      <c r="AH5306" s="49">
        <f>LEFT(J5306,2)</f>
        <v/>
      </c>
    </row>
    <row r="5307" ht="12.75" customHeight="1">
      <c r="H5307" s="43" t="n"/>
      <c r="AG5307" s="49">
        <f>IFERROR(__xludf.DUMMYFUNCTION("IFNA(vlookup(H5307,IMPORTRANGE(""1vUGwO1n0QQGx9kKbO0_M5gmuhXZ6-LaxQxgrmJnzgP0"",""'TP# look up'!A:C""),3,0),"""")"),"")</f>
        <v/>
      </c>
      <c r="AH5307" s="49">
        <f>LEFT(J5307,2)</f>
        <v/>
      </c>
    </row>
    <row r="5308" ht="12.75" customHeight="1">
      <c r="H5308" s="43" t="n"/>
      <c r="AG5308" s="49">
        <f>IFERROR(__xludf.DUMMYFUNCTION("IFNA(vlookup(H5308,IMPORTRANGE(""1vUGwO1n0QQGx9kKbO0_M5gmuhXZ6-LaxQxgrmJnzgP0"",""'TP# look up'!A:C""),3,0),"""")"),"")</f>
        <v/>
      </c>
      <c r="AH5308" s="49">
        <f>LEFT(J5308,2)</f>
        <v/>
      </c>
    </row>
    <row r="5309" ht="12.75" customHeight="1">
      <c r="H5309" s="43" t="n"/>
      <c r="AG5309" s="49">
        <f>IFERROR(__xludf.DUMMYFUNCTION("IFNA(vlookup(H5309,IMPORTRANGE(""1vUGwO1n0QQGx9kKbO0_M5gmuhXZ6-LaxQxgrmJnzgP0"",""'TP# look up'!A:C""),3,0),"""")"),"")</f>
        <v/>
      </c>
      <c r="AH5309" s="49">
        <f>LEFT(J5309,2)</f>
        <v/>
      </c>
    </row>
    <row r="5310" ht="12.75" customHeight="1">
      <c r="H5310" s="43" t="n"/>
      <c r="AG5310" s="49">
        <f>IFERROR(__xludf.DUMMYFUNCTION("IFNA(vlookup(H5310,IMPORTRANGE(""1vUGwO1n0QQGx9kKbO0_M5gmuhXZ6-LaxQxgrmJnzgP0"",""'TP# look up'!A:C""),3,0),"""")"),"")</f>
        <v/>
      </c>
      <c r="AH5310" s="49">
        <f>LEFT(J5310,2)</f>
        <v/>
      </c>
    </row>
    <row r="5311" ht="12.75" customHeight="1">
      <c r="H5311" s="43" t="n"/>
      <c r="AG5311" s="49">
        <f>IFERROR(__xludf.DUMMYFUNCTION("IFNA(vlookup(H5311,IMPORTRANGE(""1vUGwO1n0QQGx9kKbO0_M5gmuhXZ6-LaxQxgrmJnzgP0"",""'TP# look up'!A:C""),3,0),"""")"),"")</f>
        <v/>
      </c>
      <c r="AH5311" s="49">
        <f>LEFT(J5311,2)</f>
        <v/>
      </c>
    </row>
    <row r="5312" ht="12.75" customHeight="1">
      <c r="H5312" s="43" t="n"/>
      <c r="AG5312" s="49">
        <f>IFERROR(__xludf.DUMMYFUNCTION("IFNA(vlookup(H5312,IMPORTRANGE(""1vUGwO1n0QQGx9kKbO0_M5gmuhXZ6-LaxQxgrmJnzgP0"",""'TP# look up'!A:C""),3,0),"""")"),"")</f>
        <v/>
      </c>
      <c r="AH5312" s="49">
        <f>LEFT(J5312,2)</f>
        <v/>
      </c>
    </row>
    <row r="5313" ht="12.75" customHeight="1">
      <c r="H5313" s="43" t="n"/>
      <c r="AG5313" s="49">
        <f>IFERROR(__xludf.DUMMYFUNCTION("IFNA(vlookup(H5313,IMPORTRANGE(""1vUGwO1n0QQGx9kKbO0_M5gmuhXZ6-LaxQxgrmJnzgP0"",""'TP# look up'!A:C""),3,0),"""")"),"")</f>
        <v/>
      </c>
      <c r="AH5313" s="49">
        <f>LEFT(J5313,2)</f>
        <v/>
      </c>
    </row>
    <row r="5314" ht="12.75" customHeight="1">
      <c r="H5314" s="43" t="n"/>
      <c r="AG5314" s="49">
        <f>IFERROR(__xludf.DUMMYFUNCTION("IFNA(vlookup(H5314,IMPORTRANGE(""1vUGwO1n0QQGx9kKbO0_M5gmuhXZ6-LaxQxgrmJnzgP0"",""'TP# look up'!A:C""),3,0),"""")"),"")</f>
        <v/>
      </c>
      <c r="AH5314" s="49">
        <f>LEFT(J5314,2)</f>
        <v/>
      </c>
    </row>
    <row r="5315" ht="12.75" customHeight="1">
      <c r="H5315" s="43" t="n"/>
      <c r="AG5315" s="49">
        <f>IFERROR(__xludf.DUMMYFUNCTION("IFNA(vlookup(H5315,IMPORTRANGE(""1vUGwO1n0QQGx9kKbO0_M5gmuhXZ6-LaxQxgrmJnzgP0"",""'TP# look up'!A:C""),3,0),"""")"),"")</f>
        <v/>
      </c>
      <c r="AH5315" s="49">
        <f>LEFT(J5315,2)</f>
        <v/>
      </c>
    </row>
    <row r="5316" ht="12.75" customHeight="1">
      <c r="H5316" s="43" t="n"/>
      <c r="AG5316" s="49">
        <f>IFERROR(__xludf.DUMMYFUNCTION("IFNA(vlookup(H5316,IMPORTRANGE(""1vUGwO1n0QQGx9kKbO0_M5gmuhXZ6-LaxQxgrmJnzgP0"",""'TP# look up'!A:C""),3,0),"""")"),"")</f>
        <v/>
      </c>
      <c r="AH5316" s="49">
        <f>LEFT(J5316,2)</f>
        <v/>
      </c>
    </row>
    <row r="5317" ht="12.75" customHeight="1">
      <c r="H5317" s="43" t="n"/>
      <c r="AG5317" s="49">
        <f>IFERROR(__xludf.DUMMYFUNCTION("IFNA(vlookup(H5317,IMPORTRANGE(""1vUGwO1n0QQGx9kKbO0_M5gmuhXZ6-LaxQxgrmJnzgP0"",""'TP# look up'!A:C""),3,0),"""")"),"")</f>
        <v/>
      </c>
      <c r="AH5317" s="49">
        <f>LEFT(J5317,2)</f>
        <v/>
      </c>
    </row>
    <row r="5318" ht="12.75" customHeight="1">
      <c r="H5318" s="43" t="n"/>
      <c r="AG5318" s="49">
        <f>IFERROR(__xludf.DUMMYFUNCTION("IFNA(vlookup(H5318,IMPORTRANGE(""1vUGwO1n0QQGx9kKbO0_M5gmuhXZ6-LaxQxgrmJnzgP0"",""'TP# look up'!A:C""),3,0),"""")"),"")</f>
        <v/>
      </c>
      <c r="AH5318" s="49">
        <f>LEFT(J5318,2)</f>
        <v/>
      </c>
    </row>
    <row r="5319" ht="12.75" customHeight="1">
      <c r="H5319" s="43" t="n"/>
      <c r="AG5319" s="49">
        <f>IFERROR(__xludf.DUMMYFUNCTION("IFNA(vlookup(H5319,IMPORTRANGE(""1vUGwO1n0QQGx9kKbO0_M5gmuhXZ6-LaxQxgrmJnzgP0"",""'TP# look up'!A:C""),3,0),"""")"),"")</f>
        <v/>
      </c>
      <c r="AH5319" s="49">
        <f>LEFT(J5319,2)</f>
        <v/>
      </c>
    </row>
    <row r="5320" ht="12.75" customHeight="1">
      <c r="H5320" s="43" t="n"/>
      <c r="AG5320" s="49">
        <f>IFERROR(__xludf.DUMMYFUNCTION("IFNA(vlookup(H5320,IMPORTRANGE(""1vUGwO1n0QQGx9kKbO0_M5gmuhXZ6-LaxQxgrmJnzgP0"",""'TP# look up'!A:C""),3,0),"""")"),"")</f>
        <v/>
      </c>
      <c r="AH5320" s="49">
        <f>LEFT(J5320,2)</f>
        <v/>
      </c>
    </row>
    <row r="5321" ht="12.75" customHeight="1">
      <c r="H5321" s="43" t="n"/>
      <c r="AG5321" s="49">
        <f>IFERROR(__xludf.DUMMYFUNCTION("IFNA(vlookup(H5321,IMPORTRANGE(""1vUGwO1n0QQGx9kKbO0_M5gmuhXZ6-LaxQxgrmJnzgP0"",""'TP# look up'!A:C""),3,0),"""")"),"")</f>
        <v/>
      </c>
      <c r="AH5321" s="49">
        <f>LEFT(J5321,2)</f>
        <v/>
      </c>
    </row>
    <row r="5322" ht="12.75" customHeight="1">
      <c r="H5322" s="43" t="n"/>
      <c r="AG5322" s="49">
        <f>IFERROR(__xludf.DUMMYFUNCTION("IFNA(vlookup(H5322,IMPORTRANGE(""1vUGwO1n0QQGx9kKbO0_M5gmuhXZ6-LaxQxgrmJnzgP0"",""'TP# look up'!A:C""),3,0),"""")"),"")</f>
        <v/>
      </c>
      <c r="AH5322" s="49">
        <f>LEFT(J5322,2)</f>
        <v/>
      </c>
    </row>
    <row r="5323" ht="12.75" customHeight="1">
      <c r="H5323" s="43" t="n"/>
      <c r="AG5323" s="49">
        <f>IFERROR(__xludf.DUMMYFUNCTION("IFNA(vlookup(H5323,IMPORTRANGE(""1vUGwO1n0QQGx9kKbO0_M5gmuhXZ6-LaxQxgrmJnzgP0"",""'TP# look up'!A:C""),3,0),"""")"),"")</f>
        <v/>
      </c>
      <c r="AH5323" s="49">
        <f>LEFT(J5323,2)</f>
        <v/>
      </c>
    </row>
    <row r="5324" ht="12.75" customHeight="1">
      <c r="H5324" s="43" t="n"/>
      <c r="AG5324" s="49">
        <f>IFERROR(__xludf.DUMMYFUNCTION("IFNA(vlookup(H5324,IMPORTRANGE(""1vUGwO1n0QQGx9kKbO0_M5gmuhXZ6-LaxQxgrmJnzgP0"",""'TP# look up'!A:C""),3,0),"""")"),"")</f>
        <v/>
      </c>
      <c r="AH5324" s="49">
        <f>LEFT(J5324,2)</f>
        <v/>
      </c>
    </row>
    <row r="5325" ht="12.75" customHeight="1">
      <c r="H5325" s="43" t="n"/>
      <c r="AG5325" s="49">
        <f>IFERROR(__xludf.DUMMYFUNCTION("IFNA(vlookup(H5325,IMPORTRANGE(""1vUGwO1n0QQGx9kKbO0_M5gmuhXZ6-LaxQxgrmJnzgP0"",""'TP# look up'!A:C""),3,0),"""")"),"")</f>
        <v/>
      </c>
      <c r="AH5325" s="49">
        <f>LEFT(J5325,2)</f>
        <v/>
      </c>
    </row>
    <row r="5326" ht="12.75" customHeight="1">
      <c r="H5326" s="43" t="n"/>
      <c r="AG5326" s="49">
        <f>IFERROR(__xludf.DUMMYFUNCTION("IFNA(vlookup(H5326,IMPORTRANGE(""1vUGwO1n0QQGx9kKbO0_M5gmuhXZ6-LaxQxgrmJnzgP0"",""'TP# look up'!A:C""),3,0),"""")"),"")</f>
        <v/>
      </c>
      <c r="AH5326" s="49">
        <f>LEFT(J5326,2)</f>
        <v/>
      </c>
    </row>
    <row r="5327" ht="12.75" customHeight="1">
      <c r="H5327" s="43" t="n"/>
      <c r="AG5327" s="49">
        <f>IFERROR(__xludf.DUMMYFUNCTION("IFNA(vlookup(H5327,IMPORTRANGE(""1vUGwO1n0QQGx9kKbO0_M5gmuhXZ6-LaxQxgrmJnzgP0"",""'TP# look up'!A:C""),3,0),"""")"),"")</f>
        <v/>
      </c>
      <c r="AH5327" s="49">
        <f>LEFT(J5327,2)</f>
        <v/>
      </c>
    </row>
    <row r="5328" ht="12.75" customHeight="1">
      <c r="H5328" s="43" t="n"/>
      <c r="AG5328" s="49">
        <f>IFERROR(__xludf.DUMMYFUNCTION("IFNA(vlookup(H5328,IMPORTRANGE(""1vUGwO1n0QQGx9kKbO0_M5gmuhXZ6-LaxQxgrmJnzgP0"",""'TP# look up'!A:C""),3,0),"""")"),"")</f>
        <v/>
      </c>
      <c r="AH5328" s="49">
        <f>LEFT(J5328,2)</f>
        <v/>
      </c>
    </row>
    <row r="5329" ht="12.75" customHeight="1">
      <c r="H5329" s="43" t="n"/>
      <c r="AG5329" s="49">
        <f>IFERROR(__xludf.DUMMYFUNCTION("IFNA(vlookup(H5329,IMPORTRANGE(""1vUGwO1n0QQGx9kKbO0_M5gmuhXZ6-LaxQxgrmJnzgP0"",""'TP# look up'!A:C""),3,0),"""")"),"")</f>
        <v/>
      </c>
      <c r="AH5329" s="49">
        <f>LEFT(J5329,2)</f>
        <v/>
      </c>
    </row>
    <row r="5330" ht="12.75" customHeight="1">
      <c r="H5330" s="43" t="n"/>
      <c r="AG5330" s="49">
        <f>IFERROR(__xludf.DUMMYFUNCTION("IFNA(vlookup(H5330,IMPORTRANGE(""1vUGwO1n0QQGx9kKbO0_M5gmuhXZ6-LaxQxgrmJnzgP0"",""'TP# look up'!A:C""),3,0),"""")"),"")</f>
        <v/>
      </c>
      <c r="AH5330" s="49">
        <f>LEFT(J5330,2)</f>
        <v/>
      </c>
    </row>
    <row r="5331" ht="12.75" customHeight="1">
      <c r="H5331" s="43" t="n"/>
      <c r="AG5331" s="49">
        <f>IFERROR(__xludf.DUMMYFUNCTION("IFNA(vlookup(H5331,IMPORTRANGE(""1vUGwO1n0QQGx9kKbO0_M5gmuhXZ6-LaxQxgrmJnzgP0"",""'TP# look up'!A:C""),3,0),"""")"),"")</f>
        <v/>
      </c>
      <c r="AH5331" s="49">
        <f>LEFT(J5331,2)</f>
        <v/>
      </c>
    </row>
    <row r="5332" ht="12.75" customHeight="1">
      <c r="H5332" s="43" t="n"/>
      <c r="AG5332" s="49">
        <f>IFERROR(__xludf.DUMMYFUNCTION("IFNA(vlookup(H5332,IMPORTRANGE(""1vUGwO1n0QQGx9kKbO0_M5gmuhXZ6-LaxQxgrmJnzgP0"",""'TP# look up'!A:C""),3,0),"""")"),"")</f>
        <v/>
      </c>
      <c r="AH5332" s="49">
        <f>LEFT(J5332,2)</f>
        <v/>
      </c>
    </row>
    <row r="5333" ht="12.75" customHeight="1">
      <c r="H5333" s="43" t="n"/>
      <c r="AG5333" s="49">
        <f>IFERROR(__xludf.DUMMYFUNCTION("IFNA(vlookup(H5333,IMPORTRANGE(""1vUGwO1n0QQGx9kKbO0_M5gmuhXZ6-LaxQxgrmJnzgP0"",""'TP# look up'!A:C""),3,0),"""")"),"")</f>
        <v/>
      </c>
      <c r="AH5333" s="49">
        <f>LEFT(J5333,2)</f>
        <v/>
      </c>
    </row>
    <row r="5334" ht="12.75" customHeight="1">
      <c r="H5334" s="43" t="n"/>
      <c r="AG5334" s="49">
        <f>IFERROR(__xludf.DUMMYFUNCTION("IFNA(vlookup(H5334,IMPORTRANGE(""1vUGwO1n0QQGx9kKbO0_M5gmuhXZ6-LaxQxgrmJnzgP0"",""'TP# look up'!A:C""),3,0),"""")"),"")</f>
        <v/>
      </c>
      <c r="AH5334" s="49">
        <f>LEFT(J5334,2)</f>
        <v/>
      </c>
    </row>
    <row r="5335" ht="12.75" customHeight="1">
      <c r="H5335" s="43" t="n"/>
      <c r="AG5335" s="49">
        <f>IFERROR(__xludf.DUMMYFUNCTION("IFNA(vlookup(H5335,IMPORTRANGE(""1vUGwO1n0QQGx9kKbO0_M5gmuhXZ6-LaxQxgrmJnzgP0"",""'TP# look up'!A:C""),3,0),"""")"),"")</f>
        <v/>
      </c>
      <c r="AH5335" s="49">
        <f>LEFT(J5335,2)</f>
        <v/>
      </c>
    </row>
    <row r="5336" ht="12.75" customHeight="1">
      <c r="H5336" s="43" t="n"/>
      <c r="AG5336" s="49">
        <f>IFERROR(__xludf.DUMMYFUNCTION("IFNA(vlookup(H5336,IMPORTRANGE(""1vUGwO1n0QQGx9kKbO0_M5gmuhXZ6-LaxQxgrmJnzgP0"",""'TP# look up'!A:C""),3,0),"""")"),"")</f>
        <v/>
      </c>
      <c r="AH5336" s="49">
        <f>LEFT(J5336,2)</f>
        <v/>
      </c>
    </row>
    <row r="5337" ht="12.75" customHeight="1">
      <c r="H5337" s="43" t="n"/>
      <c r="AG5337" s="49">
        <f>IFERROR(__xludf.DUMMYFUNCTION("IFNA(vlookup(H5337,IMPORTRANGE(""1vUGwO1n0QQGx9kKbO0_M5gmuhXZ6-LaxQxgrmJnzgP0"",""'TP# look up'!A:C""),3,0),"""")"),"")</f>
        <v/>
      </c>
      <c r="AH5337" s="49">
        <f>LEFT(J5337,2)</f>
        <v/>
      </c>
    </row>
    <row r="5338" ht="12.75" customHeight="1">
      <c r="H5338" s="43" t="n"/>
      <c r="AG5338" s="49">
        <f>IFERROR(__xludf.DUMMYFUNCTION("IFNA(vlookup(H5338,IMPORTRANGE(""1vUGwO1n0QQGx9kKbO0_M5gmuhXZ6-LaxQxgrmJnzgP0"",""'TP# look up'!A:C""),3,0),"""")"),"")</f>
        <v/>
      </c>
      <c r="AH5338" s="49">
        <f>LEFT(J5338,2)</f>
        <v/>
      </c>
    </row>
    <row r="5339" ht="12.75" customHeight="1">
      <c r="H5339" s="43" t="n"/>
      <c r="AG5339" s="49">
        <f>IFERROR(__xludf.DUMMYFUNCTION("IFNA(vlookup(H5339,IMPORTRANGE(""1vUGwO1n0QQGx9kKbO0_M5gmuhXZ6-LaxQxgrmJnzgP0"",""'TP# look up'!A:C""),3,0),"""")"),"")</f>
        <v/>
      </c>
      <c r="AH5339" s="49">
        <f>LEFT(J5339,2)</f>
        <v/>
      </c>
    </row>
    <row r="5340" ht="12.75" customHeight="1">
      <c r="H5340" s="43" t="n"/>
      <c r="AG5340" s="49">
        <f>IFERROR(__xludf.DUMMYFUNCTION("IFNA(vlookup(H5340,IMPORTRANGE(""1vUGwO1n0QQGx9kKbO0_M5gmuhXZ6-LaxQxgrmJnzgP0"",""'TP# look up'!A:C""),3,0),"""")"),"")</f>
        <v/>
      </c>
      <c r="AH5340" s="49">
        <f>LEFT(J5340,2)</f>
        <v/>
      </c>
    </row>
    <row r="5341" ht="12.75" customHeight="1">
      <c r="H5341" s="43" t="n"/>
      <c r="AG5341" s="49">
        <f>IFERROR(__xludf.DUMMYFUNCTION("IFNA(vlookup(H5341,IMPORTRANGE(""1vUGwO1n0QQGx9kKbO0_M5gmuhXZ6-LaxQxgrmJnzgP0"",""'TP# look up'!A:C""),3,0),"""")"),"")</f>
        <v/>
      </c>
      <c r="AH5341" s="49">
        <f>LEFT(J5341,2)</f>
        <v/>
      </c>
    </row>
    <row r="5342" ht="12.75" customHeight="1">
      <c r="H5342" s="43" t="n"/>
      <c r="AG5342" s="49">
        <f>IFERROR(__xludf.DUMMYFUNCTION("IFNA(vlookup(H5342,IMPORTRANGE(""1vUGwO1n0QQGx9kKbO0_M5gmuhXZ6-LaxQxgrmJnzgP0"",""'TP# look up'!A:C""),3,0),"""")"),"")</f>
        <v/>
      </c>
      <c r="AH5342" s="49">
        <f>LEFT(J5342,2)</f>
        <v/>
      </c>
    </row>
    <row r="5343" ht="12.75" customHeight="1">
      <c r="H5343" s="43" t="n"/>
      <c r="AG5343" s="49">
        <f>IFERROR(__xludf.DUMMYFUNCTION("IFNA(vlookup(H5343,IMPORTRANGE(""1vUGwO1n0QQGx9kKbO0_M5gmuhXZ6-LaxQxgrmJnzgP0"",""'TP# look up'!A:C""),3,0),"""")"),"")</f>
        <v/>
      </c>
      <c r="AH5343" s="49">
        <f>LEFT(J5343,2)</f>
        <v/>
      </c>
    </row>
    <row r="5344" ht="12.75" customHeight="1">
      <c r="H5344" s="43" t="n"/>
      <c r="AG5344" s="49">
        <f>IFERROR(__xludf.DUMMYFUNCTION("IFNA(vlookup(H5344,IMPORTRANGE(""1vUGwO1n0QQGx9kKbO0_M5gmuhXZ6-LaxQxgrmJnzgP0"",""'TP# look up'!A:C""),3,0),"""")"),"")</f>
        <v/>
      </c>
      <c r="AH5344" s="49">
        <f>LEFT(J5344,2)</f>
        <v/>
      </c>
    </row>
    <row r="5345" ht="12.75" customHeight="1">
      <c r="H5345" s="43" t="n"/>
      <c r="AG5345" s="49">
        <f>IFERROR(__xludf.DUMMYFUNCTION("IFNA(vlookup(H5345,IMPORTRANGE(""1vUGwO1n0QQGx9kKbO0_M5gmuhXZ6-LaxQxgrmJnzgP0"",""'TP# look up'!A:C""),3,0),"""")"),"")</f>
        <v/>
      </c>
      <c r="AH5345" s="49">
        <f>LEFT(J5345,2)</f>
        <v/>
      </c>
    </row>
    <row r="5346" ht="12.75" customHeight="1">
      <c r="H5346" s="43" t="n"/>
      <c r="AG5346" s="49">
        <f>IFERROR(__xludf.DUMMYFUNCTION("IFNA(vlookup(H5346,IMPORTRANGE(""1vUGwO1n0QQGx9kKbO0_M5gmuhXZ6-LaxQxgrmJnzgP0"",""'TP# look up'!A:C""),3,0),"""")"),"")</f>
        <v/>
      </c>
      <c r="AH5346" s="49">
        <f>LEFT(J5346,2)</f>
        <v/>
      </c>
    </row>
    <row r="5347" ht="12.75" customHeight="1">
      <c r="H5347" s="43" t="n"/>
      <c r="AG5347" s="49">
        <f>IFERROR(__xludf.DUMMYFUNCTION("IFNA(vlookup(H5347,IMPORTRANGE(""1vUGwO1n0QQGx9kKbO0_M5gmuhXZ6-LaxQxgrmJnzgP0"",""'TP# look up'!A:C""),3,0),"""")"),"")</f>
        <v/>
      </c>
      <c r="AH5347" s="49">
        <f>LEFT(J5347,2)</f>
        <v/>
      </c>
    </row>
    <row r="5348" ht="12.75" customHeight="1">
      <c r="H5348" s="43" t="n"/>
      <c r="AG5348" s="49">
        <f>IFERROR(__xludf.DUMMYFUNCTION("IFNA(vlookup(H5348,IMPORTRANGE(""1vUGwO1n0QQGx9kKbO0_M5gmuhXZ6-LaxQxgrmJnzgP0"",""'TP# look up'!A:C""),3,0),"""")"),"")</f>
        <v/>
      </c>
      <c r="AH5348" s="49">
        <f>LEFT(J5348,2)</f>
        <v/>
      </c>
    </row>
    <row r="5349" ht="12.75" customHeight="1">
      <c r="H5349" s="43" t="n"/>
      <c r="AG5349" s="49">
        <f>IFERROR(__xludf.DUMMYFUNCTION("IFNA(vlookup(H5349,IMPORTRANGE(""1vUGwO1n0QQGx9kKbO0_M5gmuhXZ6-LaxQxgrmJnzgP0"",""'TP# look up'!A:C""),3,0),"""")"),"")</f>
        <v/>
      </c>
      <c r="AH5349" s="49">
        <f>LEFT(J5349,2)</f>
        <v/>
      </c>
    </row>
    <row r="5350" ht="12.75" customHeight="1">
      <c r="H5350" s="43" t="n"/>
      <c r="AG5350" s="49">
        <f>IFERROR(__xludf.DUMMYFUNCTION("IFNA(vlookup(H5350,IMPORTRANGE(""1vUGwO1n0QQGx9kKbO0_M5gmuhXZ6-LaxQxgrmJnzgP0"",""'TP# look up'!A:C""),3,0),"""")"),"")</f>
        <v/>
      </c>
      <c r="AH5350" s="49">
        <f>LEFT(J5350,2)</f>
        <v/>
      </c>
    </row>
    <row r="5351" ht="12.75" customHeight="1">
      <c r="H5351" s="43" t="n"/>
      <c r="AG5351" s="49">
        <f>IFERROR(__xludf.DUMMYFUNCTION("IFNA(vlookup(H5351,IMPORTRANGE(""1vUGwO1n0QQGx9kKbO0_M5gmuhXZ6-LaxQxgrmJnzgP0"",""'TP# look up'!A:C""),3,0),"""")"),"")</f>
        <v/>
      </c>
      <c r="AH5351" s="49">
        <f>LEFT(J5351,2)</f>
        <v/>
      </c>
    </row>
    <row r="5352" ht="12.75" customHeight="1">
      <c r="H5352" s="43" t="n"/>
      <c r="AG5352" s="49">
        <f>IFERROR(__xludf.DUMMYFUNCTION("IFNA(vlookup(H5352,IMPORTRANGE(""1vUGwO1n0QQGx9kKbO0_M5gmuhXZ6-LaxQxgrmJnzgP0"",""'TP# look up'!A:C""),3,0),"""")"),"")</f>
        <v/>
      </c>
      <c r="AH5352" s="49">
        <f>LEFT(J5352,2)</f>
        <v/>
      </c>
    </row>
    <row r="5353" ht="12.75" customHeight="1">
      <c r="H5353" s="43" t="n"/>
      <c r="AG5353" s="49">
        <f>IFERROR(__xludf.DUMMYFUNCTION("IFNA(vlookup(H5353,IMPORTRANGE(""1vUGwO1n0QQGx9kKbO0_M5gmuhXZ6-LaxQxgrmJnzgP0"",""'TP# look up'!A:C""),3,0),"""")"),"")</f>
        <v/>
      </c>
      <c r="AH5353" s="49">
        <f>LEFT(J5353,2)</f>
        <v/>
      </c>
    </row>
    <row r="5354" ht="12.75" customHeight="1">
      <c r="H5354" s="43" t="n"/>
      <c r="AG5354" s="49">
        <f>IFERROR(__xludf.DUMMYFUNCTION("IFNA(vlookup(H5354,IMPORTRANGE(""1vUGwO1n0QQGx9kKbO0_M5gmuhXZ6-LaxQxgrmJnzgP0"",""'TP# look up'!A:C""),3,0),"""")"),"")</f>
        <v/>
      </c>
      <c r="AH5354" s="49">
        <f>LEFT(J5354,2)</f>
        <v/>
      </c>
    </row>
    <row r="5355" ht="12.75" customHeight="1">
      <c r="H5355" s="43" t="n"/>
      <c r="AG5355" s="49">
        <f>IFERROR(__xludf.DUMMYFUNCTION("IFNA(vlookup(H5355,IMPORTRANGE(""1vUGwO1n0QQGx9kKbO0_M5gmuhXZ6-LaxQxgrmJnzgP0"",""'TP# look up'!A:C""),3,0),"""")"),"")</f>
        <v/>
      </c>
      <c r="AH5355" s="49">
        <f>LEFT(J5355,2)</f>
        <v/>
      </c>
    </row>
    <row r="5356" ht="12.75" customHeight="1">
      <c r="H5356" s="43" t="n"/>
      <c r="AG5356" s="49">
        <f>IFERROR(__xludf.DUMMYFUNCTION("IFNA(vlookup(H5356,IMPORTRANGE(""1vUGwO1n0QQGx9kKbO0_M5gmuhXZ6-LaxQxgrmJnzgP0"",""'TP# look up'!A:C""),3,0),"""")"),"")</f>
        <v/>
      </c>
      <c r="AH5356" s="49">
        <f>LEFT(J5356,2)</f>
        <v/>
      </c>
    </row>
    <row r="5357" ht="12.75" customHeight="1">
      <c r="H5357" s="43" t="n"/>
      <c r="AG5357" s="49">
        <f>IFERROR(__xludf.DUMMYFUNCTION("IFNA(vlookup(H5357,IMPORTRANGE(""1vUGwO1n0QQGx9kKbO0_M5gmuhXZ6-LaxQxgrmJnzgP0"",""'TP# look up'!A:C""),3,0),"""")"),"")</f>
        <v/>
      </c>
      <c r="AH5357" s="49">
        <f>LEFT(J5357,2)</f>
        <v/>
      </c>
    </row>
    <row r="5358" ht="12.75" customHeight="1">
      <c r="H5358" s="43" t="n"/>
      <c r="AG5358" s="49">
        <f>IFERROR(__xludf.DUMMYFUNCTION("IFNA(vlookup(H5358,IMPORTRANGE(""1vUGwO1n0QQGx9kKbO0_M5gmuhXZ6-LaxQxgrmJnzgP0"",""'TP# look up'!A:C""),3,0),"""")"),"")</f>
        <v/>
      </c>
      <c r="AH5358" s="49">
        <f>LEFT(J5358,2)</f>
        <v/>
      </c>
    </row>
    <row r="5359" ht="12.75" customHeight="1">
      <c r="H5359" s="43" t="n"/>
      <c r="AG5359" s="49">
        <f>IFERROR(__xludf.DUMMYFUNCTION("IFNA(vlookup(H5359,IMPORTRANGE(""1vUGwO1n0QQGx9kKbO0_M5gmuhXZ6-LaxQxgrmJnzgP0"",""'TP# look up'!A:C""),3,0),"""")"),"")</f>
        <v/>
      </c>
      <c r="AH5359" s="49">
        <f>LEFT(J5359,2)</f>
        <v/>
      </c>
    </row>
    <row r="5360" ht="12.75" customHeight="1">
      <c r="H5360" s="43" t="n"/>
      <c r="AG5360" s="49">
        <f>IFERROR(__xludf.DUMMYFUNCTION("IFNA(vlookup(H5360,IMPORTRANGE(""1vUGwO1n0QQGx9kKbO0_M5gmuhXZ6-LaxQxgrmJnzgP0"",""'TP# look up'!A:C""),3,0),"""")"),"")</f>
        <v/>
      </c>
      <c r="AH5360" s="49">
        <f>LEFT(J5360,2)</f>
        <v/>
      </c>
    </row>
    <row r="5361" ht="12.75" customHeight="1">
      <c r="H5361" s="43" t="n"/>
      <c r="AG5361" s="49">
        <f>IFERROR(__xludf.DUMMYFUNCTION("IFNA(vlookup(H5361,IMPORTRANGE(""1vUGwO1n0QQGx9kKbO0_M5gmuhXZ6-LaxQxgrmJnzgP0"",""'TP# look up'!A:C""),3,0),"""")"),"")</f>
        <v/>
      </c>
      <c r="AH5361" s="49">
        <f>LEFT(J5361,2)</f>
        <v/>
      </c>
    </row>
    <row r="5362" ht="12.75" customHeight="1">
      <c r="H5362" s="43" t="n"/>
      <c r="AG5362" s="49">
        <f>IFERROR(__xludf.DUMMYFUNCTION("IFNA(vlookup(H5362,IMPORTRANGE(""1vUGwO1n0QQGx9kKbO0_M5gmuhXZ6-LaxQxgrmJnzgP0"",""'TP# look up'!A:C""),3,0),"""")"),"")</f>
        <v/>
      </c>
      <c r="AH5362" s="49">
        <f>LEFT(J5362,2)</f>
        <v/>
      </c>
    </row>
    <row r="5363" ht="12.75" customHeight="1">
      <c r="H5363" s="43" t="n"/>
      <c r="AG5363" s="49">
        <f>IFERROR(__xludf.DUMMYFUNCTION("IFNA(vlookup(H5363,IMPORTRANGE(""1vUGwO1n0QQGx9kKbO0_M5gmuhXZ6-LaxQxgrmJnzgP0"",""'TP# look up'!A:C""),3,0),"""")"),"")</f>
        <v/>
      </c>
      <c r="AH5363" s="49">
        <f>LEFT(J5363,2)</f>
        <v/>
      </c>
    </row>
    <row r="5364" ht="12.75" customHeight="1">
      <c r="H5364" s="43" t="n"/>
      <c r="AG5364" s="49">
        <f>IFERROR(__xludf.DUMMYFUNCTION("IFNA(vlookup(H5364,IMPORTRANGE(""1vUGwO1n0QQGx9kKbO0_M5gmuhXZ6-LaxQxgrmJnzgP0"",""'TP# look up'!A:C""),3,0),"""")"),"")</f>
        <v/>
      </c>
      <c r="AH5364" s="49">
        <f>LEFT(J5364,2)</f>
        <v/>
      </c>
    </row>
    <row r="5365" ht="12.75" customHeight="1">
      <c r="H5365" s="43" t="n"/>
      <c r="AG5365" s="49">
        <f>IFERROR(__xludf.DUMMYFUNCTION("IFNA(vlookup(H5365,IMPORTRANGE(""1vUGwO1n0QQGx9kKbO0_M5gmuhXZ6-LaxQxgrmJnzgP0"",""'TP# look up'!A:C""),3,0),"""")"),"")</f>
        <v/>
      </c>
      <c r="AH5365" s="49">
        <f>LEFT(J5365,2)</f>
        <v/>
      </c>
    </row>
    <row r="5366" ht="12.75" customHeight="1">
      <c r="H5366" s="43" t="n"/>
      <c r="AG5366" s="49">
        <f>IFERROR(__xludf.DUMMYFUNCTION("IFNA(vlookup(H5366,IMPORTRANGE(""1vUGwO1n0QQGx9kKbO0_M5gmuhXZ6-LaxQxgrmJnzgP0"",""'TP# look up'!A:C""),3,0),"""")"),"")</f>
        <v/>
      </c>
      <c r="AH5366" s="49">
        <f>LEFT(J5366,2)</f>
        <v/>
      </c>
    </row>
    <row r="5367" ht="12.75" customHeight="1">
      <c r="H5367" s="43" t="n"/>
      <c r="AG5367" s="49">
        <f>IFERROR(__xludf.DUMMYFUNCTION("IFNA(vlookup(H5367,IMPORTRANGE(""1vUGwO1n0QQGx9kKbO0_M5gmuhXZ6-LaxQxgrmJnzgP0"",""'TP# look up'!A:C""),3,0),"""")"),"")</f>
        <v/>
      </c>
      <c r="AH5367" s="49">
        <f>LEFT(J5367,2)</f>
        <v/>
      </c>
    </row>
    <row r="5368" ht="12.75" customHeight="1">
      <c r="H5368" s="43" t="n"/>
      <c r="AG5368" s="49">
        <f>IFERROR(__xludf.DUMMYFUNCTION("IFNA(vlookup(H5368,IMPORTRANGE(""1vUGwO1n0QQGx9kKbO0_M5gmuhXZ6-LaxQxgrmJnzgP0"",""'TP# look up'!A:C""),3,0),"""")"),"")</f>
        <v/>
      </c>
      <c r="AH5368" s="49">
        <f>LEFT(J5368,2)</f>
        <v/>
      </c>
    </row>
    <row r="5369" ht="12.75" customHeight="1">
      <c r="H5369" s="43" t="n"/>
      <c r="AG5369" s="49">
        <f>IFERROR(__xludf.DUMMYFUNCTION("IFNA(vlookup(H5369,IMPORTRANGE(""1vUGwO1n0QQGx9kKbO0_M5gmuhXZ6-LaxQxgrmJnzgP0"",""'TP# look up'!A:C""),3,0),"""")"),"")</f>
        <v/>
      </c>
      <c r="AH5369" s="49">
        <f>LEFT(J5369,2)</f>
        <v/>
      </c>
    </row>
    <row r="5370" ht="12.75" customHeight="1">
      <c r="H5370" s="43" t="n"/>
      <c r="AG5370" s="49">
        <f>IFERROR(__xludf.DUMMYFUNCTION("IFNA(vlookup(H5370,IMPORTRANGE(""1vUGwO1n0QQGx9kKbO0_M5gmuhXZ6-LaxQxgrmJnzgP0"",""'TP# look up'!A:C""),3,0),"""")"),"")</f>
        <v/>
      </c>
      <c r="AH5370" s="49">
        <f>LEFT(J5370,2)</f>
        <v/>
      </c>
    </row>
    <row r="5371" ht="12.75" customHeight="1">
      <c r="H5371" s="43" t="n"/>
      <c r="AG5371" s="49">
        <f>IFERROR(__xludf.DUMMYFUNCTION("IFNA(vlookup(H5371,IMPORTRANGE(""1vUGwO1n0QQGx9kKbO0_M5gmuhXZ6-LaxQxgrmJnzgP0"",""'TP# look up'!A:C""),3,0),"""")"),"")</f>
        <v/>
      </c>
      <c r="AH5371" s="49">
        <f>LEFT(J5371,2)</f>
        <v/>
      </c>
    </row>
    <row r="5372" ht="12.75" customHeight="1">
      <c r="H5372" s="43" t="n"/>
      <c r="AG5372" s="49">
        <f>IFERROR(__xludf.DUMMYFUNCTION("IFNA(vlookup(H5372,IMPORTRANGE(""1vUGwO1n0QQGx9kKbO0_M5gmuhXZ6-LaxQxgrmJnzgP0"",""'TP# look up'!A:C""),3,0),"""")"),"")</f>
        <v/>
      </c>
      <c r="AH5372" s="49">
        <f>LEFT(J5372,2)</f>
        <v/>
      </c>
    </row>
    <row r="5373" ht="12.75" customHeight="1">
      <c r="H5373" s="43" t="n"/>
      <c r="AG5373" s="49">
        <f>IFERROR(__xludf.DUMMYFUNCTION("IFNA(vlookup(H5373,IMPORTRANGE(""1vUGwO1n0QQGx9kKbO0_M5gmuhXZ6-LaxQxgrmJnzgP0"",""'TP# look up'!A:C""),3,0),"""")"),"")</f>
        <v/>
      </c>
      <c r="AH5373" s="49">
        <f>LEFT(J5373,2)</f>
        <v/>
      </c>
    </row>
    <row r="5374" ht="12.75" customHeight="1">
      <c r="H5374" s="43" t="n"/>
      <c r="AG5374" s="49">
        <f>IFERROR(__xludf.DUMMYFUNCTION("IFNA(vlookup(H5374,IMPORTRANGE(""1vUGwO1n0QQGx9kKbO0_M5gmuhXZ6-LaxQxgrmJnzgP0"",""'TP# look up'!A:C""),3,0),"""")"),"")</f>
        <v/>
      </c>
      <c r="AH5374" s="49">
        <f>LEFT(J5374,2)</f>
        <v/>
      </c>
    </row>
    <row r="5375" ht="12.75" customHeight="1">
      <c r="H5375" s="43" t="n"/>
      <c r="AG5375" s="49">
        <f>IFERROR(__xludf.DUMMYFUNCTION("IFNA(vlookup(H5375,IMPORTRANGE(""1vUGwO1n0QQGx9kKbO0_M5gmuhXZ6-LaxQxgrmJnzgP0"",""'TP# look up'!A:C""),3,0),"""")"),"")</f>
        <v/>
      </c>
      <c r="AH5375" s="49">
        <f>LEFT(J5375,2)</f>
        <v/>
      </c>
    </row>
    <row r="5376" ht="12.75" customHeight="1">
      <c r="H5376" s="43" t="n"/>
      <c r="AG5376" s="49">
        <f>IFERROR(__xludf.DUMMYFUNCTION("IFNA(vlookup(H5376,IMPORTRANGE(""1vUGwO1n0QQGx9kKbO0_M5gmuhXZ6-LaxQxgrmJnzgP0"",""'TP# look up'!A:C""),3,0),"""")"),"")</f>
        <v/>
      </c>
      <c r="AH5376" s="49">
        <f>LEFT(J5376,2)</f>
        <v/>
      </c>
    </row>
    <row r="5377" ht="12.75" customHeight="1">
      <c r="H5377" s="43" t="n"/>
      <c r="AG5377" s="49">
        <f>IFERROR(__xludf.DUMMYFUNCTION("IFNA(vlookup(H5377,IMPORTRANGE(""1vUGwO1n0QQGx9kKbO0_M5gmuhXZ6-LaxQxgrmJnzgP0"",""'TP# look up'!A:C""),3,0),"""")"),"")</f>
        <v/>
      </c>
      <c r="AH5377" s="49">
        <f>LEFT(J5377,2)</f>
        <v/>
      </c>
    </row>
    <row r="5378" ht="12.75" customHeight="1">
      <c r="H5378" s="43" t="n"/>
      <c r="AG5378" s="49">
        <f>IFERROR(__xludf.DUMMYFUNCTION("IFNA(vlookup(H5378,IMPORTRANGE(""1vUGwO1n0QQGx9kKbO0_M5gmuhXZ6-LaxQxgrmJnzgP0"",""'TP# look up'!A:C""),3,0),"""")"),"")</f>
        <v/>
      </c>
      <c r="AH5378" s="49">
        <f>LEFT(J5378,2)</f>
        <v/>
      </c>
    </row>
    <row r="5379" ht="12.75" customHeight="1">
      <c r="H5379" s="43" t="n"/>
      <c r="AG5379" s="49">
        <f>IFERROR(__xludf.DUMMYFUNCTION("IFNA(vlookup(H5379,IMPORTRANGE(""1vUGwO1n0QQGx9kKbO0_M5gmuhXZ6-LaxQxgrmJnzgP0"",""'TP# look up'!A:C""),3,0),"""")"),"")</f>
        <v/>
      </c>
      <c r="AH5379" s="49">
        <f>LEFT(J5379,2)</f>
        <v/>
      </c>
    </row>
    <row r="5380" ht="12.75" customHeight="1">
      <c r="H5380" s="43" t="n"/>
      <c r="AG5380" s="49">
        <f>IFERROR(__xludf.DUMMYFUNCTION("IFNA(vlookup(H5380,IMPORTRANGE(""1vUGwO1n0QQGx9kKbO0_M5gmuhXZ6-LaxQxgrmJnzgP0"",""'TP# look up'!A:C""),3,0),"""")"),"")</f>
        <v/>
      </c>
      <c r="AH5380" s="49">
        <f>LEFT(J5380,2)</f>
        <v/>
      </c>
    </row>
    <row r="5381" ht="12.75" customHeight="1">
      <c r="H5381" s="43" t="n"/>
      <c r="AG5381" s="49">
        <f>IFERROR(__xludf.DUMMYFUNCTION("IFNA(vlookup(H5381,IMPORTRANGE(""1vUGwO1n0QQGx9kKbO0_M5gmuhXZ6-LaxQxgrmJnzgP0"",""'TP# look up'!A:C""),3,0),"""")"),"")</f>
        <v/>
      </c>
      <c r="AH5381" s="49">
        <f>LEFT(J5381,2)</f>
        <v/>
      </c>
    </row>
    <row r="5382" ht="12.75" customHeight="1">
      <c r="H5382" s="43" t="n"/>
      <c r="AG5382" s="49">
        <f>IFERROR(__xludf.DUMMYFUNCTION("IFNA(vlookup(H5382,IMPORTRANGE(""1vUGwO1n0QQGx9kKbO0_M5gmuhXZ6-LaxQxgrmJnzgP0"",""'TP# look up'!A:C""),3,0),"""")"),"")</f>
        <v/>
      </c>
      <c r="AH5382" s="49">
        <f>LEFT(J5382,2)</f>
        <v/>
      </c>
    </row>
    <row r="5383" ht="12.75" customHeight="1">
      <c r="H5383" s="43" t="n"/>
      <c r="AG5383" s="49">
        <f>IFERROR(__xludf.DUMMYFUNCTION("IFNA(vlookup(H5383,IMPORTRANGE(""1vUGwO1n0QQGx9kKbO0_M5gmuhXZ6-LaxQxgrmJnzgP0"",""'TP# look up'!A:C""),3,0),"""")"),"")</f>
        <v/>
      </c>
      <c r="AH5383" s="49">
        <f>LEFT(J5383,2)</f>
        <v/>
      </c>
    </row>
    <row r="5384" ht="12.75" customHeight="1">
      <c r="H5384" s="43" t="n"/>
      <c r="AG5384" s="49">
        <f>IFERROR(__xludf.DUMMYFUNCTION("IFNA(vlookup(H5384,IMPORTRANGE(""1vUGwO1n0QQGx9kKbO0_M5gmuhXZ6-LaxQxgrmJnzgP0"",""'TP# look up'!A:C""),3,0),"""")"),"")</f>
        <v/>
      </c>
      <c r="AH5384" s="49">
        <f>LEFT(J5384,2)</f>
        <v/>
      </c>
    </row>
    <row r="5385" ht="12.75" customHeight="1">
      <c r="H5385" s="43" t="n"/>
      <c r="AG5385" s="49">
        <f>IFERROR(__xludf.DUMMYFUNCTION("IFNA(vlookup(H5385,IMPORTRANGE(""1vUGwO1n0QQGx9kKbO0_M5gmuhXZ6-LaxQxgrmJnzgP0"",""'TP# look up'!A:C""),3,0),"""")"),"")</f>
        <v/>
      </c>
      <c r="AH5385" s="49">
        <f>LEFT(J5385,2)</f>
        <v/>
      </c>
    </row>
    <row r="5386" ht="12.75" customHeight="1">
      <c r="H5386" s="43" t="n"/>
      <c r="AG5386" s="49">
        <f>IFERROR(__xludf.DUMMYFUNCTION("IFNA(vlookup(H5386,IMPORTRANGE(""1vUGwO1n0QQGx9kKbO0_M5gmuhXZ6-LaxQxgrmJnzgP0"",""'TP# look up'!A:C""),3,0),"""")"),"")</f>
        <v/>
      </c>
      <c r="AH5386" s="49">
        <f>LEFT(J5386,2)</f>
        <v/>
      </c>
    </row>
    <row r="5387" ht="12.75" customHeight="1">
      <c r="H5387" s="43" t="n"/>
      <c r="AG5387" s="49">
        <f>IFERROR(__xludf.DUMMYFUNCTION("IFNA(vlookup(H5387,IMPORTRANGE(""1vUGwO1n0QQGx9kKbO0_M5gmuhXZ6-LaxQxgrmJnzgP0"",""'TP# look up'!A:C""),3,0),"""")"),"")</f>
        <v/>
      </c>
      <c r="AH5387" s="49">
        <f>LEFT(J5387,2)</f>
        <v/>
      </c>
    </row>
    <row r="5388" ht="12.75" customHeight="1">
      <c r="H5388" s="43" t="n"/>
      <c r="AG5388" s="49">
        <f>IFERROR(__xludf.DUMMYFUNCTION("IFNA(vlookup(H5388,IMPORTRANGE(""1vUGwO1n0QQGx9kKbO0_M5gmuhXZ6-LaxQxgrmJnzgP0"",""'TP# look up'!A:C""),3,0),"""")"),"")</f>
        <v/>
      </c>
      <c r="AH5388" s="49">
        <f>LEFT(J5388,2)</f>
        <v/>
      </c>
    </row>
    <row r="5389" ht="12.75" customHeight="1">
      <c r="H5389" s="43" t="n"/>
      <c r="AG5389" s="49">
        <f>IFERROR(__xludf.DUMMYFUNCTION("IFNA(vlookup(H5389,IMPORTRANGE(""1vUGwO1n0QQGx9kKbO0_M5gmuhXZ6-LaxQxgrmJnzgP0"",""'TP# look up'!A:C""),3,0),"""")"),"")</f>
        <v/>
      </c>
      <c r="AH5389" s="49">
        <f>LEFT(J5389,2)</f>
        <v/>
      </c>
    </row>
    <row r="5390" ht="12.75" customHeight="1">
      <c r="H5390" s="43" t="n"/>
      <c r="AG5390" s="49">
        <f>IFERROR(__xludf.DUMMYFUNCTION("IFNA(vlookup(H5390,IMPORTRANGE(""1vUGwO1n0QQGx9kKbO0_M5gmuhXZ6-LaxQxgrmJnzgP0"",""'TP# look up'!A:C""),3,0),"""")"),"")</f>
        <v/>
      </c>
      <c r="AH5390" s="49">
        <f>LEFT(J5390,2)</f>
        <v/>
      </c>
    </row>
    <row r="5391" ht="12.75" customHeight="1">
      <c r="H5391" s="43" t="n"/>
      <c r="AG5391" s="49">
        <f>IFERROR(__xludf.DUMMYFUNCTION("IFNA(vlookup(H5391,IMPORTRANGE(""1vUGwO1n0QQGx9kKbO0_M5gmuhXZ6-LaxQxgrmJnzgP0"",""'TP# look up'!A:C""),3,0),"""")"),"")</f>
        <v/>
      </c>
      <c r="AH5391" s="49">
        <f>LEFT(J5391,2)</f>
        <v/>
      </c>
    </row>
    <row r="5392" ht="12.75" customHeight="1">
      <c r="H5392" s="43" t="n"/>
      <c r="AG5392" s="49">
        <f>IFERROR(__xludf.DUMMYFUNCTION("IFNA(vlookup(H5392,IMPORTRANGE(""1vUGwO1n0QQGx9kKbO0_M5gmuhXZ6-LaxQxgrmJnzgP0"",""'TP# look up'!A:C""),3,0),"""")"),"")</f>
        <v/>
      </c>
      <c r="AH5392" s="49">
        <f>LEFT(J5392,2)</f>
        <v/>
      </c>
    </row>
    <row r="5393" ht="12.75" customHeight="1">
      <c r="H5393" s="43" t="n"/>
      <c r="AG5393" s="49">
        <f>IFERROR(__xludf.DUMMYFUNCTION("IFNA(vlookup(H5393,IMPORTRANGE(""1vUGwO1n0QQGx9kKbO0_M5gmuhXZ6-LaxQxgrmJnzgP0"",""'TP# look up'!A:C""),3,0),"""")"),"")</f>
        <v/>
      </c>
      <c r="AH5393" s="49">
        <f>LEFT(J5393,2)</f>
        <v/>
      </c>
    </row>
    <row r="5394" ht="12.75" customHeight="1">
      <c r="H5394" s="43" t="n"/>
      <c r="AG5394" s="49">
        <f>IFERROR(__xludf.DUMMYFUNCTION("IFNA(vlookup(H5394,IMPORTRANGE(""1vUGwO1n0QQGx9kKbO0_M5gmuhXZ6-LaxQxgrmJnzgP0"",""'TP# look up'!A:C""),3,0),"""")"),"")</f>
        <v/>
      </c>
      <c r="AH5394" s="49">
        <f>LEFT(J5394,2)</f>
        <v/>
      </c>
    </row>
    <row r="5395" ht="12.75" customHeight="1">
      <c r="H5395" s="43" t="n"/>
      <c r="AG5395" s="49">
        <f>IFERROR(__xludf.DUMMYFUNCTION("IFNA(vlookup(H5395,IMPORTRANGE(""1vUGwO1n0QQGx9kKbO0_M5gmuhXZ6-LaxQxgrmJnzgP0"",""'TP# look up'!A:C""),3,0),"""")"),"")</f>
        <v/>
      </c>
      <c r="AH5395" s="49">
        <f>LEFT(J5395,2)</f>
        <v/>
      </c>
    </row>
    <row r="5396" ht="12.75" customHeight="1">
      <c r="H5396" s="43" t="n"/>
      <c r="AG5396" s="49">
        <f>IFERROR(__xludf.DUMMYFUNCTION("IFNA(vlookup(H5396,IMPORTRANGE(""1vUGwO1n0QQGx9kKbO0_M5gmuhXZ6-LaxQxgrmJnzgP0"",""'TP# look up'!A:C""),3,0),"""")"),"")</f>
        <v/>
      </c>
      <c r="AH5396" s="49">
        <f>LEFT(J5396,2)</f>
        <v/>
      </c>
    </row>
    <row r="5397" ht="12.75" customHeight="1">
      <c r="H5397" s="43" t="n"/>
      <c r="AG5397" s="49">
        <f>IFERROR(__xludf.DUMMYFUNCTION("IFNA(vlookup(H5397,IMPORTRANGE(""1vUGwO1n0QQGx9kKbO0_M5gmuhXZ6-LaxQxgrmJnzgP0"",""'TP# look up'!A:C""),3,0),"""")"),"")</f>
        <v/>
      </c>
      <c r="AH5397" s="49">
        <f>LEFT(J5397,2)</f>
        <v/>
      </c>
    </row>
    <row r="5398" ht="12.75" customHeight="1">
      <c r="H5398" s="43" t="n"/>
      <c r="AG5398" s="49">
        <f>IFERROR(__xludf.DUMMYFUNCTION("IFNA(vlookup(H5398,IMPORTRANGE(""1vUGwO1n0QQGx9kKbO0_M5gmuhXZ6-LaxQxgrmJnzgP0"",""'TP# look up'!A:C""),3,0),"""")"),"")</f>
        <v/>
      </c>
      <c r="AH5398" s="49">
        <f>LEFT(J5398,2)</f>
        <v/>
      </c>
    </row>
    <row r="5399" ht="12.75" customHeight="1">
      <c r="H5399" s="43" t="n"/>
      <c r="AG5399" s="49">
        <f>IFERROR(__xludf.DUMMYFUNCTION("IFNA(vlookup(H5399,IMPORTRANGE(""1vUGwO1n0QQGx9kKbO0_M5gmuhXZ6-LaxQxgrmJnzgP0"",""'TP# look up'!A:C""),3,0),"""")"),"")</f>
        <v/>
      </c>
      <c r="AH5399" s="49">
        <f>LEFT(J5399,2)</f>
        <v/>
      </c>
    </row>
    <row r="5400" ht="12.75" customHeight="1">
      <c r="H5400" s="43" t="n"/>
      <c r="AG5400" s="49">
        <f>IFERROR(__xludf.DUMMYFUNCTION("IFNA(vlookup(H5400,IMPORTRANGE(""1vUGwO1n0QQGx9kKbO0_M5gmuhXZ6-LaxQxgrmJnzgP0"",""'TP# look up'!A:C""),3,0),"""")"),"")</f>
        <v/>
      </c>
      <c r="AH5400" s="49">
        <f>LEFT(J5400,2)</f>
        <v/>
      </c>
    </row>
    <row r="5401" ht="12.75" customHeight="1">
      <c r="H5401" s="43" t="n"/>
      <c r="AG5401" s="49">
        <f>IFERROR(__xludf.DUMMYFUNCTION("IFNA(vlookup(H5401,IMPORTRANGE(""1vUGwO1n0QQGx9kKbO0_M5gmuhXZ6-LaxQxgrmJnzgP0"",""'TP# look up'!A:C""),3,0),"""")"),"")</f>
        <v/>
      </c>
      <c r="AH5401" s="49">
        <f>LEFT(J5401,2)</f>
        <v/>
      </c>
    </row>
    <row r="5402" ht="12.75" customHeight="1">
      <c r="H5402" s="43" t="n"/>
      <c r="AG5402" s="49">
        <f>IFERROR(__xludf.DUMMYFUNCTION("IFNA(vlookup(H5402,IMPORTRANGE(""1vUGwO1n0QQGx9kKbO0_M5gmuhXZ6-LaxQxgrmJnzgP0"",""'TP# look up'!A:C""),3,0),"""")"),"")</f>
        <v/>
      </c>
      <c r="AH5402" s="49">
        <f>LEFT(J5402,2)</f>
        <v/>
      </c>
    </row>
    <row r="5403" ht="12.75" customHeight="1">
      <c r="H5403" s="43" t="n"/>
      <c r="AG5403" s="49">
        <f>IFERROR(__xludf.DUMMYFUNCTION("IFNA(vlookup(H5403,IMPORTRANGE(""1vUGwO1n0QQGx9kKbO0_M5gmuhXZ6-LaxQxgrmJnzgP0"",""'TP# look up'!A:C""),3,0),"""")"),"")</f>
        <v/>
      </c>
      <c r="AH5403" s="49">
        <f>LEFT(J5403,2)</f>
        <v/>
      </c>
    </row>
    <row r="5404" ht="12.75" customHeight="1">
      <c r="H5404" s="43" t="n"/>
      <c r="AG5404" s="49">
        <f>IFERROR(__xludf.DUMMYFUNCTION("IFNA(vlookup(H5404,IMPORTRANGE(""1vUGwO1n0QQGx9kKbO0_M5gmuhXZ6-LaxQxgrmJnzgP0"",""'TP# look up'!A:C""),3,0),"""")"),"")</f>
        <v/>
      </c>
      <c r="AH5404" s="49">
        <f>LEFT(J5404,2)</f>
        <v/>
      </c>
    </row>
    <row r="5405" ht="12.75" customHeight="1">
      <c r="H5405" s="43" t="n"/>
      <c r="AG5405" s="49">
        <f>IFERROR(__xludf.DUMMYFUNCTION("IFNA(vlookup(H5405,IMPORTRANGE(""1vUGwO1n0QQGx9kKbO0_M5gmuhXZ6-LaxQxgrmJnzgP0"",""'TP# look up'!A:C""),3,0),"""")"),"")</f>
        <v/>
      </c>
      <c r="AH5405" s="49">
        <f>LEFT(J5405,2)</f>
        <v/>
      </c>
    </row>
    <row r="5406" ht="12.75" customHeight="1">
      <c r="H5406" s="43" t="n"/>
      <c r="AG5406" s="49">
        <f>IFERROR(__xludf.DUMMYFUNCTION("IFNA(vlookup(H5406,IMPORTRANGE(""1vUGwO1n0QQGx9kKbO0_M5gmuhXZ6-LaxQxgrmJnzgP0"",""'TP# look up'!A:C""),3,0),"""")"),"")</f>
        <v/>
      </c>
      <c r="AH5406" s="49">
        <f>LEFT(J5406,2)</f>
        <v/>
      </c>
    </row>
    <row r="5407" ht="12.75" customHeight="1">
      <c r="H5407" s="43" t="n"/>
      <c r="AG5407" s="49">
        <f>IFERROR(__xludf.DUMMYFUNCTION("IFNA(vlookup(H5407,IMPORTRANGE(""1vUGwO1n0QQGx9kKbO0_M5gmuhXZ6-LaxQxgrmJnzgP0"",""'TP# look up'!A:C""),3,0),"""")"),"")</f>
        <v/>
      </c>
      <c r="AH5407" s="49">
        <f>LEFT(J5407,2)</f>
        <v/>
      </c>
    </row>
    <row r="5408" ht="12.75" customHeight="1">
      <c r="H5408" s="43" t="n"/>
      <c r="AG5408" s="49">
        <f>IFERROR(__xludf.DUMMYFUNCTION("IFNA(vlookup(H5408,IMPORTRANGE(""1vUGwO1n0QQGx9kKbO0_M5gmuhXZ6-LaxQxgrmJnzgP0"",""'TP# look up'!A:C""),3,0),"""")"),"")</f>
        <v/>
      </c>
      <c r="AH5408" s="49">
        <f>LEFT(J5408,2)</f>
        <v/>
      </c>
    </row>
    <row r="5409" ht="12.75" customHeight="1">
      <c r="H5409" s="43" t="n"/>
      <c r="AG5409" s="49">
        <f>IFERROR(__xludf.DUMMYFUNCTION("IFNA(vlookup(H5409,IMPORTRANGE(""1vUGwO1n0QQGx9kKbO0_M5gmuhXZ6-LaxQxgrmJnzgP0"",""'TP# look up'!A:C""),3,0),"""")"),"")</f>
        <v/>
      </c>
      <c r="AH5409" s="49">
        <f>LEFT(J5409,2)</f>
        <v/>
      </c>
    </row>
    <row r="5410" ht="12.75" customHeight="1">
      <c r="H5410" s="43" t="n"/>
      <c r="AG5410" s="49">
        <f>IFERROR(__xludf.DUMMYFUNCTION("IFNA(vlookup(H5410,IMPORTRANGE(""1vUGwO1n0QQGx9kKbO0_M5gmuhXZ6-LaxQxgrmJnzgP0"",""'TP# look up'!A:C""),3,0),"""")"),"")</f>
        <v/>
      </c>
      <c r="AH5410" s="49">
        <f>LEFT(J5410,2)</f>
        <v/>
      </c>
    </row>
    <row r="5411" ht="12.75" customHeight="1">
      <c r="H5411" s="43" t="n"/>
      <c r="AG5411" s="49">
        <f>IFERROR(__xludf.DUMMYFUNCTION("IFNA(vlookup(H5411,IMPORTRANGE(""1vUGwO1n0QQGx9kKbO0_M5gmuhXZ6-LaxQxgrmJnzgP0"",""'TP# look up'!A:C""),3,0),"""")"),"")</f>
        <v/>
      </c>
      <c r="AH5411" s="49">
        <f>LEFT(J5411,2)</f>
        <v/>
      </c>
    </row>
    <row r="5412" ht="12.75" customHeight="1">
      <c r="H5412" s="43" t="n"/>
      <c r="AG5412" s="49">
        <f>IFERROR(__xludf.DUMMYFUNCTION("IFNA(vlookup(H5412,IMPORTRANGE(""1vUGwO1n0QQGx9kKbO0_M5gmuhXZ6-LaxQxgrmJnzgP0"",""'TP# look up'!A:C""),3,0),"""")"),"")</f>
        <v/>
      </c>
      <c r="AH5412" s="49">
        <f>LEFT(J5412,2)</f>
        <v/>
      </c>
    </row>
    <row r="5413" ht="12.75" customHeight="1">
      <c r="H5413" s="43" t="n"/>
      <c r="AG5413" s="49">
        <f>IFERROR(__xludf.DUMMYFUNCTION("IFNA(vlookup(H5413,IMPORTRANGE(""1vUGwO1n0QQGx9kKbO0_M5gmuhXZ6-LaxQxgrmJnzgP0"",""'TP# look up'!A:C""),3,0),"""")"),"")</f>
        <v/>
      </c>
      <c r="AH5413" s="49">
        <f>LEFT(J5413,2)</f>
        <v/>
      </c>
    </row>
    <row r="5414" ht="12.75" customHeight="1">
      <c r="H5414" s="43" t="n"/>
      <c r="AG5414" s="49">
        <f>IFERROR(__xludf.DUMMYFUNCTION("IFNA(vlookup(H5414,IMPORTRANGE(""1vUGwO1n0QQGx9kKbO0_M5gmuhXZ6-LaxQxgrmJnzgP0"",""'TP# look up'!A:C""),3,0),"""")"),"")</f>
        <v/>
      </c>
      <c r="AH5414" s="49">
        <f>LEFT(J5414,2)</f>
        <v/>
      </c>
    </row>
    <row r="5415" ht="12.75" customHeight="1">
      <c r="H5415" s="43" t="n"/>
      <c r="AG5415" s="49">
        <f>IFERROR(__xludf.DUMMYFUNCTION("IFNA(vlookup(H5415,IMPORTRANGE(""1vUGwO1n0QQGx9kKbO0_M5gmuhXZ6-LaxQxgrmJnzgP0"",""'TP# look up'!A:C""),3,0),"""")"),"")</f>
        <v/>
      </c>
      <c r="AH5415" s="49">
        <f>LEFT(J5415,2)</f>
        <v/>
      </c>
    </row>
    <row r="5416" ht="12.75" customHeight="1">
      <c r="H5416" s="43" t="n"/>
      <c r="AG5416" s="49">
        <f>IFERROR(__xludf.DUMMYFUNCTION("IFNA(vlookup(H5416,IMPORTRANGE(""1vUGwO1n0QQGx9kKbO0_M5gmuhXZ6-LaxQxgrmJnzgP0"",""'TP# look up'!A:C""),3,0),"""")"),"")</f>
        <v/>
      </c>
      <c r="AH5416" s="49">
        <f>LEFT(J5416,2)</f>
        <v/>
      </c>
    </row>
    <row r="5417" ht="12.75" customHeight="1">
      <c r="H5417" s="43" t="n"/>
      <c r="AG5417" s="49">
        <f>IFERROR(__xludf.DUMMYFUNCTION("IFNA(vlookup(H5417,IMPORTRANGE(""1vUGwO1n0QQGx9kKbO0_M5gmuhXZ6-LaxQxgrmJnzgP0"",""'TP# look up'!A:C""),3,0),"""")"),"")</f>
        <v/>
      </c>
      <c r="AH5417" s="49">
        <f>LEFT(J5417,2)</f>
        <v/>
      </c>
    </row>
    <row r="5418" ht="12.75" customHeight="1">
      <c r="H5418" s="43" t="n"/>
      <c r="AG5418" s="49">
        <f>IFERROR(__xludf.DUMMYFUNCTION("IFNA(vlookup(H5418,IMPORTRANGE(""1vUGwO1n0QQGx9kKbO0_M5gmuhXZ6-LaxQxgrmJnzgP0"",""'TP# look up'!A:C""),3,0),"""")"),"")</f>
        <v/>
      </c>
      <c r="AH5418" s="49">
        <f>LEFT(J5418,2)</f>
        <v/>
      </c>
    </row>
    <row r="5419" ht="12.75" customHeight="1">
      <c r="H5419" s="43" t="n"/>
      <c r="AG5419" s="49">
        <f>IFERROR(__xludf.DUMMYFUNCTION("IFNA(vlookup(H5419,IMPORTRANGE(""1vUGwO1n0QQGx9kKbO0_M5gmuhXZ6-LaxQxgrmJnzgP0"",""'TP# look up'!A:C""),3,0),"""")"),"")</f>
        <v/>
      </c>
      <c r="AH5419" s="49">
        <f>LEFT(J5419,2)</f>
        <v/>
      </c>
    </row>
    <row r="5420" ht="12.75" customHeight="1">
      <c r="H5420" s="43" t="n"/>
      <c r="AG5420" s="49">
        <f>IFERROR(__xludf.DUMMYFUNCTION("IFNA(vlookup(H5420,IMPORTRANGE(""1vUGwO1n0QQGx9kKbO0_M5gmuhXZ6-LaxQxgrmJnzgP0"",""'TP# look up'!A:C""),3,0),"""")"),"")</f>
        <v/>
      </c>
      <c r="AH5420" s="49">
        <f>LEFT(J5420,2)</f>
        <v/>
      </c>
    </row>
    <row r="5421" ht="12.75" customHeight="1">
      <c r="H5421" s="43" t="n"/>
      <c r="AG5421" s="49">
        <f>IFERROR(__xludf.DUMMYFUNCTION("IFNA(vlookup(H5421,IMPORTRANGE(""1vUGwO1n0QQGx9kKbO0_M5gmuhXZ6-LaxQxgrmJnzgP0"",""'TP# look up'!A:C""),3,0),"""")"),"")</f>
        <v/>
      </c>
      <c r="AH5421" s="49">
        <f>LEFT(J5421,2)</f>
        <v/>
      </c>
    </row>
    <row r="5422" ht="12.75" customHeight="1">
      <c r="H5422" s="43" t="n"/>
      <c r="AG5422" s="49">
        <f>IFERROR(__xludf.DUMMYFUNCTION("IFNA(vlookup(H5422,IMPORTRANGE(""1vUGwO1n0QQGx9kKbO0_M5gmuhXZ6-LaxQxgrmJnzgP0"",""'TP# look up'!A:C""),3,0),"""")"),"")</f>
        <v/>
      </c>
      <c r="AH5422" s="49">
        <f>LEFT(J5422,2)</f>
        <v/>
      </c>
    </row>
    <row r="5423" ht="12.75" customHeight="1">
      <c r="H5423" s="43" t="n"/>
      <c r="AG5423" s="49">
        <f>IFERROR(__xludf.DUMMYFUNCTION("IFNA(vlookup(H5423,IMPORTRANGE(""1vUGwO1n0QQGx9kKbO0_M5gmuhXZ6-LaxQxgrmJnzgP0"",""'TP# look up'!A:C""),3,0),"""")"),"")</f>
        <v/>
      </c>
      <c r="AH5423" s="49">
        <f>LEFT(J5423,2)</f>
        <v/>
      </c>
    </row>
    <row r="5424" ht="12.75" customHeight="1">
      <c r="H5424" s="43" t="n"/>
      <c r="AG5424" s="49">
        <f>IFERROR(__xludf.DUMMYFUNCTION("IFNA(vlookup(H5424,IMPORTRANGE(""1vUGwO1n0QQGx9kKbO0_M5gmuhXZ6-LaxQxgrmJnzgP0"",""'TP# look up'!A:C""),3,0),"""")"),"")</f>
        <v/>
      </c>
      <c r="AH5424" s="49">
        <f>LEFT(J5424,2)</f>
        <v/>
      </c>
    </row>
    <row r="5425" ht="12.75" customHeight="1">
      <c r="H5425" s="43" t="n"/>
      <c r="AG5425" s="49">
        <f>IFERROR(__xludf.DUMMYFUNCTION("IFNA(vlookup(H5425,IMPORTRANGE(""1vUGwO1n0QQGx9kKbO0_M5gmuhXZ6-LaxQxgrmJnzgP0"",""'TP# look up'!A:C""),3,0),"""")"),"")</f>
        <v/>
      </c>
      <c r="AH5425" s="49">
        <f>LEFT(J5425,2)</f>
        <v/>
      </c>
    </row>
    <row r="5426" ht="12.75" customHeight="1">
      <c r="H5426" s="43" t="n"/>
      <c r="AG5426" s="49">
        <f>IFERROR(__xludf.DUMMYFUNCTION("IFNA(vlookup(H5426,IMPORTRANGE(""1vUGwO1n0QQGx9kKbO0_M5gmuhXZ6-LaxQxgrmJnzgP0"",""'TP# look up'!A:C""),3,0),"""")"),"")</f>
        <v/>
      </c>
      <c r="AH5426" s="49">
        <f>LEFT(J5426,2)</f>
        <v/>
      </c>
    </row>
    <row r="5427" ht="12.75" customHeight="1">
      <c r="H5427" s="43" t="n"/>
      <c r="AG5427" s="49">
        <f>IFERROR(__xludf.DUMMYFUNCTION("IFNA(vlookup(H5427,IMPORTRANGE(""1vUGwO1n0QQGx9kKbO0_M5gmuhXZ6-LaxQxgrmJnzgP0"",""'TP# look up'!A:C""),3,0),"""")"),"")</f>
        <v/>
      </c>
      <c r="AH5427" s="49">
        <f>LEFT(J5427,2)</f>
        <v/>
      </c>
    </row>
    <row r="5428" ht="12.75" customHeight="1">
      <c r="H5428" s="43" t="n"/>
      <c r="AG5428" s="49">
        <f>IFERROR(__xludf.DUMMYFUNCTION("IFNA(vlookup(H5428,IMPORTRANGE(""1vUGwO1n0QQGx9kKbO0_M5gmuhXZ6-LaxQxgrmJnzgP0"",""'TP# look up'!A:C""),3,0),"""")"),"")</f>
        <v/>
      </c>
      <c r="AH5428" s="49">
        <f>LEFT(J5428,2)</f>
        <v/>
      </c>
    </row>
    <row r="5429" ht="12.75" customHeight="1">
      <c r="H5429" s="43" t="n"/>
      <c r="AG5429" s="49">
        <f>IFERROR(__xludf.DUMMYFUNCTION("IFNA(vlookup(H5429,IMPORTRANGE(""1vUGwO1n0QQGx9kKbO0_M5gmuhXZ6-LaxQxgrmJnzgP0"",""'TP# look up'!A:C""),3,0),"""")"),"")</f>
        <v/>
      </c>
      <c r="AH5429" s="49">
        <f>LEFT(J5429,2)</f>
        <v/>
      </c>
    </row>
    <row r="5430" ht="12.75" customHeight="1">
      <c r="H5430" s="43" t="n"/>
      <c r="AG5430" s="49">
        <f>IFERROR(__xludf.DUMMYFUNCTION("IFNA(vlookup(H5430,IMPORTRANGE(""1vUGwO1n0QQGx9kKbO0_M5gmuhXZ6-LaxQxgrmJnzgP0"",""'TP# look up'!A:C""),3,0),"""")"),"")</f>
        <v/>
      </c>
      <c r="AH5430" s="49">
        <f>LEFT(J5430,2)</f>
        <v/>
      </c>
    </row>
    <row r="5431" ht="12.75" customHeight="1">
      <c r="H5431" s="43" t="n"/>
      <c r="AG5431" s="49">
        <f>IFERROR(__xludf.DUMMYFUNCTION("IFNA(vlookup(H5431,IMPORTRANGE(""1vUGwO1n0QQGx9kKbO0_M5gmuhXZ6-LaxQxgrmJnzgP0"",""'TP# look up'!A:C""),3,0),"""")"),"")</f>
        <v/>
      </c>
      <c r="AH5431" s="49">
        <f>LEFT(J5431,2)</f>
        <v/>
      </c>
    </row>
    <row r="5432" ht="12.75" customHeight="1">
      <c r="H5432" s="43" t="n"/>
      <c r="AG5432" s="49">
        <f>IFERROR(__xludf.DUMMYFUNCTION("IFNA(vlookup(H5432,IMPORTRANGE(""1vUGwO1n0QQGx9kKbO0_M5gmuhXZ6-LaxQxgrmJnzgP0"",""'TP# look up'!A:C""),3,0),"""")"),"")</f>
        <v/>
      </c>
      <c r="AH5432" s="49">
        <f>LEFT(J5432,2)</f>
        <v/>
      </c>
    </row>
    <row r="5433" ht="12.75" customHeight="1">
      <c r="H5433" s="43" t="n"/>
      <c r="AG5433" s="49">
        <f>IFERROR(__xludf.DUMMYFUNCTION("IFNA(vlookup(H5433,IMPORTRANGE(""1vUGwO1n0QQGx9kKbO0_M5gmuhXZ6-LaxQxgrmJnzgP0"",""'TP# look up'!A:C""),3,0),"""")"),"")</f>
        <v/>
      </c>
      <c r="AH5433" s="49">
        <f>LEFT(J5433,2)</f>
        <v/>
      </c>
    </row>
    <row r="5434" ht="12.75" customHeight="1">
      <c r="H5434" s="43" t="n"/>
      <c r="AG5434" s="49">
        <f>IFERROR(__xludf.DUMMYFUNCTION("IFNA(vlookup(H5434,IMPORTRANGE(""1vUGwO1n0QQGx9kKbO0_M5gmuhXZ6-LaxQxgrmJnzgP0"",""'TP# look up'!A:C""),3,0),"""")"),"")</f>
        <v/>
      </c>
      <c r="AH5434" s="49">
        <f>LEFT(J5434,2)</f>
        <v/>
      </c>
    </row>
    <row r="5435" ht="12.75" customHeight="1">
      <c r="H5435" s="43" t="n"/>
      <c r="AG5435" s="49">
        <f>IFERROR(__xludf.DUMMYFUNCTION("IFNA(vlookup(H5435,IMPORTRANGE(""1vUGwO1n0QQGx9kKbO0_M5gmuhXZ6-LaxQxgrmJnzgP0"",""'TP# look up'!A:C""),3,0),"""")"),"")</f>
        <v/>
      </c>
      <c r="AH5435" s="49">
        <f>LEFT(J5435,2)</f>
        <v/>
      </c>
    </row>
    <row r="5436" ht="12.75" customHeight="1">
      <c r="H5436" s="43" t="n"/>
      <c r="AG5436" s="49">
        <f>IFERROR(__xludf.DUMMYFUNCTION("IFNA(vlookup(H5436,IMPORTRANGE(""1vUGwO1n0QQGx9kKbO0_M5gmuhXZ6-LaxQxgrmJnzgP0"",""'TP# look up'!A:C""),3,0),"""")"),"")</f>
        <v/>
      </c>
      <c r="AH5436" s="49">
        <f>LEFT(J5436,2)</f>
        <v/>
      </c>
    </row>
    <row r="5437" ht="12.75" customHeight="1">
      <c r="H5437" s="43" t="n"/>
      <c r="AG5437" s="49">
        <f>IFERROR(__xludf.DUMMYFUNCTION("IFNA(vlookup(H5437,IMPORTRANGE(""1vUGwO1n0QQGx9kKbO0_M5gmuhXZ6-LaxQxgrmJnzgP0"",""'TP# look up'!A:C""),3,0),"""")"),"")</f>
        <v/>
      </c>
      <c r="AH5437" s="49">
        <f>LEFT(J5437,2)</f>
        <v/>
      </c>
    </row>
    <row r="5438" ht="12.75" customHeight="1">
      <c r="H5438" s="43" t="n"/>
      <c r="AG5438" s="49">
        <f>IFERROR(__xludf.DUMMYFUNCTION("IFNA(vlookup(H5438,IMPORTRANGE(""1vUGwO1n0QQGx9kKbO0_M5gmuhXZ6-LaxQxgrmJnzgP0"",""'TP# look up'!A:C""),3,0),"""")"),"")</f>
        <v/>
      </c>
      <c r="AH5438" s="49">
        <f>LEFT(J5438,2)</f>
        <v/>
      </c>
    </row>
    <row r="5439" ht="12.75" customHeight="1">
      <c r="H5439" s="43" t="n"/>
      <c r="AG5439" s="49">
        <f>IFERROR(__xludf.DUMMYFUNCTION("IFNA(vlookup(H5439,IMPORTRANGE(""1vUGwO1n0QQGx9kKbO0_M5gmuhXZ6-LaxQxgrmJnzgP0"",""'TP# look up'!A:C""),3,0),"""")"),"")</f>
        <v/>
      </c>
      <c r="AH5439" s="49">
        <f>LEFT(J5439,2)</f>
        <v/>
      </c>
    </row>
    <row r="5440" ht="12.75" customHeight="1">
      <c r="H5440" s="43" t="n"/>
      <c r="AG5440" s="49">
        <f>IFERROR(__xludf.DUMMYFUNCTION("IFNA(vlookup(H5440,IMPORTRANGE(""1vUGwO1n0QQGx9kKbO0_M5gmuhXZ6-LaxQxgrmJnzgP0"",""'TP# look up'!A:C""),3,0),"""")"),"")</f>
        <v/>
      </c>
      <c r="AH5440" s="49">
        <f>LEFT(J5440,2)</f>
        <v/>
      </c>
    </row>
    <row r="5441" ht="12.75" customHeight="1">
      <c r="H5441" s="43" t="n"/>
      <c r="AG5441" s="49">
        <f>IFERROR(__xludf.DUMMYFUNCTION("IFNA(vlookup(H5441,IMPORTRANGE(""1vUGwO1n0QQGx9kKbO0_M5gmuhXZ6-LaxQxgrmJnzgP0"",""'TP# look up'!A:C""),3,0),"""")"),"")</f>
        <v/>
      </c>
      <c r="AH5441" s="49">
        <f>LEFT(J5441,2)</f>
        <v/>
      </c>
    </row>
    <row r="5442" ht="12.75" customHeight="1">
      <c r="H5442" s="43" t="n"/>
      <c r="AG5442" s="49">
        <f>IFERROR(__xludf.DUMMYFUNCTION("IFNA(vlookup(H5442,IMPORTRANGE(""1vUGwO1n0QQGx9kKbO0_M5gmuhXZ6-LaxQxgrmJnzgP0"",""'TP# look up'!A:C""),3,0),"""")"),"")</f>
        <v/>
      </c>
      <c r="AH5442" s="49">
        <f>LEFT(J5442,2)</f>
        <v/>
      </c>
    </row>
    <row r="5443" ht="12.75" customHeight="1">
      <c r="H5443" s="43" t="n"/>
      <c r="AG5443" s="49">
        <f>IFERROR(__xludf.DUMMYFUNCTION("IFNA(vlookup(H5443,IMPORTRANGE(""1vUGwO1n0QQGx9kKbO0_M5gmuhXZ6-LaxQxgrmJnzgP0"",""'TP# look up'!A:C""),3,0),"""")"),"")</f>
        <v/>
      </c>
      <c r="AH5443" s="49">
        <f>LEFT(J5443,2)</f>
        <v/>
      </c>
    </row>
    <row r="5444" ht="12.75" customHeight="1">
      <c r="H5444" s="43" t="n"/>
      <c r="AG5444" s="49">
        <f>IFERROR(__xludf.DUMMYFUNCTION("IFNA(vlookup(H5444,IMPORTRANGE(""1vUGwO1n0QQGx9kKbO0_M5gmuhXZ6-LaxQxgrmJnzgP0"",""'TP# look up'!A:C""),3,0),"""")"),"")</f>
        <v/>
      </c>
      <c r="AH5444" s="49">
        <f>LEFT(J5444,2)</f>
        <v/>
      </c>
    </row>
    <row r="5445" ht="12.75" customHeight="1">
      <c r="H5445" s="43" t="n"/>
      <c r="AG5445" s="49">
        <f>IFERROR(__xludf.DUMMYFUNCTION("IFNA(vlookup(H5445,IMPORTRANGE(""1vUGwO1n0QQGx9kKbO0_M5gmuhXZ6-LaxQxgrmJnzgP0"",""'TP# look up'!A:C""),3,0),"""")"),"")</f>
        <v/>
      </c>
      <c r="AH5445" s="49">
        <f>LEFT(J5445,2)</f>
        <v/>
      </c>
    </row>
    <row r="5446" ht="12.75" customHeight="1">
      <c r="H5446" s="43" t="n"/>
      <c r="AG5446" s="49">
        <f>IFERROR(__xludf.DUMMYFUNCTION("IFNA(vlookup(H5446,IMPORTRANGE(""1vUGwO1n0QQGx9kKbO0_M5gmuhXZ6-LaxQxgrmJnzgP0"",""'TP# look up'!A:C""),3,0),"""")"),"")</f>
        <v/>
      </c>
      <c r="AH5446" s="49">
        <f>LEFT(J5446,2)</f>
        <v/>
      </c>
    </row>
    <row r="5447" ht="12.75" customHeight="1">
      <c r="H5447" s="43" t="n"/>
      <c r="AG5447" s="49">
        <f>IFERROR(__xludf.DUMMYFUNCTION("IFNA(vlookup(H5447,IMPORTRANGE(""1vUGwO1n0QQGx9kKbO0_M5gmuhXZ6-LaxQxgrmJnzgP0"",""'TP# look up'!A:C""),3,0),"""")"),"")</f>
        <v/>
      </c>
      <c r="AH5447" s="49">
        <f>LEFT(J5447,2)</f>
        <v/>
      </c>
    </row>
    <row r="5448" ht="12.75" customHeight="1">
      <c r="H5448" s="43" t="n"/>
      <c r="AG5448" s="49">
        <f>IFERROR(__xludf.DUMMYFUNCTION("IFNA(vlookup(H5448,IMPORTRANGE(""1vUGwO1n0QQGx9kKbO0_M5gmuhXZ6-LaxQxgrmJnzgP0"",""'TP# look up'!A:C""),3,0),"""")"),"")</f>
        <v/>
      </c>
      <c r="AH5448" s="49">
        <f>LEFT(J5448,2)</f>
        <v/>
      </c>
    </row>
    <row r="5449" ht="12.75" customHeight="1">
      <c r="H5449" s="43" t="n"/>
      <c r="AG5449" s="49">
        <f>IFERROR(__xludf.DUMMYFUNCTION("IFNA(vlookup(H5449,IMPORTRANGE(""1vUGwO1n0QQGx9kKbO0_M5gmuhXZ6-LaxQxgrmJnzgP0"",""'TP# look up'!A:C""),3,0),"""")"),"")</f>
        <v/>
      </c>
      <c r="AH5449" s="49">
        <f>LEFT(J5449,2)</f>
        <v/>
      </c>
    </row>
    <row r="5450" ht="12.75" customHeight="1">
      <c r="H5450" s="43" t="n"/>
      <c r="AG5450" s="49">
        <f>IFERROR(__xludf.DUMMYFUNCTION("IFNA(vlookup(H5450,IMPORTRANGE(""1vUGwO1n0QQGx9kKbO0_M5gmuhXZ6-LaxQxgrmJnzgP0"",""'TP# look up'!A:C""),3,0),"""")"),"")</f>
        <v/>
      </c>
      <c r="AH5450" s="49">
        <f>LEFT(J5450,2)</f>
        <v/>
      </c>
    </row>
    <row r="5451" ht="12.75" customHeight="1">
      <c r="H5451" s="43" t="n"/>
      <c r="AG5451" s="49">
        <f>IFERROR(__xludf.DUMMYFUNCTION("IFNA(vlookup(H5451,IMPORTRANGE(""1vUGwO1n0QQGx9kKbO0_M5gmuhXZ6-LaxQxgrmJnzgP0"",""'TP# look up'!A:C""),3,0),"""")"),"")</f>
        <v/>
      </c>
      <c r="AH5451" s="49">
        <f>LEFT(J5451,2)</f>
        <v/>
      </c>
    </row>
    <row r="5452" ht="12.75" customHeight="1">
      <c r="H5452" s="43" t="n"/>
      <c r="AG5452" s="49">
        <f>IFERROR(__xludf.DUMMYFUNCTION("IFNA(vlookup(H5452,IMPORTRANGE(""1vUGwO1n0QQGx9kKbO0_M5gmuhXZ6-LaxQxgrmJnzgP0"",""'TP# look up'!A:C""),3,0),"""")"),"")</f>
        <v/>
      </c>
      <c r="AH5452" s="49">
        <f>LEFT(J5452,2)</f>
        <v/>
      </c>
    </row>
    <row r="5453" ht="12.75" customHeight="1">
      <c r="H5453" s="43" t="n"/>
      <c r="AG5453" s="49">
        <f>IFERROR(__xludf.DUMMYFUNCTION("IFNA(vlookup(H5453,IMPORTRANGE(""1vUGwO1n0QQGx9kKbO0_M5gmuhXZ6-LaxQxgrmJnzgP0"",""'TP# look up'!A:C""),3,0),"""")"),"")</f>
        <v/>
      </c>
      <c r="AH5453" s="49">
        <f>LEFT(J5453,2)</f>
        <v/>
      </c>
    </row>
    <row r="5454" ht="12.75" customHeight="1">
      <c r="H5454" s="43" t="n"/>
      <c r="AG5454" s="49">
        <f>IFERROR(__xludf.DUMMYFUNCTION("IFNA(vlookup(H5454,IMPORTRANGE(""1vUGwO1n0QQGx9kKbO0_M5gmuhXZ6-LaxQxgrmJnzgP0"",""'TP# look up'!A:C""),3,0),"""")"),"")</f>
        <v/>
      </c>
      <c r="AH5454" s="49">
        <f>LEFT(J5454,2)</f>
        <v/>
      </c>
    </row>
    <row r="5455" ht="12.75" customHeight="1">
      <c r="H5455" s="43" t="n"/>
      <c r="AG5455" s="49">
        <f>IFERROR(__xludf.DUMMYFUNCTION("IFNA(vlookup(H5455,IMPORTRANGE(""1vUGwO1n0QQGx9kKbO0_M5gmuhXZ6-LaxQxgrmJnzgP0"",""'TP# look up'!A:C""),3,0),"""")"),"")</f>
        <v/>
      </c>
      <c r="AH5455" s="49">
        <f>LEFT(J5455,2)</f>
        <v/>
      </c>
    </row>
    <row r="5456" ht="12.75" customHeight="1">
      <c r="H5456" s="43" t="n"/>
      <c r="AG5456" s="49">
        <f>IFERROR(__xludf.DUMMYFUNCTION("IFNA(vlookup(H5456,IMPORTRANGE(""1vUGwO1n0QQGx9kKbO0_M5gmuhXZ6-LaxQxgrmJnzgP0"",""'TP# look up'!A:C""),3,0),"""")"),"")</f>
        <v/>
      </c>
      <c r="AH5456" s="49">
        <f>LEFT(J5456,2)</f>
        <v/>
      </c>
    </row>
    <row r="5457" ht="12.75" customHeight="1">
      <c r="H5457" s="43" t="n"/>
      <c r="AG5457" s="49">
        <f>IFERROR(__xludf.DUMMYFUNCTION("IFNA(vlookup(H5457,IMPORTRANGE(""1vUGwO1n0QQGx9kKbO0_M5gmuhXZ6-LaxQxgrmJnzgP0"",""'TP# look up'!A:C""),3,0),"""")"),"")</f>
        <v/>
      </c>
      <c r="AH5457" s="49">
        <f>LEFT(J5457,2)</f>
        <v/>
      </c>
    </row>
    <row r="5458" ht="12.75" customHeight="1">
      <c r="H5458" s="43" t="n"/>
      <c r="AG5458" s="49">
        <f>IFERROR(__xludf.DUMMYFUNCTION("IFNA(vlookup(H5458,IMPORTRANGE(""1vUGwO1n0QQGx9kKbO0_M5gmuhXZ6-LaxQxgrmJnzgP0"",""'TP# look up'!A:C""),3,0),"""")"),"")</f>
        <v/>
      </c>
      <c r="AH5458" s="49">
        <f>LEFT(J5458,2)</f>
        <v/>
      </c>
    </row>
    <row r="5459" ht="12.75" customHeight="1">
      <c r="H5459" s="43" t="n"/>
      <c r="AG5459" s="49">
        <f>IFERROR(__xludf.DUMMYFUNCTION("IFNA(vlookup(H5459,IMPORTRANGE(""1vUGwO1n0QQGx9kKbO0_M5gmuhXZ6-LaxQxgrmJnzgP0"",""'TP# look up'!A:C""),3,0),"""")"),"")</f>
        <v/>
      </c>
      <c r="AH5459" s="49">
        <f>LEFT(J5459,2)</f>
        <v/>
      </c>
    </row>
    <row r="5460" ht="12.75" customHeight="1">
      <c r="H5460" s="43" t="n"/>
      <c r="AG5460" s="49">
        <f>IFERROR(__xludf.DUMMYFUNCTION("IFNA(vlookup(H5460,IMPORTRANGE(""1vUGwO1n0QQGx9kKbO0_M5gmuhXZ6-LaxQxgrmJnzgP0"",""'TP# look up'!A:C""),3,0),"""")"),"")</f>
        <v/>
      </c>
      <c r="AH5460" s="49">
        <f>LEFT(J5460,2)</f>
        <v/>
      </c>
    </row>
    <row r="5461" ht="12.75" customHeight="1">
      <c r="H5461" s="43" t="n"/>
      <c r="AG5461" s="49">
        <f>IFERROR(__xludf.DUMMYFUNCTION("IFNA(vlookup(H5461,IMPORTRANGE(""1vUGwO1n0QQGx9kKbO0_M5gmuhXZ6-LaxQxgrmJnzgP0"",""'TP# look up'!A:C""),3,0),"""")"),"")</f>
        <v/>
      </c>
      <c r="AH5461" s="49">
        <f>LEFT(J5461,2)</f>
        <v/>
      </c>
    </row>
    <row r="5462" ht="12.75" customHeight="1">
      <c r="H5462" s="43" t="n"/>
      <c r="AG5462" s="49">
        <f>IFERROR(__xludf.DUMMYFUNCTION("IFNA(vlookup(H5462,IMPORTRANGE(""1vUGwO1n0QQGx9kKbO0_M5gmuhXZ6-LaxQxgrmJnzgP0"",""'TP# look up'!A:C""),3,0),"""")"),"")</f>
        <v/>
      </c>
      <c r="AH5462" s="49">
        <f>LEFT(J5462,2)</f>
        <v/>
      </c>
    </row>
    <row r="5463" ht="12.75" customHeight="1">
      <c r="H5463" s="43" t="n"/>
      <c r="AG5463" s="49">
        <f>IFERROR(__xludf.DUMMYFUNCTION("IFNA(vlookup(H5463,IMPORTRANGE(""1vUGwO1n0QQGx9kKbO0_M5gmuhXZ6-LaxQxgrmJnzgP0"",""'TP# look up'!A:C""),3,0),"""")"),"")</f>
        <v/>
      </c>
      <c r="AH5463" s="49">
        <f>LEFT(J5463,2)</f>
        <v/>
      </c>
    </row>
    <row r="5464" ht="12.75" customHeight="1">
      <c r="H5464" s="43" t="n"/>
      <c r="AG5464" s="49">
        <f>IFERROR(__xludf.DUMMYFUNCTION("IFNA(vlookup(H5464,IMPORTRANGE(""1vUGwO1n0QQGx9kKbO0_M5gmuhXZ6-LaxQxgrmJnzgP0"",""'TP# look up'!A:C""),3,0),"""")"),"")</f>
        <v/>
      </c>
      <c r="AH5464" s="49">
        <f>LEFT(J5464,2)</f>
        <v/>
      </c>
    </row>
    <row r="5465" ht="12.75" customHeight="1">
      <c r="H5465" s="43" t="n"/>
      <c r="AG5465" s="49">
        <f>IFERROR(__xludf.DUMMYFUNCTION("IFNA(vlookup(H5465,IMPORTRANGE(""1vUGwO1n0QQGx9kKbO0_M5gmuhXZ6-LaxQxgrmJnzgP0"",""'TP# look up'!A:C""),3,0),"""")"),"")</f>
        <v/>
      </c>
      <c r="AH5465" s="49">
        <f>LEFT(J5465,2)</f>
        <v/>
      </c>
    </row>
    <row r="5466" ht="12.75" customHeight="1">
      <c r="H5466" s="43" t="n"/>
      <c r="AG5466" s="49">
        <f>IFERROR(__xludf.DUMMYFUNCTION("IFNA(vlookup(H5466,IMPORTRANGE(""1vUGwO1n0QQGx9kKbO0_M5gmuhXZ6-LaxQxgrmJnzgP0"",""'TP# look up'!A:C""),3,0),"""")"),"")</f>
        <v/>
      </c>
      <c r="AH5466" s="49">
        <f>LEFT(J5466,2)</f>
        <v/>
      </c>
    </row>
    <row r="5467" ht="12.75" customHeight="1">
      <c r="H5467" s="43" t="n"/>
      <c r="AG5467" s="49">
        <f>IFERROR(__xludf.DUMMYFUNCTION("IFNA(vlookup(H5467,IMPORTRANGE(""1vUGwO1n0QQGx9kKbO0_M5gmuhXZ6-LaxQxgrmJnzgP0"",""'TP# look up'!A:C""),3,0),"""")"),"")</f>
        <v/>
      </c>
      <c r="AH5467" s="49">
        <f>LEFT(J5467,2)</f>
        <v/>
      </c>
    </row>
    <row r="5468" ht="12.75" customHeight="1">
      <c r="H5468" s="43" t="n"/>
      <c r="AG5468" s="49">
        <f>IFERROR(__xludf.DUMMYFUNCTION("IFNA(vlookup(H5468,IMPORTRANGE(""1vUGwO1n0QQGx9kKbO0_M5gmuhXZ6-LaxQxgrmJnzgP0"",""'TP# look up'!A:C""),3,0),"""")"),"")</f>
        <v/>
      </c>
      <c r="AH5468" s="49">
        <f>LEFT(J5468,2)</f>
        <v/>
      </c>
    </row>
    <row r="5469" ht="12.75" customHeight="1">
      <c r="H5469" s="43" t="n"/>
      <c r="AG5469" s="49">
        <f>IFERROR(__xludf.DUMMYFUNCTION("IFNA(vlookup(H5469,IMPORTRANGE(""1vUGwO1n0QQGx9kKbO0_M5gmuhXZ6-LaxQxgrmJnzgP0"",""'TP# look up'!A:C""),3,0),"""")"),"")</f>
        <v/>
      </c>
      <c r="AH5469" s="49">
        <f>LEFT(J5469,2)</f>
        <v/>
      </c>
    </row>
    <row r="5470" ht="12.75" customHeight="1">
      <c r="H5470" s="43" t="n"/>
      <c r="AG5470" s="49">
        <f>IFERROR(__xludf.DUMMYFUNCTION("IFNA(vlookup(H5470,IMPORTRANGE(""1vUGwO1n0QQGx9kKbO0_M5gmuhXZ6-LaxQxgrmJnzgP0"",""'TP# look up'!A:C""),3,0),"""")"),"")</f>
        <v/>
      </c>
      <c r="AH5470" s="49">
        <f>LEFT(J5470,2)</f>
        <v/>
      </c>
    </row>
    <row r="5471" ht="12.75" customHeight="1">
      <c r="H5471" s="43" t="n"/>
      <c r="AG5471" s="49">
        <f>IFERROR(__xludf.DUMMYFUNCTION("IFNA(vlookup(H5471,IMPORTRANGE(""1vUGwO1n0QQGx9kKbO0_M5gmuhXZ6-LaxQxgrmJnzgP0"",""'TP# look up'!A:C""),3,0),"""")"),"")</f>
        <v/>
      </c>
      <c r="AH5471" s="49">
        <f>LEFT(J5471,2)</f>
        <v/>
      </c>
    </row>
    <row r="5472" ht="12.75" customHeight="1">
      <c r="H5472" s="43" t="n"/>
      <c r="AG5472" s="49">
        <f>IFERROR(__xludf.DUMMYFUNCTION("IFNA(vlookup(H5472,IMPORTRANGE(""1vUGwO1n0QQGx9kKbO0_M5gmuhXZ6-LaxQxgrmJnzgP0"",""'TP# look up'!A:C""),3,0),"""")"),"")</f>
        <v/>
      </c>
      <c r="AH5472" s="49">
        <f>LEFT(J5472,2)</f>
        <v/>
      </c>
    </row>
    <row r="5473" ht="12.75" customHeight="1">
      <c r="H5473" s="43" t="n"/>
      <c r="AG5473" s="49">
        <f>IFERROR(__xludf.DUMMYFUNCTION("IFNA(vlookup(H5473,IMPORTRANGE(""1vUGwO1n0QQGx9kKbO0_M5gmuhXZ6-LaxQxgrmJnzgP0"",""'TP# look up'!A:C""),3,0),"""")"),"")</f>
        <v/>
      </c>
      <c r="AH5473" s="49">
        <f>LEFT(J5473,2)</f>
        <v/>
      </c>
    </row>
    <row r="5474" ht="12.75" customHeight="1">
      <c r="H5474" s="43" t="n"/>
      <c r="AG5474" s="49">
        <f>IFERROR(__xludf.DUMMYFUNCTION("IFNA(vlookup(H5474,IMPORTRANGE(""1vUGwO1n0QQGx9kKbO0_M5gmuhXZ6-LaxQxgrmJnzgP0"",""'TP# look up'!A:C""),3,0),"""")"),"")</f>
        <v/>
      </c>
      <c r="AH5474" s="49">
        <f>LEFT(J5474,2)</f>
        <v/>
      </c>
    </row>
    <row r="5475" ht="12.75" customHeight="1">
      <c r="H5475" s="43" t="n"/>
      <c r="AG5475" s="49">
        <f>IFERROR(__xludf.DUMMYFUNCTION("IFNA(vlookup(H5475,IMPORTRANGE(""1vUGwO1n0QQGx9kKbO0_M5gmuhXZ6-LaxQxgrmJnzgP0"",""'TP# look up'!A:C""),3,0),"""")"),"")</f>
        <v/>
      </c>
      <c r="AH5475" s="49">
        <f>LEFT(J5475,2)</f>
        <v/>
      </c>
    </row>
    <row r="5476" ht="12.75" customHeight="1">
      <c r="H5476" s="43" t="n"/>
      <c r="AG5476" s="49">
        <f>IFERROR(__xludf.DUMMYFUNCTION("IFNA(vlookup(H5476,IMPORTRANGE(""1vUGwO1n0QQGx9kKbO0_M5gmuhXZ6-LaxQxgrmJnzgP0"",""'TP# look up'!A:C""),3,0),"""")"),"")</f>
        <v/>
      </c>
      <c r="AH5476" s="49">
        <f>LEFT(J5476,2)</f>
        <v/>
      </c>
    </row>
    <row r="5477" ht="12.75" customHeight="1">
      <c r="H5477" s="43" t="n"/>
      <c r="AG5477" s="49">
        <f>IFERROR(__xludf.DUMMYFUNCTION("IFNA(vlookup(H5477,IMPORTRANGE(""1vUGwO1n0QQGx9kKbO0_M5gmuhXZ6-LaxQxgrmJnzgP0"",""'TP# look up'!A:C""),3,0),"""")"),"")</f>
        <v/>
      </c>
      <c r="AH5477" s="49">
        <f>LEFT(J5477,2)</f>
        <v/>
      </c>
    </row>
    <row r="5478" ht="12.75" customHeight="1">
      <c r="H5478" s="43" t="n"/>
      <c r="AG5478" s="49">
        <f>IFERROR(__xludf.DUMMYFUNCTION("IFNA(vlookup(H5478,IMPORTRANGE(""1vUGwO1n0QQGx9kKbO0_M5gmuhXZ6-LaxQxgrmJnzgP0"",""'TP# look up'!A:C""),3,0),"""")"),"")</f>
        <v/>
      </c>
      <c r="AH5478" s="49">
        <f>LEFT(J5478,2)</f>
        <v/>
      </c>
    </row>
    <row r="5479" ht="12.75" customHeight="1">
      <c r="H5479" s="43" t="n"/>
      <c r="AG5479" s="49">
        <f>IFERROR(__xludf.DUMMYFUNCTION("IFNA(vlookup(H5479,IMPORTRANGE(""1vUGwO1n0QQGx9kKbO0_M5gmuhXZ6-LaxQxgrmJnzgP0"",""'TP# look up'!A:C""),3,0),"""")"),"")</f>
        <v/>
      </c>
      <c r="AH5479" s="49">
        <f>LEFT(J5479,2)</f>
        <v/>
      </c>
    </row>
    <row r="5480" ht="12.75" customHeight="1">
      <c r="H5480" s="43" t="n"/>
      <c r="AG5480" s="49">
        <f>IFERROR(__xludf.DUMMYFUNCTION("IFNA(vlookup(H5480,IMPORTRANGE(""1vUGwO1n0QQGx9kKbO0_M5gmuhXZ6-LaxQxgrmJnzgP0"",""'TP# look up'!A:C""),3,0),"""")"),"")</f>
        <v/>
      </c>
      <c r="AH5480" s="49">
        <f>LEFT(J5480,2)</f>
        <v/>
      </c>
    </row>
    <row r="5481" ht="12.75" customHeight="1">
      <c r="H5481" s="43" t="n"/>
      <c r="AG5481" s="49">
        <f>IFERROR(__xludf.DUMMYFUNCTION("IFNA(vlookup(H5481,IMPORTRANGE(""1vUGwO1n0QQGx9kKbO0_M5gmuhXZ6-LaxQxgrmJnzgP0"",""'TP# look up'!A:C""),3,0),"""")"),"")</f>
        <v/>
      </c>
      <c r="AH5481" s="49">
        <f>LEFT(J5481,2)</f>
        <v/>
      </c>
    </row>
    <row r="5482" ht="12.75" customHeight="1">
      <c r="H5482" s="43" t="n"/>
      <c r="AG5482" s="49">
        <f>IFERROR(__xludf.DUMMYFUNCTION("IFNA(vlookup(H5482,IMPORTRANGE(""1vUGwO1n0QQGx9kKbO0_M5gmuhXZ6-LaxQxgrmJnzgP0"",""'TP# look up'!A:C""),3,0),"""")"),"")</f>
        <v/>
      </c>
      <c r="AH5482" s="49">
        <f>LEFT(J5482,2)</f>
        <v/>
      </c>
    </row>
    <row r="5483" ht="12.75" customHeight="1">
      <c r="H5483" s="43" t="n"/>
      <c r="AG5483" s="49">
        <f>IFERROR(__xludf.DUMMYFUNCTION("IFNA(vlookup(H5483,IMPORTRANGE(""1vUGwO1n0QQGx9kKbO0_M5gmuhXZ6-LaxQxgrmJnzgP0"",""'TP# look up'!A:C""),3,0),"""")"),"")</f>
        <v/>
      </c>
      <c r="AH5483" s="49">
        <f>LEFT(J5483,2)</f>
        <v/>
      </c>
    </row>
    <row r="5484" ht="12.75" customHeight="1">
      <c r="H5484" s="43" t="n"/>
      <c r="AG5484" s="49">
        <f>IFERROR(__xludf.DUMMYFUNCTION("IFNA(vlookup(H5484,IMPORTRANGE(""1vUGwO1n0QQGx9kKbO0_M5gmuhXZ6-LaxQxgrmJnzgP0"",""'TP# look up'!A:C""),3,0),"""")"),"")</f>
        <v/>
      </c>
      <c r="AH5484" s="49">
        <f>LEFT(J5484,2)</f>
        <v/>
      </c>
    </row>
    <row r="5485" ht="12.75" customHeight="1">
      <c r="H5485" s="43" t="n"/>
      <c r="AG5485" s="49">
        <f>IFERROR(__xludf.DUMMYFUNCTION("IFNA(vlookup(H5485,IMPORTRANGE(""1vUGwO1n0QQGx9kKbO0_M5gmuhXZ6-LaxQxgrmJnzgP0"",""'TP# look up'!A:C""),3,0),"""")"),"")</f>
        <v/>
      </c>
      <c r="AH5485" s="49">
        <f>LEFT(J5485,2)</f>
        <v/>
      </c>
    </row>
    <row r="5486" ht="12.75" customHeight="1">
      <c r="H5486" s="43" t="n"/>
      <c r="AG5486" s="49">
        <f>IFERROR(__xludf.DUMMYFUNCTION("IFNA(vlookup(H5486,IMPORTRANGE(""1vUGwO1n0QQGx9kKbO0_M5gmuhXZ6-LaxQxgrmJnzgP0"",""'TP# look up'!A:C""),3,0),"""")"),"")</f>
        <v/>
      </c>
      <c r="AH5486" s="49">
        <f>LEFT(J5486,2)</f>
        <v/>
      </c>
    </row>
    <row r="5487" ht="12.75" customHeight="1">
      <c r="H5487" s="43" t="n"/>
      <c r="AG5487" s="49">
        <f>IFERROR(__xludf.DUMMYFUNCTION("IFNA(vlookup(H5487,IMPORTRANGE(""1vUGwO1n0QQGx9kKbO0_M5gmuhXZ6-LaxQxgrmJnzgP0"",""'TP# look up'!A:C""),3,0),"""")"),"")</f>
        <v/>
      </c>
      <c r="AH5487" s="49">
        <f>LEFT(J5487,2)</f>
        <v/>
      </c>
    </row>
    <row r="5488" ht="12.75" customHeight="1">
      <c r="H5488" s="43" t="n"/>
      <c r="AG5488" s="49">
        <f>IFERROR(__xludf.DUMMYFUNCTION("IFNA(vlookup(H5488,IMPORTRANGE(""1vUGwO1n0QQGx9kKbO0_M5gmuhXZ6-LaxQxgrmJnzgP0"",""'TP# look up'!A:C""),3,0),"""")"),"")</f>
        <v/>
      </c>
      <c r="AH5488" s="49">
        <f>LEFT(J5488,2)</f>
        <v/>
      </c>
    </row>
    <row r="5489" ht="12.75" customHeight="1">
      <c r="H5489" s="43" t="n"/>
      <c r="AG5489" s="49">
        <f>IFERROR(__xludf.DUMMYFUNCTION("IFNA(vlookup(H5489,IMPORTRANGE(""1vUGwO1n0QQGx9kKbO0_M5gmuhXZ6-LaxQxgrmJnzgP0"",""'TP# look up'!A:C""),3,0),"""")"),"")</f>
        <v/>
      </c>
      <c r="AH5489" s="49">
        <f>LEFT(J5489,2)</f>
        <v/>
      </c>
    </row>
    <row r="5490" ht="12.75" customHeight="1">
      <c r="H5490" s="43" t="n"/>
      <c r="AG5490" s="49">
        <f>IFERROR(__xludf.DUMMYFUNCTION("IFNA(vlookup(H5490,IMPORTRANGE(""1vUGwO1n0QQGx9kKbO0_M5gmuhXZ6-LaxQxgrmJnzgP0"",""'TP# look up'!A:C""),3,0),"""")"),"")</f>
        <v/>
      </c>
      <c r="AH5490" s="49">
        <f>LEFT(J5490,2)</f>
        <v/>
      </c>
    </row>
    <row r="5491" ht="12.75" customHeight="1">
      <c r="H5491" s="43" t="n"/>
      <c r="AG5491" s="49">
        <f>IFERROR(__xludf.DUMMYFUNCTION("IFNA(vlookup(H5491,IMPORTRANGE(""1vUGwO1n0QQGx9kKbO0_M5gmuhXZ6-LaxQxgrmJnzgP0"",""'TP# look up'!A:C""),3,0),"""")"),"")</f>
        <v/>
      </c>
      <c r="AH5491" s="49">
        <f>LEFT(J5491,2)</f>
        <v/>
      </c>
    </row>
    <row r="5492" ht="12.75" customHeight="1">
      <c r="H5492" s="43" t="n"/>
      <c r="AG5492" s="49">
        <f>IFERROR(__xludf.DUMMYFUNCTION("IFNA(vlookup(H5492,IMPORTRANGE(""1vUGwO1n0QQGx9kKbO0_M5gmuhXZ6-LaxQxgrmJnzgP0"",""'TP# look up'!A:C""),3,0),"""")"),"")</f>
        <v/>
      </c>
      <c r="AH5492" s="49">
        <f>LEFT(J5492,2)</f>
        <v/>
      </c>
    </row>
    <row r="5493" ht="12.75" customHeight="1">
      <c r="H5493" s="43" t="n"/>
      <c r="AG5493" s="49">
        <f>IFERROR(__xludf.DUMMYFUNCTION("IFNA(vlookup(H5493,IMPORTRANGE(""1vUGwO1n0QQGx9kKbO0_M5gmuhXZ6-LaxQxgrmJnzgP0"",""'TP# look up'!A:C""),3,0),"""")"),"")</f>
        <v/>
      </c>
      <c r="AH5493" s="49">
        <f>LEFT(J5493,2)</f>
        <v/>
      </c>
    </row>
    <row r="5494" ht="12.75" customHeight="1">
      <c r="H5494" s="43" t="n"/>
      <c r="AG5494" s="49">
        <f>IFERROR(__xludf.DUMMYFUNCTION("IFNA(vlookup(H5494,IMPORTRANGE(""1vUGwO1n0QQGx9kKbO0_M5gmuhXZ6-LaxQxgrmJnzgP0"",""'TP# look up'!A:C""),3,0),"""")"),"")</f>
        <v/>
      </c>
      <c r="AH5494" s="49">
        <f>LEFT(J5494,2)</f>
        <v/>
      </c>
    </row>
    <row r="5495" ht="12.75" customHeight="1">
      <c r="H5495" s="43" t="n"/>
      <c r="AG5495" s="49">
        <f>IFERROR(__xludf.DUMMYFUNCTION("IFNA(vlookup(H5495,IMPORTRANGE(""1vUGwO1n0QQGx9kKbO0_M5gmuhXZ6-LaxQxgrmJnzgP0"",""'TP# look up'!A:C""),3,0),"""")"),"")</f>
        <v/>
      </c>
      <c r="AH5495" s="49">
        <f>LEFT(J5495,2)</f>
        <v/>
      </c>
    </row>
    <row r="5496" ht="12.75" customHeight="1">
      <c r="H5496" s="43" t="n"/>
      <c r="AG5496" s="49">
        <f>IFERROR(__xludf.DUMMYFUNCTION("IFNA(vlookup(H5496,IMPORTRANGE(""1vUGwO1n0QQGx9kKbO0_M5gmuhXZ6-LaxQxgrmJnzgP0"",""'TP# look up'!A:C""),3,0),"""")"),"")</f>
        <v/>
      </c>
      <c r="AH5496" s="49">
        <f>LEFT(J5496,2)</f>
        <v/>
      </c>
    </row>
    <row r="5497" ht="12.75" customHeight="1">
      <c r="H5497" s="43" t="n"/>
      <c r="AG5497" s="49">
        <f>IFERROR(__xludf.DUMMYFUNCTION("IFNA(vlookup(H5497,IMPORTRANGE(""1vUGwO1n0QQGx9kKbO0_M5gmuhXZ6-LaxQxgrmJnzgP0"",""'TP# look up'!A:C""),3,0),"""")"),"")</f>
        <v/>
      </c>
      <c r="AH5497" s="49">
        <f>LEFT(J5497,2)</f>
        <v/>
      </c>
    </row>
    <row r="5498" ht="12.75" customHeight="1">
      <c r="H5498" s="43" t="n"/>
      <c r="AG5498" s="49">
        <f>IFERROR(__xludf.DUMMYFUNCTION("IFNA(vlookup(H5498,IMPORTRANGE(""1vUGwO1n0QQGx9kKbO0_M5gmuhXZ6-LaxQxgrmJnzgP0"",""'TP# look up'!A:C""),3,0),"""")"),"")</f>
        <v/>
      </c>
      <c r="AH5498" s="49">
        <f>LEFT(J5498,2)</f>
        <v/>
      </c>
    </row>
    <row r="5499" ht="12.75" customHeight="1">
      <c r="H5499" s="43" t="n"/>
      <c r="AG5499" s="49">
        <f>IFERROR(__xludf.DUMMYFUNCTION("IFNA(vlookup(H5499,IMPORTRANGE(""1vUGwO1n0QQGx9kKbO0_M5gmuhXZ6-LaxQxgrmJnzgP0"",""'TP# look up'!A:C""),3,0),"""")"),"")</f>
        <v/>
      </c>
      <c r="AH5499" s="49">
        <f>LEFT(J5499,2)</f>
        <v/>
      </c>
    </row>
    <row r="5500" ht="12.75" customHeight="1">
      <c r="H5500" s="43" t="n"/>
      <c r="AG5500" s="49">
        <f>IFERROR(__xludf.DUMMYFUNCTION("IFNA(vlookup(H5500,IMPORTRANGE(""1vUGwO1n0QQGx9kKbO0_M5gmuhXZ6-LaxQxgrmJnzgP0"",""'TP# look up'!A:C""),3,0),"""")"),"")</f>
        <v/>
      </c>
      <c r="AH5500" s="49">
        <f>LEFT(J5500,2)</f>
        <v/>
      </c>
    </row>
    <row r="5501" ht="12.75" customHeight="1">
      <c r="H5501" s="43" t="n"/>
      <c r="AG5501" s="49">
        <f>IFERROR(__xludf.DUMMYFUNCTION("IFNA(vlookup(H5501,IMPORTRANGE(""1vUGwO1n0QQGx9kKbO0_M5gmuhXZ6-LaxQxgrmJnzgP0"",""'TP# look up'!A:C""),3,0),"""")"),"")</f>
        <v/>
      </c>
      <c r="AH5501" s="49">
        <f>LEFT(J5501,2)</f>
        <v/>
      </c>
    </row>
    <row r="5502" ht="12.75" customHeight="1">
      <c r="H5502" s="43" t="n"/>
      <c r="AG5502" s="49">
        <f>IFERROR(__xludf.DUMMYFUNCTION("IFNA(vlookup(H5502,IMPORTRANGE(""1vUGwO1n0QQGx9kKbO0_M5gmuhXZ6-LaxQxgrmJnzgP0"",""'TP# look up'!A:C""),3,0),"""")"),"")</f>
        <v/>
      </c>
      <c r="AH5502" s="49">
        <f>LEFT(J5502,2)</f>
        <v/>
      </c>
    </row>
    <row r="5503" ht="12.75" customHeight="1">
      <c r="H5503" s="43" t="n"/>
      <c r="AG5503" s="49">
        <f>IFERROR(__xludf.DUMMYFUNCTION("IFNA(vlookup(H5503,IMPORTRANGE(""1vUGwO1n0QQGx9kKbO0_M5gmuhXZ6-LaxQxgrmJnzgP0"",""'TP# look up'!A:C""),3,0),"""")"),"")</f>
        <v/>
      </c>
      <c r="AH5503" s="49">
        <f>LEFT(J5503,2)</f>
        <v/>
      </c>
    </row>
    <row r="5504" ht="12.75" customHeight="1">
      <c r="H5504" s="43" t="n"/>
      <c r="AG5504" s="49">
        <f>IFERROR(__xludf.DUMMYFUNCTION("IFNA(vlookup(H5504,IMPORTRANGE(""1vUGwO1n0QQGx9kKbO0_M5gmuhXZ6-LaxQxgrmJnzgP0"",""'TP# look up'!A:C""),3,0),"""")"),"")</f>
        <v/>
      </c>
      <c r="AH5504" s="49">
        <f>LEFT(J5504,2)</f>
        <v/>
      </c>
    </row>
    <row r="5505" ht="12.75" customHeight="1">
      <c r="H5505" s="43" t="n"/>
      <c r="AG5505" s="49">
        <f>IFERROR(__xludf.DUMMYFUNCTION("IFNA(vlookup(H5505,IMPORTRANGE(""1vUGwO1n0QQGx9kKbO0_M5gmuhXZ6-LaxQxgrmJnzgP0"",""'TP# look up'!A:C""),3,0),"""")"),"")</f>
        <v/>
      </c>
      <c r="AH5505" s="49">
        <f>LEFT(J5505,2)</f>
        <v/>
      </c>
    </row>
    <row r="5506" ht="12.75" customHeight="1">
      <c r="H5506" s="43" t="n"/>
      <c r="AG5506" s="49">
        <f>IFERROR(__xludf.DUMMYFUNCTION("IFNA(vlookup(H5506,IMPORTRANGE(""1vUGwO1n0QQGx9kKbO0_M5gmuhXZ6-LaxQxgrmJnzgP0"",""'TP# look up'!A:C""),3,0),"""")"),"")</f>
        <v/>
      </c>
      <c r="AH5506" s="49">
        <f>LEFT(J5506,2)</f>
        <v/>
      </c>
    </row>
    <row r="5507" ht="12.75" customHeight="1">
      <c r="H5507" s="43" t="n"/>
      <c r="AG5507" s="49">
        <f>IFERROR(__xludf.DUMMYFUNCTION("IFNA(vlookup(H5507,IMPORTRANGE(""1vUGwO1n0QQGx9kKbO0_M5gmuhXZ6-LaxQxgrmJnzgP0"",""'TP# look up'!A:C""),3,0),"""")"),"")</f>
        <v/>
      </c>
      <c r="AH5507" s="49">
        <f>LEFT(J5507,2)</f>
        <v/>
      </c>
    </row>
    <row r="5508" ht="12.75" customHeight="1">
      <c r="H5508" s="43" t="n"/>
      <c r="AG5508" s="49">
        <f>IFERROR(__xludf.DUMMYFUNCTION("IFNA(vlookup(H5508,IMPORTRANGE(""1vUGwO1n0QQGx9kKbO0_M5gmuhXZ6-LaxQxgrmJnzgP0"",""'TP# look up'!A:C""),3,0),"""")"),"")</f>
        <v/>
      </c>
      <c r="AH5508" s="49">
        <f>LEFT(J5508,2)</f>
        <v/>
      </c>
    </row>
    <row r="5509" ht="12.75" customHeight="1">
      <c r="H5509" s="43" t="n"/>
      <c r="AG5509" s="49">
        <f>IFERROR(__xludf.DUMMYFUNCTION("IFNA(vlookup(H5509,IMPORTRANGE(""1vUGwO1n0QQGx9kKbO0_M5gmuhXZ6-LaxQxgrmJnzgP0"",""'TP# look up'!A:C""),3,0),"""")"),"")</f>
        <v/>
      </c>
      <c r="AH5509" s="49">
        <f>LEFT(J5509,2)</f>
        <v/>
      </c>
    </row>
    <row r="5510" ht="12.75" customHeight="1">
      <c r="H5510" s="43" t="n"/>
      <c r="AG5510" s="49">
        <f>IFERROR(__xludf.DUMMYFUNCTION("IFNA(vlookup(H5510,IMPORTRANGE(""1vUGwO1n0QQGx9kKbO0_M5gmuhXZ6-LaxQxgrmJnzgP0"",""'TP# look up'!A:C""),3,0),"""")"),"")</f>
        <v/>
      </c>
      <c r="AH5510" s="49">
        <f>LEFT(J5510,2)</f>
        <v/>
      </c>
    </row>
    <row r="5511" ht="12.75" customHeight="1">
      <c r="H5511" s="43" t="n"/>
      <c r="AG5511" s="49">
        <f>IFERROR(__xludf.DUMMYFUNCTION("IFNA(vlookup(H5511,IMPORTRANGE(""1vUGwO1n0QQGx9kKbO0_M5gmuhXZ6-LaxQxgrmJnzgP0"",""'TP# look up'!A:C""),3,0),"""")"),"")</f>
        <v/>
      </c>
      <c r="AH5511" s="49">
        <f>LEFT(J5511,2)</f>
        <v/>
      </c>
    </row>
    <row r="5512" ht="12.75" customHeight="1">
      <c r="H5512" s="43" t="n"/>
      <c r="AG5512" s="49">
        <f>IFERROR(__xludf.DUMMYFUNCTION("IFNA(vlookup(H5512,IMPORTRANGE(""1vUGwO1n0QQGx9kKbO0_M5gmuhXZ6-LaxQxgrmJnzgP0"",""'TP# look up'!A:C""),3,0),"""")"),"")</f>
        <v/>
      </c>
      <c r="AH5512" s="49">
        <f>LEFT(J5512,2)</f>
        <v/>
      </c>
    </row>
    <row r="5513" ht="12.75" customHeight="1">
      <c r="H5513" s="43" t="n"/>
      <c r="AG5513" s="49">
        <f>IFERROR(__xludf.DUMMYFUNCTION("IFNA(vlookup(H5513,IMPORTRANGE(""1vUGwO1n0QQGx9kKbO0_M5gmuhXZ6-LaxQxgrmJnzgP0"",""'TP# look up'!A:C""),3,0),"""")"),"")</f>
        <v/>
      </c>
      <c r="AH5513" s="49">
        <f>LEFT(J5513,2)</f>
        <v/>
      </c>
    </row>
    <row r="5514" ht="12.75" customHeight="1">
      <c r="H5514" s="43" t="n"/>
      <c r="AG5514" s="49">
        <f>IFERROR(__xludf.DUMMYFUNCTION("IFNA(vlookup(H5514,IMPORTRANGE(""1vUGwO1n0QQGx9kKbO0_M5gmuhXZ6-LaxQxgrmJnzgP0"",""'TP# look up'!A:C""),3,0),"""")"),"")</f>
        <v/>
      </c>
      <c r="AH5514" s="49">
        <f>LEFT(J5514,2)</f>
        <v/>
      </c>
    </row>
    <row r="5515" ht="12.75" customHeight="1">
      <c r="H5515" s="43" t="n"/>
      <c r="AG5515" s="49">
        <f>IFERROR(__xludf.DUMMYFUNCTION("IFNA(vlookup(H5515,IMPORTRANGE(""1vUGwO1n0QQGx9kKbO0_M5gmuhXZ6-LaxQxgrmJnzgP0"",""'TP# look up'!A:C""),3,0),"""")"),"")</f>
        <v/>
      </c>
      <c r="AH5515" s="49">
        <f>LEFT(J5515,2)</f>
        <v/>
      </c>
    </row>
    <row r="5516" ht="12.75" customHeight="1">
      <c r="H5516" s="43" t="n"/>
      <c r="AG5516" s="49">
        <f>IFERROR(__xludf.DUMMYFUNCTION("IFNA(vlookup(H5516,IMPORTRANGE(""1vUGwO1n0QQGx9kKbO0_M5gmuhXZ6-LaxQxgrmJnzgP0"",""'TP# look up'!A:C""),3,0),"""")"),"")</f>
        <v/>
      </c>
      <c r="AH5516" s="49">
        <f>LEFT(J5516,2)</f>
        <v/>
      </c>
    </row>
    <row r="5517" ht="12.75" customHeight="1">
      <c r="H5517" s="43" t="n"/>
      <c r="AG5517" s="49">
        <f>IFERROR(__xludf.DUMMYFUNCTION("IFNA(vlookup(H5517,IMPORTRANGE(""1vUGwO1n0QQGx9kKbO0_M5gmuhXZ6-LaxQxgrmJnzgP0"",""'TP# look up'!A:C""),3,0),"""")"),"")</f>
        <v/>
      </c>
      <c r="AH5517" s="49">
        <f>LEFT(J5517,2)</f>
        <v/>
      </c>
    </row>
    <row r="5518" ht="12.75" customHeight="1">
      <c r="H5518" s="43" t="n"/>
      <c r="AG5518" s="49">
        <f>IFERROR(__xludf.DUMMYFUNCTION("IFNA(vlookup(H5518,IMPORTRANGE(""1vUGwO1n0QQGx9kKbO0_M5gmuhXZ6-LaxQxgrmJnzgP0"",""'TP# look up'!A:C""),3,0),"""")"),"")</f>
        <v/>
      </c>
      <c r="AH5518" s="49">
        <f>LEFT(J5518,2)</f>
        <v/>
      </c>
    </row>
    <row r="5519" ht="12.75" customHeight="1">
      <c r="H5519" s="43" t="n"/>
      <c r="AG5519" s="49">
        <f>IFERROR(__xludf.DUMMYFUNCTION("IFNA(vlookup(H5519,IMPORTRANGE(""1vUGwO1n0QQGx9kKbO0_M5gmuhXZ6-LaxQxgrmJnzgP0"",""'TP# look up'!A:C""),3,0),"""")"),"")</f>
        <v/>
      </c>
      <c r="AH5519" s="49">
        <f>LEFT(J5519,2)</f>
        <v/>
      </c>
    </row>
    <row r="5520" ht="12.75" customHeight="1">
      <c r="H5520" s="43" t="n"/>
      <c r="AG5520" s="49">
        <f>IFERROR(__xludf.DUMMYFUNCTION("IFNA(vlookup(H5520,IMPORTRANGE(""1vUGwO1n0QQGx9kKbO0_M5gmuhXZ6-LaxQxgrmJnzgP0"",""'TP# look up'!A:C""),3,0),"""")"),"")</f>
        <v/>
      </c>
      <c r="AH5520" s="49">
        <f>LEFT(J5520,2)</f>
        <v/>
      </c>
    </row>
    <row r="5521" ht="12.75" customHeight="1">
      <c r="H5521" s="43" t="n"/>
      <c r="AG5521" s="49">
        <f>IFERROR(__xludf.DUMMYFUNCTION("IFNA(vlookup(H5521,IMPORTRANGE(""1vUGwO1n0QQGx9kKbO0_M5gmuhXZ6-LaxQxgrmJnzgP0"",""'TP# look up'!A:C""),3,0),"""")"),"")</f>
        <v/>
      </c>
      <c r="AH5521" s="49">
        <f>LEFT(J5521,2)</f>
        <v/>
      </c>
    </row>
    <row r="5522" ht="12.75" customHeight="1">
      <c r="H5522" s="43" t="n"/>
      <c r="AG5522" s="49">
        <f>IFERROR(__xludf.DUMMYFUNCTION("IFNA(vlookup(H5522,IMPORTRANGE(""1vUGwO1n0QQGx9kKbO0_M5gmuhXZ6-LaxQxgrmJnzgP0"",""'TP# look up'!A:C""),3,0),"""")"),"")</f>
        <v/>
      </c>
      <c r="AH5522" s="49">
        <f>LEFT(J5522,2)</f>
        <v/>
      </c>
    </row>
    <row r="5523" ht="12.75" customHeight="1">
      <c r="H5523" s="43" t="n"/>
      <c r="AG5523" s="49">
        <f>IFERROR(__xludf.DUMMYFUNCTION("IFNA(vlookup(H5523,IMPORTRANGE(""1vUGwO1n0QQGx9kKbO0_M5gmuhXZ6-LaxQxgrmJnzgP0"",""'TP# look up'!A:C""),3,0),"""")"),"")</f>
        <v/>
      </c>
      <c r="AH5523" s="49">
        <f>LEFT(J5523,2)</f>
        <v/>
      </c>
    </row>
    <row r="5524" ht="12.75" customHeight="1">
      <c r="H5524" s="43" t="n"/>
      <c r="AG5524" s="49">
        <f>IFERROR(__xludf.DUMMYFUNCTION("IFNA(vlookup(H5524,IMPORTRANGE(""1vUGwO1n0QQGx9kKbO0_M5gmuhXZ6-LaxQxgrmJnzgP0"",""'TP# look up'!A:C""),3,0),"""")"),"")</f>
        <v/>
      </c>
      <c r="AH5524" s="49">
        <f>LEFT(J5524,2)</f>
        <v/>
      </c>
    </row>
    <row r="5525" ht="12.75" customHeight="1">
      <c r="H5525" s="43" t="n"/>
      <c r="AG5525" s="49">
        <f>IFERROR(__xludf.DUMMYFUNCTION("IFNA(vlookup(H5525,IMPORTRANGE(""1vUGwO1n0QQGx9kKbO0_M5gmuhXZ6-LaxQxgrmJnzgP0"",""'TP# look up'!A:C""),3,0),"""")"),"")</f>
        <v/>
      </c>
      <c r="AH5525" s="49">
        <f>LEFT(J5525,2)</f>
        <v/>
      </c>
    </row>
    <row r="5526" ht="12.75" customHeight="1">
      <c r="H5526" s="43" t="n"/>
      <c r="AG5526" s="49">
        <f>IFERROR(__xludf.DUMMYFUNCTION("IFNA(vlookup(H5526,IMPORTRANGE(""1vUGwO1n0QQGx9kKbO0_M5gmuhXZ6-LaxQxgrmJnzgP0"",""'TP# look up'!A:C""),3,0),"""")"),"")</f>
        <v/>
      </c>
      <c r="AH5526" s="49">
        <f>LEFT(J5526,2)</f>
        <v/>
      </c>
    </row>
    <row r="5527" ht="12.75" customHeight="1">
      <c r="H5527" s="43" t="n"/>
      <c r="AG5527" s="49">
        <f>IFERROR(__xludf.DUMMYFUNCTION("IFNA(vlookup(H5527,IMPORTRANGE(""1vUGwO1n0QQGx9kKbO0_M5gmuhXZ6-LaxQxgrmJnzgP0"",""'TP# look up'!A:C""),3,0),"""")"),"")</f>
        <v/>
      </c>
      <c r="AH5527" s="49">
        <f>LEFT(J5527,2)</f>
        <v/>
      </c>
    </row>
    <row r="5528" ht="12.75" customHeight="1">
      <c r="H5528" s="43" t="n"/>
      <c r="AG5528" s="49">
        <f>IFERROR(__xludf.DUMMYFUNCTION("IFNA(vlookup(H5528,IMPORTRANGE(""1vUGwO1n0QQGx9kKbO0_M5gmuhXZ6-LaxQxgrmJnzgP0"",""'TP# look up'!A:C""),3,0),"""")"),"")</f>
        <v/>
      </c>
      <c r="AH5528" s="49">
        <f>LEFT(J5528,2)</f>
        <v/>
      </c>
    </row>
    <row r="5529" ht="12.75" customHeight="1">
      <c r="H5529" s="43" t="n"/>
      <c r="AG5529" s="49">
        <f>IFERROR(__xludf.DUMMYFUNCTION("IFNA(vlookup(H5529,IMPORTRANGE(""1vUGwO1n0QQGx9kKbO0_M5gmuhXZ6-LaxQxgrmJnzgP0"",""'TP# look up'!A:C""),3,0),"""")"),"")</f>
        <v/>
      </c>
      <c r="AH5529" s="49">
        <f>LEFT(J5529,2)</f>
        <v/>
      </c>
    </row>
    <row r="5530" ht="12.75" customHeight="1">
      <c r="H5530" s="43" t="n"/>
      <c r="AG5530" s="49">
        <f>IFERROR(__xludf.DUMMYFUNCTION("IFNA(vlookup(H5530,IMPORTRANGE(""1vUGwO1n0QQGx9kKbO0_M5gmuhXZ6-LaxQxgrmJnzgP0"",""'TP# look up'!A:C""),3,0),"""")"),"")</f>
        <v/>
      </c>
      <c r="AH5530" s="49">
        <f>LEFT(J5530,2)</f>
        <v/>
      </c>
    </row>
    <row r="5531" ht="12.75" customHeight="1">
      <c r="H5531" s="43" t="n"/>
      <c r="AG5531" s="49">
        <f>IFERROR(__xludf.DUMMYFUNCTION("IFNA(vlookup(H5531,IMPORTRANGE(""1vUGwO1n0QQGx9kKbO0_M5gmuhXZ6-LaxQxgrmJnzgP0"",""'TP# look up'!A:C""),3,0),"""")"),"")</f>
        <v/>
      </c>
      <c r="AH5531" s="49">
        <f>LEFT(J5531,2)</f>
        <v/>
      </c>
    </row>
    <row r="5532" ht="12.75" customHeight="1">
      <c r="H5532" s="43" t="n"/>
      <c r="AG5532" s="49">
        <f>IFERROR(__xludf.DUMMYFUNCTION("IFNA(vlookup(H5532,IMPORTRANGE(""1vUGwO1n0QQGx9kKbO0_M5gmuhXZ6-LaxQxgrmJnzgP0"",""'TP# look up'!A:C""),3,0),"""")"),"")</f>
        <v/>
      </c>
      <c r="AH5532" s="49">
        <f>LEFT(J5532,2)</f>
        <v/>
      </c>
    </row>
    <row r="5533" ht="12.75" customHeight="1">
      <c r="H5533" s="43" t="n"/>
      <c r="AG5533" s="49">
        <f>IFERROR(__xludf.DUMMYFUNCTION("IFNA(vlookup(H5533,IMPORTRANGE(""1vUGwO1n0QQGx9kKbO0_M5gmuhXZ6-LaxQxgrmJnzgP0"",""'TP# look up'!A:C""),3,0),"""")"),"")</f>
        <v/>
      </c>
      <c r="AH5533" s="49">
        <f>LEFT(J5533,2)</f>
        <v/>
      </c>
    </row>
    <row r="5534" ht="12.75" customHeight="1">
      <c r="H5534" s="43" t="n"/>
      <c r="AG5534" s="49">
        <f>IFERROR(__xludf.DUMMYFUNCTION("IFNA(vlookup(H5534,IMPORTRANGE(""1vUGwO1n0QQGx9kKbO0_M5gmuhXZ6-LaxQxgrmJnzgP0"",""'TP# look up'!A:C""),3,0),"""")"),"")</f>
        <v/>
      </c>
      <c r="AH5534" s="49">
        <f>LEFT(J5534,2)</f>
        <v/>
      </c>
    </row>
    <row r="5535" ht="12.75" customHeight="1">
      <c r="H5535" s="43" t="n"/>
      <c r="AG5535" s="49">
        <f>IFERROR(__xludf.DUMMYFUNCTION("IFNA(vlookup(H5535,IMPORTRANGE(""1vUGwO1n0QQGx9kKbO0_M5gmuhXZ6-LaxQxgrmJnzgP0"",""'TP# look up'!A:C""),3,0),"""")"),"")</f>
        <v/>
      </c>
      <c r="AH5535" s="49">
        <f>LEFT(J5535,2)</f>
        <v/>
      </c>
    </row>
    <row r="5536" ht="12.75" customHeight="1">
      <c r="H5536" s="43" t="n"/>
      <c r="AG5536" s="49">
        <f>IFERROR(__xludf.DUMMYFUNCTION("IFNA(vlookup(H5536,IMPORTRANGE(""1vUGwO1n0QQGx9kKbO0_M5gmuhXZ6-LaxQxgrmJnzgP0"",""'TP# look up'!A:C""),3,0),"""")"),"")</f>
        <v/>
      </c>
      <c r="AH5536" s="49">
        <f>LEFT(J5536,2)</f>
        <v/>
      </c>
    </row>
    <row r="5537" ht="12.75" customHeight="1">
      <c r="H5537" s="43" t="n"/>
      <c r="AG5537" s="49">
        <f>IFERROR(__xludf.DUMMYFUNCTION("IFNA(vlookup(H5537,IMPORTRANGE(""1vUGwO1n0QQGx9kKbO0_M5gmuhXZ6-LaxQxgrmJnzgP0"",""'TP# look up'!A:C""),3,0),"""")"),"")</f>
        <v/>
      </c>
      <c r="AH5537" s="49">
        <f>LEFT(J5537,2)</f>
        <v/>
      </c>
    </row>
    <row r="5538" ht="12.75" customHeight="1">
      <c r="H5538" s="43" t="n"/>
      <c r="AG5538" s="49">
        <f>IFERROR(__xludf.DUMMYFUNCTION("IFNA(vlookup(H5538,IMPORTRANGE(""1vUGwO1n0QQGx9kKbO0_M5gmuhXZ6-LaxQxgrmJnzgP0"",""'TP# look up'!A:C""),3,0),"""")"),"")</f>
        <v/>
      </c>
      <c r="AH5538" s="49">
        <f>LEFT(J5538,2)</f>
        <v/>
      </c>
    </row>
    <row r="5539" ht="12.75" customHeight="1">
      <c r="H5539" s="43" t="n"/>
      <c r="AG5539" s="49">
        <f>IFERROR(__xludf.DUMMYFUNCTION("IFNA(vlookup(H5539,IMPORTRANGE(""1vUGwO1n0QQGx9kKbO0_M5gmuhXZ6-LaxQxgrmJnzgP0"",""'TP# look up'!A:C""),3,0),"""")"),"")</f>
        <v/>
      </c>
      <c r="AH5539" s="49">
        <f>LEFT(J5539,2)</f>
        <v/>
      </c>
    </row>
    <row r="5540" ht="12.75" customHeight="1">
      <c r="H5540" s="43" t="n"/>
      <c r="AG5540" s="49">
        <f>IFERROR(__xludf.DUMMYFUNCTION("IFNA(vlookup(H5540,IMPORTRANGE(""1vUGwO1n0QQGx9kKbO0_M5gmuhXZ6-LaxQxgrmJnzgP0"",""'TP# look up'!A:C""),3,0),"""")"),"")</f>
        <v/>
      </c>
      <c r="AH5540" s="49">
        <f>LEFT(J5540,2)</f>
        <v/>
      </c>
    </row>
    <row r="5541" ht="12.75" customHeight="1">
      <c r="H5541" s="43" t="n"/>
      <c r="AG5541" s="49">
        <f>IFERROR(__xludf.DUMMYFUNCTION("IFNA(vlookup(H5541,IMPORTRANGE(""1vUGwO1n0QQGx9kKbO0_M5gmuhXZ6-LaxQxgrmJnzgP0"",""'TP# look up'!A:C""),3,0),"""")"),"")</f>
        <v/>
      </c>
      <c r="AH5541" s="49">
        <f>LEFT(J5541,2)</f>
        <v/>
      </c>
    </row>
    <row r="5542" ht="12.75" customHeight="1">
      <c r="H5542" s="43" t="n"/>
      <c r="AG5542" s="49">
        <f>IFERROR(__xludf.DUMMYFUNCTION("IFNA(vlookup(H5542,IMPORTRANGE(""1vUGwO1n0QQGx9kKbO0_M5gmuhXZ6-LaxQxgrmJnzgP0"",""'TP# look up'!A:C""),3,0),"""")"),"")</f>
        <v/>
      </c>
      <c r="AH5542" s="49">
        <f>LEFT(J5542,2)</f>
        <v/>
      </c>
    </row>
    <row r="5543" ht="12.75" customHeight="1">
      <c r="H5543" s="43" t="n"/>
      <c r="AG5543" s="49">
        <f>IFERROR(__xludf.DUMMYFUNCTION("IFNA(vlookup(H5543,IMPORTRANGE(""1vUGwO1n0QQGx9kKbO0_M5gmuhXZ6-LaxQxgrmJnzgP0"",""'TP# look up'!A:C""),3,0),"""")"),"")</f>
        <v/>
      </c>
      <c r="AH5543" s="49">
        <f>LEFT(J5543,2)</f>
        <v/>
      </c>
    </row>
    <row r="5544" ht="12.75" customHeight="1">
      <c r="H5544" s="43" t="n"/>
      <c r="AG5544" s="49">
        <f>IFERROR(__xludf.DUMMYFUNCTION("IFNA(vlookup(H5544,IMPORTRANGE(""1vUGwO1n0QQGx9kKbO0_M5gmuhXZ6-LaxQxgrmJnzgP0"",""'TP# look up'!A:C""),3,0),"""")"),"")</f>
        <v/>
      </c>
      <c r="AH5544" s="49">
        <f>LEFT(J5544,2)</f>
        <v/>
      </c>
    </row>
    <row r="5545" ht="12.75" customHeight="1">
      <c r="H5545" s="43" t="n"/>
      <c r="AG5545" s="49">
        <f>IFERROR(__xludf.DUMMYFUNCTION("IFNA(vlookup(H5545,IMPORTRANGE(""1vUGwO1n0QQGx9kKbO0_M5gmuhXZ6-LaxQxgrmJnzgP0"",""'TP# look up'!A:C""),3,0),"""")"),"")</f>
        <v/>
      </c>
      <c r="AH5545" s="49">
        <f>LEFT(J5545,2)</f>
        <v/>
      </c>
    </row>
    <row r="5546" ht="12.75" customHeight="1">
      <c r="H5546" s="43" t="n"/>
      <c r="AG5546" s="49">
        <f>IFERROR(__xludf.DUMMYFUNCTION("IFNA(vlookup(H5546,IMPORTRANGE(""1vUGwO1n0QQGx9kKbO0_M5gmuhXZ6-LaxQxgrmJnzgP0"",""'TP# look up'!A:C""),3,0),"""")"),"")</f>
        <v/>
      </c>
      <c r="AH5546" s="49">
        <f>LEFT(J5546,2)</f>
        <v/>
      </c>
    </row>
    <row r="5547" ht="12.75" customHeight="1">
      <c r="H5547" s="43" t="n"/>
      <c r="AG5547" s="49">
        <f>IFERROR(__xludf.DUMMYFUNCTION("IFNA(vlookup(H5547,IMPORTRANGE(""1vUGwO1n0QQGx9kKbO0_M5gmuhXZ6-LaxQxgrmJnzgP0"",""'TP# look up'!A:C""),3,0),"""")"),"")</f>
        <v/>
      </c>
      <c r="AH5547" s="49">
        <f>LEFT(J5547,2)</f>
        <v/>
      </c>
    </row>
    <row r="5548" ht="12.75" customHeight="1">
      <c r="H5548" s="43" t="n"/>
      <c r="AG5548" s="49">
        <f>IFERROR(__xludf.DUMMYFUNCTION("IFNA(vlookup(H5548,IMPORTRANGE(""1vUGwO1n0QQGx9kKbO0_M5gmuhXZ6-LaxQxgrmJnzgP0"",""'TP# look up'!A:C""),3,0),"""")"),"")</f>
        <v/>
      </c>
      <c r="AH5548" s="49">
        <f>LEFT(J5548,2)</f>
        <v/>
      </c>
    </row>
    <row r="5549" ht="12.75" customHeight="1">
      <c r="H5549" s="43" t="n"/>
      <c r="AG5549" s="49">
        <f>IFERROR(__xludf.DUMMYFUNCTION("IFNA(vlookup(H5549,IMPORTRANGE(""1vUGwO1n0QQGx9kKbO0_M5gmuhXZ6-LaxQxgrmJnzgP0"",""'TP# look up'!A:C""),3,0),"""")"),"")</f>
        <v/>
      </c>
      <c r="AH5549" s="49">
        <f>LEFT(J5549,2)</f>
        <v/>
      </c>
    </row>
    <row r="5550" ht="12.75" customHeight="1">
      <c r="H5550" s="43" t="n"/>
      <c r="AG5550" s="49">
        <f>IFERROR(__xludf.DUMMYFUNCTION("IFNA(vlookup(H5550,IMPORTRANGE(""1vUGwO1n0QQGx9kKbO0_M5gmuhXZ6-LaxQxgrmJnzgP0"",""'TP# look up'!A:C""),3,0),"""")"),"")</f>
        <v/>
      </c>
      <c r="AH5550" s="49">
        <f>LEFT(J5550,2)</f>
        <v/>
      </c>
    </row>
    <row r="5551" ht="12.75" customHeight="1">
      <c r="H5551" s="43" t="n"/>
      <c r="AG5551" s="49">
        <f>IFERROR(__xludf.DUMMYFUNCTION("IFNA(vlookup(H5551,IMPORTRANGE(""1vUGwO1n0QQGx9kKbO0_M5gmuhXZ6-LaxQxgrmJnzgP0"",""'TP# look up'!A:C""),3,0),"""")"),"")</f>
        <v/>
      </c>
      <c r="AH5551" s="49">
        <f>LEFT(J5551,2)</f>
        <v/>
      </c>
    </row>
    <row r="5552" ht="12.75" customHeight="1">
      <c r="H5552" s="43" t="n"/>
      <c r="AG5552" s="49">
        <f>IFERROR(__xludf.DUMMYFUNCTION("IFNA(vlookup(H5552,IMPORTRANGE(""1vUGwO1n0QQGx9kKbO0_M5gmuhXZ6-LaxQxgrmJnzgP0"",""'TP# look up'!A:C""),3,0),"""")"),"")</f>
        <v/>
      </c>
      <c r="AH5552" s="49">
        <f>LEFT(J5552,2)</f>
        <v/>
      </c>
    </row>
    <row r="5553" ht="12.75" customHeight="1">
      <c r="H5553" s="43" t="n"/>
      <c r="AG5553" s="49">
        <f>IFERROR(__xludf.DUMMYFUNCTION("IFNA(vlookup(H5553,IMPORTRANGE(""1vUGwO1n0QQGx9kKbO0_M5gmuhXZ6-LaxQxgrmJnzgP0"",""'TP# look up'!A:C""),3,0),"""")"),"")</f>
        <v/>
      </c>
      <c r="AH5553" s="49">
        <f>LEFT(J5553,2)</f>
        <v/>
      </c>
    </row>
    <row r="5554" ht="12.75" customHeight="1">
      <c r="H5554" s="43" t="n"/>
      <c r="AG5554" s="49">
        <f>IFERROR(__xludf.DUMMYFUNCTION("IFNA(vlookup(H5554,IMPORTRANGE(""1vUGwO1n0QQGx9kKbO0_M5gmuhXZ6-LaxQxgrmJnzgP0"",""'TP# look up'!A:C""),3,0),"""")"),"")</f>
        <v/>
      </c>
      <c r="AH5554" s="49">
        <f>LEFT(J5554,2)</f>
        <v/>
      </c>
    </row>
    <row r="5555" ht="12.75" customHeight="1">
      <c r="H5555" s="43" t="n"/>
      <c r="AG5555" s="49">
        <f>IFERROR(__xludf.DUMMYFUNCTION("IFNA(vlookup(H5555,IMPORTRANGE(""1vUGwO1n0QQGx9kKbO0_M5gmuhXZ6-LaxQxgrmJnzgP0"",""'TP# look up'!A:C""),3,0),"""")"),"")</f>
        <v/>
      </c>
      <c r="AH5555" s="49">
        <f>LEFT(J5555,2)</f>
        <v/>
      </c>
    </row>
    <row r="5556" ht="12.75" customHeight="1">
      <c r="H5556" s="43" t="n"/>
      <c r="AG5556" s="49">
        <f>IFERROR(__xludf.DUMMYFUNCTION("IFNA(vlookup(H5556,IMPORTRANGE(""1vUGwO1n0QQGx9kKbO0_M5gmuhXZ6-LaxQxgrmJnzgP0"",""'TP# look up'!A:C""),3,0),"""")"),"")</f>
        <v/>
      </c>
      <c r="AH5556" s="49">
        <f>LEFT(J5556,2)</f>
        <v/>
      </c>
    </row>
    <row r="5557" ht="12.75" customHeight="1">
      <c r="H5557" s="43" t="n"/>
      <c r="AG5557" s="49">
        <f>IFERROR(__xludf.DUMMYFUNCTION("IFNA(vlookup(H5557,IMPORTRANGE(""1vUGwO1n0QQGx9kKbO0_M5gmuhXZ6-LaxQxgrmJnzgP0"",""'TP# look up'!A:C""),3,0),"""")"),"")</f>
        <v/>
      </c>
      <c r="AH5557" s="49">
        <f>LEFT(J5557,2)</f>
        <v/>
      </c>
    </row>
    <row r="5558" ht="12.75" customHeight="1">
      <c r="H5558" s="43" t="n"/>
      <c r="AG5558" s="49">
        <f>IFERROR(__xludf.DUMMYFUNCTION("IFNA(vlookup(H5558,IMPORTRANGE(""1vUGwO1n0QQGx9kKbO0_M5gmuhXZ6-LaxQxgrmJnzgP0"",""'TP# look up'!A:C""),3,0),"""")"),"")</f>
        <v/>
      </c>
      <c r="AH5558" s="49">
        <f>LEFT(J5558,2)</f>
        <v/>
      </c>
    </row>
    <row r="5559" ht="12.75" customHeight="1">
      <c r="H5559" s="43" t="n"/>
      <c r="AG5559" s="49">
        <f>IFERROR(__xludf.DUMMYFUNCTION("IFNA(vlookup(H5559,IMPORTRANGE(""1vUGwO1n0QQGx9kKbO0_M5gmuhXZ6-LaxQxgrmJnzgP0"",""'TP# look up'!A:C""),3,0),"""")"),"")</f>
        <v/>
      </c>
      <c r="AH5559" s="49">
        <f>LEFT(J5559,2)</f>
        <v/>
      </c>
    </row>
    <row r="5560" ht="12.75" customHeight="1">
      <c r="H5560" s="43" t="n"/>
      <c r="AG5560" s="49">
        <f>IFERROR(__xludf.DUMMYFUNCTION("IFNA(vlookup(H5560,IMPORTRANGE(""1vUGwO1n0QQGx9kKbO0_M5gmuhXZ6-LaxQxgrmJnzgP0"",""'TP# look up'!A:C""),3,0),"""")"),"")</f>
        <v/>
      </c>
      <c r="AH5560" s="49">
        <f>LEFT(J5560,2)</f>
        <v/>
      </c>
    </row>
    <row r="5561" ht="12.75" customHeight="1">
      <c r="H5561" s="43" t="n"/>
      <c r="AG5561" s="49">
        <f>IFERROR(__xludf.DUMMYFUNCTION("IFNA(vlookup(H5561,IMPORTRANGE(""1vUGwO1n0QQGx9kKbO0_M5gmuhXZ6-LaxQxgrmJnzgP0"",""'TP# look up'!A:C""),3,0),"""")"),"")</f>
        <v/>
      </c>
      <c r="AH5561" s="49">
        <f>LEFT(J5561,2)</f>
        <v/>
      </c>
    </row>
    <row r="5562" ht="12.75" customHeight="1">
      <c r="H5562" s="43" t="n"/>
      <c r="AG5562" s="49">
        <f>IFERROR(__xludf.DUMMYFUNCTION("IFNA(vlookup(H5562,IMPORTRANGE(""1vUGwO1n0QQGx9kKbO0_M5gmuhXZ6-LaxQxgrmJnzgP0"",""'TP# look up'!A:C""),3,0),"""")"),"")</f>
        <v/>
      </c>
      <c r="AH5562" s="49">
        <f>LEFT(J5562,2)</f>
        <v/>
      </c>
    </row>
    <row r="5563" ht="12.75" customHeight="1">
      <c r="H5563" s="43" t="n"/>
      <c r="AG5563" s="49">
        <f>IFERROR(__xludf.DUMMYFUNCTION("IFNA(vlookup(H5563,IMPORTRANGE(""1vUGwO1n0QQGx9kKbO0_M5gmuhXZ6-LaxQxgrmJnzgP0"",""'TP# look up'!A:C""),3,0),"""")"),"")</f>
        <v/>
      </c>
      <c r="AH5563" s="49">
        <f>LEFT(J5563,2)</f>
        <v/>
      </c>
    </row>
    <row r="5564" ht="12.75" customHeight="1">
      <c r="H5564" s="43" t="n"/>
      <c r="AG5564" s="49">
        <f>IFERROR(__xludf.DUMMYFUNCTION("IFNA(vlookup(H5564,IMPORTRANGE(""1vUGwO1n0QQGx9kKbO0_M5gmuhXZ6-LaxQxgrmJnzgP0"",""'TP# look up'!A:C""),3,0),"""")"),"")</f>
        <v/>
      </c>
      <c r="AH5564" s="49">
        <f>LEFT(J5564,2)</f>
        <v/>
      </c>
    </row>
    <row r="5565" ht="12.75" customHeight="1">
      <c r="H5565" s="43" t="n"/>
      <c r="AG5565" s="49">
        <f>IFERROR(__xludf.DUMMYFUNCTION("IFNA(vlookup(H5565,IMPORTRANGE(""1vUGwO1n0QQGx9kKbO0_M5gmuhXZ6-LaxQxgrmJnzgP0"",""'TP# look up'!A:C""),3,0),"""")"),"")</f>
        <v/>
      </c>
      <c r="AH5565" s="49">
        <f>LEFT(J5565,2)</f>
        <v/>
      </c>
    </row>
    <row r="5566" ht="12.75" customHeight="1">
      <c r="H5566" s="43" t="n"/>
      <c r="AG5566" s="49">
        <f>IFERROR(__xludf.DUMMYFUNCTION("IFNA(vlookup(H5566,IMPORTRANGE(""1vUGwO1n0QQGx9kKbO0_M5gmuhXZ6-LaxQxgrmJnzgP0"",""'TP# look up'!A:C""),3,0),"""")"),"")</f>
        <v/>
      </c>
      <c r="AH5566" s="49">
        <f>LEFT(J5566,2)</f>
        <v/>
      </c>
    </row>
    <row r="5567" ht="12.75" customHeight="1">
      <c r="H5567" s="43" t="n"/>
      <c r="AG5567" s="49">
        <f>IFERROR(__xludf.DUMMYFUNCTION("IFNA(vlookup(H5567,IMPORTRANGE(""1vUGwO1n0QQGx9kKbO0_M5gmuhXZ6-LaxQxgrmJnzgP0"",""'TP# look up'!A:C""),3,0),"""")"),"")</f>
        <v/>
      </c>
      <c r="AH5567" s="49">
        <f>LEFT(J5567,2)</f>
        <v/>
      </c>
    </row>
    <row r="5568" ht="12.75" customHeight="1">
      <c r="H5568" s="43" t="n"/>
      <c r="AG5568" s="49">
        <f>IFERROR(__xludf.DUMMYFUNCTION("IFNA(vlookup(H5568,IMPORTRANGE(""1vUGwO1n0QQGx9kKbO0_M5gmuhXZ6-LaxQxgrmJnzgP0"",""'TP# look up'!A:C""),3,0),"""")"),"")</f>
        <v/>
      </c>
      <c r="AH5568" s="49">
        <f>LEFT(J5568,2)</f>
        <v/>
      </c>
    </row>
    <row r="5569" ht="12.75" customHeight="1">
      <c r="H5569" s="43" t="n"/>
      <c r="AG5569" s="49">
        <f>IFERROR(__xludf.DUMMYFUNCTION("IFNA(vlookup(H5569,IMPORTRANGE(""1vUGwO1n0QQGx9kKbO0_M5gmuhXZ6-LaxQxgrmJnzgP0"",""'TP# look up'!A:C""),3,0),"""")"),"")</f>
        <v/>
      </c>
      <c r="AH5569" s="49">
        <f>LEFT(J5569,2)</f>
        <v/>
      </c>
    </row>
    <row r="5570" ht="12.75" customHeight="1">
      <c r="H5570" s="43" t="n"/>
      <c r="AG5570" s="49">
        <f>IFERROR(__xludf.DUMMYFUNCTION("IFNA(vlookup(H5570,IMPORTRANGE(""1vUGwO1n0QQGx9kKbO0_M5gmuhXZ6-LaxQxgrmJnzgP0"",""'TP# look up'!A:C""),3,0),"""")"),"")</f>
        <v/>
      </c>
      <c r="AH5570" s="49">
        <f>LEFT(J5570,2)</f>
        <v/>
      </c>
    </row>
    <row r="5571" ht="12.75" customHeight="1">
      <c r="H5571" s="43" t="n"/>
      <c r="AG5571" s="49">
        <f>IFERROR(__xludf.DUMMYFUNCTION("IFNA(vlookup(H5571,IMPORTRANGE(""1vUGwO1n0QQGx9kKbO0_M5gmuhXZ6-LaxQxgrmJnzgP0"",""'TP# look up'!A:C""),3,0),"""")"),"")</f>
        <v/>
      </c>
      <c r="AH5571" s="49">
        <f>LEFT(J5571,2)</f>
        <v/>
      </c>
    </row>
    <row r="5572" ht="12.75" customHeight="1">
      <c r="H5572" s="43" t="n"/>
      <c r="AG5572" s="49">
        <f>IFERROR(__xludf.DUMMYFUNCTION("IFNA(vlookup(H5572,IMPORTRANGE(""1vUGwO1n0QQGx9kKbO0_M5gmuhXZ6-LaxQxgrmJnzgP0"",""'TP# look up'!A:C""),3,0),"""")"),"")</f>
        <v/>
      </c>
      <c r="AH5572" s="49">
        <f>LEFT(J5572,2)</f>
        <v/>
      </c>
    </row>
    <row r="5573" ht="12.75" customHeight="1">
      <c r="H5573" s="43" t="n"/>
      <c r="AG5573" s="49">
        <f>IFERROR(__xludf.DUMMYFUNCTION("IFNA(vlookup(H5573,IMPORTRANGE(""1vUGwO1n0QQGx9kKbO0_M5gmuhXZ6-LaxQxgrmJnzgP0"",""'TP# look up'!A:C""),3,0),"""")"),"")</f>
        <v/>
      </c>
      <c r="AH5573" s="49">
        <f>LEFT(J5573,2)</f>
        <v/>
      </c>
    </row>
    <row r="5574" ht="12.75" customHeight="1">
      <c r="H5574" s="43" t="n"/>
      <c r="AG5574" s="49">
        <f>IFERROR(__xludf.DUMMYFUNCTION("IFNA(vlookup(H5574,IMPORTRANGE(""1vUGwO1n0QQGx9kKbO0_M5gmuhXZ6-LaxQxgrmJnzgP0"",""'TP# look up'!A:C""),3,0),"""")"),"")</f>
        <v/>
      </c>
      <c r="AH5574" s="49">
        <f>LEFT(J5574,2)</f>
        <v/>
      </c>
    </row>
    <row r="5575" ht="12.75" customHeight="1">
      <c r="H5575" s="43" t="n"/>
      <c r="AG5575" s="49">
        <f>IFERROR(__xludf.DUMMYFUNCTION("IFNA(vlookup(H5575,IMPORTRANGE(""1vUGwO1n0QQGx9kKbO0_M5gmuhXZ6-LaxQxgrmJnzgP0"",""'TP# look up'!A:C""),3,0),"""")"),"")</f>
        <v/>
      </c>
      <c r="AH5575" s="49">
        <f>LEFT(J5575,2)</f>
        <v/>
      </c>
    </row>
    <row r="5576" ht="12.75" customHeight="1">
      <c r="H5576" s="43" t="n"/>
      <c r="AG5576" s="49">
        <f>IFERROR(__xludf.DUMMYFUNCTION("IFNA(vlookup(H5576,IMPORTRANGE(""1vUGwO1n0QQGx9kKbO0_M5gmuhXZ6-LaxQxgrmJnzgP0"",""'TP# look up'!A:C""),3,0),"""")"),"")</f>
        <v/>
      </c>
      <c r="AH5576" s="49">
        <f>LEFT(J5576,2)</f>
        <v/>
      </c>
    </row>
    <row r="5577" ht="12.75" customHeight="1">
      <c r="H5577" s="43" t="n"/>
      <c r="AG5577" s="49">
        <f>IFERROR(__xludf.DUMMYFUNCTION("IFNA(vlookup(H5577,IMPORTRANGE(""1vUGwO1n0QQGx9kKbO0_M5gmuhXZ6-LaxQxgrmJnzgP0"",""'TP# look up'!A:C""),3,0),"""")"),"")</f>
        <v/>
      </c>
      <c r="AH5577" s="49">
        <f>LEFT(J5577,2)</f>
        <v/>
      </c>
    </row>
    <row r="5578" ht="12.75" customHeight="1">
      <c r="H5578" s="43" t="n"/>
      <c r="AG5578" s="49">
        <f>IFERROR(__xludf.DUMMYFUNCTION("IFNA(vlookup(H5578,IMPORTRANGE(""1vUGwO1n0QQGx9kKbO0_M5gmuhXZ6-LaxQxgrmJnzgP0"",""'TP# look up'!A:C""),3,0),"""")"),"")</f>
        <v/>
      </c>
      <c r="AH5578" s="49">
        <f>LEFT(J5578,2)</f>
        <v/>
      </c>
    </row>
    <row r="5579" ht="12.75" customHeight="1">
      <c r="H5579" s="43" t="n"/>
      <c r="AG5579" s="49">
        <f>IFERROR(__xludf.DUMMYFUNCTION("IFNA(vlookup(H5579,IMPORTRANGE(""1vUGwO1n0QQGx9kKbO0_M5gmuhXZ6-LaxQxgrmJnzgP0"",""'TP# look up'!A:C""),3,0),"""")"),"")</f>
        <v/>
      </c>
      <c r="AH5579" s="49">
        <f>LEFT(J5579,2)</f>
        <v/>
      </c>
    </row>
    <row r="5580" ht="12.75" customHeight="1">
      <c r="H5580" s="43" t="n"/>
      <c r="AG5580" s="49">
        <f>IFERROR(__xludf.DUMMYFUNCTION("IFNA(vlookup(H5580,IMPORTRANGE(""1vUGwO1n0QQGx9kKbO0_M5gmuhXZ6-LaxQxgrmJnzgP0"",""'TP# look up'!A:C""),3,0),"""")"),"")</f>
        <v/>
      </c>
      <c r="AH5580" s="49">
        <f>LEFT(J5580,2)</f>
        <v/>
      </c>
    </row>
    <row r="5581" ht="12.75" customHeight="1">
      <c r="H5581" s="43" t="n"/>
      <c r="AG5581" s="49">
        <f>IFERROR(__xludf.DUMMYFUNCTION("IFNA(vlookup(H5581,IMPORTRANGE(""1vUGwO1n0QQGx9kKbO0_M5gmuhXZ6-LaxQxgrmJnzgP0"",""'TP# look up'!A:C""),3,0),"""")"),"")</f>
        <v/>
      </c>
      <c r="AH5581" s="49">
        <f>LEFT(J5581,2)</f>
        <v/>
      </c>
    </row>
    <row r="5582" ht="12.75" customHeight="1">
      <c r="H5582" s="43" t="n"/>
      <c r="AG5582" s="49">
        <f>IFERROR(__xludf.DUMMYFUNCTION("IFNA(vlookup(H5582,IMPORTRANGE(""1vUGwO1n0QQGx9kKbO0_M5gmuhXZ6-LaxQxgrmJnzgP0"",""'TP# look up'!A:C""),3,0),"""")"),"")</f>
        <v/>
      </c>
      <c r="AH5582" s="49">
        <f>LEFT(J5582,2)</f>
        <v/>
      </c>
    </row>
    <row r="5583" ht="12.75" customHeight="1">
      <c r="H5583" s="43" t="n"/>
      <c r="AG5583" s="49">
        <f>IFERROR(__xludf.DUMMYFUNCTION("IFNA(vlookup(H5583,IMPORTRANGE(""1vUGwO1n0QQGx9kKbO0_M5gmuhXZ6-LaxQxgrmJnzgP0"",""'TP# look up'!A:C""),3,0),"""")"),"")</f>
        <v/>
      </c>
      <c r="AH5583" s="49">
        <f>LEFT(J5583,2)</f>
        <v/>
      </c>
    </row>
    <row r="5584" ht="12.75" customHeight="1">
      <c r="H5584" s="43" t="n"/>
      <c r="AG5584" s="49">
        <f>IFERROR(__xludf.DUMMYFUNCTION("IFNA(vlookup(H5584,IMPORTRANGE(""1vUGwO1n0QQGx9kKbO0_M5gmuhXZ6-LaxQxgrmJnzgP0"",""'TP# look up'!A:C""),3,0),"""")"),"")</f>
        <v/>
      </c>
      <c r="AH5584" s="49">
        <f>LEFT(J5584,2)</f>
        <v/>
      </c>
    </row>
    <row r="5585" ht="12.75" customHeight="1">
      <c r="H5585" s="43" t="n"/>
      <c r="AG5585" s="49">
        <f>IFERROR(__xludf.DUMMYFUNCTION("IFNA(vlookup(H5585,IMPORTRANGE(""1vUGwO1n0QQGx9kKbO0_M5gmuhXZ6-LaxQxgrmJnzgP0"",""'TP# look up'!A:C""),3,0),"""")"),"")</f>
        <v/>
      </c>
      <c r="AH5585" s="49">
        <f>LEFT(J5585,2)</f>
        <v/>
      </c>
    </row>
    <row r="5586" ht="12.75" customHeight="1">
      <c r="H5586" s="43" t="n"/>
      <c r="AG5586" s="49">
        <f>IFERROR(__xludf.DUMMYFUNCTION("IFNA(vlookup(H5586,IMPORTRANGE(""1vUGwO1n0QQGx9kKbO0_M5gmuhXZ6-LaxQxgrmJnzgP0"",""'TP# look up'!A:C""),3,0),"""")"),"")</f>
        <v/>
      </c>
      <c r="AH5586" s="49">
        <f>LEFT(J5586,2)</f>
        <v/>
      </c>
    </row>
    <row r="5587" ht="12.75" customHeight="1">
      <c r="H5587" s="43" t="n"/>
      <c r="AG5587" s="49">
        <f>IFERROR(__xludf.DUMMYFUNCTION("IFNA(vlookup(H5587,IMPORTRANGE(""1vUGwO1n0QQGx9kKbO0_M5gmuhXZ6-LaxQxgrmJnzgP0"",""'TP# look up'!A:C""),3,0),"""")"),"")</f>
        <v/>
      </c>
      <c r="AH5587" s="49">
        <f>LEFT(J5587,2)</f>
        <v/>
      </c>
    </row>
    <row r="5588" ht="12.75" customHeight="1">
      <c r="H5588" s="43" t="n"/>
      <c r="AG5588" s="49">
        <f>IFERROR(__xludf.DUMMYFUNCTION("IFNA(vlookup(H5588,IMPORTRANGE(""1vUGwO1n0QQGx9kKbO0_M5gmuhXZ6-LaxQxgrmJnzgP0"",""'TP# look up'!A:C""),3,0),"""")"),"")</f>
        <v/>
      </c>
      <c r="AH5588" s="49">
        <f>LEFT(J5588,2)</f>
        <v/>
      </c>
    </row>
    <row r="5589" ht="12.75" customHeight="1">
      <c r="H5589" s="43" t="n"/>
      <c r="AG5589" s="49">
        <f>IFERROR(__xludf.DUMMYFUNCTION("IFNA(vlookup(H5589,IMPORTRANGE(""1vUGwO1n0QQGx9kKbO0_M5gmuhXZ6-LaxQxgrmJnzgP0"",""'TP# look up'!A:C""),3,0),"""")"),"")</f>
        <v/>
      </c>
      <c r="AH5589" s="49">
        <f>LEFT(J5589,2)</f>
        <v/>
      </c>
    </row>
    <row r="5590" ht="12.75" customHeight="1">
      <c r="H5590" s="43" t="n"/>
      <c r="AG5590" s="49">
        <f>IFERROR(__xludf.DUMMYFUNCTION("IFNA(vlookup(H5590,IMPORTRANGE(""1vUGwO1n0QQGx9kKbO0_M5gmuhXZ6-LaxQxgrmJnzgP0"",""'TP# look up'!A:C""),3,0),"""")"),"")</f>
        <v/>
      </c>
      <c r="AH5590" s="49">
        <f>LEFT(J5590,2)</f>
        <v/>
      </c>
    </row>
    <row r="5591" ht="12.75" customHeight="1">
      <c r="H5591" s="43" t="n"/>
      <c r="AG5591" s="49">
        <f>IFERROR(__xludf.DUMMYFUNCTION("IFNA(vlookup(H5591,IMPORTRANGE(""1vUGwO1n0QQGx9kKbO0_M5gmuhXZ6-LaxQxgrmJnzgP0"",""'TP# look up'!A:C""),3,0),"""")"),"")</f>
        <v/>
      </c>
      <c r="AH5591" s="49">
        <f>LEFT(J5591,2)</f>
        <v/>
      </c>
    </row>
    <row r="5592" ht="12.75" customHeight="1">
      <c r="H5592" s="43" t="n"/>
      <c r="AG5592" s="49">
        <f>IFERROR(__xludf.DUMMYFUNCTION("IFNA(vlookup(H5592,IMPORTRANGE(""1vUGwO1n0QQGx9kKbO0_M5gmuhXZ6-LaxQxgrmJnzgP0"",""'TP# look up'!A:C""),3,0),"""")"),"")</f>
        <v/>
      </c>
      <c r="AH5592" s="49">
        <f>LEFT(J5592,2)</f>
        <v/>
      </c>
    </row>
    <row r="5593" ht="12.75" customHeight="1">
      <c r="H5593" s="43" t="n"/>
      <c r="AG5593" s="49">
        <f>IFERROR(__xludf.DUMMYFUNCTION("IFNA(vlookup(H5593,IMPORTRANGE(""1vUGwO1n0QQGx9kKbO0_M5gmuhXZ6-LaxQxgrmJnzgP0"",""'TP# look up'!A:C""),3,0),"""")"),"")</f>
        <v/>
      </c>
      <c r="AH5593" s="49">
        <f>LEFT(J5593,2)</f>
        <v/>
      </c>
    </row>
    <row r="5594" ht="12.75" customHeight="1">
      <c r="H5594" s="43" t="n"/>
      <c r="AG5594" s="49">
        <f>IFERROR(__xludf.DUMMYFUNCTION("IFNA(vlookup(H5594,IMPORTRANGE(""1vUGwO1n0QQGx9kKbO0_M5gmuhXZ6-LaxQxgrmJnzgP0"",""'TP# look up'!A:C""),3,0),"""")"),"")</f>
        <v/>
      </c>
      <c r="AH5594" s="49">
        <f>LEFT(J5594,2)</f>
        <v/>
      </c>
    </row>
    <row r="5595" ht="12.75" customHeight="1">
      <c r="H5595" s="43" t="n"/>
      <c r="AG5595" s="49">
        <f>IFERROR(__xludf.DUMMYFUNCTION("IFNA(vlookup(H5595,IMPORTRANGE(""1vUGwO1n0QQGx9kKbO0_M5gmuhXZ6-LaxQxgrmJnzgP0"",""'TP# look up'!A:C""),3,0),"""")"),"")</f>
        <v/>
      </c>
      <c r="AH5595" s="49">
        <f>LEFT(J5595,2)</f>
        <v/>
      </c>
    </row>
    <row r="5596" ht="12.75" customHeight="1">
      <c r="H5596" s="43" t="n"/>
      <c r="AG5596" s="49">
        <f>IFERROR(__xludf.DUMMYFUNCTION("IFNA(vlookup(H5596,IMPORTRANGE(""1vUGwO1n0QQGx9kKbO0_M5gmuhXZ6-LaxQxgrmJnzgP0"",""'TP# look up'!A:C""),3,0),"""")"),"")</f>
        <v/>
      </c>
      <c r="AH5596" s="49">
        <f>LEFT(J5596,2)</f>
        <v/>
      </c>
    </row>
    <row r="5597" ht="12.75" customHeight="1">
      <c r="H5597" s="43" t="n"/>
      <c r="AG5597" s="49">
        <f>IFERROR(__xludf.DUMMYFUNCTION("IFNA(vlookup(H5597,IMPORTRANGE(""1vUGwO1n0QQGx9kKbO0_M5gmuhXZ6-LaxQxgrmJnzgP0"",""'TP# look up'!A:C""),3,0),"""")"),"")</f>
        <v/>
      </c>
      <c r="AH5597" s="49">
        <f>LEFT(J5597,2)</f>
        <v/>
      </c>
    </row>
    <row r="5598" ht="12.75" customHeight="1">
      <c r="H5598" s="43" t="n"/>
      <c r="AG5598" s="49">
        <f>IFERROR(__xludf.DUMMYFUNCTION("IFNA(vlookup(H5598,IMPORTRANGE(""1vUGwO1n0QQGx9kKbO0_M5gmuhXZ6-LaxQxgrmJnzgP0"",""'TP# look up'!A:C""),3,0),"""")"),"")</f>
        <v/>
      </c>
      <c r="AH5598" s="49">
        <f>LEFT(J5598,2)</f>
        <v/>
      </c>
    </row>
    <row r="5599" ht="12.75" customHeight="1">
      <c r="H5599" s="43" t="n"/>
      <c r="AG5599" s="49">
        <f>IFERROR(__xludf.DUMMYFUNCTION("IFNA(vlookup(H5599,IMPORTRANGE(""1vUGwO1n0QQGx9kKbO0_M5gmuhXZ6-LaxQxgrmJnzgP0"",""'TP# look up'!A:C""),3,0),"""")"),"")</f>
        <v/>
      </c>
      <c r="AH5599" s="49">
        <f>LEFT(J5599,2)</f>
        <v/>
      </c>
    </row>
    <row r="5600" ht="12.75" customHeight="1">
      <c r="H5600" s="43" t="n"/>
      <c r="AG5600" s="49">
        <f>IFERROR(__xludf.DUMMYFUNCTION("IFNA(vlookup(H5600,IMPORTRANGE(""1vUGwO1n0QQGx9kKbO0_M5gmuhXZ6-LaxQxgrmJnzgP0"",""'TP# look up'!A:C""),3,0),"""")"),"")</f>
        <v/>
      </c>
      <c r="AH5600" s="49">
        <f>LEFT(J5600,2)</f>
        <v/>
      </c>
    </row>
    <row r="5601" ht="12.75" customHeight="1">
      <c r="H5601" s="43" t="n"/>
      <c r="AG5601" s="49">
        <f>IFERROR(__xludf.DUMMYFUNCTION("IFNA(vlookup(H5601,IMPORTRANGE(""1vUGwO1n0QQGx9kKbO0_M5gmuhXZ6-LaxQxgrmJnzgP0"",""'TP# look up'!A:C""),3,0),"""")"),"")</f>
        <v/>
      </c>
      <c r="AH5601" s="49">
        <f>LEFT(J5601,2)</f>
        <v/>
      </c>
    </row>
    <row r="5602" ht="12.75" customHeight="1">
      <c r="H5602" s="43" t="n"/>
      <c r="AG5602" s="49">
        <f>IFERROR(__xludf.DUMMYFUNCTION("IFNA(vlookup(H5602,IMPORTRANGE(""1vUGwO1n0QQGx9kKbO0_M5gmuhXZ6-LaxQxgrmJnzgP0"",""'TP# look up'!A:C""),3,0),"""")"),"")</f>
        <v/>
      </c>
      <c r="AH5602" s="49">
        <f>LEFT(J5602,2)</f>
        <v/>
      </c>
    </row>
    <row r="5603" ht="12.75" customHeight="1">
      <c r="H5603" s="43" t="n"/>
      <c r="AG5603" s="49">
        <f>IFERROR(__xludf.DUMMYFUNCTION("IFNA(vlookup(H5603,IMPORTRANGE(""1vUGwO1n0QQGx9kKbO0_M5gmuhXZ6-LaxQxgrmJnzgP0"",""'TP# look up'!A:C""),3,0),"""")"),"")</f>
        <v/>
      </c>
      <c r="AH5603" s="49">
        <f>LEFT(J5603,2)</f>
        <v/>
      </c>
    </row>
    <row r="5604" ht="12.75" customHeight="1">
      <c r="H5604" s="43" t="n"/>
      <c r="AG5604" s="49">
        <f>IFERROR(__xludf.DUMMYFUNCTION("IFNA(vlookup(H5604,IMPORTRANGE(""1vUGwO1n0QQGx9kKbO0_M5gmuhXZ6-LaxQxgrmJnzgP0"",""'TP# look up'!A:C""),3,0),"""")"),"")</f>
        <v/>
      </c>
      <c r="AH5604" s="49">
        <f>LEFT(J5604,2)</f>
        <v/>
      </c>
    </row>
    <row r="5605" ht="12.75" customHeight="1">
      <c r="H5605" s="43" t="n"/>
      <c r="AG5605" s="49">
        <f>IFERROR(__xludf.DUMMYFUNCTION("IFNA(vlookup(H5605,IMPORTRANGE(""1vUGwO1n0QQGx9kKbO0_M5gmuhXZ6-LaxQxgrmJnzgP0"",""'TP# look up'!A:C""),3,0),"""")"),"")</f>
        <v/>
      </c>
      <c r="AH5605" s="49">
        <f>LEFT(J5605,2)</f>
        <v/>
      </c>
    </row>
    <row r="5606" ht="12.75" customHeight="1">
      <c r="H5606" s="43" t="n"/>
      <c r="AG5606" s="49">
        <f>IFERROR(__xludf.DUMMYFUNCTION("IFNA(vlookup(H5606,IMPORTRANGE(""1vUGwO1n0QQGx9kKbO0_M5gmuhXZ6-LaxQxgrmJnzgP0"",""'TP# look up'!A:C""),3,0),"""")"),"")</f>
        <v/>
      </c>
      <c r="AH5606" s="49">
        <f>LEFT(J5606,2)</f>
        <v/>
      </c>
    </row>
    <row r="5607" ht="12.75" customHeight="1">
      <c r="H5607" s="43" t="n"/>
      <c r="AG5607" s="49">
        <f>IFERROR(__xludf.DUMMYFUNCTION("IFNA(vlookup(H5607,IMPORTRANGE(""1vUGwO1n0QQGx9kKbO0_M5gmuhXZ6-LaxQxgrmJnzgP0"",""'TP# look up'!A:C""),3,0),"""")"),"")</f>
        <v/>
      </c>
      <c r="AH5607" s="49">
        <f>LEFT(J5607,2)</f>
        <v/>
      </c>
    </row>
    <row r="5608" ht="12.75" customHeight="1">
      <c r="H5608" s="43" t="n"/>
      <c r="AG5608" s="49">
        <f>IFERROR(__xludf.DUMMYFUNCTION("IFNA(vlookup(H5608,IMPORTRANGE(""1vUGwO1n0QQGx9kKbO0_M5gmuhXZ6-LaxQxgrmJnzgP0"",""'TP# look up'!A:C""),3,0),"""")"),"")</f>
        <v/>
      </c>
      <c r="AH5608" s="49">
        <f>LEFT(J5608,2)</f>
        <v/>
      </c>
    </row>
    <row r="5609" ht="12.75" customHeight="1">
      <c r="H5609" s="43" t="n"/>
      <c r="AG5609" s="49">
        <f>IFERROR(__xludf.DUMMYFUNCTION("IFNA(vlookup(H5609,IMPORTRANGE(""1vUGwO1n0QQGx9kKbO0_M5gmuhXZ6-LaxQxgrmJnzgP0"",""'TP# look up'!A:C""),3,0),"""")"),"")</f>
        <v/>
      </c>
      <c r="AH5609" s="49">
        <f>LEFT(J5609,2)</f>
        <v/>
      </c>
    </row>
    <row r="5610" ht="12.75" customHeight="1">
      <c r="H5610" s="43" t="n"/>
      <c r="AG5610" s="49">
        <f>IFERROR(__xludf.DUMMYFUNCTION("IFNA(vlookup(H5610,IMPORTRANGE(""1vUGwO1n0QQGx9kKbO0_M5gmuhXZ6-LaxQxgrmJnzgP0"",""'TP# look up'!A:C""),3,0),"""")"),"")</f>
        <v/>
      </c>
      <c r="AH5610" s="49">
        <f>LEFT(J5610,2)</f>
        <v/>
      </c>
    </row>
    <row r="5611" ht="12.75" customHeight="1">
      <c r="H5611" s="43" t="n"/>
      <c r="AG5611" s="49">
        <f>IFERROR(__xludf.DUMMYFUNCTION("IFNA(vlookup(H5611,IMPORTRANGE(""1vUGwO1n0QQGx9kKbO0_M5gmuhXZ6-LaxQxgrmJnzgP0"",""'TP# look up'!A:C""),3,0),"""")"),"")</f>
        <v/>
      </c>
      <c r="AH5611" s="49">
        <f>LEFT(J5611,2)</f>
        <v/>
      </c>
    </row>
    <row r="5612" ht="12.75" customHeight="1">
      <c r="H5612" s="43" t="n"/>
      <c r="AG5612" s="49">
        <f>IFERROR(__xludf.DUMMYFUNCTION("IFNA(vlookup(H5612,IMPORTRANGE(""1vUGwO1n0QQGx9kKbO0_M5gmuhXZ6-LaxQxgrmJnzgP0"",""'TP# look up'!A:C""),3,0),"""")"),"")</f>
        <v/>
      </c>
      <c r="AH5612" s="49">
        <f>LEFT(J5612,2)</f>
        <v/>
      </c>
    </row>
    <row r="5613" ht="12.75" customHeight="1">
      <c r="H5613" s="43" t="n"/>
      <c r="AG5613" s="49">
        <f>IFERROR(__xludf.DUMMYFUNCTION("IFNA(vlookup(H5613,IMPORTRANGE(""1vUGwO1n0QQGx9kKbO0_M5gmuhXZ6-LaxQxgrmJnzgP0"",""'TP# look up'!A:C""),3,0),"""")"),"")</f>
        <v/>
      </c>
      <c r="AH5613" s="49">
        <f>LEFT(J5613,2)</f>
        <v/>
      </c>
    </row>
    <row r="5614" ht="12.75" customHeight="1">
      <c r="H5614" s="43" t="n"/>
      <c r="AG5614" s="49">
        <f>IFERROR(__xludf.DUMMYFUNCTION("IFNA(vlookup(H5614,IMPORTRANGE(""1vUGwO1n0QQGx9kKbO0_M5gmuhXZ6-LaxQxgrmJnzgP0"",""'TP# look up'!A:C""),3,0),"""")"),"")</f>
        <v/>
      </c>
      <c r="AH5614" s="49">
        <f>LEFT(J5614,2)</f>
        <v/>
      </c>
    </row>
    <row r="5615" ht="12.75" customHeight="1">
      <c r="H5615" s="43" t="n"/>
      <c r="AG5615" s="49">
        <f>IFERROR(__xludf.DUMMYFUNCTION("IFNA(vlookup(H5615,IMPORTRANGE(""1vUGwO1n0QQGx9kKbO0_M5gmuhXZ6-LaxQxgrmJnzgP0"",""'TP# look up'!A:C""),3,0),"""")"),"")</f>
        <v/>
      </c>
      <c r="AH5615" s="49">
        <f>LEFT(J5615,2)</f>
        <v/>
      </c>
    </row>
    <row r="5616" ht="12.75" customHeight="1">
      <c r="H5616" s="43" t="n"/>
      <c r="AG5616" s="49">
        <f>IFERROR(__xludf.DUMMYFUNCTION("IFNA(vlookup(H5616,IMPORTRANGE(""1vUGwO1n0QQGx9kKbO0_M5gmuhXZ6-LaxQxgrmJnzgP0"",""'TP# look up'!A:C""),3,0),"""")"),"")</f>
        <v/>
      </c>
      <c r="AH5616" s="49">
        <f>LEFT(J5616,2)</f>
        <v/>
      </c>
    </row>
    <row r="5617" ht="12.75" customHeight="1">
      <c r="H5617" s="43" t="n"/>
      <c r="AG5617" s="49">
        <f>IFERROR(__xludf.DUMMYFUNCTION("IFNA(vlookup(H5617,IMPORTRANGE(""1vUGwO1n0QQGx9kKbO0_M5gmuhXZ6-LaxQxgrmJnzgP0"",""'TP# look up'!A:C""),3,0),"""")"),"")</f>
        <v/>
      </c>
      <c r="AH5617" s="49">
        <f>LEFT(J5617,2)</f>
        <v/>
      </c>
    </row>
    <row r="5618" ht="12.75" customHeight="1">
      <c r="H5618" s="43" t="n"/>
      <c r="AG5618" s="49">
        <f>IFERROR(__xludf.DUMMYFUNCTION("IFNA(vlookup(H5618,IMPORTRANGE(""1vUGwO1n0QQGx9kKbO0_M5gmuhXZ6-LaxQxgrmJnzgP0"",""'TP# look up'!A:C""),3,0),"""")"),"")</f>
        <v/>
      </c>
      <c r="AH5618" s="49">
        <f>LEFT(J5618,2)</f>
        <v/>
      </c>
    </row>
    <row r="5619" ht="12.75" customHeight="1">
      <c r="H5619" s="43" t="n"/>
      <c r="AG5619" s="49">
        <f>IFERROR(__xludf.DUMMYFUNCTION("IFNA(vlookup(H5619,IMPORTRANGE(""1vUGwO1n0QQGx9kKbO0_M5gmuhXZ6-LaxQxgrmJnzgP0"",""'TP# look up'!A:C""),3,0),"""")"),"")</f>
        <v/>
      </c>
      <c r="AH5619" s="49">
        <f>LEFT(J5619,2)</f>
        <v/>
      </c>
    </row>
    <row r="5620" ht="12.75" customHeight="1">
      <c r="H5620" s="43" t="n"/>
      <c r="AG5620" s="49">
        <f>IFERROR(__xludf.DUMMYFUNCTION("IFNA(vlookup(H5620,IMPORTRANGE(""1vUGwO1n0QQGx9kKbO0_M5gmuhXZ6-LaxQxgrmJnzgP0"",""'TP# look up'!A:C""),3,0),"""")"),"")</f>
        <v/>
      </c>
      <c r="AH5620" s="49">
        <f>LEFT(J5620,2)</f>
        <v/>
      </c>
    </row>
    <row r="5621" ht="12.75" customHeight="1">
      <c r="H5621" s="43" t="n"/>
      <c r="AG5621" s="49">
        <f>IFERROR(__xludf.DUMMYFUNCTION("IFNA(vlookup(H5621,IMPORTRANGE(""1vUGwO1n0QQGx9kKbO0_M5gmuhXZ6-LaxQxgrmJnzgP0"",""'TP# look up'!A:C""),3,0),"""")"),"")</f>
        <v/>
      </c>
      <c r="AH5621" s="49">
        <f>LEFT(J5621,2)</f>
        <v/>
      </c>
    </row>
    <row r="5622" ht="12.75" customHeight="1">
      <c r="H5622" s="43" t="n"/>
      <c r="AG5622" s="49">
        <f>IFERROR(__xludf.DUMMYFUNCTION("IFNA(vlookup(H5622,IMPORTRANGE(""1vUGwO1n0QQGx9kKbO0_M5gmuhXZ6-LaxQxgrmJnzgP0"",""'TP# look up'!A:C""),3,0),"""")"),"")</f>
        <v/>
      </c>
      <c r="AH5622" s="49">
        <f>LEFT(J5622,2)</f>
        <v/>
      </c>
    </row>
    <row r="5623" ht="12.75" customHeight="1">
      <c r="H5623" s="43" t="n"/>
      <c r="AG5623" s="49">
        <f>IFERROR(__xludf.DUMMYFUNCTION("IFNA(vlookup(H5623,IMPORTRANGE(""1vUGwO1n0QQGx9kKbO0_M5gmuhXZ6-LaxQxgrmJnzgP0"",""'TP# look up'!A:C""),3,0),"""")"),"")</f>
        <v/>
      </c>
      <c r="AH5623" s="49">
        <f>LEFT(J5623,2)</f>
        <v/>
      </c>
    </row>
    <row r="5624" ht="12.75" customHeight="1">
      <c r="H5624" s="43" t="n"/>
      <c r="AG5624" s="49">
        <f>IFERROR(__xludf.DUMMYFUNCTION("IFNA(vlookup(H5624,IMPORTRANGE(""1vUGwO1n0QQGx9kKbO0_M5gmuhXZ6-LaxQxgrmJnzgP0"",""'TP# look up'!A:C""),3,0),"""")"),"")</f>
        <v/>
      </c>
      <c r="AH5624" s="49">
        <f>LEFT(J5624,2)</f>
        <v/>
      </c>
    </row>
    <row r="5625" ht="12.75" customHeight="1">
      <c r="H5625" s="43" t="n"/>
      <c r="AG5625" s="49">
        <f>IFERROR(__xludf.DUMMYFUNCTION("IFNA(vlookup(H5625,IMPORTRANGE(""1vUGwO1n0QQGx9kKbO0_M5gmuhXZ6-LaxQxgrmJnzgP0"",""'TP# look up'!A:C""),3,0),"""")"),"")</f>
        <v/>
      </c>
      <c r="AH5625" s="49">
        <f>LEFT(J5625,2)</f>
        <v/>
      </c>
    </row>
    <row r="5626" ht="12.75" customHeight="1">
      <c r="H5626" s="43" t="n"/>
      <c r="AG5626" s="49">
        <f>IFERROR(__xludf.DUMMYFUNCTION("IFNA(vlookup(H5626,IMPORTRANGE(""1vUGwO1n0QQGx9kKbO0_M5gmuhXZ6-LaxQxgrmJnzgP0"",""'TP# look up'!A:C""),3,0),"""")"),"")</f>
        <v/>
      </c>
      <c r="AH5626" s="49">
        <f>LEFT(J5626,2)</f>
        <v/>
      </c>
    </row>
    <row r="5627" ht="12.75" customHeight="1">
      <c r="H5627" s="43" t="n"/>
      <c r="AG5627" s="49">
        <f>IFERROR(__xludf.DUMMYFUNCTION("IFNA(vlookup(H5627,IMPORTRANGE(""1vUGwO1n0QQGx9kKbO0_M5gmuhXZ6-LaxQxgrmJnzgP0"",""'TP# look up'!A:C""),3,0),"""")"),"")</f>
        <v/>
      </c>
      <c r="AH5627" s="49">
        <f>LEFT(J5627,2)</f>
        <v/>
      </c>
    </row>
    <row r="5628" ht="12.75" customHeight="1">
      <c r="H5628" s="43" t="n"/>
      <c r="AG5628" s="49">
        <f>IFERROR(__xludf.DUMMYFUNCTION("IFNA(vlookup(H5628,IMPORTRANGE(""1vUGwO1n0QQGx9kKbO0_M5gmuhXZ6-LaxQxgrmJnzgP0"",""'TP# look up'!A:C""),3,0),"""")"),"")</f>
        <v/>
      </c>
      <c r="AH5628" s="49">
        <f>LEFT(J5628,2)</f>
        <v/>
      </c>
    </row>
    <row r="5629" ht="12.75" customHeight="1">
      <c r="H5629" s="43" t="n"/>
      <c r="AG5629" s="49">
        <f>IFERROR(__xludf.DUMMYFUNCTION("IFNA(vlookup(H5629,IMPORTRANGE(""1vUGwO1n0QQGx9kKbO0_M5gmuhXZ6-LaxQxgrmJnzgP0"",""'TP# look up'!A:C""),3,0),"""")"),"")</f>
        <v/>
      </c>
      <c r="AH5629" s="49">
        <f>LEFT(J5629,2)</f>
        <v/>
      </c>
    </row>
    <row r="5630" ht="12.75" customHeight="1">
      <c r="H5630" s="43" t="n"/>
      <c r="AG5630" s="49">
        <f>IFERROR(__xludf.DUMMYFUNCTION("IFNA(vlookup(H5630,IMPORTRANGE(""1vUGwO1n0QQGx9kKbO0_M5gmuhXZ6-LaxQxgrmJnzgP0"",""'TP# look up'!A:C""),3,0),"""")"),"")</f>
        <v/>
      </c>
      <c r="AH5630" s="49">
        <f>LEFT(J5630,2)</f>
        <v/>
      </c>
    </row>
    <row r="5631" ht="12.75" customHeight="1">
      <c r="H5631" s="43" t="n"/>
      <c r="AG5631" s="49">
        <f>IFERROR(__xludf.DUMMYFUNCTION("IFNA(vlookup(H5631,IMPORTRANGE(""1vUGwO1n0QQGx9kKbO0_M5gmuhXZ6-LaxQxgrmJnzgP0"",""'TP# look up'!A:C""),3,0),"""")"),"")</f>
        <v/>
      </c>
      <c r="AH5631" s="49">
        <f>LEFT(J5631,2)</f>
        <v/>
      </c>
    </row>
    <row r="5632" ht="12.75" customHeight="1">
      <c r="H5632" s="43" t="n"/>
      <c r="AG5632" s="49">
        <f>IFERROR(__xludf.DUMMYFUNCTION("IFNA(vlookup(H5632,IMPORTRANGE(""1vUGwO1n0QQGx9kKbO0_M5gmuhXZ6-LaxQxgrmJnzgP0"",""'TP# look up'!A:C""),3,0),"""")"),"")</f>
        <v/>
      </c>
      <c r="AH5632" s="49">
        <f>LEFT(J5632,2)</f>
        <v/>
      </c>
    </row>
    <row r="5633" ht="12.75" customHeight="1">
      <c r="H5633" s="43" t="n"/>
      <c r="AG5633" s="49">
        <f>IFERROR(__xludf.DUMMYFUNCTION("IFNA(vlookup(H5633,IMPORTRANGE(""1vUGwO1n0QQGx9kKbO0_M5gmuhXZ6-LaxQxgrmJnzgP0"",""'TP# look up'!A:C""),3,0),"""")"),"")</f>
        <v/>
      </c>
      <c r="AH5633" s="49">
        <f>LEFT(J5633,2)</f>
        <v/>
      </c>
    </row>
    <row r="5634" ht="12.75" customHeight="1">
      <c r="H5634" s="43" t="n"/>
      <c r="AG5634" s="49">
        <f>IFERROR(__xludf.DUMMYFUNCTION("IFNA(vlookup(H5634,IMPORTRANGE(""1vUGwO1n0QQGx9kKbO0_M5gmuhXZ6-LaxQxgrmJnzgP0"",""'TP# look up'!A:C""),3,0),"""")"),"")</f>
        <v/>
      </c>
      <c r="AH5634" s="49">
        <f>LEFT(J5634,2)</f>
        <v/>
      </c>
    </row>
    <row r="5635" ht="12.75" customHeight="1">
      <c r="H5635" s="43" t="n"/>
      <c r="AG5635" s="49">
        <f>IFERROR(__xludf.DUMMYFUNCTION("IFNA(vlookup(H5635,IMPORTRANGE(""1vUGwO1n0QQGx9kKbO0_M5gmuhXZ6-LaxQxgrmJnzgP0"",""'TP# look up'!A:C""),3,0),"""")"),"")</f>
        <v/>
      </c>
      <c r="AH5635" s="49">
        <f>LEFT(J5635,2)</f>
        <v/>
      </c>
    </row>
    <row r="5636" ht="12.75" customHeight="1">
      <c r="H5636" s="43" t="n"/>
      <c r="AG5636" s="49">
        <f>IFERROR(__xludf.DUMMYFUNCTION("IFNA(vlookup(H5636,IMPORTRANGE(""1vUGwO1n0QQGx9kKbO0_M5gmuhXZ6-LaxQxgrmJnzgP0"",""'TP# look up'!A:C""),3,0),"""")"),"")</f>
        <v/>
      </c>
      <c r="AH5636" s="49">
        <f>LEFT(J5636,2)</f>
        <v/>
      </c>
    </row>
    <row r="5637" ht="12.75" customHeight="1">
      <c r="H5637" s="43" t="n"/>
      <c r="AG5637" s="49">
        <f>IFERROR(__xludf.DUMMYFUNCTION("IFNA(vlookup(H5637,IMPORTRANGE(""1vUGwO1n0QQGx9kKbO0_M5gmuhXZ6-LaxQxgrmJnzgP0"",""'TP# look up'!A:C""),3,0),"""")"),"")</f>
        <v/>
      </c>
      <c r="AH5637" s="49">
        <f>LEFT(J5637,2)</f>
        <v/>
      </c>
    </row>
    <row r="5638" ht="12.75" customHeight="1">
      <c r="H5638" s="43" t="n"/>
      <c r="AG5638" s="49">
        <f>IFERROR(__xludf.DUMMYFUNCTION("IFNA(vlookup(H5638,IMPORTRANGE(""1vUGwO1n0QQGx9kKbO0_M5gmuhXZ6-LaxQxgrmJnzgP0"",""'TP# look up'!A:C""),3,0),"""")"),"")</f>
        <v/>
      </c>
      <c r="AH5638" s="49">
        <f>LEFT(J5638,2)</f>
        <v/>
      </c>
    </row>
    <row r="5639" ht="12.75" customHeight="1">
      <c r="H5639" s="43" t="n"/>
      <c r="AG5639" s="49">
        <f>IFERROR(__xludf.DUMMYFUNCTION("IFNA(vlookup(H5639,IMPORTRANGE(""1vUGwO1n0QQGx9kKbO0_M5gmuhXZ6-LaxQxgrmJnzgP0"",""'TP# look up'!A:C""),3,0),"""")"),"")</f>
        <v/>
      </c>
      <c r="AH5639" s="49">
        <f>LEFT(J5639,2)</f>
        <v/>
      </c>
    </row>
    <row r="5640" ht="12.75" customHeight="1">
      <c r="H5640" s="43" t="n"/>
      <c r="AG5640" s="49">
        <f>IFERROR(__xludf.DUMMYFUNCTION("IFNA(vlookup(H5640,IMPORTRANGE(""1vUGwO1n0QQGx9kKbO0_M5gmuhXZ6-LaxQxgrmJnzgP0"",""'TP# look up'!A:C""),3,0),"""")"),"")</f>
        <v/>
      </c>
      <c r="AH5640" s="49">
        <f>LEFT(J5640,2)</f>
        <v/>
      </c>
    </row>
    <row r="5641" ht="12.75" customHeight="1">
      <c r="H5641" s="43" t="n"/>
      <c r="AG5641" s="49">
        <f>IFERROR(__xludf.DUMMYFUNCTION("IFNA(vlookup(H5641,IMPORTRANGE(""1vUGwO1n0QQGx9kKbO0_M5gmuhXZ6-LaxQxgrmJnzgP0"",""'TP# look up'!A:C""),3,0),"""")"),"")</f>
        <v/>
      </c>
      <c r="AH5641" s="49">
        <f>LEFT(J5641,2)</f>
        <v/>
      </c>
    </row>
    <row r="5642" ht="12.75" customHeight="1">
      <c r="H5642" s="43" t="n"/>
      <c r="AG5642" s="49">
        <f>IFERROR(__xludf.DUMMYFUNCTION("IFNA(vlookup(H5642,IMPORTRANGE(""1vUGwO1n0QQGx9kKbO0_M5gmuhXZ6-LaxQxgrmJnzgP0"",""'TP# look up'!A:C""),3,0),"""")"),"")</f>
        <v/>
      </c>
      <c r="AH5642" s="49">
        <f>LEFT(J5642,2)</f>
        <v/>
      </c>
    </row>
    <row r="5643" ht="12.75" customHeight="1">
      <c r="H5643" s="43" t="n"/>
      <c r="AG5643" s="49">
        <f>IFERROR(__xludf.DUMMYFUNCTION("IFNA(vlookup(H5643,IMPORTRANGE(""1vUGwO1n0QQGx9kKbO0_M5gmuhXZ6-LaxQxgrmJnzgP0"",""'TP# look up'!A:C""),3,0),"""")"),"")</f>
        <v/>
      </c>
      <c r="AH5643" s="49">
        <f>LEFT(J5643,2)</f>
        <v/>
      </c>
    </row>
    <row r="5644" ht="12.75" customHeight="1">
      <c r="H5644" s="43" t="n"/>
      <c r="AG5644" s="49">
        <f>IFERROR(__xludf.DUMMYFUNCTION("IFNA(vlookup(H5644,IMPORTRANGE(""1vUGwO1n0QQGx9kKbO0_M5gmuhXZ6-LaxQxgrmJnzgP0"",""'TP# look up'!A:C""),3,0),"""")"),"")</f>
        <v/>
      </c>
      <c r="AH5644" s="49">
        <f>LEFT(J5644,2)</f>
        <v/>
      </c>
    </row>
    <row r="5645" ht="12.75" customHeight="1">
      <c r="H5645" s="43" t="n"/>
      <c r="AG5645" s="49">
        <f>IFERROR(__xludf.DUMMYFUNCTION("IFNA(vlookup(H5645,IMPORTRANGE(""1vUGwO1n0QQGx9kKbO0_M5gmuhXZ6-LaxQxgrmJnzgP0"",""'TP# look up'!A:C""),3,0),"""")"),"")</f>
        <v/>
      </c>
      <c r="AH5645" s="49">
        <f>LEFT(J5645,2)</f>
        <v/>
      </c>
    </row>
    <row r="5646" ht="12.75" customHeight="1">
      <c r="H5646" s="43" t="n"/>
      <c r="AG5646" s="49">
        <f>IFERROR(__xludf.DUMMYFUNCTION("IFNA(vlookup(H5646,IMPORTRANGE(""1vUGwO1n0QQGx9kKbO0_M5gmuhXZ6-LaxQxgrmJnzgP0"",""'TP# look up'!A:C""),3,0),"""")"),"")</f>
        <v/>
      </c>
      <c r="AH5646" s="49">
        <f>LEFT(J5646,2)</f>
        <v/>
      </c>
    </row>
    <row r="5647" ht="12.75" customHeight="1">
      <c r="H5647" s="43" t="n"/>
      <c r="AG5647" s="49">
        <f>IFERROR(__xludf.DUMMYFUNCTION("IFNA(vlookup(H5647,IMPORTRANGE(""1vUGwO1n0QQGx9kKbO0_M5gmuhXZ6-LaxQxgrmJnzgP0"",""'TP# look up'!A:C""),3,0),"""")"),"")</f>
        <v/>
      </c>
      <c r="AH5647" s="49">
        <f>LEFT(J5647,2)</f>
        <v/>
      </c>
    </row>
    <row r="5648" ht="12.75" customHeight="1">
      <c r="H5648" s="43" t="n"/>
      <c r="AG5648" s="49">
        <f>IFERROR(__xludf.DUMMYFUNCTION("IFNA(vlookup(H5648,IMPORTRANGE(""1vUGwO1n0QQGx9kKbO0_M5gmuhXZ6-LaxQxgrmJnzgP0"",""'TP# look up'!A:C""),3,0),"""")"),"")</f>
        <v/>
      </c>
      <c r="AH5648" s="49">
        <f>LEFT(J5648,2)</f>
        <v/>
      </c>
    </row>
    <row r="5649" ht="12.75" customHeight="1">
      <c r="H5649" s="43" t="n"/>
      <c r="AG5649" s="49">
        <f>IFERROR(__xludf.DUMMYFUNCTION("IFNA(vlookup(H5649,IMPORTRANGE(""1vUGwO1n0QQGx9kKbO0_M5gmuhXZ6-LaxQxgrmJnzgP0"",""'TP# look up'!A:C""),3,0),"""")"),"")</f>
        <v/>
      </c>
      <c r="AH5649" s="49">
        <f>LEFT(J5649,2)</f>
        <v/>
      </c>
    </row>
    <row r="5650" ht="12.75" customHeight="1">
      <c r="H5650" s="43" t="n"/>
      <c r="AG5650" s="49">
        <f>IFERROR(__xludf.DUMMYFUNCTION("IFNA(vlookup(H5650,IMPORTRANGE(""1vUGwO1n0QQGx9kKbO0_M5gmuhXZ6-LaxQxgrmJnzgP0"",""'TP# look up'!A:C""),3,0),"""")"),"")</f>
        <v/>
      </c>
      <c r="AH5650" s="49">
        <f>LEFT(J5650,2)</f>
        <v/>
      </c>
    </row>
    <row r="5651" ht="12.75" customHeight="1">
      <c r="H5651" s="43" t="n"/>
      <c r="AG5651" s="49">
        <f>IFERROR(__xludf.DUMMYFUNCTION("IFNA(vlookup(H5651,IMPORTRANGE(""1vUGwO1n0QQGx9kKbO0_M5gmuhXZ6-LaxQxgrmJnzgP0"",""'TP# look up'!A:C""),3,0),"""")"),"")</f>
        <v/>
      </c>
      <c r="AH5651" s="49">
        <f>LEFT(J5651,2)</f>
        <v/>
      </c>
    </row>
    <row r="5652" ht="12.75" customHeight="1">
      <c r="H5652" s="43" t="n"/>
      <c r="AG5652" s="49">
        <f>IFERROR(__xludf.DUMMYFUNCTION("IFNA(vlookup(H5652,IMPORTRANGE(""1vUGwO1n0QQGx9kKbO0_M5gmuhXZ6-LaxQxgrmJnzgP0"",""'TP# look up'!A:C""),3,0),"""")"),"")</f>
        <v/>
      </c>
      <c r="AH5652" s="49">
        <f>LEFT(J5652,2)</f>
        <v/>
      </c>
    </row>
    <row r="5653" ht="12.75" customHeight="1">
      <c r="H5653" s="43" t="n"/>
      <c r="AG5653" s="49">
        <f>IFERROR(__xludf.DUMMYFUNCTION("IFNA(vlookup(H5653,IMPORTRANGE(""1vUGwO1n0QQGx9kKbO0_M5gmuhXZ6-LaxQxgrmJnzgP0"",""'TP# look up'!A:C""),3,0),"""")"),"")</f>
        <v/>
      </c>
      <c r="AH5653" s="49">
        <f>LEFT(J5653,2)</f>
        <v/>
      </c>
    </row>
    <row r="5654" ht="12.75" customHeight="1">
      <c r="H5654" s="43" t="n"/>
      <c r="AG5654" s="49">
        <f>IFERROR(__xludf.DUMMYFUNCTION("IFNA(vlookup(H5654,IMPORTRANGE(""1vUGwO1n0QQGx9kKbO0_M5gmuhXZ6-LaxQxgrmJnzgP0"",""'TP# look up'!A:C""),3,0),"""")"),"")</f>
        <v/>
      </c>
      <c r="AH5654" s="49">
        <f>LEFT(J5654,2)</f>
        <v/>
      </c>
    </row>
    <row r="5655" ht="12.75" customHeight="1">
      <c r="H5655" s="43" t="n"/>
      <c r="AG5655" s="49">
        <f>IFERROR(__xludf.DUMMYFUNCTION("IFNA(vlookup(H5655,IMPORTRANGE(""1vUGwO1n0QQGx9kKbO0_M5gmuhXZ6-LaxQxgrmJnzgP0"",""'TP# look up'!A:C""),3,0),"""")"),"")</f>
        <v/>
      </c>
      <c r="AH5655" s="49">
        <f>LEFT(J5655,2)</f>
        <v/>
      </c>
    </row>
    <row r="5656" ht="12.75" customHeight="1">
      <c r="H5656" s="43" t="n"/>
      <c r="AG5656" s="49">
        <f>IFERROR(__xludf.DUMMYFUNCTION("IFNA(vlookup(H5656,IMPORTRANGE(""1vUGwO1n0QQGx9kKbO0_M5gmuhXZ6-LaxQxgrmJnzgP0"",""'TP# look up'!A:C""),3,0),"""")"),"")</f>
        <v/>
      </c>
      <c r="AH5656" s="49">
        <f>LEFT(J5656,2)</f>
        <v/>
      </c>
    </row>
    <row r="5657" ht="12.75" customHeight="1">
      <c r="H5657" s="43" t="n"/>
      <c r="AG5657" s="49">
        <f>IFERROR(__xludf.DUMMYFUNCTION("IFNA(vlookup(H5657,IMPORTRANGE(""1vUGwO1n0QQGx9kKbO0_M5gmuhXZ6-LaxQxgrmJnzgP0"",""'TP# look up'!A:C""),3,0),"""")"),"")</f>
        <v/>
      </c>
      <c r="AH5657" s="49">
        <f>LEFT(J5657,2)</f>
        <v/>
      </c>
    </row>
    <row r="5658" ht="12.75" customHeight="1">
      <c r="H5658" s="43" t="n"/>
      <c r="AG5658" s="49">
        <f>IFERROR(__xludf.DUMMYFUNCTION("IFNA(vlookup(H5658,IMPORTRANGE(""1vUGwO1n0QQGx9kKbO0_M5gmuhXZ6-LaxQxgrmJnzgP0"",""'TP# look up'!A:C""),3,0),"""")"),"")</f>
        <v/>
      </c>
      <c r="AH5658" s="49">
        <f>LEFT(J5658,2)</f>
        <v/>
      </c>
    </row>
    <row r="5659" ht="12.75" customHeight="1">
      <c r="H5659" s="43" t="n"/>
      <c r="AG5659" s="49">
        <f>IFERROR(__xludf.DUMMYFUNCTION("IFNA(vlookup(H5659,IMPORTRANGE(""1vUGwO1n0QQGx9kKbO0_M5gmuhXZ6-LaxQxgrmJnzgP0"",""'TP# look up'!A:C""),3,0),"""")"),"")</f>
        <v/>
      </c>
      <c r="AH5659" s="49">
        <f>LEFT(J5659,2)</f>
        <v/>
      </c>
    </row>
    <row r="5660" ht="12.75" customHeight="1">
      <c r="H5660" s="43" t="n"/>
      <c r="AG5660" s="49">
        <f>IFERROR(__xludf.DUMMYFUNCTION("IFNA(vlookup(H5660,IMPORTRANGE(""1vUGwO1n0QQGx9kKbO0_M5gmuhXZ6-LaxQxgrmJnzgP0"",""'TP# look up'!A:C""),3,0),"""")"),"")</f>
        <v/>
      </c>
      <c r="AH5660" s="49">
        <f>LEFT(J5660,2)</f>
        <v/>
      </c>
    </row>
    <row r="5661" ht="12.75" customHeight="1">
      <c r="H5661" s="43" t="n"/>
      <c r="AG5661" s="49">
        <f>IFERROR(__xludf.DUMMYFUNCTION("IFNA(vlookup(H5661,IMPORTRANGE(""1vUGwO1n0QQGx9kKbO0_M5gmuhXZ6-LaxQxgrmJnzgP0"",""'TP# look up'!A:C""),3,0),"""")"),"")</f>
        <v/>
      </c>
      <c r="AH5661" s="49">
        <f>LEFT(J5661,2)</f>
        <v/>
      </c>
    </row>
    <row r="5662" ht="12.75" customHeight="1">
      <c r="H5662" s="43" t="n"/>
      <c r="AG5662" s="49">
        <f>IFERROR(__xludf.DUMMYFUNCTION("IFNA(vlookup(H5662,IMPORTRANGE(""1vUGwO1n0QQGx9kKbO0_M5gmuhXZ6-LaxQxgrmJnzgP0"",""'TP# look up'!A:C""),3,0),"""")"),"")</f>
        <v/>
      </c>
      <c r="AH5662" s="49">
        <f>LEFT(J5662,2)</f>
        <v/>
      </c>
    </row>
    <row r="5663" ht="12.75" customHeight="1">
      <c r="H5663" s="43" t="n"/>
      <c r="AG5663" s="49">
        <f>IFERROR(__xludf.DUMMYFUNCTION("IFNA(vlookup(H5663,IMPORTRANGE(""1vUGwO1n0QQGx9kKbO0_M5gmuhXZ6-LaxQxgrmJnzgP0"",""'TP# look up'!A:C""),3,0),"""")"),"")</f>
        <v/>
      </c>
      <c r="AH5663" s="49">
        <f>LEFT(J5663,2)</f>
        <v/>
      </c>
    </row>
    <row r="5664" ht="12.75" customHeight="1">
      <c r="H5664" s="43" t="n"/>
      <c r="AG5664" s="49">
        <f>IFERROR(__xludf.DUMMYFUNCTION("IFNA(vlookup(H5664,IMPORTRANGE(""1vUGwO1n0QQGx9kKbO0_M5gmuhXZ6-LaxQxgrmJnzgP0"",""'TP# look up'!A:C""),3,0),"""")"),"")</f>
        <v/>
      </c>
      <c r="AH5664" s="49">
        <f>LEFT(J5664,2)</f>
        <v/>
      </c>
    </row>
    <row r="5665" ht="12.75" customHeight="1">
      <c r="H5665" s="43" t="n"/>
      <c r="AG5665" s="49">
        <f>IFERROR(__xludf.DUMMYFUNCTION("IFNA(vlookup(H5665,IMPORTRANGE(""1vUGwO1n0QQGx9kKbO0_M5gmuhXZ6-LaxQxgrmJnzgP0"",""'TP# look up'!A:C""),3,0),"""")"),"")</f>
        <v/>
      </c>
      <c r="AH5665" s="49">
        <f>LEFT(J5665,2)</f>
        <v/>
      </c>
    </row>
    <row r="5666" ht="12.75" customHeight="1">
      <c r="H5666" s="43" t="n"/>
      <c r="AG5666" s="49">
        <f>IFERROR(__xludf.DUMMYFUNCTION("IFNA(vlookup(H5666,IMPORTRANGE(""1vUGwO1n0QQGx9kKbO0_M5gmuhXZ6-LaxQxgrmJnzgP0"",""'TP# look up'!A:C""),3,0),"""")"),"")</f>
        <v/>
      </c>
      <c r="AH5666" s="49">
        <f>LEFT(J5666,2)</f>
        <v/>
      </c>
    </row>
    <row r="5667" ht="12.75" customHeight="1">
      <c r="H5667" s="43" t="n"/>
      <c r="AG5667" s="49">
        <f>IFERROR(__xludf.DUMMYFUNCTION("IFNA(vlookup(H5667,IMPORTRANGE(""1vUGwO1n0QQGx9kKbO0_M5gmuhXZ6-LaxQxgrmJnzgP0"",""'TP# look up'!A:C""),3,0),"""")"),"")</f>
        <v/>
      </c>
      <c r="AH5667" s="49">
        <f>LEFT(J5667,2)</f>
        <v/>
      </c>
    </row>
    <row r="5668" ht="12.75" customHeight="1">
      <c r="H5668" s="43" t="n"/>
      <c r="AG5668" s="49">
        <f>IFERROR(__xludf.DUMMYFUNCTION("IFNA(vlookup(H5668,IMPORTRANGE(""1vUGwO1n0QQGx9kKbO0_M5gmuhXZ6-LaxQxgrmJnzgP0"",""'TP# look up'!A:C""),3,0),"""")"),"")</f>
        <v/>
      </c>
      <c r="AH5668" s="49">
        <f>LEFT(J5668,2)</f>
        <v/>
      </c>
    </row>
    <row r="5669" ht="12.75" customHeight="1">
      <c r="H5669" s="43" t="n"/>
      <c r="AG5669" s="49">
        <f>IFERROR(__xludf.DUMMYFUNCTION("IFNA(vlookup(H5669,IMPORTRANGE(""1vUGwO1n0QQGx9kKbO0_M5gmuhXZ6-LaxQxgrmJnzgP0"",""'TP# look up'!A:C""),3,0),"""")"),"")</f>
        <v/>
      </c>
      <c r="AH5669" s="49">
        <f>LEFT(J5669,2)</f>
        <v/>
      </c>
    </row>
    <row r="5670" ht="12.75" customHeight="1">
      <c r="H5670" s="43" t="n"/>
      <c r="AG5670" s="49">
        <f>IFERROR(__xludf.DUMMYFUNCTION("IFNA(vlookup(H5670,IMPORTRANGE(""1vUGwO1n0QQGx9kKbO0_M5gmuhXZ6-LaxQxgrmJnzgP0"",""'TP# look up'!A:C""),3,0),"""")"),"")</f>
        <v/>
      </c>
      <c r="AH5670" s="49">
        <f>LEFT(J5670,2)</f>
        <v/>
      </c>
    </row>
    <row r="5671" ht="12.75" customHeight="1">
      <c r="H5671" s="43" t="n"/>
      <c r="AG5671" s="49">
        <f>IFERROR(__xludf.DUMMYFUNCTION("IFNA(vlookup(H5671,IMPORTRANGE(""1vUGwO1n0QQGx9kKbO0_M5gmuhXZ6-LaxQxgrmJnzgP0"",""'TP# look up'!A:C""),3,0),"""")"),"")</f>
        <v/>
      </c>
      <c r="AH5671" s="49">
        <f>LEFT(J5671,2)</f>
        <v/>
      </c>
    </row>
    <row r="5672" ht="12.75" customHeight="1">
      <c r="H5672" s="43" t="n"/>
      <c r="AG5672" s="49">
        <f>IFERROR(__xludf.DUMMYFUNCTION("IFNA(vlookup(H5672,IMPORTRANGE(""1vUGwO1n0QQGx9kKbO0_M5gmuhXZ6-LaxQxgrmJnzgP0"",""'TP# look up'!A:C""),3,0),"""")"),"")</f>
        <v/>
      </c>
      <c r="AH5672" s="49">
        <f>LEFT(J5672,2)</f>
        <v/>
      </c>
    </row>
    <row r="5673" ht="12.75" customHeight="1">
      <c r="H5673" s="43" t="n"/>
      <c r="AG5673" s="49">
        <f>IFERROR(__xludf.DUMMYFUNCTION("IFNA(vlookup(H5673,IMPORTRANGE(""1vUGwO1n0QQGx9kKbO0_M5gmuhXZ6-LaxQxgrmJnzgP0"",""'TP# look up'!A:C""),3,0),"""")"),"")</f>
        <v/>
      </c>
      <c r="AH5673" s="49">
        <f>LEFT(J5673,2)</f>
        <v/>
      </c>
    </row>
    <row r="5674" ht="12.75" customHeight="1">
      <c r="H5674" s="43" t="n"/>
      <c r="AG5674" s="49">
        <f>IFERROR(__xludf.DUMMYFUNCTION("IFNA(vlookup(H5674,IMPORTRANGE(""1vUGwO1n0QQGx9kKbO0_M5gmuhXZ6-LaxQxgrmJnzgP0"",""'TP# look up'!A:C""),3,0),"""")"),"")</f>
        <v/>
      </c>
      <c r="AH5674" s="49">
        <f>LEFT(J5674,2)</f>
        <v/>
      </c>
    </row>
    <row r="5675" ht="12.75" customHeight="1">
      <c r="H5675" s="43" t="n"/>
      <c r="AG5675" s="49">
        <f>IFERROR(__xludf.DUMMYFUNCTION("IFNA(vlookup(H5675,IMPORTRANGE(""1vUGwO1n0QQGx9kKbO0_M5gmuhXZ6-LaxQxgrmJnzgP0"",""'TP# look up'!A:C""),3,0),"""")"),"")</f>
        <v/>
      </c>
      <c r="AH5675" s="49">
        <f>LEFT(J5675,2)</f>
        <v/>
      </c>
    </row>
    <row r="5676" ht="12.75" customHeight="1">
      <c r="H5676" s="43" t="n"/>
      <c r="AG5676" s="49">
        <f>IFERROR(__xludf.DUMMYFUNCTION("IFNA(vlookup(H5676,IMPORTRANGE(""1vUGwO1n0QQGx9kKbO0_M5gmuhXZ6-LaxQxgrmJnzgP0"",""'TP# look up'!A:C""),3,0),"""")"),"")</f>
        <v/>
      </c>
      <c r="AH5676" s="49">
        <f>LEFT(J5676,2)</f>
        <v/>
      </c>
    </row>
    <row r="5677" ht="12.75" customHeight="1">
      <c r="H5677" s="43" t="n"/>
      <c r="AG5677" s="49">
        <f>IFERROR(__xludf.DUMMYFUNCTION("IFNA(vlookup(H5677,IMPORTRANGE(""1vUGwO1n0QQGx9kKbO0_M5gmuhXZ6-LaxQxgrmJnzgP0"",""'TP# look up'!A:C""),3,0),"""")"),"")</f>
        <v/>
      </c>
      <c r="AH5677" s="49">
        <f>LEFT(J5677,2)</f>
        <v/>
      </c>
    </row>
    <row r="5678" ht="12.75" customHeight="1">
      <c r="H5678" s="43" t="n"/>
      <c r="AG5678" s="49">
        <f>IFERROR(__xludf.DUMMYFUNCTION("IFNA(vlookup(H5678,IMPORTRANGE(""1vUGwO1n0QQGx9kKbO0_M5gmuhXZ6-LaxQxgrmJnzgP0"",""'TP# look up'!A:C""),3,0),"""")"),"")</f>
        <v/>
      </c>
      <c r="AH5678" s="49">
        <f>LEFT(J5678,2)</f>
        <v/>
      </c>
    </row>
    <row r="5679" ht="12.75" customHeight="1">
      <c r="H5679" s="43" t="n"/>
      <c r="AG5679" s="49">
        <f>IFERROR(__xludf.DUMMYFUNCTION("IFNA(vlookup(H5679,IMPORTRANGE(""1vUGwO1n0QQGx9kKbO0_M5gmuhXZ6-LaxQxgrmJnzgP0"",""'TP# look up'!A:C""),3,0),"""")"),"")</f>
        <v/>
      </c>
      <c r="AH5679" s="49">
        <f>LEFT(J5679,2)</f>
        <v/>
      </c>
    </row>
    <row r="5680" ht="12.75" customHeight="1">
      <c r="H5680" s="43" t="n"/>
      <c r="AG5680" s="49">
        <f>IFERROR(__xludf.DUMMYFUNCTION("IFNA(vlookup(H5680,IMPORTRANGE(""1vUGwO1n0QQGx9kKbO0_M5gmuhXZ6-LaxQxgrmJnzgP0"",""'TP# look up'!A:C""),3,0),"""")"),"")</f>
        <v/>
      </c>
      <c r="AH5680" s="49">
        <f>LEFT(J5680,2)</f>
        <v/>
      </c>
    </row>
    <row r="5681" ht="12.75" customHeight="1">
      <c r="H5681" s="43" t="n"/>
      <c r="AG5681" s="49">
        <f>IFERROR(__xludf.DUMMYFUNCTION("IFNA(vlookup(H5681,IMPORTRANGE(""1vUGwO1n0QQGx9kKbO0_M5gmuhXZ6-LaxQxgrmJnzgP0"",""'TP# look up'!A:C""),3,0),"""")"),"")</f>
        <v/>
      </c>
      <c r="AH5681" s="49">
        <f>LEFT(J5681,2)</f>
        <v/>
      </c>
    </row>
    <row r="5682" ht="12.75" customHeight="1">
      <c r="H5682" s="43" t="n"/>
      <c r="AG5682" s="49">
        <f>IFERROR(__xludf.DUMMYFUNCTION("IFNA(vlookup(H5682,IMPORTRANGE(""1vUGwO1n0QQGx9kKbO0_M5gmuhXZ6-LaxQxgrmJnzgP0"",""'TP# look up'!A:C""),3,0),"""")"),"")</f>
        <v/>
      </c>
      <c r="AH5682" s="49">
        <f>LEFT(J5682,2)</f>
        <v/>
      </c>
    </row>
    <row r="5683" ht="12.75" customHeight="1">
      <c r="H5683" s="43" t="n"/>
      <c r="AG5683" s="49">
        <f>IFERROR(__xludf.DUMMYFUNCTION("IFNA(vlookup(H5683,IMPORTRANGE(""1vUGwO1n0QQGx9kKbO0_M5gmuhXZ6-LaxQxgrmJnzgP0"",""'TP# look up'!A:C""),3,0),"""")"),"")</f>
        <v/>
      </c>
      <c r="AH5683" s="49">
        <f>LEFT(J5683,2)</f>
        <v/>
      </c>
    </row>
    <row r="5684" ht="12.75" customHeight="1">
      <c r="H5684" s="43" t="n"/>
      <c r="AG5684" s="49">
        <f>IFERROR(__xludf.DUMMYFUNCTION("IFNA(vlookup(H5684,IMPORTRANGE(""1vUGwO1n0QQGx9kKbO0_M5gmuhXZ6-LaxQxgrmJnzgP0"",""'TP# look up'!A:C""),3,0),"""")"),"")</f>
        <v/>
      </c>
      <c r="AH5684" s="49">
        <f>LEFT(J5684,2)</f>
        <v/>
      </c>
    </row>
    <row r="5685" ht="12.75" customHeight="1">
      <c r="H5685" s="43" t="n"/>
      <c r="AG5685" s="49">
        <f>IFERROR(__xludf.DUMMYFUNCTION("IFNA(vlookup(H5685,IMPORTRANGE(""1vUGwO1n0QQGx9kKbO0_M5gmuhXZ6-LaxQxgrmJnzgP0"",""'TP# look up'!A:C""),3,0),"""")"),"")</f>
        <v/>
      </c>
      <c r="AH5685" s="49">
        <f>LEFT(J5685,2)</f>
        <v/>
      </c>
    </row>
    <row r="5686" ht="12.75" customHeight="1">
      <c r="H5686" s="43" t="n"/>
      <c r="AG5686" s="49">
        <f>IFERROR(__xludf.DUMMYFUNCTION("IFNA(vlookup(H5686,IMPORTRANGE(""1vUGwO1n0QQGx9kKbO0_M5gmuhXZ6-LaxQxgrmJnzgP0"",""'TP# look up'!A:C""),3,0),"""")"),"")</f>
        <v/>
      </c>
      <c r="AH5686" s="49">
        <f>LEFT(J5686,2)</f>
        <v/>
      </c>
    </row>
    <row r="5687" ht="12.75" customHeight="1">
      <c r="H5687" s="43" t="n"/>
      <c r="AG5687" s="49">
        <f>IFERROR(__xludf.DUMMYFUNCTION("IFNA(vlookup(H5687,IMPORTRANGE(""1vUGwO1n0QQGx9kKbO0_M5gmuhXZ6-LaxQxgrmJnzgP0"",""'TP# look up'!A:C""),3,0),"""")"),"")</f>
        <v/>
      </c>
      <c r="AH5687" s="49">
        <f>LEFT(J5687,2)</f>
        <v/>
      </c>
    </row>
    <row r="5688" ht="12.75" customHeight="1">
      <c r="H5688" s="43" t="n"/>
      <c r="AG5688" s="49">
        <f>IFERROR(__xludf.DUMMYFUNCTION("IFNA(vlookup(H5688,IMPORTRANGE(""1vUGwO1n0QQGx9kKbO0_M5gmuhXZ6-LaxQxgrmJnzgP0"",""'TP# look up'!A:C""),3,0),"""")"),"")</f>
        <v/>
      </c>
      <c r="AH5688" s="49">
        <f>LEFT(J5688,2)</f>
        <v/>
      </c>
    </row>
    <row r="5689" ht="12.75" customHeight="1">
      <c r="H5689" s="43" t="n"/>
      <c r="AG5689" s="49">
        <f>IFERROR(__xludf.DUMMYFUNCTION("IFNA(vlookup(H5689,IMPORTRANGE(""1vUGwO1n0QQGx9kKbO0_M5gmuhXZ6-LaxQxgrmJnzgP0"",""'TP# look up'!A:C""),3,0),"""")"),"")</f>
        <v/>
      </c>
      <c r="AH5689" s="49">
        <f>LEFT(J5689,2)</f>
        <v/>
      </c>
    </row>
    <row r="5690" ht="12.75" customHeight="1">
      <c r="H5690" s="43" t="n"/>
      <c r="AG5690" s="49">
        <f>IFERROR(__xludf.DUMMYFUNCTION("IFNA(vlookup(H5690,IMPORTRANGE(""1vUGwO1n0QQGx9kKbO0_M5gmuhXZ6-LaxQxgrmJnzgP0"",""'TP# look up'!A:C""),3,0),"""")"),"")</f>
        <v/>
      </c>
      <c r="AH5690" s="49">
        <f>LEFT(J5690,2)</f>
        <v/>
      </c>
    </row>
    <row r="5691" ht="12.75" customHeight="1">
      <c r="H5691" s="43" t="n"/>
      <c r="AG5691" s="49">
        <f>IFERROR(__xludf.DUMMYFUNCTION("IFNA(vlookup(H5691,IMPORTRANGE(""1vUGwO1n0QQGx9kKbO0_M5gmuhXZ6-LaxQxgrmJnzgP0"",""'TP# look up'!A:C""),3,0),"""")"),"")</f>
        <v/>
      </c>
      <c r="AH5691" s="49">
        <f>LEFT(J5691,2)</f>
        <v/>
      </c>
    </row>
    <row r="5692" ht="12.75" customHeight="1">
      <c r="H5692" s="43" t="n"/>
      <c r="AG5692" s="49">
        <f>IFERROR(__xludf.DUMMYFUNCTION("IFNA(vlookup(H5692,IMPORTRANGE(""1vUGwO1n0QQGx9kKbO0_M5gmuhXZ6-LaxQxgrmJnzgP0"",""'TP# look up'!A:C""),3,0),"""")"),"")</f>
        <v/>
      </c>
      <c r="AH5692" s="49">
        <f>LEFT(J5692,2)</f>
        <v/>
      </c>
    </row>
    <row r="5693" ht="12.75" customHeight="1">
      <c r="H5693" s="43" t="n"/>
      <c r="AG5693" s="49">
        <f>IFERROR(__xludf.DUMMYFUNCTION("IFNA(vlookup(H5693,IMPORTRANGE(""1vUGwO1n0QQGx9kKbO0_M5gmuhXZ6-LaxQxgrmJnzgP0"",""'TP# look up'!A:C""),3,0),"""")"),"")</f>
        <v/>
      </c>
      <c r="AH5693" s="49">
        <f>LEFT(J5693,2)</f>
        <v/>
      </c>
    </row>
    <row r="5694" ht="12.75" customHeight="1">
      <c r="H5694" s="43" t="n"/>
      <c r="AG5694" s="49">
        <f>IFERROR(__xludf.DUMMYFUNCTION("IFNA(vlookup(H5694,IMPORTRANGE(""1vUGwO1n0QQGx9kKbO0_M5gmuhXZ6-LaxQxgrmJnzgP0"",""'TP# look up'!A:C""),3,0),"""")"),"")</f>
        <v/>
      </c>
      <c r="AH5694" s="49">
        <f>LEFT(J5694,2)</f>
        <v/>
      </c>
    </row>
    <row r="5695" ht="12.75" customHeight="1">
      <c r="H5695" s="43" t="n"/>
      <c r="AG5695" s="49">
        <f>IFERROR(__xludf.DUMMYFUNCTION("IFNA(vlookup(H5695,IMPORTRANGE(""1vUGwO1n0QQGx9kKbO0_M5gmuhXZ6-LaxQxgrmJnzgP0"",""'TP# look up'!A:C""),3,0),"""")"),"")</f>
        <v/>
      </c>
      <c r="AH5695" s="49">
        <f>LEFT(J5695,2)</f>
        <v/>
      </c>
    </row>
    <row r="5696" ht="12.75" customHeight="1">
      <c r="H5696" s="43" t="n"/>
      <c r="AG5696" s="49">
        <f>IFERROR(__xludf.DUMMYFUNCTION("IFNA(vlookup(H5696,IMPORTRANGE(""1vUGwO1n0QQGx9kKbO0_M5gmuhXZ6-LaxQxgrmJnzgP0"",""'TP# look up'!A:C""),3,0),"""")"),"")</f>
        <v/>
      </c>
      <c r="AH5696" s="49">
        <f>LEFT(J5696,2)</f>
        <v/>
      </c>
    </row>
    <row r="5697" ht="12.75" customHeight="1">
      <c r="H5697" s="43" t="n"/>
      <c r="AG5697" s="49">
        <f>IFERROR(__xludf.DUMMYFUNCTION("IFNA(vlookup(H5697,IMPORTRANGE(""1vUGwO1n0QQGx9kKbO0_M5gmuhXZ6-LaxQxgrmJnzgP0"",""'TP# look up'!A:C""),3,0),"""")"),"")</f>
        <v/>
      </c>
      <c r="AH5697" s="49">
        <f>LEFT(J5697,2)</f>
        <v/>
      </c>
    </row>
    <row r="5698" ht="12.75" customHeight="1">
      <c r="H5698" s="43" t="n"/>
      <c r="AG5698" s="49">
        <f>IFERROR(__xludf.DUMMYFUNCTION("IFNA(vlookup(H5698,IMPORTRANGE(""1vUGwO1n0QQGx9kKbO0_M5gmuhXZ6-LaxQxgrmJnzgP0"",""'TP# look up'!A:C""),3,0),"""")"),"")</f>
        <v/>
      </c>
      <c r="AH5698" s="49">
        <f>LEFT(J5698,2)</f>
        <v/>
      </c>
    </row>
    <row r="5699" ht="12.75" customHeight="1">
      <c r="H5699" s="43" t="n"/>
      <c r="AG5699" s="49">
        <f>IFERROR(__xludf.DUMMYFUNCTION("IFNA(vlookup(H5699,IMPORTRANGE(""1vUGwO1n0QQGx9kKbO0_M5gmuhXZ6-LaxQxgrmJnzgP0"",""'TP# look up'!A:C""),3,0),"""")"),"")</f>
        <v/>
      </c>
      <c r="AH5699" s="49">
        <f>LEFT(J5699,2)</f>
        <v/>
      </c>
    </row>
    <row r="5700" ht="12.75" customHeight="1">
      <c r="H5700" s="43" t="n"/>
      <c r="AG5700" s="49">
        <f>IFERROR(__xludf.DUMMYFUNCTION("IFNA(vlookup(H5700,IMPORTRANGE(""1vUGwO1n0QQGx9kKbO0_M5gmuhXZ6-LaxQxgrmJnzgP0"",""'TP# look up'!A:C""),3,0),"""")"),"")</f>
        <v/>
      </c>
      <c r="AH5700" s="49">
        <f>LEFT(J5700,2)</f>
        <v/>
      </c>
    </row>
    <row r="5701" ht="12.75" customHeight="1">
      <c r="H5701" s="43" t="n"/>
      <c r="AG5701" s="49">
        <f>IFERROR(__xludf.DUMMYFUNCTION("IFNA(vlookup(H5701,IMPORTRANGE(""1vUGwO1n0QQGx9kKbO0_M5gmuhXZ6-LaxQxgrmJnzgP0"",""'TP# look up'!A:C""),3,0),"""")"),"")</f>
        <v/>
      </c>
      <c r="AH5701" s="49">
        <f>LEFT(J5701,2)</f>
        <v/>
      </c>
    </row>
    <row r="5702" ht="12.75" customHeight="1">
      <c r="H5702" s="43" t="n"/>
      <c r="AG5702" s="49">
        <f>IFERROR(__xludf.DUMMYFUNCTION("IFNA(vlookup(H5702,IMPORTRANGE(""1vUGwO1n0QQGx9kKbO0_M5gmuhXZ6-LaxQxgrmJnzgP0"",""'TP# look up'!A:C""),3,0),"""")"),"")</f>
        <v/>
      </c>
      <c r="AH5702" s="49">
        <f>LEFT(J5702,2)</f>
        <v/>
      </c>
    </row>
    <row r="5703" ht="12.75" customHeight="1">
      <c r="H5703" s="43" t="n"/>
      <c r="AG5703" s="49">
        <f>IFERROR(__xludf.DUMMYFUNCTION("IFNA(vlookup(H5703,IMPORTRANGE(""1vUGwO1n0QQGx9kKbO0_M5gmuhXZ6-LaxQxgrmJnzgP0"",""'TP# look up'!A:C""),3,0),"""")"),"")</f>
        <v/>
      </c>
      <c r="AH5703" s="49">
        <f>LEFT(J5703,2)</f>
        <v/>
      </c>
    </row>
    <row r="5704" ht="12.75" customHeight="1">
      <c r="H5704" s="43" t="n"/>
      <c r="AG5704" s="49">
        <f>IFERROR(__xludf.DUMMYFUNCTION("IFNA(vlookup(H5704,IMPORTRANGE(""1vUGwO1n0QQGx9kKbO0_M5gmuhXZ6-LaxQxgrmJnzgP0"",""'TP# look up'!A:C""),3,0),"""")"),"")</f>
        <v/>
      </c>
      <c r="AH5704" s="49">
        <f>LEFT(J5704,2)</f>
        <v/>
      </c>
    </row>
    <row r="5705" ht="12.75" customHeight="1">
      <c r="H5705" s="43" t="n"/>
      <c r="AG5705" s="49">
        <f>IFERROR(__xludf.DUMMYFUNCTION("IFNA(vlookup(H5705,IMPORTRANGE(""1vUGwO1n0QQGx9kKbO0_M5gmuhXZ6-LaxQxgrmJnzgP0"",""'TP# look up'!A:C""),3,0),"""")"),"")</f>
        <v/>
      </c>
      <c r="AH5705" s="49">
        <f>LEFT(J5705,2)</f>
        <v/>
      </c>
    </row>
    <row r="5706" ht="12.75" customHeight="1">
      <c r="H5706" s="43" t="n"/>
      <c r="AG5706" s="49">
        <f>IFERROR(__xludf.DUMMYFUNCTION("IFNA(vlookup(H5706,IMPORTRANGE(""1vUGwO1n0QQGx9kKbO0_M5gmuhXZ6-LaxQxgrmJnzgP0"",""'TP# look up'!A:C""),3,0),"""")"),"")</f>
        <v/>
      </c>
      <c r="AH5706" s="49">
        <f>LEFT(J5706,2)</f>
        <v/>
      </c>
    </row>
    <row r="5707" ht="12.75" customHeight="1">
      <c r="H5707" s="43" t="n"/>
      <c r="AG5707" s="49">
        <f>IFERROR(__xludf.DUMMYFUNCTION("IFNA(vlookup(H5707,IMPORTRANGE(""1vUGwO1n0QQGx9kKbO0_M5gmuhXZ6-LaxQxgrmJnzgP0"",""'TP# look up'!A:C""),3,0),"""")"),"")</f>
        <v/>
      </c>
      <c r="AH5707" s="49">
        <f>LEFT(J5707,2)</f>
        <v/>
      </c>
    </row>
    <row r="5708" ht="12.75" customHeight="1">
      <c r="H5708" s="43" t="n"/>
      <c r="AG5708" s="49">
        <f>IFERROR(__xludf.DUMMYFUNCTION("IFNA(vlookup(H5708,IMPORTRANGE(""1vUGwO1n0QQGx9kKbO0_M5gmuhXZ6-LaxQxgrmJnzgP0"",""'TP# look up'!A:C""),3,0),"""")"),"")</f>
        <v/>
      </c>
      <c r="AH5708" s="49">
        <f>LEFT(J5708,2)</f>
        <v/>
      </c>
    </row>
    <row r="5709" ht="12.75" customHeight="1">
      <c r="H5709" s="43" t="n"/>
      <c r="AG5709" s="49">
        <f>IFERROR(__xludf.DUMMYFUNCTION("IFNA(vlookup(H5709,IMPORTRANGE(""1vUGwO1n0QQGx9kKbO0_M5gmuhXZ6-LaxQxgrmJnzgP0"",""'TP# look up'!A:C""),3,0),"""")"),"")</f>
        <v/>
      </c>
      <c r="AH5709" s="49">
        <f>LEFT(J5709,2)</f>
        <v/>
      </c>
    </row>
    <row r="5710" ht="12.75" customHeight="1">
      <c r="H5710" s="43" t="n"/>
      <c r="AG5710" s="49">
        <f>IFERROR(__xludf.DUMMYFUNCTION("IFNA(vlookup(H5710,IMPORTRANGE(""1vUGwO1n0QQGx9kKbO0_M5gmuhXZ6-LaxQxgrmJnzgP0"",""'TP# look up'!A:C""),3,0),"""")"),"")</f>
        <v/>
      </c>
      <c r="AH5710" s="49">
        <f>LEFT(J5710,2)</f>
        <v/>
      </c>
    </row>
    <row r="5711" ht="12.75" customHeight="1">
      <c r="H5711" s="43" t="n"/>
      <c r="AG5711" s="49">
        <f>IFERROR(__xludf.DUMMYFUNCTION("IFNA(vlookup(H5711,IMPORTRANGE(""1vUGwO1n0QQGx9kKbO0_M5gmuhXZ6-LaxQxgrmJnzgP0"",""'TP# look up'!A:C""),3,0),"""")"),"")</f>
        <v/>
      </c>
      <c r="AH5711" s="49">
        <f>LEFT(J5711,2)</f>
        <v/>
      </c>
    </row>
    <row r="5712" ht="12.75" customHeight="1">
      <c r="H5712" s="43" t="n"/>
      <c r="AG5712" s="49">
        <f>IFERROR(__xludf.DUMMYFUNCTION("IFNA(vlookup(H5712,IMPORTRANGE(""1vUGwO1n0QQGx9kKbO0_M5gmuhXZ6-LaxQxgrmJnzgP0"",""'TP# look up'!A:C""),3,0),"""")"),"")</f>
        <v/>
      </c>
      <c r="AH5712" s="49">
        <f>LEFT(J5712,2)</f>
        <v/>
      </c>
    </row>
    <row r="5713" ht="12.75" customHeight="1">
      <c r="H5713" s="43" t="n"/>
      <c r="AG5713" s="49">
        <f>IFERROR(__xludf.DUMMYFUNCTION("IFNA(vlookup(H5713,IMPORTRANGE(""1vUGwO1n0QQGx9kKbO0_M5gmuhXZ6-LaxQxgrmJnzgP0"",""'TP# look up'!A:C""),3,0),"""")"),"")</f>
        <v/>
      </c>
      <c r="AH5713" s="49">
        <f>LEFT(J5713,2)</f>
        <v/>
      </c>
    </row>
    <row r="5714" ht="12.75" customHeight="1">
      <c r="H5714" s="43" t="n"/>
      <c r="AG5714" s="49">
        <f>IFERROR(__xludf.DUMMYFUNCTION("IFNA(vlookup(H5714,IMPORTRANGE(""1vUGwO1n0QQGx9kKbO0_M5gmuhXZ6-LaxQxgrmJnzgP0"",""'TP# look up'!A:C""),3,0),"""")"),"")</f>
        <v/>
      </c>
      <c r="AH5714" s="49">
        <f>LEFT(J5714,2)</f>
        <v/>
      </c>
    </row>
    <row r="5715" ht="12.75" customHeight="1">
      <c r="H5715" s="43" t="n"/>
      <c r="AG5715" s="49">
        <f>IFERROR(__xludf.DUMMYFUNCTION("IFNA(vlookup(H5715,IMPORTRANGE(""1vUGwO1n0QQGx9kKbO0_M5gmuhXZ6-LaxQxgrmJnzgP0"",""'TP# look up'!A:C""),3,0),"""")"),"")</f>
        <v/>
      </c>
      <c r="AH5715" s="49">
        <f>LEFT(J5715,2)</f>
        <v/>
      </c>
    </row>
    <row r="5716" ht="12.75" customHeight="1">
      <c r="H5716" s="43" t="n"/>
      <c r="AG5716" s="49">
        <f>IFERROR(__xludf.DUMMYFUNCTION("IFNA(vlookup(H5716,IMPORTRANGE(""1vUGwO1n0QQGx9kKbO0_M5gmuhXZ6-LaxQxgrmJnzgP0"",""'TP# look up'!A:C""),3,0),"""")"),"")</f>
        <v/>
      </c>
      <c r="AH5716" s="49">
        <f>LEFT(J5716,2)</f>
        <v/>
      </c>
    </row>
    <row r="5717" ht="12.75" customHeight="1">
      <c r="H5717" s="43" t="n"/>
      <c r="AG5717" s="49">
        <f>IFERROR(__xludf.DUMMYFUNCTION("IFNA(vlookup(H5717,IMPORTRANGE(""1vUGwO1n0QQGx9kKbO0_M5gmuhXZ6-LaxQxgrmJnzgP0"",""'TP# look up'!A:C""),3,0),"""")"),"")</f>
        <v/>
      </c>
      <c r="AH5717" s="49">
        <f>LEFT(J5717,2)</f>
        <v/>
      </c>
    </row>
    <row r="5718" ht="12.75" customHeight="1">
      <c r="H5718" s="43" t="n"/>
      <c r="AG5718" s="49">
        <f>IFERROR(__xludf.DUMMYFUNCTION("IFNA(vlookup(H5718,IMPORTRANGE(""1vUGwO1n0QQGx9kKbO0_M5gmuhXZ6-LaxQxgrmJnzgP0"",""'TP# look up'!A:C""),3,0),"""")"),"")</f>
        <v/>
      </c>
      <c r="AH5718" s="49">
        <f>LEFT(J5718,2)</f>
        <v/>
      </c>
    </row>
    <row r="5719" ht="12.75" customHeight="1">
      <c r="H5719" s="43" t="n"/>
      <c r="AG5719" s="49">
        <f>IFERROR(__xludf.DUMMYFUNCTION("IFNA(vlookup(H5719,IMPORTRANGE(""1vUGwO1n0QQGx9kKbO0_M5gmuhXZ6-LaxQxgrmJnzgP0"",""'TP# look up'!A:C""),3,0),"""")"),"")</f>
        <v/>
      </c>
      <c r="AH5719" s="49">
        <f>LEFT(J5719,2)</f>
        <v/>
      </c>
    </row>
    <row r="5720" ht="12.75" customHeight="1">
      <c r="H5720" s="43" t="n"/>
      <c r="AG5720" s="49">
        <f>IFERROR(__xludf.DUMMYFUNCTION("IFNA(vlookup(H5720,IMPORTRANGE(""1vUGwO1n0QQGx9kKbO0_M5gmuhXZ6-LaxQxgrmJnzgP0"",""'TP# look up'!A:C""),3,0),"""")"),"")</f>
        <v/>
      </c>
      <c r="AH5720" s="49">
        <f>LEFT(J5720,2)</f>
        <v/>
      </c>
    </row>
    <row r="5721" ht="12.75" customHeight="1">
      <c r="H5721" s="43" t="n"/>
      <c r="AG5721" s="49">
        <f>IFERROR(__xludf.DUMMYFUNCTION("IFNA(vlookup(H5721,IMPORTRANGE(""1vUGwO1n0QQGx9kKbO0_M5gmuhXZ6-LaxQxgrmJnzgP0"",""'TP# look up'!A:C""),3,0),"""")"),"")</f>
        <v/>
      </c>
      <c r="AH5721" s="49">
        <f>LEFT(J5721,2)</f>
        <v/>
      </c>
    </row>
    <row r="5722" ht="12.75" customHeight="1">
      <c r="H5722" s="43" t="n"/>
      <c r="AG5722" s="49">
        <f>IFERROR(__xludf.DUMMYFUNCTION("IFNA(vlookup(H5722,IMPORTRANGE(""1vUGwO1n0QQGx9kKbO0_M5gmuhXZ6-LaxQxgrmJnzgP0"",""'TP# look up'!A:C""),3,0),"""")"),"")</f>
        <v/>
      </c>
      <c r="AH5722" s="49">
        <f>LEFT(J5722,2)</f>
        <v/>
      </c>
    </row>
    <row r="5723" ht="12.75" customHeight="1">
      <c r="H5723" s="43" t="n"/>
      <c r="AG5723" s="49">
        <f>IFERROR(__xludf.DUMMYFUNCTION("IFNA(vlookup(H5723,IMPORTRANGE(""1vUGwO1n0QQGx9kKbO0_M5gmuhXZ6-LaxQxgrmJnzgP0"",""'TP# look up'!A:C""),3,0),"""")"),"")</f>
        <v/>
      </c>
      <c r="AH5723" s="49">
        <f>LEFT(J5723,2)</f>
        <v/>
      </c>
    </row>
    <row r="5724" ht="12.75" customHeight="1">
      <c r="H5724" s="43" t="n"/>
      <c r="AG5724" s="49">
        <f>IFERROR(__xludf.DUMMYFUNCTION("IFNA(vlookup(H5724,IMPORTRANGE(""1vUGwO1n0QQGx9kKbO0_M5gmuhXZ6-LaxQxgrmJnzgP0"",""'TP# look up'!A:C""),3,0),"""")"),"")</f>
        <v/>
      </c>
      <c r="AH5724" s="49">
        <f>LEFT(J5724,2)</f>
        <v/>
      </c>
    </row>
    <row r="5725" ht="12.75" customHeight="1">
      <c r="H5725" s="43" t="n"/>
      <c r="AG5725" s="49">
        <f>IFERROR(__xludf.DUMMYFUNCTION("IFNA(vlookup(H5725,IMPORTRANGE(""1vUGwO1n0QQGx9kKbO0_M5gmuhXZ6-LaxQxgrmJnzgP0"",""'TP# look up'!A:C""),3,0),"""")"),"")</f>
        <v/>
      </c>
      <c r="AH5725" s="49">
        <f>LEFT(J5725,2)</f>
        <v/>
      </c>
    </row>
    <row r="5726" ht="12.75" customHeight="1">
      <c r="H5726" s="43" t="n"/>
      <c r="AG5726" s="49">
        <f>IFERROR(__xludf.DUMMYFUNCTION("IFNA(vlookup(H5726,IMPORTRANGE(""1vUGwO1n0QQGx9kKbO0_M5gmuhXZ6-LaxQxgrmJnzgP0"",""'TP# look up'!A:C""),3,0),"""")"),"")</f>
        <v/>
      </c>
      <c r="AH5726" s="49">
        <f>LEFT(J5726,2)</f>
        <v/>
      </c>
    </row>
    <row r="5727" ht="12.75" customHeight="1">
      <c r="H5727" s="43" t="n"/>
      <c r="AG5727" s="49">
        <f>IFERROR(__xludf.DUMMYFUNCTION("IFNA(vlookup(H5727,IMPORTRANGE(""1vUGwO1n0QQGx9kKbO0_M5gmuhXZ6-LaxQxgrmJnzgP0"",""'TP# look up'!A:C""),3,0),"""")"),"")</f>
        <v/>
      </c>
      <c r="AH5727" s="49">
        <f>LEFT(J5727,2)</f>
        <v/>
      </c>
    </row>
    <row r="5728" ht="12.75" customHeight="1">
      <c r="H5728" s="43" t="n"/>
      <c r="AG5728" s="49">
        <f>IFERROR(__xludf.DUMMYFUNCTION("IFNA(vlookup(H5728,IMPORTRANGE(""1vUGwO1n0QQGx9kKbO0_M5gmuhXZ6-LaxQxgrmJnzgP0"",""'TP# look up'!A:C""),3,0),"""")"),"")</f>
        <v/>
      </c>
      <c r="AH5728" s="49">
        <f>LEFT(J5728,2)</f>
        <v/>
      </c>
    </row>
    <row r="5729" ht="12.75" customHeight="1">
      <c r="H5729" s="43" t="n"/>
      <c r="AG5729" s="49">
        <f>IFERROR(__xludf.DUMMYFUNCTION("IFNA(vlookup(H5729,IMPORTRANGE(""1vUGwO1n0QQGx9kKbO0_M5gmuhXZ6-LaxQxgrmJnzgP0"",""'TP# look up'!A:C""),3,0),"""")"),"")</f>
        <v/>
      </c>
      <c r="AH5729" s="49">
        <f>LEFT(J5729,2)</f>
        <v/>
      </c>
    </row>
    <row r="5730" ht="12.75" customHeight="1">
      <c r="H5730" s="43" t="n"/>
      <c r="AG5730" s="49">
        <f>IFERROR(__xludf.DUMMYFUNCTION("IFNA(vlookup(H5730,IMPORTRANGE(""1vUGwO1n0QQGx9kKbO0_M5gmuhXZ6-LaxQxgrmJnzgP0"",""'TP# look up'!A:C""),3,0),"""")"),"")</f>
        <v/>
      </c>
      <c r="AH5730" s="49">
        <f>LEFT(J5730,2)</f>
        <v/>
      </c>
    </row>
    <row r="5731" ht="12.75" customHeight="1">
      <c r="H5731" s="43" t="n"/>
      <c r="AG5731" s="49">
        <f>IFERROR(__xludf.DUMMYFUNCTION("IFNA(vlookup(H5731,IMPORTRANGE(""1vUGwO1n0QQGx9kKbO0_M5gmuhXZ6-LaxQxgrmJnzgP0"",""'TP# look up'!A:C""),3,0),"""")"),"")</f>
        <v/>
      </c>
      <c r="AH5731" s="49">
        <f>LEFT(J5731,2)</f>
        <v/>
      </c>
    </row>
    <row r="5732" ht="12.75" customHeight="1">
      <c r="H5732" s="43" t="n"/>
      <c r="AG5732" s="49">
        <f>IFERROR(__xludf.DUMMYFUNCTION("IFNA(vlookup(H5732,IMPORTRANGE(""1vUGwO1n0QQGx9kKbO0_M5gmuhXZ6-LaxQxgrmJnzgP0"",""'TP# look up'!A:C""),3,0),"""")"),"")</f>
        <v/>
      </c>
      <c r="AH5732" s="49">
        <f>LEFT(J5732,2)</f>
        <v/>
      </c>
    </row>
    <row r="5733" ht="12.75" customHeight="1">
      <c r="H5733" s="43" t="n"/>
      <c r="AG5733" s="49">
        <f>IFERROR(__xludf.DUMMYFUNCTION("IFNA(vlookup(H5733,IMPORTRANGE(""1vUGwO1n0QQGx9kKbO0_M5gmuhXZ6-LaxQxgrmJnzgP0"",""'TP# look up'!A:C""),3,0),"""")"),"")</f>
        <v/>
      </c>
      <c r="AH5733" s="49">
        <f>LEFT(J5733,2)</f>
        <v/>
      </c>
    </row>
    <row r="5734" ht="12.75" customHeight="1">
      <c r="H5734" s="43" t="n"/>
      <c r="AG5734" s="49">
        <f>IFERROR(__xludf.DUMMYFUNCTION("IFNA(vlookup(H5734,IMPORTRANGE(""1vUGwO1n0QQGx9kKbO0_M5gmuhXZ6-LaxQxgrmJnzgP0"",""'TP# look up'!A:C""),3,0),"""")"),"")</f>
        <v/>
      </c>
      <c r="AH5734" s="49">
        <f>LEFT(J5734,2)</f>
        <v/>
      </c>
    </row>
    <row r="5735" ht="12.75" customHeight="1">
      <c r="H5735" s="43" t="n"/>
      <c r="AG5735" s="49">
        <f>IFERROR(__xludf.DUMMYFUNCTION("IFNA(vlookup(H5735,IMPORTRANGE(""1vUGwO1n0QQGx9kKbO0_M5gmuhXZ6-LaxQxgrmJnzgP0"",""'TP# look up'!A:C""),3,0),"""")"),"")</f>
        <v/>
      </c>
      <c r="AH5735" s="49">
        <f>LEFT(J5735,2)</f>
        <v/>
      </c>
    </row>
    <row r="5736" ht="12.75" customHeight="1">
      <c r="H5736" s="43" t="n"/>
      <c r="AG5736" s="49">
        <f>IFERROR(__xludf.DUMMYFUNCTION("IFNA(vlookup(H5736,IMPORTRANGE(""1vUGwO1n0QQGx9kKbO0_M5gmuhXZ6-LaxQxgrmJnzgP0"",""'TP# look up'!A:C""),3,0),"""")"),"")</f>
        <v/>
      </c>
      <c r="AH5736" s="49">
        <f>LEFT(J5736,2)</f>
        <v/>
      </c>
    </row>
    <row r="5737" ht="12.75" customHeight="1">
      <c r="H5737" s="43" t="n"/>
      <c r="AG5737" s="49">
        <f>IFERROR(__xludf.DUMMYFUNCTION("IFNA(vlookup(H5737,IMPORTRANGE(""1vUGwO1n0QQGx9kKbO0_M5gmuhXZ6-LaxQxgrmJnzgP0"",""'TP# look up'!A:C""),3,0),"""")"),"")</f>
        <v/>
      </c>
      <c r="AH5737" s="49">
        <f>LEFT(J5737,2)</f>
        <v/>
      </c>
    </row>
    <row r="5738" ht="12.75" customHeight="1">
      <c r="H5738" s="43" t="n"/>
      <c r="AG5738" s="49">
        <f>IFERROR(__xludf.DUMMYFUNCTION("IFNA(vlookup(H5738,IMPORTRANGE(""1vUGwO1n0QQGx9kKbO0_M5gmuhXZ6-LaxQxgrmJnzgP0"",""'TP# look up'!A:C""),3,0),"""")"),"")</f>
        <v/>
      </c>
      <c r="AH5738" s="49">
        <f>LEFT(J5738,2)</f>
        <v/>
      </c>
    </row>
    <row r="5739" ht="12.75" customHeight="1">
      <c r="H5739" s="43" t="n"/>
      <c r="AG5739" s="49">
        <f>IFERROR(__xludf.DUMMYFUNCTION("IFNA(vlookup(H5739,IMPORTRANGE(""1vUGwO1n0QQGx9kKbO0_M5gmuhXZ6-LaxQxgrmJnzgP0"",""'TP# look up'!A:C""),3,0),"""")"),"")</f>
        <v/>
      </c>
      <c r="AH5739" s="49">
        <f>LEFT(J5739,2)</f>
        <v/>
      </c>
    </row>
    <row r="5740" ht="12.75" customHeight="1">
      <c r="H5740" s="43" t="n"/>
      <c r="AG5740" s="49">
        <f>IFERROR(__xludf.DUMMYFUNCTION("IFNA(vlookup(H5740,IMPORTRANGE(""1vUGwO1n0QQGx9kKbO0_M5gmuhXZ6-LaxQxgrmJnzgP0"",""'TP# look up'!A:C""),3,0),"""")"),"")</f>
        <v/>
      </c>
      <c r="AH5740" s="49">
        <f>LEFT(J5740,2)</f>
        <v/>
      </c>
    </row>
    <row r="5741" ht="12.75" customHeight="1">
      <c r="H5741" s="43" t="n"/>
      <c r="AG5741" s="49">
        <f>IFERROR(__xludf.DUMMYFUNCTION("IFNA(vlookup(H5741,IMPORTRANGE(""1vUGwO1n0QQGx9kKbO0_M5gmuhXZ6-LaxQxgrmJnzgP0"",""'TP# look up'!A:C""),3,0),"""")"),"")</f>
        <v/>
      </c>
      <c r="AH5741" s="49">
        <f>LEFT(J5741,2)</f>
        <v/>
      </c>
    </row>
    <row r="5742" ht="12.75" customHeight="1">
      <c r="H5742" s="43" t="n"/>
      <c r="AG5742" s="49">
        <f>IFERROR(__xludf.DUMMYFUNCTION("IFNA(vlookup(H5742,IMPORTRANGE(""1vUGwO1n0QQGx9kKbO0_M5gmuhXZ6-LaxQxgrmJnzgP0"",""'TP# look up'!A:C""),3,0),"""")"),"")</f>
        <v/>
      </c>
      <c r="AH5742" s="49">
        <f>LEFT(J5742,2)</f>
        <v/>
      </c>
    </row>
    <row r="5743" ht="12.75" customHeight="1">
      <c r="H5743" s="43" t="n"/>
      <c r="AG5743" s="49">
        <f>IFERROR(__xludf.DUMMYFUNCTION("IFNA(vlookup(H5743,IMPORTRANGE(""1vUGwO1n0QQGx9kKbO0_M5gmuhXZ6-LaxQxgrmJnzgP0"",""'TP# look up'!A:C""),3,0),"""")"),"")</f>
        <v/>
      </c>
      <c r="AH5743" s="49">
        <f>LEFT(J5743,2)</f>
        <v/>
      </c>
    </row>
    <row r="5744" ht="12.75" customHeight="1">
      <c r="H5744" s="43" t="n"/>
      <c r="AG5744" s="49">
        <f>IFERROR(__xludf.DUMMYFUNCTION("IFNA(vlookup(H5744,IMPORTRANGE(""1vUGwO1n0QQGx9kKbO0_M5gmuhXZ6-LaxQxgrmJnzgP0"",""'TP# look up'!A:C""),3,0),"""")"),"")</f>
        <v/>
      </c>
      <c r="AH5744" s="49">
        <f>LEFT(J5744,2)</f>
        <v/>
      </c>
    </row>
    <row r="5745" ht="12.75" customHeight="1">
      <c r="H5745" s="43" t="n"/>
      <c r="AG5745" s="49">
        <f>IFERROR(__xludf.DUMMYFUNCTION("IFNA(vlookup(H5745,IMPORTRANGE(""1vUGwO1n0QQGx9kKbO0_M5gmuhXZ6-LaxQxgrmJnzgP0"",""'TP# look up'!A:C""),3,0),"""")"),"")</f>
        <v/>
      </c>
      <c r="AH5745" s="49">
        <f>LEFT(J5745,2)</f>
        <v/>
      </c>
    </row>
    <row r="5746" ht="12.75" customHeight="1">
      <c r="H5746" s="43" t="n"/>
      <c r="AG5746" s="49">
        <f>IFERROR(__xludf.DUMMYFUNCTION("IFNA(vlookup(H5746,IMPORTRANGE(""1vUGwO1n0QQGx9kKbO0_M5gmuhXZ6-LaxQxgrmJnzgP0"",""'TP# look up'!A:C""),3,0),"""")"),"")</f>
        <v/>
      </c>
      <c r="AH5746" s="49">
        <f>LEFT(J5746,2)</f>
        <v/>
      </c>
    </row>
    <row r="5747" ht="12.75" customHeight="1">
      <c r="H5747" s="43" t="n"/>
      <c r="AG5747" s="49">
        <f>IFERROR(__xludf.DUMMYFUNCTION("IFNA(vlookup(H5747,IMPORTRANGE(""1vUGwO1n0QQGx9kKbO0_M5gmuhXZ6-LaxQxgrmJnzgP0"",""'TP# look up'!A:C""),3,0),"""")"),"")</f>
        <v/>
      </c>
      <c r="AH5747" s="49">
        <f>LEFT(J5747,2)</f>
        <v/>
      </c>
    </row>
    <row r="5748" ht="12.75" customHeight="1">
      <c r="H5748" s="43" t="n"/>
      <c r="AG5748" s="49">
        <f>IFERROR(__xludf.DUMMYFUNCTION("IFNA(vlookup(H5748,IMPORTRANGE(""1vUGwO1n0QQGx9kKbO0_M5gmuhXZ6-LaxQxgrmJnzgP0"",""'TP# look up'!A:C""),3,0),"""")"),"")</f>
        <v/>
      </c>
      <c r="AH5748" s="49">
        <f>LEFT(J5748,2)</f>
        <v/>
      </c>
    </row>
    <row r="5749" ht="12.75" customHeight="1">
      <c r="H5749" s="43" t="n"/>
      <c r="AG5749" s="49">
        <f>IFERROR(__xludf.DUMMYFUNCTION("IFNA(vlookup(H5749,IMPORTRANGE(""1vUGwO1n0QQGx9kKbO0_M5gmuhXZ6-LaxQxgrmJnzgP0"",""'TP# look up'!A:C""),3,0),"""")"),"")</f>
        <v/>
      </c>
      <c r="AH5749" s="49">
        <f>LEFT(J5749,2)</f>
        <v/>
      </c>
    </row>
    <row r="5750" ht="12.75" customHeight="1">
      <c r="H5750" s="43" t="n"/>
      <c r="AG5750" s="49">
        <f>IFERROR(__xludf.DUMMYFUNCTION("IFNA(vlookup(H5750,IMPORTRANGE(""1vUGwO1n0QQGx9kKbO0_M5gmuhXZ6-LaxQxgrmJnzgP0"",""'TP# look up'!A:C""),3,0),"""")"),"")</f>
        <v/>
      </c>
      <c r="AH5750" s="49">
        <f>LEFT(J5750,2)</f>
        <v/>
      </c>
    </row>
    <row r="5751" ht="12.75" customHeight="1">
      <c r="H5751" s="43" t="n"/>
      <c r="AG5751" s="49">
        <f>IFERROR(__xludf.DUMMYFUNCTION("IFNA(vlookup(H5751,IMPORTRANGE(""1vUGwO1n0QQGx9kKbO0_M5gmuhXZ6-LaxQxgrmJnzgP0"",""'TP# look up'!A:C""),3,0),"""")"),"")</f>
        <v/>
      </c>
      <c r="AH5751" s="49">
        <f>LEFT(J5751,2)</f>
        <v/>
      </c>
    </row>
    <row r="5752" ht="12.75" customHeight="1">
      <c r="H5752" s="43" t="n"/>
      <c r="AG5752" s="49">
        <f>IFERROR(__xludf.DUMMYFUNCTION("IFNA(vlookup(H5752,IMPORTRANGE(""1vUGwO1n0QQGx9kKbO0_M5gmuhXZ6-LaxQxgrmJnzgP0"",""'TP# look up'!A:C""),3,0),"""")"),"")</f>
        <v/>
      </c>
      <c r="AH5752" s="49">
        <f>LEFT(J5752,2)</f>
        <v/>
      </c>
    </row>
    <row r="5753" ht="12.75" customHeight="1">
      <c r="H5753" s="43" t="n"/>
      <c r="AG5753" s="49">
        <f>IFERROR(__xludf.DUMMYFUNCTION("IFNA(vlookup(H5753,IMPORTRANGE(""1vUGwO1n0QQGx9kKbO0_M5gmuhXZ6-LaxQxgrmJnzgP0"",""'TP# look up'!A:C""),3,0),"""")"),"")</f>
        <v/>
      </c>
      <c r="AH5753" s="49">
        <f>LEFT(J5753,2)</f>
        <v/>
      </c>
    </row>
    <row r="5754" ht="12.75" customHeight="1">
      <c r="H5754" s="43" t="n"/>
      <c r="AG5754" s="49">
        <f>IFERROR(__xludf.DUMMYFUNCTION("IFNA(vlookup(H5754,IMPORTRANGE(""1vUGwO1n0QQGx9kKbO0_M5gmuhXZ6-LaxQxgrmJnzgP0"",""'TP# look up'!A:C""),3,0),"""")"),"")</f>
        <v/>
      </c>
      <c r="AH5754" s="49">
        <f>LEFT(J5754,2)</f>
        <v/>
      </c>
    </row>
    <row r="5755" ht="12.75" customHeight="1">
      <c r="H5755" s="43" t="n"/>
      <c r="AG5755" s="49">
        <f>IFERROR(__xludf.DUMMYFUNCTION("IFNA(vlookup(H5755,IMPORTRANGE(""1vUGwO1n0QQGx9kKbO0_M5gmuhXZ6-LaxQxgrmJnzgP0"",""'TP# look up'!A:C""),3,0),"""")"),"")</f>
        <v/>
      </c>
      <c r="AH5755" s="49">
        <f>LEFT(J5755,2)</f>
        <v/>
      </c>
    </row>
    <row r="5756" ht="12.75" customHeight="1">
      <c r="H5756" s="43" t="n"/>
      <c r="AG5756" s="49">
        <f>IFERROR(__xludf.DUMMYFUNCTION("IFNA(vlookup(H5756,IMPORTRANGE(""1vUGwO1n0QQGx9kKbO0_M5gmuhXZ6-LaxQxgrmJnzgP0"",""'TP# look up'!A:C""),3,0),"""")"),"")</f>
        <v/>
      </c>
      <c r="AH5756" s="49">
        <f>LEFT(J5756,2)</f>
        <v/>
      </c>
    </row>
    <row r="5757" ht="12.75" customHeight="1">
      <c r="H5757" s="43" t="n"/>
      <c r="AG5757" s="49">
        <f>IFERROR(__xludf.DUMMYFUNCTION("IFNA(vlookup(H5757,IMPORTRANGE(""1vUGwO1n0QQGx9kKbO0_M5gmuhXZ6-LaxQxgrmJnzgP0"",""'TP# look up'!A:C""),3,0),"""")"),"")</f>
        <v/>
      </c>
      <c r="AH5757" s="49">
        <f>LEFT(J5757,2)</f>
        <v/>
      </c>
    </row>
    <row r="5758" ht="12.75" customHeight="1">
      <c r="H5758" s="43" t="n"/>
      <c r="AG5758" s="49">
        <f>IFERROR(__xludf.DUMMYFUNCTION("IFNA(vlookup(H5758,IMPORTRANGE(""1vUGwO1n0QQGx9kKbO0_M5gmuhXZ6-LaxQxgrmJnzgP0"",""'TP# look up'!A:C""),3,0),"""")"),"")</f>
        <v/>
      </c>
      <c r="AH5758" s="49">
        <f>LEFT(J5758,2)</f>
        <v/>
      </c>
    </row>
    <row r="5759" ht="12.75" customHeight="1">
      <c r="H5759" s="43" t="n"/>
      <c r="AG5759" s="49">
        <f>IFERROR(__xludf.DUMMYFUNCTION("IFNA(vlookup(H5759,IMPORTRANGE(""1vUGwO1n0QQGx9kKbO0_M5gmuhXZ6-LaxQxgrmJnzgP0"",""'TP# look up'!A:C""),3,0),"""")"),"")</f>
        <v/>
      </c>
      <c r="AH5759" s="49">
        <f>LEFT(J5759,2)</f>
        <v/>
      </c>
    </row>
    <row r="5760" ht="12.75" customHeight="1">
      <c r="H5760" s="43" t="n"/>
      <c r="AG5760" s="49">
        <f>IFERROR(__xludf.DUMMYFUNCTION("IFNA(vlookup(H5760,IMPORTRANGE(""1vUGwO1n0QQGx9kKbO0_M5gmuhXZ6-LaxQxgrmJnzgP0"",""'TP# look up'!A:C""),3,0),"""")"),"")</f>
        <v/>
      </c>
      <c r="AH5760" s="49">
        <f>LEFT(J5760,2)</f>
        <v/>
      </c>
    </row>
    <row r="5761" ht="12.75" customHeight="1">
      <c r="H5761" s="43" t="n"/>
      <c r="AG5761" s="49">
        <f>IFERROR(__xludf.DUMMYFUNCTION("IFNA(vlookup(H5761,IMPORTRANGE(""1vUGwO1n0QQGx9kKbO0_M5gmuhXZ6-LaxQxgrmJnzgP0"",""'TP# look up'!A:C""),3,0),"""")"),"")</f>
        <v/>
      </c>
      <c r="AH5761" s="49">
        <f>LEFT(J5761,2)</f>
        <v/>
      </c>
    </row>
    <row r="5762" ht="12.75" customHeight="1">
      <c r="H5762" s="43" t="n"/>
      <c r="AG5762" s="49">
        <f>IFERROR(__xludf.DUMMYFUNCTION("IFNA(vlookup(H5762,IMPORTRANGE(""1vUGwO1n0QQGx9kKbO0_M5gmuhXZ6-LaxQxgrmJnzgP0"",""'TP# look up'!A:C""),3,0),"""")"),"")</f>
        <v/>
      </c>
      <c r="AH5762" s="49">
        <f>LEFT(J5762,2)</f>
        <v/>
      </c>
    </row>
    <row r="5763" ht="12.75" customHeight="1">
      <c r="H5763" s="43" t="n"/>
      <c r="AG5763" s="49">
        <f>IFERROR(__xludf.DUMMYFUNCTION("IFNA(vlookup(H5763,IMPORTRANGE(""1vUGwO1n0QQGx9kKbO0_M5gmuhXZ6-LaxQxgrmJnzgP0"",""'TP# look up'!A:C""),3,0),"""")"),"")</f>
        <v/>
      </c>
      <c r="AH5763" s="49">
        <f>LEFT(J5763,2)</f>
        <v/>
      </c>
    </row>
    <row r="5764" ht="12.75" customHeight="1">
      <c r="H5764" s="43" t="n"/>
      <c r="AG5764" s="49">
        <f>IFERROR(__xludf.DUMMYFUNCTION("IFNA(vlookup(H5764,IMPORTRANGE(""1vUGwO1n0QQGx9kKbO0_M5gmuhXZ6-LaxQxgrmJnzgP0"",""'TP# look up'!A:C""),3,0),"""")"),"")</f>
        <v/>
      </c>
      <c r="AH5764" s="49">
        <f>LEFT(J5764,2)</f>
        <v/>
      </c>
    </row>
    <row r="5765" ht="12.75" customHeight="1">
      <c r="H5765" s="43" t="n"/>
      <c r="AG5765" s="49">
        <f>IFERROR(__xludf.DUMMYFUNCTION("IFNA(vlookup(H5765,IMPORTRANGE(""1vUGwO1n0QQGx9kKbO0_M5gmuhXZ6-LaxQxgrmJnzgP0"",""'TP# look up'!A:C""),3,0),"""")"),"")</f>
        <v/>
      </c>
      <c r="AH5765" s="49">
        <f>LEFT(J5765,2)</f>
        <v/>
      </c>
    </row>
    <row r="5766" ht="12.75" customHeight="1">
      <c r="H5766" s="43" t="n"/>
      <c r="AG5766" s="49">
        <f>IFERROR(__xludf.DUMMYFUNCTION("IFNA(vlookup(H5766,IMPORTRANGE(""1vUGwO1n0QQGx9kKbO0_M5gmuhXZ6-LaxQxgrmJnzgP0"",""'TP# look up'!A:C""),3,0),"""")"),"")</f>
        <v/>
      </c>
      <c r="AH5766" s="49">
        <f>LEFT(J5766,2)</f>
        <v/>
      </c>
    </row>
    <row r="5767" ht="12.75" customHeight="1">
      <c r="H5767" s="43" t="n"/>
      <c r="AG5767" s="49">
        <f>IFERROR(__xludf.DUMMYFUNCTION("IFNA(vlookup(H5767,IMPORTRANGE(""1vUGwO1n0QQGx9kKbO0_M5gmuhXZ6-LaxQxgrmJnzgP0"",""'TP# look up'!A:C""),3,0),"""")"),"")</f>
        <v/>
      </c>
      <c r="AH5767" s="49">
        <f>LEFT(J5767,2)</f>
        <v/>
      </c>
    </row>
    <row r="5768" ht="12.75" customHeight="1">
      <c r="H5768" s="43" t="n"/>
      <c r="AG5768" s="49">
        <f>IFERROR(__xludf.DUMMYFUNCTION("IFNA(vlookup(H5768,IMPORTRANGE(""1vUGwO1n0QQGx9kKbO0_M5gmuhXZ6-LaxQxgrmJnzgP0"",""'TP# look up'!A:C""),3,0),"""")"),"")</f>
        <v/>
      </c>
      <c r="AH5768" s="49">
        <f>LEFT(J5768,2)</f>
        <v/>
      </c>
    </row>
    <row r="5769" ht="12.75" customHeight="1">
      <c r="H5769" s="43" t="n"/>
      <c r="AG5769" s="49">
        <f>IFERROR(__xludf.DUMMYFUNCTION("IFNA(vlookup(H5769,IMPORTRANGE(""1vUGwO1n0QQGx9kKbO0_M5gmuhXZ6-LaxQxgrmJnzgP0"",""'TP# look up'!A:C""),3,0),"""")"),"")</f>
        <v/>
      </c>
      <c r="AH5769" s="49">
        <f>LEFT(J5769,2)</f>
        <v/>
      </c>
    </row>
    <row r="5770" ht="12.75" customHeight="1">
      <c r="H5770" s="43" t="n"/>
      <c r="AG5770" s="49">
        <f>IFERROR(__xludf.DUMMYFUNCTION("IFNA(vlookup(H5770,IMPORTRANGE(""1vUGwO1n0QQGx9kKbO0_M5gmuhXZ6-LaxQxgrmJnzgP0"",""'TP# look up'!A:C""),3,0),"""")"),"")</f>
        <v/>
      </c>
      <c r="AH5770" s="49">
        <f>LEFT(J5770,2)</f>
        <v/>
      </c>
    </row>
    <row r="5771" ht="12.75" customHeight="1">
      <c r="H5771" s="43" t="n"/>
      <c r="AG5771" s="49">
        <f>IFERROR(__xludf.DUMMYFUNCTION("IFNA(vlookup(H5771,IMPORTRANGE(""1vUGwO1n0QQGx9kKbO0_M5gmuhXZ6-LaxQxgrmJnzgP0"",""'TP# look up'!A:C""),3,0),"""")"),"")</f>
        <v/>
      </c>
      <c r="AH5771" s="49">
        <f>LEFT(J5771,2)</f>
        <v/>
      </c>
    </row>
    <row r="5772" ht="12.75" customHeight="1">
      <c r="H5772" s="43" t="n"/>
      <c r="AG5772" s="49">
        <f>IFERROR(__xludf.DUMMYFUNCTION("IFNA(vlookup(H5772,IMPORTRANGE(""1vUGwO1n0QQGx9kKbO0_M5gmuhXZ6-LaxQxgrmJnzgP0"",""'TP# look up'!A:C""),3,0),"""")"),"")</f>
        <v/>
      </c>
      <c r="AH5772" s="49">
        <f>LEFT(J5772,2)</f>
        <v/>
      </c>
    </row>
    <row r="5773" ht="12.75" customHeight="1">
      <c r="H5773" s="43" t="n"/>
      <c r="AG5773" s="49">
        <f>IFERROR(__xludf.DUMMYFUNCTION("IFNA(vlookup(H5773,IMPORTRANGE(""1vUGwO1n0QQGx9kKbO0_M5gmuhXZ6-LaxQxgrmJnzgP0"",""'TP# look up'!A:C""),3,0),"""")"),"")</f>
        <v/>
      </c>
      <c r="AH5773" s="49">
        <f>LEFT(J5773,2)</f>
        <v/>
      </c>
    </row>
    <row r="5774" ht="12.75" customHeight="1">
      <c r="H5774" s="43" t="n"/>
      <c r="AG5774" s="49">
        <f>IFERROR(__xludf.DUMMYFUNCTION("IFNA(vlookup(H5774,IMPORTRANGE(""1vUGwO1n0QQGx9kKbO0_M5gmuhXZ6-LaxQxgrmJnzgP0"",""'TP# look up'!A:C""),3,0),"""")"),"")</f>
        <v/>
      </c>
      <c r="AH5774" s="49">
        <f>LEFT(J5774,2)</f>
        <v/>
      </c>
    </row>
    <row r="5775" ht="12.75" customHeight="1">
      <c r="H5775" s="43" t="n"/>
      <c r="AG5775" s="49">
        <f>IFERROR(__xludf.DUMMYFUNCTION("IFNA(vlookup(H5775,IMPORTRANGE(""1vUGwO1n0QQGx9kKbO0_M5gmuhXZ6-LaxQxgrmJnzgP0"",""'TP# look up'!A:C""),3,0),"""")"),"")</f>
        <v/>
      </c>
      <c r="AH5775" s="49">
        <f>LEFT(J5775,2)</f>
        <v/>
      </c>
    </row>
    <row r="5776" ht="12.75" customHeight="1">
      <c r="H5776" s="43" t="n"/>
      <c r="AG5776" s="49">
        <f>IFERROR(__xludf.DUMMYFUNCTION("IFNA(vlookup(H5776,IMPORTRANGE(""1vUGwO1n0QQGx9kKbO0_M5gmuhXZ6-LaxQxgrmJnzgP0"",""'TP# look up'!A:C""),3,0),"""")"),"")</f>
        <v/>
      </c>
      <c r="AH5776" s="49">
        <f>LEFT(J5776,2)</f>
        <v/>
      </c>
    </row>
    <row r="5777" ht="12.75" customHeight="1">
      <c r="H5777" s="43" t="n"/>
      <c r="AG5777" s="49">
        <f>IFERROR(__xludf.DUMMYFUNCTION("IFNA(vlookup(H5777,IMPORTRANGE(""1vUGwO1n0QQGx9kKbO0_M5gmuhXZ6-LaxQxgrmJnzgP0"",""'TP# look up'!A:C""),3,0),"""")"),"")</f>
        <v/>
      </c>
      <c r="AH5777" s="49">
        <f>LEFT(J5777,2)</f>
        <v/>
      </c>
    </row>
    <row r="5778" ht="12.75" customHeight="1">
      <c r="H5778" s="43" t="n"/>
      <c r="AG5778" s="49">
        <f>IFERROR(__xludf.DUMMYFUNCTION("IFNA(vlookup(H5778,IMPORTRANGE(""1vUGwO1n0QQGx9kKbO0_M5gmuhXZ6-LaxQxgrmJnzgP0"",""'TP# look up'!A:C""),3,0),"""")"),"")</f>
        <v/>
      </c>
      <c r="AH5778" s="49">
        <f>LEFT(J5778,2)</f>
        <v/>
      </c>
    </row>
    <row r="5779" ht="12.75" customHeight="1">
      <c r="H5779" s="43" t="n"/>
      <c r="AG5779" s="49">
        <f>IFERROR(__xludf.DUMMYFUNCTION("IFNA(vlookup(H5779,IMPORTRANGE(""1vUGwO1n0QQGx9kKbO0_M5gmuhXZ6-LaxQxgrmJnzgP0"",""'TP# look up'!A:C""),3,0),"""")"),"")</f>
        <v/>
      </c>
      <c r="AH5779" s="49">
        <f>LEFT(J5779,2)</f>
        <v/>
      </c>
    </row>
    <row r="5780" ht="12.75" customHeight="1">
      <c r="H5780" s="43" t="n"/>
      <c r="AG5780" s="49">
        <f>IFERROR(__xludf.DUMMYFUNCTION("IFNA(vlookup(H5780,IMPORTRANGE(""1vUGwO1n0QQGx9kKbO0_M5gmuhXZ6-LaxQxgrmJnzgP0"",""'TP# look up'!A:C""),3,0),"""")"),"")</f>
        <v/>
      </c>
      <c r="AH5780" s="49">
        <f>LEFT(J5780,2)</f>
        <v/>
      </c>
    </row>
    <row r="5781" ht="12.75" customHeight="1">
      <c r="H5781" s="43" t="n"/>
      <c r="AG5781" s="49">
        <f>IFERROR(__xludf.DUMMYFUNCTION("IFNA(vlookup(H5781,IMPORTRANGE(""1vUGwO1n0QQGx9kKbO0_M5gmuhXZ6-LaxQxgrmJnzgP0"",""'TP# look up'!A:C""),3,0),"""")"),"")</f>
        <v/>
      </c>
      <c r="AH5781" s="49">
        <f>LEFT(J5781,2)</f>
        <v/>
      </c>
    </row>
    <row r="5782" ht="12.75" customHeight="1">
      <c r="H5782" s="43" t="n"/>
      <c r="AG5782" s="49">
        <f>IFERROR(__xludf.DUMMYFUNCTION("IFNA(vlookup(H5782,IMPORTRANGE(""1vUGwO1n0QQGx9kKbO0_M5gmuhXZ6-LaxQxgrmJnzgP0"",""'TP# look up'!A:C""),3,0),"""")"),"")</f>
        <v/>
      </c>
      <c r="AH5782" s="49">
        <f>LEFT(J5782,2)</f>
        <v/>
      </c>
    </row>
    <row r="5783" ht="12.75" customHeight="1">
      <c r="H5783" s="43" t="n"/>
      <c r="AG5783" s="49">
        <f>IFERROR(__xludf.DUMMYFUNCTION("IFNA(vlookup(H5783,IMPORTRANGE(""1vUGwO1n0QQGx9kKbO0_M5gmuhXZ6-LaxQxgrmJnzgP0"",""'TP# look up'!A:C""),3,0),"""")"),"")</f>
        <v/>
      </c>
      <c r="AH5783" s="49">
        <f>LEFT(J5783,2)</f>
        <v/>
      </c>
    </row>
    <row r="5784" ht="12.75" customHeight="1">
      <c r="H5784" s="43" t="n"/>
      <c r="AG5784" s="49">
        <f>IFERROR(__xludf.DUMMYFUNCTION("IFNA(vlookup(H5784,IMPORTRANGE(""1vUGwO1n0QQGx9kKbO0_M5gmuhXZ6-LaxQxgrmJnzgP0"",""'TP# look up'!A:C""),3,0),"""")"),"")</f>
        <v/>
      </c>
      <c r="AH5784" s="49">
        <f>LEFT(J5784,2)</f>
        <v/>
      </c>
    </row>
    <row r="5785" ht="12.75" customHeight="1">
      <c r="H5785" s="43" t="n"/>
      <c r="AG5785" s="49">
        <f>IFERROR(__xludf.DUMMYFUNCTION("IFNA(vlookup(H5785,IMPORTRANGE(""1vUGwO1n0QQGx9kKbO0_M5gmuhXZ6-LaxQxgrmJnzgP0"",""'TP# look up'!A:C""),3,0),"""")"),"")</f>
        <v/>
      </c>
      <c r="AH5785" s="49">
        <f>LEFT(J5785,2)</f>
        <v/>
      </c>
    </row>
    <row r="5786" ht="12.75" customHeight="1">
      <c r="H5786" s="43" t="n"/>
      <c r="AG5786" s="49">
        <f>IFERROR(__xludf.DUMMYFUNCTION("IFNA(vlookup(H5786,IMPORTRANGE(""1vUGwO1n0QQGx9kKbO0_M5gmuhXZ6-LaxQxgrmJnzgP0"",""'TP# look up'!A:C""),3,0),"""")"),"")</f>
        <v/>
      </c>
      <c r="AH5786" s="49">
        <f>LEFT(J5786,2)</f>
        <v/>
      </c>
    </row>
    <row r="5787" ht="12.75" customHeight="1">
      <c r="H5787" s="43" t="n"/>
      <c r="AG5787" s="49">
        <f>IFERROR(__xludf.DUMMYFUNCTION("IFNA(vlookup(H5787,IMPORTRANGE(""1vUGwO1n0QQGx9kKbO0_M5gmuhXZ6-LaxQxgrmJnzgP0"",""'TP# look up'!A:C""),3,0),"""")"),"")</f>
        <v/>
      </c>
      <c r="AH5787" s="49">
        <f>LEFT(J5787,2)</f>
        <v/>
      </c>
    </row>
    <row r="5788" ht="12.75" customHeight="1">
      <c r="H5788" s="43" t="n"/>
      <c r="AG5788" s="49">
        <f>IFERROR(__xludf.DUMMYFUNCTION("IFNA(vlookup(H5788,IMPORTRANGE(""1vUGwO1n0QQGx9kKbO0_M5gmuhXZ6-LaxQxgrmJnzgP0"",""'TP# look up'!A:C""),3,0),"""")"),"")</f>
        <v/>
      </c>
      <c r="AH5788" s="49">
        <f>LEFT(J5788,2)</f>
        <v/>
      </c>
    </row>
    <row r="5789" ht="12.75" customHeight="1">
      <c r="H5789" s="43" t="n"/>
      <c r="AG5789" s="49">
        <f>IFERROR(__xludf.DUMMYFUNCTION("IFNA(vlookup(H5789,IMPORTRANGE(""1vUGwO1n0QQGx9kKbO0_M5gmuhXZ6-LaxQxgrmJnzgP0"",""'TP# look up'!A:C""),3,0),"""")"),"")</f>
        <v/>
      </c>
      <c r="AH5789" s="49">
        <f>LEFT(J5789,2)</f>
        <v/>
      </c>
    </row>
    <row r="5790" ht="12.75" customHeight="1">
      <c r="H5790" s="43" t="n"/>
      <c r="AG5790" s="49">
        <f>IFERROR(__xludf.DUMMYFUNCTION("IFNA(vlookup(H5790,IMPORTRANGE(""1vUGwO1n0QQGx9kKbO0_M5gmuhXZ6-LaxQxgrmJnzgP0"",""'TP# look up'!A:C""),3,0),"""")"),"")</f>
        <v/>
      </c>
      <c r="AH5790" s="49">
        <f>LEFT(J5790,2)</f>
        <v/>
      </c>
    </row>
    <row r="5791" ht="12.75" customHeight="1">
      <c r="H5791" s="43" t="n"/>
      <c r="AG5791" s="49">
        <f>IFERROR(__xludf.DUMMYFUNCTION("IFNA(vlookup(H5791,IMPORTRANGE(""1vUGwO1n0QQGx9kKbO0_M5gmuhXZ6-LaxQxgrmJnzgP0"",""'TP# look up'!A:C""),3,0),"""")"),"")</f>
        <v/>
      </c>
      <c r="AH5791" s="49">
        <f>LEFT(J5791,2)</f>
        <v/>
      </c>
    </row>
    <row r="5792" ht="12.75" customHeight="1">
      <c r="H5792" s="43" t="n"/>
      <c r="AG5792" s="49">
        <f>IFERROR(__xludf.DUMMYFUNCTION("IFNA(vlookup(H5792,IMPORTRANGE(""1vUGwO1n0QQGx9kKbO0_M5gmuhXZ6-LaxQxgrmJnzgP0"",""'TP# look up'!A:C""),3,0),"""")"),"")</f>
        <v/>
      </c>
      <c r="AH5792" s="49">
        <f>LEFT(J5792,2)</f>
        <v/>
      </c>
    </row>
    <row r="5793" ht="12.75" customHeight="1">
      <c r="H5793" s="43" t="n"/>
      <c r="AG5793" s="49">
        <f>IFERROR(__xludf.DUMMYFUNCTION("IFNA(vlookup(H5793,IMPORTRANGE(""1vUGwO1n0QQGx9kKbO0_M5gmuhXZ6-LaxQxgrmJnzgP0"",""'TP# look up'!A:C""),3,0),"""")"),"")</f>
        <v/>
      </c>
      <c r="AH5793" s="49">
        <f>LEFT(J5793,2)</f>
        <v/>
      </c>
    </row>
    <row r="5794" ht="12.75" customHeight="1">
      <c r="H5794" s="43" t="n"/>
      <c r="AG5794" s="49">
        <f>IFERROR(__xludf.DUMMYFUNCTION("IFNA(vlookup(H5794,IMPORTRANGE(""1vUGwO1n0QQGx9kKbO0_M5gmuhXZ6-LaxQxgrmJnzgP0"",""'TP# look up'!A:C""),3,0),"""")"),"")</f>
        <v/>
      </c>
      <c r="AH5794" s="49">
        <f>LEFT(J5794,2)</f>
        <v/>
      </c>
    </row>
    <row r="5795" ht="12.75" customHeight="1">
      <c r="H5795" s="43" t="n"/>
      <c r="AG5795" s="49">
        <f>IFERROR(__xludf.DUMMYFUNCTION("IFNA(vlookup(H5795,IMPORTRANGE(""1vUGwO1n0QQGx9kKbO0_M5gmuhXZ6-LaxQxgrmJnzgP0"",""'TP# look up'!A:C""),3,0),"""")"),"")</f>
        <v/>
      </c>
      <c r="AH5795" s="49">
        <f>LEFT(J5795,2)</f>
        <v/>
      </c>
    </row>
    <row r="5796" ht="12.75" customHeight="1">
      <c r="H5796" s="43" t="n"/>
      <c r="AG5796" s="49">
        <f>IFERROR(__xludf.DUMMYFUNCTION("IFNA(vlookup(H5796,IMPORTRANGE(""1vUGwO1n0QQGx9kKbO0_M5gmuhXZ6-LaxQxgrmJnzgP0"",""'TP# look up'!A:C""),3,0),"""")"),"")</f>
        <v/>
      </c>
      <c r="AH5796" s="49">
        <f>LEFT(J5796,2)</f>
        <v/>
      </c>
    </row>
    <row r="5797" ht="12.75" customHeight="1">
      <c r="H5797" s="43" t="n"/>
      <c r="AG5797" s="49">
        <f>IFERROR(__xludf.DUMMYFUNCTION("IFNA(vlookup(H5797,IMPORTRANGE(""1vUGwO1n0QQGx9kKbO0_M5gmuhXZ6-LaxQxgrmJnzgP0"",""'TP# look up'!A:C""),3,0),"""")"),"")</f>
        <v/>
      </c>
      <c r="AH5797" s="49">
        <f>LEFT(J5797,2)</f>
        <v/>
      </c>
    </row>
    <row r="5798" ht="12.75" customHeight="1">
      <c r="H5798" s="43" t="n"/>
      <c r="AG5798" s="49">
        <f>IFERROR(__xludf.DUMMYFUNCTION("IFNA(vlookup(H5798,IMPORTRANGE(""1vUGwO1n0QQGx9kKbO0_M5gmuhXZ6-LaxQxgrmJnzgP0"",""'TP# look up'!A:C""),3,0),"""")"),"")</f>
        <v/>
      </c>
      <c r="AH5798" s="49">
        <f>LEFT(J5798,2)</f>
        <v/>
      </c>
    </row>
    <row r="5799" ht="12.75" customHeight="1">
      <c r="H5799" s="43" t="n"/>
      <c r="AG5799" s="49">
        <f>IFERROR(__xludf.DUMMYFUNCTION("IFNA(vlookup(H5799,IMPORTRANGE(""1vUGwO1n0QQGx9kKbO0_M5gmuhXZ6-LaxQxgrmJnzgP0"",""'TP# look up'!A:C""),3,0),"""")"),"")</f>
        <v/>
      </c>
      <c r="AH5799" s="49">
        <f>LEFT(J5799,2)</f>
        <v/>
      </c>
    </row>
    <row r="5800" ht="12.75" customHeight="1">
      <c r="H5800" s="43" t="n"/>
      <c r="AG5800" s="49">
        <f>IFERROR(__xludf.DUMMYFUNCTION("IFNA(vlookup(H5800,IMPORTRANGE(""1vUGwO1n0QQGx9kKbO0_M5gmuhXZ6-LaxQxgrmJnzgP0"",""'TP# look up'!A:C""),3,0),"""")"),"")</f>
        <v/>
      </c>
      <c r="AH5800" s="49">
        <f>LEFT(J5800,2)</f>
        <v/>
      </c>
    </row>
    <row r="5801" ht="12.75" customHeight="1">
      <c r="H5801" s="43" t="n"/>
      <c r="AG5801" s="49">
        <f>IFERROR(__xludf.DUMMYFUNCTION("IFNA(vlookup(H5801,IMPORTRANGE(""1vUGwO1n0QQGx9kKbO0_M5gmuhXZ6-LaxQxgrmJnzgP0"",""'TP# look up'!A:C""),3,0),"""")"),"")</f>
        <v/>
      </c>
      <c r="AH5801" s="49">
        <f>LEFT(J5801,2)</f>
        <v/>
      </c>
    </row>
    <row r="5802" ht="12.75" customHeight="1">
      <c r="H5802" s="43" t="n"/>
      <c r="AG5802" s="49">
        <f>IFERROR(__xludf.DUMMYFUNCTION("IFNA(vlookup(H5802,IMPORTRANGE(""1vUGwO1n0QQGx9kKbO0_M5gmuhXZ6-LaxQxgrmJnzgP0"",""'TP# look up'!A:C""),3,0),"""")"),"")</f>
        <v/>
      </c>
      <c r="AH5802" s="49">
        <f>LEFT(J5802,2)</f>
        <v/>
      </c>
    </row>
    <row r="5803" ht="12.75" customHeight="1">
      <c r="H5803" s="43" t="n"/>
      <c r="AG5803" s="49">
        <f>IFERROR(__xludf.DUMMYFUNCTION("IFNA(vlookup(H5803,IMPORTRANGE(""1vUGwO1n0QQGx9kKbO0_M5gmuhXZ6-LaxQxgrmJnzgP0"",""'TP# look up'!A:C""),3,0),"""")"),"")</f>
        <v/>
      </c>
      <c r="AH5803" s="49">
        <f>LEFT(J5803,2)</f>
        <v/>
      </c>
    </row>
    <row r="5804" ht="12.75" customHeight="1">
      <c r="H5804" s="43" t="n"/>
      <c r="AG5804" s="49">
        <f>IFERROR(__xludf.DUMMYFUNCTION("IFNA(vlookup(H5804,IMPORTRANGE(""1vUGwO1n0QQGx9kKbO0_M5gmuhXZ6-LaxQxgrmJnzgP0"",""'TP# look up'!A:C""),3,0),"""")"),"")</f>
        <v/>
      </c>
      <c r="AH5804" s="49">
        <f>LEFT(J5804,2)</f>
        <v/>
      </c>
    </row>
    <row r="5805" ht="12.75" customHeight="1">
      <c r="H5805" s="43" t="n"/>
      <c r="AG5805" s="49">
        <f>IFERROR(__xludf.DUMMYFUNCTION("IFNA(vlookup(H5805,IMPORTRANGE(""1vUGwO1n0QQGx9kKbO0_M5gmuhXZ6-LaxQxgrmJnzgP0"",""'TP# look up'!A:C""),3,0),"""")"),"")</f>
        <v/>
      </c>
      <c r="AH5805" s="49">
        <f>LEFT(J5805,2)</f>
        <v/>
      </c>
    </row>
    <row r="5806" ht="12.75" customHeight="1">
      <c r="H5806" s="43" t="n"/>
      <c r="AG5806" s="49">
        <f>IFERROR(__xludf.DUMMYFUNCTION("IFNA(vlookup(H5806,IMPORTRANGE(""1vUGwO1n0QQGx9kKbO0_M5gmuhXZ6-LaxQxgrmJnzgP0"",""'TP# look up'!A:C""),3,0),"""")"),"")</f>
        <v/>
      </c>
      <c r="AH5806" s="49">
        <f>LEFT(J5806,2)</f>
        <v/>
      </c>
    </row>
    <row r="5807" ht="12.75" customHeight="1">
      <c r="H5807" s="43" t="n"/>
      <c r="AG5807" s="49">
        <f>IFERROR(__xludf.DUMMYFUNCTION("IFNA(vlookup(H5807,IMPORTRANGE(""1vUGwO1n0QQGx9kKbO0_M5gmuhXZ6-LaxQxgrmJnzgP0"",""'TP# look up'!A:C""),3,0),"""")"),"")</f>
        <v/>
      </c>
      <c r="AH5807" s="49">
        <f>LEFT(J5807,2)</f>
        <v/>
      </c>
    </row>
    <row r="5808" ht="12.75" customHeight="1">
      <c r="H5808" s="43" t="n"/>
      <c r="AG5808" s="49">
        <f>IFERROR(__xludf.DUMMYFUNCTION("IFNA(vlookup(H5808,IMPORTRANGE(""1vUGwO1n0QQGx9kKbO0_M5gmuhXZ6-LaxQxgrmJnzgP0"",""'TP# look up'!A:C""),3,0),"""")"),"")</f>
        <v/>
      </c>
      <c r="AH5808" s="49">
        <f>LEFT(J5808,2)</f>
        <v/>
      </c>
    </row>
    <row r="5809" ht="12.75" customHeight="1">
      <c r="H5809" s="43" t="n"/>
      <c r="AG5809" s="49">
        <f>IFERROR(__xludf.DUMMYFUNCTION("IFNA(vlookup(H5809,IMPORTRANGE(""1vUGwO1n0QQGx9kKbO0_M5gmuhXZ6-LaxQxgrmJnzgP0"",""'TP# look up'!A:C""),3,0),"""")"),"")</f>
        <v/>
      </c>
      <c r="AH5809" s="49">
        <f>LEFT(J5809,2)</f>
        <v/>
      </c>
    </row>
    <row r="5810" ht="12.75" customHeight="1">
      <c r="H5810" s="43" t="n"/>
      <c r="AG5810" s="49">
        <f>IFERROR(__xludf.DUMMYFUNCTION("IFNA(vlookup(H5810,IMPORTRANGE(""1vUGwO1n0QQGx9kKbO0_M5gmuhXZ6-LaxQxgrmJnzgP0"",""'TP# look up'!A:C""),3,0),"""")"),"")</f>
        <v/>
      </c>
      <c r="AH5810" s="49">
        <f>LEFT(J5810,2)</f>
        <v/>
      </c>
    </row>
    <row r="5811" ht="12.75" customHeight="1">
      <c r="H5811" s="43" t="n"/>
      <c r="AG5811" s="49">
        <f>IFERROR(__xludf.DUMMYFUNCTION("IFNA(vlookup(H5811,IMPORTRANGE(""1vUGwO1n0QQGx9kKbO0_M5gmuhXZ6-LaxQxgrmJnzgP0"",""'TP# look up'!A:C""),3,0),"""")"),"")</f>
        <v/>
      </c>
      <c r="AH5811" s="49">
        <f>LEFT(J5811,2)</f>
        <v/>
      </c>
    </row>
    <row r="5812" ht="12.75" customHeight="1">
      <c r="H5812" s="43" t="n"/>
      <c r="AG5812" s="49">
        <f>IFERROR(__xludf.DUMMYFUNCTION("IFNA(vlookup(H5812,IMPORTRANGE(""1vUGwO1n0QQGx9kKbO0_M5gmuhXZ6-LaxQxgrmJnzgP0"",""'TP# look up'!A:C""),3,0),"""")"),"")</f>
        <v/>
      </c>
      <c r="AH5812" s="49">
        <f>LEFT(J5812,2)</f>
        <v/>
      </c>
    </row>
    <row r="5813" ht="12.75" customHeight="1">
      <c r="H5813" s="43" t="n"/>
      <c r="AG5813" s="49">
        <f>IFERROR(__xludf.DUMMYFUNCTION("IFNA(vlookup(H5813,IMPORTRANGE(""1vUGwO1n0QQGx9kKbO0_M5gmuhXZ6-LaxQxgrmJnzgP0"",""'TP# look up'!A:C""),3,0),"""")"),"")</f>
        <v/>
      </c>
      <c r="AH5813" s="49">
        <f>LEFT(J5813,2)</f>
        <v/>
      </c>
    </row>
    <row r="5814" ht="12.75" customHeight="1">
      <c r="H5814" s="43" t="n"/>
      <c r="AG5814" s="49">
        <f>IFERROR(__xludf.DUMMYFUNCTION("IFNA(vlookup(H5814,IMPORTRANGE(""1vUGwO1n0QQGx9kKbO0_M5gmuhXZ6-LaxQxgrmJnzgP0"",""'TP# look up'!A:C""),3,0),"""")"),"")</f>
        <v/>
      </c>
      <c r="AH5814" s="49">
        <f>LEFT(J5814,2)</f>
        <v/>
      </c>
    </row>
    <row r="5815" ht="12.75" customHeight="1">
      <c r="H5815" s="43" t="n"/>
      <c r="AG5815" s="49">
        <f>IFERROR(__xludf.DUMMYFUNCTION("IFNA(vlookup(H5815,IMPORTRANGE(""1vUGwO1n0QQGx9kKbO0_M5gmuhXZ6-LaxQxgrmJnzgP0"",""'TP# look up'!A:C""),3,0),"""")"),"")</f>
        <v/>
      </c>
      <c r="AH5815" s="49">
        <f>LEFT(J5815,2)</f>
        <v/>
      </c>
    </row>
    <row r="5816" ht="12.75" customHeight="1">
      <c r="H5816" s="43" t="n"/>
      <c r="AG5816" s="49">
        <f>IFERROR(__xludf.DUMMYFUNCTION("IFNA(vlookup(H5816,IMPORTRANGE(""1vUGwO1n0QQGx9kKbO0_M5gmuhXZ6-LaxQxgrmJnzgP0"",""'TP# look up'!A:C""),3,0),"""")"),"")</f>
        <v/>
      </c>
      <c r="AH5816" s="49">
        <f>LEFT(J5816,2)</f>
        <v/>
      </c>
    </row>
    <row r="5817" ht="12.75" customHeight="1">
      <c r="H5817" s="43" t="n"/>
      <c r="AG5817" s="49">
        <f>IFERROR(__xludf.DUMMYFUNCTION("IFNA(vlookup(H5817,IMPORTRANGE(""1vUGwO1n0QQGx9kKbO0_M5gmuhXZ6-LaxQxgrmJnzgP0"",""'TP# look up'!A:C""),3,0),"""")"),"")</f>
        <v/>
      </c>
      <c r="AH5817" s="49">
        <f>LEFT(J5817,2)</f>
        <v/>
      </c>
    </row>
    <row r="5818" ht="12.75" customHeight="1">
      <c r="H5818" s="43" t="n"/>
      <c r="AG5818" s="49">
        <f>IFERROR(__xludf.DUMMYFUNCTION("IFNA(vlookup(H5818,IMPORTRANGE(""1vUGwO1n0QQGx9kKbO0_M5gmuhXZ6-LaxQxgrmJnzgP0"",""'TP# look up'!A:C""),3,0),"""")"),"")</f>
        <v/>
      </c>
      <c r="AH5818" s="49">
        <f>LEFT(J5818,2)</f>
        <v/>
      </c>
    </row>
    <row r="5819" ht="12.75" customHeight="1">
      <c r="H5819" s="43" t="n"/>
      <c r="AG5819" s="49">
        <f>IFERROR(__xludf.DUMMYFUNCTION("IFNA(vlookup(H5819,IMPORTRANGE(""1vUGwO1n0QQGx9kKbO0_M5gmuhXZ6-LaxQxgrmJnzgP0"",""'TP# look up'!A:C""),3,0),"""")"),"")</f>
        <v/>
      </c>
      <c r="AH5819" s="49">
        <f>LEFT(J5819,2)</f>
        <v/>
      </c>
    </row>
    <row r="5820" ht="12.75" customHeight="1">
      <c r="H5820" s="43" t="n"/>
      <c r="AG5820" s="49">
        <f>IFERROR(__xludf.DUMMYFUNCTION("IFNA(vlookup(H5820,IMPORTRANGE(""1vUGwO1n0QQGx9kKbO0_M5gmuhXZ6-LaxQxgrmJnzgP0"",""'TP# look up'!A:C""),3,0),"""")"),"")</f>
        <v/>
      </c>
      <c r="AH5820" s="49">
        <f>LEFT(J5820,2)</f>
        <v/>
      </c>
    </row>
    <row r="5821" ht="12.75" customHeight="1">
      <c r="H5821" s="43" t="n"/>
      <c r="AG5821" s="49">
        <f>IFERROR(__xludf.DUMMYFUNCTION("IFNA(vlookup(H5821,IMPORTRANGE(""1vUGwO1n0QQGx9kKbO0_M5gmuhXZ6-LaxQxgrmJnzgP0"",""'TP# look up'!A:C""),3,0),"""")"),"")</f>
        <v/>
      </c>
      <c r="AH5821" s="49">
        <f>LEFT(J5821,2)</f>
        <v/>
      </c>
    </row>
    <row r="5822" ht="12.75" customHeight="1">
      <c r="H5822" s="43" t="n"/>
      <c r="AG5822" s="49">
        <f>IFERROR(__xludf.DUMMYFUNCTION("IFNA(vlookup(H5822,IMPORTRANGE(""1vUGwO1n0QQGx9kKbO0_M5gmuhXZ6-LaxQxgrmJnzgP0"",""'TP# look up'!A:C""),3,0),"""")"),"")</f>
        <v/>
      </c>
      <c r="AH5822" s="49">
        <f>LEFT(J5822,2)</f>
        <v/>
      </c>
    </row>
    <row r="5823" ht="12.75" customHeight="1">
      <c r="H5823" s="43" t="n"/>
      <c r="AG5823" s="49">
        <f>IFERROR(__xludf.DUMMYFUNCTION("IFNA(vlookup(H5823,IMPORTRANGE(""1vUGwO1n0QQGx9kKbO0_M5gmuhXZ6-LaxQxgrmJnzgP0"",""'TP# look up'!A:C""),3,0),"""")"),"")</f>
        <v/>
      </c>
      <c r="AH5823" s="49">
        <f>LEFT(J5823,2)</f>
        <v/>
      </c>
    </row>
    <row r="5824" ht="12.75" customHeight="1">
      <c r="H5824" s="43" t="n"/>
      <c r="AG5824" s="49">
        <f>IFERROR(__xludf.DUMMYFUNCTION("IFNA(vlookup(H5824,IMPORTRANGE(""1vUGwO1n0QQGx9kKbO0_M5gmuhXZ6-LaxQxgrmJnzgP0"",""'TP# look up'!A:C""),3,0),"""")"),"")</f>
        <v/>
      </c>
      <c r="AH5824" s="49">
        <f>LEFT(J5824,2)</f>
        <v/>
      </c>
    </row>
    <row r="5825" ht="12.75" customHeight="1">
      <c r="H5825" s="43" t="n"/>
      <c r="AG5825" s="49">
        <f>IFERROR(__xludf.DUMMYFUNCTION("IFNA(vlookup(H5825,IMPORTRANGE(""1vUGwO1n0QQGx9kKbO0_M5gmuhXZ6-LaxQxgrmJnzgP0"",""'TP# look up'!A:C""),3,0),"""")"),"")</f>
        <v/>
      </c>
      <c r="AH5825" s="49">
        <f>LEFT(J5825,2)</f>
        <v/>
      </c>
    </row>
    <row r="5826" ht="12.75" customHeight="1">
      <c r="H5826" s="43" t="n"/>
      <c r="AG5826" s="49">
        <f>IFERROR(__xludf.DUMMYFUNCTION("IFNA(vlookup(H5826,IMPORTRANGE(""1vUGwO1n0QQGx9kKbO0_M5gmuhXZ6-LaxQxgrmJnzgP0"",""'TP# look up'!A:C""),3,0),"""")"),"")</f>
        <v/>
      </c>
      <c r="AH5826" s="49">
        <f>LEFT(J5826,2)</f>
        <v/>
      </c>
    </row>
    <row r="5827" ht="12.75" customHeight="1">
      <c r="H5827" s="43" t="n"/>
      <c r="AG5827" s="49">
        <f>IFERROR(__xludf.DUMMYFUNCTION("IFNA(vlookup(H5827,IMPORTRANGE(""1vUGwO1n0QQGx9kKbO0_M5gmuhXZ6-LaxQxgrmJnzgP0"",""'TP# look up'!A:C""),3,0),"""")"),"")</f>
        <v/>
      </c>
      <c r="AH5827" s="49">
        <f>LEFT(J5827,2)</f>
        <v/>
      </c>
    </row>
    <row r="5828" ht="12.75" customHeight="1">
      <c r="H5828" s="43" t="n"/>
      <c r="AG5828" s="49">
        <f>IFERROR(__xludf.DUMMYFUNCTION("IFNA(vlookup(H5828,IMPORTRANGE(""1vUGwO1n0QQGx9kKbO0_M5gmuhXZ6-LaxQxgrmJnzgP0"",""'TP# look up'!A:C""),3,0),"""")"),"")</f>
        <v/>
      </c>
      <c r="AH5828" s="49">
        <f>LEFT(J5828,2)</f>
        <v/>
      </c>
    </row>
    <row r="5829" ht="12.75" customHeight="1">
      <c r="H5829" s="43" t="n"/>
      <c r="AG5829" s="49">
        <f>IFERROR(__xludf.DUMMYFUNCTION("IFNA(vlookup(H5829,IMPORTRANGE(""1vUGwO1n0QQGx9kKbO0_M5gmuhXZ6-LaxQxgrmJnzgP0"",""'TP# look up'!A:C""),3,0),"""")"),"")</f>
        <v/>
      </c>
      <c r="AH5829" s="49">
        <f>LEFT(J5829,2)</f>
        <v/>
      </c>
    </row>
    <row r="5830" ht="12.75" customHeight="1">
      <c r="H5830" s="43" t="n"/>
      <c r="AG5830" s="49">
        <f>IFERROR(__xludf.DUMMYFUNCTION("IFNA(vlookup(H5830,IMPORTRANGE(""1vUGwO1n0QQGx9kKbO0_M5gmuhXZ6-LaxQxgrmJnzgP0"",""'TP# look up'!A:C""),3,0),"""")"),"")</f>
        <v/>
      </c>
      <c r="AH5830" s="49">
        <f>LEFT(J5830,2)</f>
        <v/>
      </c>
    </row>
    <row r="5831" ht="12.75" customHeight="1">
      <c r="H5831" s="43" t="n"/>
      <c r="AG5831" s="49">
        <f>IFERROR(__xludf.DUMMYFUNCTION("IFNA(vlookup(H5831,IMPORTRANGE(""1vUGwO1n0QQGx9kKbO0_M5gmuhXZ6-LaxQxgrmJnzgP0"",""'TP# look up'!A:C""),3,0),"""")"),"")</f>
        <v/>
      </c>
      <c r="AH5831" s="49">
        <f>LEFT(J5831,2)</f>
        <v/>
      </c>
    </row>
    <row r="5832" ht="12.75" customHeight="1">
      <c r="H5832" s="43" t="n"/>
      <c r="AG5832" s="49">
        <f>IFERROR(__xludf.DUMMYFUNCTION("IFNA(vlookup(H5832,IMPORTRANGE(""1vUGwO1n0QQGx9kKbO0_M5gmuhXZ6-LaxQxgrmJnzgP0"",""'TP# look up'!A:C""),3,0),"""")"),"")</f>
        <v/>
      </c>
      <c r="AH5832" s="49">
        <f>LEFT(J5832,2)</f>
        <v/>
      </c>
    </row>
    <row r="5833" ht="12.75" customHeight="1">
      <c r="H5833" s="43" t="n"/>
      <c r="AG5833" s="49">
        <f>IFERROR(__xludf.DUMMYFUNCTION("IFNA(vlookup(H5833,IMPORTRANGE(""1vUGwO1n0QQGx9kKbO0_M5gmuhXZ6-LaxQxgrmJnzgP0"",""'TP# look up'!A:C""),3,0),"""")"),"")</f>
        <v/>
      </c>
      <c r="AH5833" s="49">
        <f>LEFT(J5833,2)</f>
        <v/>
      </c>
    </row>
    <row r="5834" ht="12.75" customHeight="1">
      <c r="H5834" s="43" t="n"/>
      <c r="AG5834" s="49">
        <f>IFERROR(__xludf.DUMMYFUNCTION("IFNA(vlookup(H5834,IMPORTRANGE(""1vUGwO1n0QQGx9kKbO0_M5gmuhXZ6-LaxQxgrmJnzgP0"",""'TP# look up'!A:C""),3,0),"""")"),"")</f>
        <v/>
      </c>
      <c r="AH5834" s="49">
        <f>LEFT(J5834,2)</f>
        <v/>
      </c>
    </row>
    <row r="5835" ht="12.75" customHeight="1">
      <c r="H5835" s="43" t="n"/>
      <c r="AG5835" s="49">
        <f>IFERROR(__xludf.DUMMYFUNCTION("IFNA(vlookup(H5835,IMPORTRANGE(""1vUGwO1n0QQGx9kKbO0_M5gmuhXZ6-LaxQxgrmJnzgP0"",""'TP# look up'!A:C""),3,0),"""")"),"")</f>
        <v/>
      </c>
      <c r="AH5835" s="49">
        <f>LEFT(J5835,2)</f>
        <v/>
      </c>
    </row>
    <row r="5836" ht="12.75" customHeight="1">
      <c r="H5836" s="43" t="n"/>
      <c r="AG5836" s="49">
        <f>IFERROR(__xludf.DUMMYFUNCTION("IFNA(vlookup(H5836,IMPORTRANGE(""1vUGwO1n0QQGx9kKbO0_M5gmuhXZ6-LaxQxgrmJnzgP0"",""'TP# look up'!A:C""),3,0),"""")"),"")</f>
        <v/>
      </c>
      <c r="AH5836" s="49">
        <f>LEFT(J5836,2)</f>
        <v/>
      </c>
    </row>
    <row r="5837" ht="12.75" customHeight="1">
      <c r="H5837" s="43" t="n"/>
      <c r="AG5837" s="49">
        <f>IFERROR(__xludf.DUMMYFUNCTION("IFNA(vlookup(H5837,IMPORTRANGE(""1vUGwO1n0QQGx9kKbO0_M5gmuhXZ6-LaxQxgrmJnzgP0"",""'TP# look up'!A:C""),3,0),"""")"),"")</f>
        <v/>
      </c>
      <c r="AH5837" s="49">
        <f>LEFT(J5837,2)</f>
        <v/>
      </c>
    </row>
    <row r="5838" ht="12.75" customHeight="1">
      <c r="H5838" s="43" t="n"/>
      <c r="AG5838" s="49">
        <f>IFERROR(__xludf.DUMMYFUNCTION("IFNA(vlookup(H5838,IMPORTRANGE(""1vUGwO1n0QQGx9kKbO0_M5gmuhXZ6-LaxQxgrmJnzgP0"",""'TP# look up'!A:C""),3,0),"""")"),"")</f>
        <v/>
      </c>
      <c r="AH5838" s="49">
        <f>LEFT(J5838,2)</f>
        <v/>
      </c>
    </row>
    <row r="5839" ht="12.75" customHeight="1">
      <c r="H5839" s="43" t="n"/>
      <c r="AG5839" s="49">
        <f>IFERROR(__xludf.DUMMYFUNCTION("IFNA(vlookup(H5839,IMPORTRANGE(""1vUGwO1n0QQGx9kKbO0_M5gmuhXZ6-LaxQxgrmJnzgP0"",""'TP# look up'!A:C""),3,0),"""")"),"")</f>
        <v/>
      </c>
      <c r="AH5839" s="49">
        <f>LEFT(J5839,2)</f>
        <v/>
      </c>
    </row>
    <row r="5840" ht="12.75" customHeight="1">
      <c r="H5840" s="43" t="n"/>
      <c r="AG5840" s="49">
        <f>IFERROR(__xludf.DUMMYFUNCTION("IFNA(vlookup(H5840,IMPORTRANGE(""1vUGwO1n0QQGx9kKbO0_M5gmuhXZ6-LaxQxgrmJnzgP0"",""'TP# look up'!A:C""),3,0),"""")"),"")</f>
        <v/>
      </c>
      <c r="AH5840" s="49">
        <f>LEFT(J5840,2)</f>
        <v/>
      </c>
    </row>
    <row r="5841" ht="12.75" customHeight="1">
      <c r="H5841" s="43" t="n"/>
      <c r="AG5841" s="49">
        <f>IFERROR(__xludf.DUMMYFUNCTION("IFNA(vlookup(H5841,IMPORTRANGE(""1vUGwO1n0QQGx9kKbO0_M5gmuhXZ6-LaxQxgrmJnzgP0"",""'TP# look up'!A:C""),3,0),"""")"),"")</f>
        <v/>
      </c>
      <c r="AH5841" s="49">
        <f>LEFT(J5841,2)</f>
        <v/>
      </c>
    </row>
    <row r="5842" ht="12.75" customHeight="1">
      <c r="H5842" s="43" t="n"/>
      <c r="AG5842" s="49">
        <f>IFERROR(__xludf.DUMMYFUNCTION("IFNA(vlookup(H5842,IMPORTRANGE(""1vUGwO1n0QQGx9kKbO0_M5gmuhXZ6-LaxQxgrmJnzgP0"",""'TP# look up'!A:C""),3,0),"""")"),"")</f>
        <v/>
      </c>
      <c r="AH5842" s="49">
        <f>LEFT(J5842,2)</f>
        <v/>
      </c>
    </row>
    <row r="5843" ht="12.75" customHeight="1">
      <c r="H5843" s="43" t="n"/>
      <c r="AG5843" s="49">
        <f>IFERROR(__xludf.DUMMYFUNCTION("IFNA(vlookup(H5843,IMPORTRANGE(""1vUGwO1n0QQGx9kKbO0_M5gmuhXZ6-LaxQxgrmJnzgP0"",""'TP# look up'!A:C""),3,0),"""")"),"")</f>
        <v/>
      </c>
      <c r="AH5843" s="49">
        <f>LEFT(J5843,2)</f>
        <v/>
      </c>
    </row>
    <row r="5844" ht="12.75" customHeight="1">
      <c r="H5844" s="43" t="n"/>
      <c r="AG5844" s="49">
        <f>IFERROR(__xludf.DUMMYFUNCTION("IFNA(vlookup(H5844,IMPORTRANGE(""1vUGwO1n0QQGx9kKbO0_M5gmuhXZ6-LaxQxgrmJnzgP0"",""'TP# look up'!A:C""),3,0),"""")"),"")</f>
        <v/>
      </c>
      <c r="AH5844" s="49">
        <f>LEFT(J5844,2)</f>
        <v/>
      </c>
    </row>
    <row r="5845" ht="12.75" customHeight="1">
      <c r="H5845" s="43" t="n"/>
      <c r="AG5845" s="49">
        <f>IFERROR(__xludf.DUMMYFUNCTION("IFNA(vlookup(H5845,IMPORTRANGE(""1vUGwO1n0QQGx9kKbO0_M5gmuhXZ6-LaxQxgrmJnzgP0"",""'TP# look up'!A:C""),3,0),"""")"),"")</f>
        <v/>
      </c>
      <c r="AH5845" s="49">
        <f>LEFT(J5845,2)</f>
        <v/>
      </c>
    </row>
    <row r="5846" ht="12.75" customHeight="1">
      <c r="H5846" s="43" t="n"/>
      <c r="AG5846" s="49">
        <f>IFERROR(__xludf.DUMMYFUNCTION("IFNA(vlookup(H5846,IMPORTRANGE(""1vUGwO1n0QQGx9kKbO0_M5gmuhXZ6-LaxQxgrmJnzgP0"",""'TP# look up'!A:C""),3,0),"""")"),"")</f>
        <v/>
      </c>
      <c r="AH5846" s="49">
        <f>LEFT(J5846,2)</f>
        <v/>
      </c>
    </row>
    <row r="5847" ht="12.75" customHeight="1">
      <c r="H5847" s="43" t="n"/>
      <c r="AG5847" s="49">
        <f>IFERROR(__xludf.DUMMYFUNCTION("IFNA(vlookup(H5847,IMPORTRANGE(""1vUGwO1n0QQGx9kKbO0_M5gmuhXZ6-LaxQxgrmJnzgP0"",""'TP# look up'!A:C""),3,0),"""")"),"")</f>
        <v/>
      </c>
      <c r="AH5847" s="49">
        <f>LEFT(J5847,2)</f>
        <v/>
      </c>
    </row>
    <row r="5848" ht="12.75" customHeight="1">
      <c r="H5848" s="43" t="n"/>
      <c r="AG5848" s="49">
        <f>IFERROR(__xludf.DUMMYFUNCTION("IFNA(vlookup(H5848,IMPORTRANGE(""1vUGwO1n0QQGx9kKbO0_M5gmuhXZ6-LaxQxgrmJnzgP0"",""'TP# look up'!A:C""),3,0),"""")"),"")</f>
        <v/>
      </c>
      <c r="AH5848" s="49">
        <f>LEFT(J5848,2)</f>
        <v/>
      </c>
    </row>
    <row r="5849" ht="12.75" customHeight="1">
      <c r="H5849" s="43" t="n"/>
      <c r="AG5849" s="49">
        <f>IFERROR(__xludf.DUMMYFUNCTION("IFNA(vlookup(H5849,IMPORTRANGE(""1vUGwO1n0QQGx9kKbO0_M5gmuhXZ6-LaxQxgrmJnzgP0"",""'TP# look up'!A:C""),3,0),"""")"),"")</f>
        <v/>
      </c>
      <c r="AH5849" s="49">
        <f>LEFT(J5849,2)</f>
        <v/>
      </c>
    </row>
    <row r="5850" ht="12.75" customHeight="1">
      <c r="H5850" s="43" t="n"/>
      <c r="AG5850" s="49">
        <f>IFERROR(__xludf.DUMMYFUNCTION("IFNA(vlookup(H5850,IMPORTRANGE(""1vUGwO1n0QQGx9kKbO0_M5gmuhXZ6-LaxQxgrmJnzgP0"",""'TP# look up'!A:C""),3,0),"""")"),"")</f>
        <v/>
      </c>
      <c r="AH5850" s="49">
        <f>LEFT(J5850,2)</f>
        <v/>
      </c>
    </row>
    <row r="5851" ht="12.75" customHeight="1">
      <c r="H5851" s="43" t="n"/>
      <c r="AG5851" s="49">
        <f>IFERROR(__xludf.DUMMYFUNCTION("IFNA(vlookup(H5851,IMPORTRANGE(""1vUGwO1n0QQGx9kKbO0_M5gmuhXZ6-LaxQxgrmJnzgP0"",""'TP# look up'!A:C""),3,0),"""")"),"")</f>
        <v/>
      </c>
      <c r="AH5851" s="49">
        <f>LEFT(J5851,2)</f>
        <v/>
      </c>
    </row>
    <row r="5852" ht="12.75" customHeight="1">
      <c r="H5852" s="43" t="n"/>
      <c r="AG5852" s="49">
        <f>IFERROR(__xludf.DUMMYFUNCTION("IFNA(vlookup(H5852,IMPORTRANGE(""1vUGwO1n0QQGx9kKbO0_M5gmuhXZ6-LaxQxgrmJnzgP0"",""'TP# look up'!A:C""),3,0),"""")"),"")</f>
        <v/>
      </c>
      <c r="AH5852" s="49">
        <f>LEFT(J5852,2)</f>
        <v/>
      </c>
    </row>
    <row r="5853" ht="12.75" customHeight="1">
      <c r="H5853" s="43" t="n"/>
      <c r="AG5853" s="49">
        <f>IFERROR(__xludf.DUMMYFUNCTION("IFNA(vlookup(H5853,IMPORTRANGE(""1vUGwO1n0QQGx9kKbO0_M5gmuhXZ6-LaxQxgrmJnzgP0"",""'TP# look up'!A:C""),3,0),"""")"),"")</f>
        <v/>
      </c>
      <c r="AH5853" s="49">
        <f>LEFT(J5853,2)</f>
        <v/>
      </c>
    </row>
    <row r="5854" ht="12.75" customHeight="1">
      <c r="H5854" s="43" t="n"/>
      <c r="AG5854" s="49">
        <f>IFERROR(__xludf.DUMMYFUNCTION("IFNA(vlookup(H5854,IMPORTRANGE(""1vUGwO1n0QQGx9kKbO0_M5gmuhXZ6-LaxQxgrmJnzgP0"",""'TP# look up'!A:C""),3,0),"""")"),"")</f>
        <v/>
      </c>
      <c r="AH5854" s="49">
        <f>LEFT(J5854,2)</f>
        <v/>
      </c>
    </row>
    <row r="5855" ht="12.75" customHeight="1">
      <c r="H5855" s="43" t="n"/>
      <c r="AG5855" s="49">
        <f>IFERROR(__xludf.DUMMYFUNCTION("IFNA(vlookup(H5855,IMPORTRANGE(""1vUGwO1n0QQGx9kKbO0_M5gmuhXZ6-LaxQxgrmJnzgP0"",""'TP# look up'!A:C""),3,0),"""")"),"")</f>
        <v/>
      </c>
      <c r="AH5855" s="49">
        <f>LEFT(J5855,2)</f>
        <v/>
      </c>
    </row>
    <row r="5856" ht="12.75" customHeight="1">
      <c r="H5856" s="43" t="n"/>
      <c r="AG5856" s="49">
        <f>IFERROR(__xludf.DUMMYFUNCTION("IFNA(vlookup(H5856,IMPORTRANGE(""1vUGwO1n0QQGx9kKbO0_M5gmuhXZ6-LaxQxgrmJnzgP0"",""'TP# look up'!A:C""),3,0),"""")"),"")</f>
        <v/>
      </c>
      <c r="AH5856" s="49">
        <f>LEFT(J5856,2)</f>
        <v/>
      </c>
    </row>
    <row r="5857" ht="12.75" customHeight="1">
      <c r="H5857" s="43" t="n"/>
      <c r="AG5857" s="49">
        <f>IFERROR(__xludf.DUMMYFUNCTION("IFNA(vlookup(H5857,IMPORTRANGE(""1vUGwO1n0QQGx9kKbO0_M5gmuhXZ6-LaxQxgrmJnzgP0"",""'TP# look up'!A:C""),3,0),"""")"),"")</f>
        <v/>
      </c>
      <c r="AH5857" s="49">
        <f>LEFT(J5857,2)</f>
        <v/>
      </c>
    </row>
    <row r="5858" ht="12.75" customHeight="1">
      <c r="H5858" s="43" t="n"/>
      <c r="AG5858" s="49">
        <f>IFERROR(__xludf.DUMMYFUNCTION("IFNA(vlookup(H5858,IMPORTRANGE(""1vUGwO1n0QQGx9kKbO0_M5gmuhXZ6-LaxQxgrmJnzgP0"",""'TP# look up'!A:C""),3,0),"""")"),"")</f>
        <v/>
      </c>
      <c r="AH5858" s="49">
        <f>LEFT(J5858,2)</f>
        <v/>
      </c>
    </row>
    <row r="5859" ht="12.75" customHeight="1">
      <c r="H5859" s="43" t="n"/>
      <c r="AG5859" s="49">
        <f>IFERROR(__xludf.DUMMYFUNCTION("IFNA(vlookup(H5859,IMPORTRANGE(""1vUGwO1n0QQGx9kKbO0_M5gmuhXZ6-LaxQxgrmJnzgP0"",""'TP# look up'!A:C""),3,0),"""")"),"")</f>
        <v/>
      </c>
      <c r="AH5859" s="49">
        <f>LEFT(J5859,2)</f>
        <v/>
      </c>
    </row>
    <row r="5860" ht="12.75" customHeight="1">
      <c r="H5860" s="43" t="n"/>
      <c r="AG5860" s="49">
        <f>IFERROR(__xludf.DUMMYFUNCTION("IFNA(vlookup(H5860,IMPORTRANGE(""1vUGwO1n0QQGx9kKbO0_M5gmuhXZ6-LaxQxgrmJnzgP0"",""'TP# look up'!A:C""),3,0),"""")"),"")</f>
        <v/>
      </c>
      <c r="AH5860" s="49">
        <f>LEFT(J5860,2)</f>
        <v/>
      </c>
    </row>
    <row r="5861" ht="12.75" customHeight="1">
      <c r="H5861" s="43" t="n"/>
      <c r="AG5861" s="49">
        <f>IFERROR(__xludf.DUMMYFUNCTION("IFNA(vlookup(H5861,IMPORTRANGE(""1vUGwO1n0QQGx9kKbO0_M5gmuhXZ6-LaxQxgrmJnzgP0"",""'TP# look up'!A:C""),3,0),"""")"),"")</f>
        <v/>
      </c>
      <c r="AH5861" s="49">
        <f>LEFT(J5861,2)</f>
        <v/>
      </c>
    </row>
    <row r="5862" ht="12.75" customHeight="1">
      <c r="H5862" s="43" t="n"/>
      <c r="AG5862" s="49">
        <f>IFERROR(__xludf.DUMMYFUNCTION("IFNA(vlookup(H5862,IMPORTRANGE(""1vUGwO1n0QQGx9kKbO0_M5gmuhXZ6-LaxQxgrmJnzgP0"",""'TP# look up'!A:C""),3,0),"""")"),"")</f>
        <v/>
      </c>
      <c r="AH5862" s="49">
        <f>LEFT(J5862,2)</f>
        <v/>
      </c>
    </row>
    <row r="5863" ht="12.75" customHeight="1">
      <c r="H5863" s="43" t="n"/>
      <c r="AG5863" s="49">
        <f>IFERROR(__xludf.DUMMYFUNCTION("IFNA(vlookup(H5863,IMPORTRANGE(""1vUGwO1n0QQGx9kKbO0_M5gmuhXZ6-LaxQxgrmJnzgP0"",""'TP# look up'!A:C""),3,0),"""")"),"")</f>
        <v/>
      </c>
      <c r="AH5863" s="49">
        <f>LEFT(J5863,2)</f>
        <v/>
      </c>
    </row>
    <row r="5864" ht="12.75" customHeight="1">
      <c r="H5864" s="43" t="n"/>
      <c r="AG5864" s="49">
        <f>IFERROR(__xludf.DUMMYFUNCTION("IFNA(vlookup(H5864,IMPORTRANGE(""1vUGwO1n0QQGx9kKbO0_M5gmuhXZ6-LaxQxgrmJnzgP0"",""'TP# look up'!A:C""),3,0),"""")"),"")</f>
        <v/>
      </c>
      <c r="AH5864" s="49">
        <f>LEFT(J5864,2)</f>
        <v/>
      </c>
    </row>
    <row r="5865" ht="12.75" customHeight="1">
      <c r="H5865" s="43" t="n"/>
      <c r="AG5865" s="49">
        <f>IFERROR(__xludf.DUMMYFUNCTION("IFNA(vlookup(H5865,IMPORTRANGE(""1vUGwO1n0QQGx9kKbO0_M5gmuhXZ6-LaxQxgrmJnzgP0"",""'TP# look up'!A:C""),3,0),"""")"),"")</f>
        <v/>
      </c>
      <c r="AH5865" s="49">
        <f>LEFT(J5865,2)</f>
        <v/>
      </c>
    </row>
    <row r="5866" ht="12.75" customHeight="1">
      <c r="H5866" s="43" t="n"/>
      <c r="AG5866" s="49">
        <f>IFERROR(__xludf.DUMMYFUNCTION("IFNA(vlookup(H5866,IMPORTRANGE(""1vUGwO1n0QQGx9kKbO0_M5gmuhXZ6-LaxQxgrmJnzgP0"",""'TP# look up'!A:C""),3,0),"""")"),"")</f>
        <v/>
      </c>
      <c r="AH5866" s="49">
        <f>LEFT(J5866,2)</f>
        <v/>
      </c>
    </row>
    <row r="5867" ht="12.75" customHeight="1">
      <c r="H5867" s="43" t="n"/>
      <c r="AG5867" s="49">
        <f>IFERROR(__xludf.DUMMYFUNCTION("IFNA(vlookup(H5867,IMPORTRANGE(""1vUGwO1n0QQGx9kKbO0_M5gmuhXZ6-LaxQxgrmJnzgP0"",""'TP# look up'!A:C""),3,0),"""")"),"")</f>
        <v/>
      </c>
      <c r="AH5867" s="49">
        <f>LEFT(J5867,2)</f>
        <v/>
      </c>
    </row>
    <row r="5868" ht="12.75" customHeight="1">
      <c r="H5868" s="43" t="n"/>
      <c r="AG5868" s="49">
        <f>IFERROR(__xludf.DUMMYFUNCTION("IFNA(vlookup(H5868,IMPORTRANGE(""1vUGwO1n0QQGx9kKbO0_M5gmuhXZ6-LaxQxgrmJnzgP0"",""'TP# look up'!A:C""),3,0),"""")"),"")</f>
        <v/>
      </c>
      <c r="AH5868" s="49">
        <f>LEFT(J5868,2)</f>
        <v/>
      </c>
    </row>
    <row r="5869" ht="12.75" customHeight="1">
      <c r="H5869" s="43" t="n"/>
      <c r="AG5869" s="49">
        <f>IFERROR(__xludf.DUMMYFUNCTION("IFNA(vlookup(H5869,IMPORTRANGE(""1vUGwO1n0QQGx9kKbO0_M5gmuhXZ6-LaxQxgrmJnzgP0"",""'TP# look up'!A:C""),3,0),"""")"),"")</f>
        <v/>
      </c>
      <c r="AH5869" s="49">
        <f>LEFT(J5869,2)</f>
        <v/>
      </c>
    </row>
    <row r="5870" ht="12.75" customHeight="1">
      <c r="H5870" s="43" t="n"/>
      <c r="AG5870" s="49">
        <f>IFERROR(__xludf.DUMMYFUNCTION("IFNA(vlookup(H5870,IMPORTRANGE(""1vUGwO1n0QQGx9kKbO0_M5gmuhXZ6-LaxQxgrmJnzgP0"",""'TP# look up'!A:C""),3,0),"""")"),"")</f>
        <v/>
      </c>
      <c r="AH5870" s="49">
        <f>LEFT(J5870,2)</f>
        <v/>
      </c>
    </row>
    <row r="5871" ht="12.75" customHeight="1">
      <c r="H5871" s="43" t="n"/>
      <c r="AG5871" s="49">
        <f>IFERROR(__xludf.DUMMYFUNCTION("IFNA(vlookup(H5871,IMPORTRANGE(""1vUGwO1n0QQGx9kKbO0_M5gmuhXZ6-LaxQxgrmJnzgP0"",""'TP# look up'!A:C""),3,0),"""")"),"")</f>
        <v/>
      </c>
      <c r="AH5871" s="49">
        <f>LEFT(J5871,2)</f>
        <v/>
      </c>
    </row>
    <row r="5872" ht="12.75" customHeight="1">
      <c r="H5872" s="43" t="n"/>
      <c r="AG5872" s="49">
        <f>IFERROR(__xludf.DUMMYFUNCTION("IFNA(vlookup(H5872,IMPORTRANGE(""1vUGwO1n0QQGx9kKbO0_M5gmuhXZ6-LaxQxgrmJnzgP0"",""'TP# look up'!A:C""),3,0),"""")"),"")</f>
        <v/>
      </c>
      <c r="AH5872" s="49">
        <f>LEFT(J5872,2)</f>
        <v/>
      </c>
    </row>
    <row r="5873" ht="12.75" customHeight="1">
      <c r="H5873" s="43" t="n"/>
      <c r="AG5873" s="49">
        <f>IFERROR(__xludf.DUMMYFUNCTION("IFNA(vlookup(H5873,IMPORTRANGE(""1vUGwO1n0QQGx9kKbO0_M5gmuhXZ6-LaxQxgrmJnzgP0"",""'TP# look up'!A:C""),3,0),"""")"),"")</f>
        <v/>
      </c>
      <c r="AH5873" s="49">
        <f>LEFT(J5873,2)</f>
        <v/>
      </c>
    </row>
    <row r="5874" ht="12.75" customHeight="1">
      <c r="H5874" s="43" t="n"/>
      <c r="AG5874" s="49">
        <f>IFERROR(__xludf.DUMMYFUNCTION("IFNA(vlookup(H5874,IMPORTRANGE(""1vUGwO1n0QQGx9kKbO0_M5gmuhXZ6-LaxQxgrmJnzgP0"",""'TP# look up'!A:C""),3,0),"""")"),"")</f>
        <v/>
      </c>
      <c r="AH5874" s="49">
        <f>LEFT(J5874,2)</f>
        <v/>
      </c>
    </row>
    <row r="5875" ht="12.75" customHeight="1">
      <c r="H5875" s="43" t="n"/>
      <c r="AG5875" s="49">
        <f>IFERROR(__xludf.DUMMYFUNCTION("IFNA(vlookup(H5875,IMPORTRANGE(""1vUGwO1n0QQGx9kKbO0_M5gmuhXZ6-LaxQxgrmJnzgP0"",""'TP# look up'!A:C""),3,0),"""")"),"")</f>
        <v/>
      </c>
      <c r="AH5875" s="49">
        <f>LEFT(J5875,2)</f>
        <v/>
      </c>
    </row>
    <row r="5876" ht="12.75" customHeight="1">
      <c r="H5876" s="43" t="n"/>
      <c r="AG5876" s="49">
        <f>IFERROR(__xludf.DUMMYFUNCTION("IFNA(vlookup(H5876,IMPORTRANGE(""1vUGwO1n0QQGx9kKbO0_M5gmuhXZ6-LaxQxgrmJnzgP0"",""'TP# look up'!A:C""),3,0),"""")"),"")</f>
        <v/>
      </c>
      <c r="AH5876" s="49">
        <f>LEFT(J5876,2)</f>
        <v/>
      </c>
    </row>
    <row r="5877" ht="12.75" customHeight="1">
      <c r="H5877" s="43" t="n"/>
      <c r="AG5877" s="49">
        <f>IFERROR(__xludf.DUMMYFUNCTION("IFNA(vlookup(H5877,IMPORTRANGE(""1vUGwO1n0QQGx9kKbO0_M5gmuhXZ6-LaxQxgrmJnzgP0"",""'TP# look up'!A:C""),3,0),"""")"),"")</f>
        <v/>
      </c>
      <c r="AH5877" s="49">
        <f>LEFT(J5877,2)</f>
        <v/>
      </c>
    </row>
    <row r="5878" ht="12.75" customHeight="1">
      <c r="H5878" s="43" t="n"/>
      <c r="AG5878" s="49">
        <f>IFERROR(__xludf.DUMMYFUNCTION("IFNA(vlookup(H5878,IMPORTRANGE(""1vUGwO1n0QQGx9kKbO0_M5gmuhXZ6-LaxQxgrmJnzgP0"",""'TP# look up'!A:C""),3,0),"""")"),"")</f>
        <v/>
      </c>
      <c r="AH5878" s="49">
        <f>LEFT(J5878,2)</f>
        <v/>
      </c>
    </row>
    <row r="5879" ht="12.75" customHeight="1">
      <c r="H5879" s="43" t="n"/>
      <c r="AG5879" s="49">
        <f>IFERROR(__xludf.DUMMYFUNCTION("IFNA(vlookup(H5879,IMPORTRANGE(""1vUGwO1n0QQGx9kKbO0_M5gmuhXZ6-LaxQxgrmJnzgP0"",""'TP# look up'!A:C""),3,0),"""")"),"")</f>
        <v/>
      </c>
      <c r="AH5879" s="49">
        <f>LEFT(J5879,2)</f>
        <v/>
      </c>
    </row>
    <row r="5880" ht="12.75" customHeight="1">
      <c r="H5880" s="43" t="n"/>
      <c r="AG5880" s="49">
        <f>IFERROR(__xludf.DUMMYFUNCTION("IFNA(vlookup(H5880,IMPORTRANGE(""1vUGwO1n0QQGx9kKbO0_M5gmuhXZ6-LaxQxgrmJnzgP0"",""'TP# look up'!A:C""),3,0),"""")"),"")</f>
        <v/>
      </c>
      <c r="AH5880" s="49">
        <f>LEFT(J5880,2)</f>
        <v/>
      </c>
    </row>
    <row r="5881" ht="12.75" customHeight="1">
      <c r="H5881" s="43" t="n"/>
      <c r="AG5881" s="49">
        <f>IFERROR(__xludf.DUMMYFUNCTION("IFNA(vlookup(H5881,IMPORTRANGE(""1vUGwO1n0QQGx9kKbO0_M5gmuhXZ6-LaxQxgrmJnzgP0"",""'TP# look up'!A:C""),3,0),"""")"),"")</f>
        <v/>
      </c>
      <c r="AH5881" s="49">
        <f>LEFT(J5881,2)</f>
        <v/>
      </c>
    </row>
    <row r="5882" ht="12.75" customHeight="1">
      <c r="H5882" s="43" t="n"/>
      <c r="AG5882" s="49">
        <f>IFERROR(__xludf.DUMMYFUNCTION("IFNA(vlookup(H5882,IMPORTRANGE(""1vUGwO1n0QQGx9kKbO0_M5gmuhXZ6-LaxQxgrmJnzgP0"",""'TP# look up'!A:C""),3,0),"""")"),"")</f>
        <v/>
      </c>
      <c r="AH5882" s="49">
        <f>LEFT(J5882,2)</f>
        <v/>
      </c>
    </row>
    <row r="5883" ht="12.75" customHeight="1">
      <c r="H5883" s="43" t="n"/>
      <c r="AG5883" s="49">
        <f>IFERROR(__xludf.DUMMYFUNCTION("IFNA(vlookup(H5883,IMPORTRANGE(""1vUGwO1n0QQGx9kKbO0_M5gmuhXZ6-LaxQxgrmJnzgP0"",""'TP# look up'!A:C""),3,0),"""")"),"")</f>
        <v/>
      </c>
      <c r="AH5883" s="49">
        <f>LEFT(J5883,2)</f>
        <v/>
      </c>
    </row>
    <row r="5884" ht="12.75" customHeight="1">
      <c r="H5884" s="43" t="n"/>
      <c r="AG5884" s="49">
        <f>IFERROR(__xludf.DUMMYFUNCTION("IFNA(vlookup(H5884,IMPORTRANGE(""1vUGwO1n0QQGx9kKbO0_M5gmuhXZ6-LaxQxgrmJnzgP0"",""'TP# look up'!A:C""),3,0),"""")"),"")</f>
        <v/>
      </c>
      <c r="AH5884" s="49">
        <f>LEFT(J5884,2)</f>
        <v/>
      </c>
    </row>
    <row r="5885" ht="12.75" customHeight="1">
      <c r="H5885" s="43" t="n"/>
      <c r="AG5885" s="49">
        <f>IFERROR(__xludf.DUMMYFUNCTION("IFNA(vlookup(H5885,IMPORTRANGE(""1vUGwO1n0QQGx9kKbO0_M5gmuhXZ6-LaxQxgrmJnzgP0"",""'TP# look up'!A:C""),3,0),"""")"),"")</f>
        <v/>
      </c>
      <c r="AH5885" s="49">
        <f>LEFT(J5885,2)</f>
        <v/>
      </c>
    </row>
    <row r="5886" ht="12.75" customHeight="1">
      <c r="H5886" s="43" t="n"/>
      <c r="AG5886" s="49">
        <f>IFERROR(__xludf.DUMMYFUNCTION("IFNA(vlookup(H5886,IMPORTRANGE(""1vUGwO1n0QQGx9kKbO0_M5gmuhXZ6-LaxQxgrmJnzgP0"",""'TP# look up'!A:C""),3,0),"""")"),"")</f>
        <v/>
      </c>
      <c r="AH5886" s="49">
        <f>LEFT(J5886,2)</f>
        <v/>
      </c>
    </row>
    <row r="5887" ht="12.75" customHeight="1">
      <c r="H5887" s="43" t="n"/>
      <c r="AG5887" s="49">
        <f>IFERROR(__xludf.DUMMYFUNCTION("IFNA(vlookup(H5887,IMPORTRANGE(""1vUGwO1n0QQGx9kKbO0_M5gmuhXZ6-LaxQxgrmJnzgP0"",""'TP# look up'!A:C""),3,0),"""")"),"")</f>
        <v/>
      </c>
      <c r="AH5887" s="49">
        <f>LEFT(J5887,2)</f>
        <v/>
      </c>
    </row>
    <row r="5888" ht="12.75" customHeight="1">
      <c r="H5888" s="43" t="n"/>
      <c r="AG5888" s="49">
        <f>IFERROR(__xludf.DUMMYFUNCTION("IFNA(vlookup(H5888,IMPORTRANGE(""1vUGwO1n0QQGx9kKbO0_M5gmuhXZ6-LaxQxgrmJnzgP0"",""'TP# look up'!A:C""),3,0),"""")"),"")</f>
        <v/>
      </c>
      <c r="AH5888" s="49">
        <f>LEFT(J5888,2)</f>
        <v/>
      </c>
    </row>
    <row r="5889" ht="12.75" customHeight="1">
      <c r="H5889" s="43" t="n"/>
      <c r="AG5889" s="49">
        <f>IFERROR(__xludf.DUMMYFUNCTION("IFNA(vlookup(H5889,IMPORTRANGE(""1vUGwO1n0QQGx9kKbO0_M5gmuhXZ6-LaxQxgrmJnzgP0"",""'TP# look up'!A:C""),3,0),"""")"),"")</f>
        <v/>
      </c>
      <c r="AH5889" s="49">
        <f>LEFT(J5889,2)</f>
        <v/>
      </c>
    </row>
    <row r="5890" ht="12.75" customHeight="1">
      <c r="H5890" s="43" t="n"/>
      <c r="AG5890" s="49">
        <f>IFERROR(__xludf.DUMMYFUNCTION("IFNA(vlookup(H5890,IMPORTRANGE(""1vUGwO1n0QQGx9kKbO0_M5gmuhXZ6-LaxQxgrmJnzgP0"",""'TP# look up'!A:C""),3,0),"""")"),"")</f>
        <v/>
      </c>
      <c r="AH5890" s="49">
        <f>LEFT(J5890,2)</f>
        <v/>
      </c>
    </row>
    <row r="5891" ht="12.75" customHeight="1">
      <c r="H5891" s="43" t="n"/>
      <c r="AG5891" s="49">
        <f>IFERROR(__xludf.DUMMYFUNCTION("IFNA(vlookup(H5891,IMPORTRANGE(""1vUGwO1n0QQGx9kKbO0_M5gmuhXZ6-LaxQxgrmJnzgP0"",""'TP# look up'!A:C""),3,0),"""")"),"")</f>
        <v/>
      </c>
      <c r="AH5891" s="49">
        <f>LEFT(J5891,2)</f>
        <v/>
      </c>
    </row>
    <row r="5892" ht="12.75" customHeight="1">
      <c r="H5892" s="43" t="n"/>
      <c r="AG5892" s="49">
        <f>IFERROR(__xludf.DUMMYFUNCTION("IFNA(vlookup(H5892,IMPORTRANGE(""1vUGwO1n0QQGx9kKbO0_M5gmuhXZ6-LaxQxgrmJnzgP0"",""'TP# look up'!A:C""),3,0),"""")"),"")</f>
        <v/>
      </c>
      <c r="AH5892" s="49">
        <f>LEFT(J5892,2)</f>
        <v/>
      </c>
    </row>
    <row r="5893" ht="12.75" customHeight="1">
      <c r="H5893" s="43" t="n"/>
      <c r="AG5893" s="49">
        <f>IFERROR(__xludf.DUMMYFUNCTION("IFNA(vlookup(H5893,IMPORTRANGE(""1vUGwO1n0QQGx9kKbO0_M5gmuhXZ6-LaxQxgrmJnzgP0"",""'TP# look up'!A:C""),3,0),"""")"),"")</f>
        <v/>
      </c>
      <c r="AH5893" s="49">
        <f>LEFT(J5893,2)</f>
        <v/>
      </c>
    </row>
    <row r="5894" ht="12.75" customHeight="1">
      <c r="H5894" s="43" t="n"/>
      <c r="AG5894" s="49">
        <f>IFERROR(__xludf.DUMMYFUNCTION("IFNA(vlookup(H5894,IMPORTRANGE(""1vUGwO1n0QQGx9kKbO0_M5gmuhXZ6-LaxQxgrmJnzgP0"",""'TP# look up'!A:C""),3,0),"""")"),"")</f>
        <v/>
      </c>
      <c r="AH5894" s="49">
        <f>LEFT(J5894,2)</f>
        <v/>
      </c>
    </row>
    <row r="5895" ht="12.75" customHeight="1">
      <c r="H5895" s="43" t="n"/>
      <c r="AG5895" s="49">
        <f>IFERROR(__xludf.DUMMYFUNCTION("IFNA(vlookup(H5895,IMPORTRANGE(""1vUGwO1n0QQGx9kKbO0_M5gmuhXZ6-LaxQxgrmJnzgP0"",""'TP# look up'!A:C""),3,0),"""")"),"")</f>
        <v/>
      </c>
      <c r="AH5895" s="49">
        <f>LEFT(J5895,2)</f>
        <v/>
      </c>
    </row>
    <row r="5896" ht="12.75" customHeight="1">
      <c r="H5896" s="43" t="n"/>
      <c r="AG5896" s="49">
        <f>IFERROR(__xludf.DUMMYFUNCTION("IFNA(vlookup(H5896,IMPORTRANGE(""1vUGwO1n0QQGx9kKbO0_M5gmuhXZ6-LaxQxgrmJnzgP0"",""'TP# look up'!A:C""),3,0),"""")"),"")</f>
        <v/>
      </c>
      <c r="AH5896" s="49">
        <f>LEFT(J5896,2)</f>
        <v/>
      </c>
    </row>
    <row r="5897" ht="12.75" customHeight="1">
      <c r="H5897" s="43" t="n"/>
      <c r="AG5897" s="49">
        <f>IFERROR(__xludf.DUMMYFUNCTION("IFNA(vlookup(H5897,IMPORTRANGE(""1vUGwO1n0QQGx9kKbO0_M5gmuhXZ6-LaxQxgrmJnzgP0"",""'TP# look up'!A:C""),3,0),"""")"),"")</f>
        <v/>
      </c>
      <c r="AH5897" s="49">
        <f>LEFT(J5897,2)</f>
        <v/>
      </c>
    </row>
    <row r="5898" ht="12.75" customHeight="1">
      <c r="H5898" s="43" t="n"/>
      <c r="AG5898" s="49">
        <f>IFERROR(__xludf.DUMMYFUNCTION("IFNA(vlookup(H5898,IMPORTRANGE(""1vUGwO1n0QQGx9kKbO0_M5gmuhXZ6-LaxQxgrmJnzgP0"",""'TP# look up'!A:C""),3,0),"""")"),"")</f>
        <v/>
      </c>
      <c r="AH5898" s="49">
        <f>LEFT(J5898,2)</f>
        <v/>
      </c>
    </row>
    <row r="5899" ht="12.75" customHeight="1">
      <c r="H5899" s="43" t="n"/>
      <c r="AG5899" s="49">
        <f>IFERROR(__xludf.DUMMYFUNCTION("IFNA(vlookup(H5899,IMPORTRANGE(""1vUGwO1n0QQGx9kKbO0_M5gmuhXZ6-LaxQxgrmJnzgP0"",""'TP# look up'!A:C""),3,0),"""")"),"")</f>
        <v/>
      </c>
      <c r="AH5899" s="49">
        <f>LEFT(J5899,2)</f>
        <v/>
      </c>
    </row>
    <row r="5900" ht="12.75" customHeight="1">
      <c r="H5900" s="43" t="n"/>
      <c r="AG5900" s="49">
        <f>IFERROR(__xludf.DUMMYFUNCTION("IFNA(vlookup(H5900,IMPORTRANGE(""1vUGwO1n0QQGx9kKbO0_M5gmuhXZ6-LaxQxgrmJnzgP0"",""'TP# look up'!A:C""),3,0),"""")"),"")</f>
        <v/>
      </c>
      <c r="AH5900" s="49">
        <f>LEFT(J5900,2)</f>
        <v/>
      </c>
    </row>
    <row r="5901" ht="12.75" customHeight="1">
      <c r="H5901" s="43" t="n"/>
      <c r="AG5901" s="49">
        <f>IFERROR(__xludf.DUMMYFUNCTION("IFNA(vlookup(H5901,IMPORTRANGE(""1vUGwO1n0QQGx9kKbO0_M5gmuhXZ6-LaxQxgrmJnzgP0"",""'TP# look up'!A:C""),3,0),"""")"),"")</f>
        <v/>
      </c>
      <c r="AH5901" s="49">
        <f>LEFT(J5901,2)</f>
        <v/>
      </c>
    </row>
    <row r="5902" ht="12.75" customHeight="1">
      <c r="H5902" s="43" t="n"/>
      <c r="AG5902" s="49">
        <f>IFERROR(__xludf.DUMMYFUNCTION("IFNA(vlookup(H5902,IMPORTRANGE(""1vUGwO1n0QQGx9kKbO0_M5gmuhXZ6-LaxQxgrmJnzgP0"",""'TP# look up'!A:C""),3,0),"""")"),"")</f>
        <v/>
      </c>
      <c r="AH5902" s="49">
        <f>LEFT(J5902,2)</f>
        <v/>
      </c>
    </row>
    <row r="5903" ht="12.75" customHeight="1">
      <c r="H5903" s="43" t="n"/>
      <c r="AG5903" s="49">
        <f>IFERROR(__xludf.DUMMYFUNCTION("IFNA(vlookup(H5903,IMPORTRANGE(""1vUGwO1n0QQGx9kKbO0_M5gmuhXZ6-LaxQxgrmJnzgP0"",""'TP# look up'!A:C""),3,0),"""")"),"")</f>
        <v/>
      </c>
      <c r="AH5903" s="49">
        <f>LEFT(J5903,2)</f>
        <v/>
      </c>
    </row>
    <row r="5904" ht="12.75" customHeight="1">
      <c r="H5904" s="43" t="n"/>
      <c r="AG5904" s="49">
        <f>IFERROR(__xludf.DUMMYFUNCTION("IFNA(vlookup(H5904,IMPORTRANGE(""1vUGwO1n0QQGx9kKbO0_M5gmuhXZ6-LaxQxgrmJnzgP0"",""'TP# look up'!A:C""),3,0),"""")"),"")</f>
        <v/>
      </c>
      <c r="AH5904" s="49">
        <f>LEFT(J5904,2)</f>
        <v/>
      </c>
    </row>
    <row r="5905" ht="12.75" customHeight="1">
      <c r="H5905" s="43" t="n"/>
      <c r="AG5905" s="49">
        <f>IFERROR(__xludf.DUMMYFUNCTION("IFNA(vlookup(H5905,IMPORTRANGE(""1vUGwO1n0QQGx9kKbO0_M5gmuhXZ6-LaxQxgrmJnzgP0"",""'TP# look up'!A:C""),3,0),"""")"),"")</f>
        <v/>
      </c>
      <c r="AH5905" s="49">
        <f>LEFT(J5905,2)</f>
        <v/>
      </c>
    </row>
    <row r="5906" ht="12.75" customHeight="1">
      <c r="H5906" s="43" t="n"/>
      <c r="AG5906" s="49">
        <f>IFERROR(__xludf.DUMMYFUNCTION("IFNA(vlookup(H5906,IMPORTRANGE(""1vUGwO1n0QQGx9kKbO0_M5gmuhXZ6-LaxQxgrmJnzgP0"",""'TP# look up'!A:C""),3,0),"""")"),"")</f>
        <v/>
      </c>
      <c r="AH5906" s="49">
        <f>LEFT(J5906,2)</f>
        <v/>
      </c>
    </row>
    <row r="5907" ht="12.75" customHeight="1">
      <c r="H5907" s="43" t="n"/>
      <c r="AG5907" s="49">
        <f>IFERROR(__xludf.DUMMYFUNCTION("IFNA(vlookup(H5907,IMPORTRANGE(""1vUGwO1n0QQGx9kKbO0_M5gmuhXZ6-LaxQxgrmJnzgP0"",""'TP# look up'!A:C""),3,0),"""")"),"")</f>
        <v/>
      </c>
      <c r="AH5907" s="49">
        <f>LEFT(J5907,2)</f>
        <v/>
      </c>
    </row>
    <row r="5908" ht="12.75" customHeight="1">
      <c r="H5908" s="43" t="n"/>
      <c r="AG5908" s="49">
        <f>IFERROR(__xludf.DUMMYFUNCTION("IFNA(vlookup(H5908,IMPORTRANGE(""1vUGwO1n0QQGx9kKbO0_M5gmuhXZ6-LaxQxgrmJnzgP0"",""'TP# look up'!A:C""),3,0),"""")"),"")</f>
        <v/>
      </c>
      <c r="AH5908" s="49">
        <f>LEFT(J5908,2)</f>
        <v/>
      </c>
    </row>
    <row r="5909" ht="12.75" customHeight="1">
      <c r="H5909" s="43" t="n"/>
      <c r="AG5909" s="49">
        <f>IFERROR(__xludf.DUMMYFUNCTION("IFNA(vlookup(H5909,IMPORTRANGE(""1vUGwO1n0QQGx9kKbO0_M5gmuhXZ6-LaxQxgrmJnzgP0"",""'TP# look up'!A:C""),3,0),"""")"),"")</f>
        <v/>
      </c>
      <c r="AH5909" s="49">
        <f>LEFT(J5909,2)</f>
        <v/>
      </c>
    </row>
    <row r="5910" ht="12.75" customHeight="1">
      <c r="H5910" s="43" t="n"/>
      <c r="AG5910" s="49">
        <f>IFERROR(__xludf.DUMMYFUNCTION("IFNA(vlookup(H5910,IMPORTRANGE(""1vUGwO1n0QQGx9kKbO0_M5gmuhXZ6-LaxQxgrmJnzgP0"",""'TP# look up'!A:C""),3,0),"""")"),"")</f>
        <v/>
      </c>
      <c r="AH5910" s="49">
        <f>LEFT(J5910,2)</f>
        <v/>
      </c>
    </row>
    <row r="5911" ht="12.75" customHeight="1">
      <c r="H5911" s="43" t="n"/>
      <c r="AG5911" s="49">
        <f>IFERROR(__xludf.DUMMYFUNCTION("IFNA(vlookup(H5911,IMPORTRANGE(""1vUGwO1n0QQGx9kKbO0_M5gmuhXZ6-LaxQxgrmJnzgP0"",""'TP# look up'!A:C""),3,0),"""")"),"")</f>
        <v/>
      </c>
      <c r="AH5911" s="49">
        <f>LEFT(J5911,2)</f>
        <v/>
      </c>
    </row>
    <row r="5912" ht="12.75" customHeight="1">
      <c r="H5912" s="43" t="n"/>
      <c r="AG5912" s="49">
        <f>IFERROR(__xludf.DUMMYFUNCTION("IFNA(vlookup(H5912,IMPORTRANGE(""1vUGwO1n0QQGx9kKbO0_M5gmuhXZ6-LaxQxgrmJnzgP0"",""'TP# look up'!A:C""),3,0),"""")"),"")</f>
        <v/>
      </c>
      <c r="AH5912" s="49">
        <f>LEFT(J5912,2)</f>
        <v/>
      </c>
    </row>
    <row r="5913" ht="12.75" customHeight="1">
      <c r="H5913" s="43" t="n"/>
      <c r="AG5913" s="49">
        <f>IFERROR(__xludf.DUMMYFUNCTION("IFNA(vlookup(H5913,IMPORTRANGE(""1vUGwO1n0QQGx9kKbO0_M5gmuhXZ6-LaxQxgrmJnzgP0"",""'TP# look up'!A:C""),3,0),"""")"),"")</f>
        <v/>
      </c>
      <c r="AH5913" s="49">
        <f>LEFT(J5913,2)</f>
        <v/>
      </c>
    </row>
    <row r="5914" ht="12.75" customHeight="1">
      <c r="H5914" s="43" t="n"/>
      <c r="AG5914" s="49">
        <f>IFERROR(__xludf.DUMMYFUNCTION("IFNA(vlookup(H5914,IMPORTRANGE(""1vUGwO1n0QQGx9kKbO0_M5gmuhXZ6-LaxQxgrmJnzgP0"",""'TP# look up'!A:C""),3,0),"""")"),"")</f>
        <v/>
      </c>
      <c r="AH5914" s="49">
        <f>LEFT(J5914,2)</f>
        <v/>
      </c>
    </row>
    <row r="5915" ht="12.75" customHeight="1">
      <c r="H5915" s="43" t="n"/>
      <c r="AG5915" s="49">
        <f>IFERROR(__xludf.DUMMYFUNCTION("IFNA(vlookup(H5915,IMPORTRANGE(""1vUGwO1n0QQGx9kKbO0_M5gmuhXZ6-LaxQxgrmJnzgP0"",""'TP# look up'!A:C""),3,0),"""")"),"")</f>
        <v/>
      </c>
      <c r="AH5915" s="49">
        <f>LEFT(J5915,2)</f>
        <v/>
      </c>
    </row>
    <row r="5916" ht="12.75" customHeight="1">
      <c r="H5916" s="43" t="n"/>
      <c r="AG5916" s="49">
        <f>IFERROR(__xludf.DUMMYFUNCTION("IFNA(vlookup(H5916,IMPORTRANGE(""1vUGwO1n0QQGx9kKbO0_M5gmuhXZ6-LaxQxgrmJnzgP0"",""'TP# look up'!A:C""),3,0),"""")"),"")</f>
        <v/>
      </c>
      <c r="AH5916" s="49">
        <f>LEFT(J5916,2)</f>
        <v/>
      </c>
    </row>
    <row r="5917" ht="12.75" customHeight="1">
      <c r="H5917" s="43" t="n"/>
      <c r="AG5917" s="49">
        <f>IFERROR(__xludf.DUMMYFUNCTION("IFNA(vlookup(H5917,IMPORTRANGE(""1vUGwO1n0QQGx9kKbO0_M5gmuhXZ6-LaxQxgrmJnzgP0"",""'TP# look up'!A:C""),3,0),"""")"),"")</f>
        <v/>
      </c>
      <c r="AH5917" s="49">
        <f>LEFT(J5917,2)</f>
        <v/>
      </c>
    </row>
    <row r="5918" ht="12.75" customHeight="1">
      <c r="H5918" s="43" t="n"/>
      <c r="AG5918" s="49">
        <f>IFERROR(__xludf.DUMMYFUNCTION("IFNA(vlookup(H5918,IMPORTRANGE(""1vUGwO1n0QQGx9kKbO0_M5gmuhXZ6-LaxQxgrmJnzgP0"",""'TP# look up'!A:C""),3,0),"""")"),"")</f>
        <v/>
      </c>
      <c r="AH5918" s="49">
        <f>LEFT(J5918,2)</f>
        <v/>
      </c>
    </row>
    <row r="5919" ht="12.75" customHeight="1">
      <c r="H5919" s="43" t="n"/>
      <c r="AG5919" s="49">
        <f>IFERROR(__xludf.DUMMYFUNCTION("IFNA(vlookup(H5919,IMPORTRANGE(""1vUGwO1n0QQGx9kKbO0_M5gmuhXZ6-LaxQxgrmJnzgP0"",""'TP# look up'!A:C""),3,0),"""")"),"")</f>
        <v/>
      </c>
      <c r="AH5919" s="49">
        <f>LEFT(J5919,2)</f>
        <v/>
      </c>
    </row>
    <row r="5920" ht="12.75" customHeight="1">
      <c r="H5920" s="43" t="n"/>
      <c r="AG5920" s="49">
        <f>IFERROR(__xludf.DUMMYFUNCTION("IFNA(vlookup(H5920,IMPORTRANGE(""1vUGwO1n0QQGx9kKbO0_M5gmuhXZ6-LaxQxgrmJnzgP0"",""'TP# look up'!A:C""),3,0),"""")"),"")</f>
        <v/>
      </c>
      <c r="AH5920" s="49">
        <f>LEFT(J5920,2)</f>
        <v/>
      </c>
    </row>
    <row r="5921" ht="12.75" customHeight="1">
      <c r="H5921" s="43" t="n"/>
      <c r="AG5921" s="49">
        <f>IFERROR(__xludf.DUMMYFUNCTION("IFNA(vlookup(H5921,IMPORTRANGE(""1vUGwO1n0QQGx9kKbO0_M5gmuhXZ6-LaxQxgrmJnzgP0"",""'TP# look up'!A:C""),3,0),"""")"),"")</f>
        <v/>
      </c>
      <c r="AH5921" s="49">
        <f>LEFT(J5921,2)</f>
        <v/>
      </c>
    </row>
    <row r="5922" ht="12.75" customHeight="1">
      <c r="H5922" s="43" t="n"/>
      <c r="AG5922" s="49">
        <f>IFERROR(__xludf.DUMMYFUNCTION("IFNA(vlookup(H5922,IMPORTRANGE(""1vUGwO1n0QQGx9kKbO0_M5gmuhXZ6-LaxQxgrmJnzgP0"",""'TP# look up'!A:C""),3,0),"""")"),"")</f>
        <v/>
      </c>
      <c r="AH5922" s="49">
        <f>LEFT(J5922,2)</f>
        <v/>
      </c>
    </row>
    <row r="5923" ht="12.75" customHeight="1">
      <c r="H5923" s="43" t="n"/>
      <c r="AG5923" s="49">
        <f>IFERROR(__xludf.DUMMYFUNCTION("IFNA(vlookup(H5923,IMPORTRANGE(""1vUGwO1n0QQGx9kKbO0_M5gmuhXZ6-LaxQxgrmJnzgP0"",""'TP# look up'!A:C""),3,0),"""")"),"")</f>
        <v/>
      </c>
      <c r="AH5923" s="49">
        <f>LEFT(J5923,2)</f>
        <v/>
      </c>
    </row>
    <row r="5924" ht="12.75" customHeight="1">
      <c r="H5924" s="43" t="n"/>
      <c r="AG5924" s="49">
        <f>IFERROR(__xludf.DUMMYFUNCTION("IFNA(vlookup(H5924,IMPORTRANGE(""1vUGwO1n0QQGx9kKbO0_M5gmuhXZ6-LaxQxgrmJnzgP0"",""'TP# look up'!A:C""),3,0),"""")"),"")</f>
        <v/>
      </c>
      <c r="AH5924" s="49">
        <f>LEFT(J5924,2)</f>
        <v/>
      </c>
    </row>
    <row r="5925" ht="12.75" customHeight="1">
      <c r="H5925" s="43" t="n"/>
      <c r="AG5925" s="49">
        <f>IFERROR(__xludf.DUMMYFUNCTION("IFNA(vlookup(H5925,IMPORTRANGE(""1vUGwO1n0QQGx9kKbO0_M5gmuhXZ6-LaxQxgrmJnzgP0"",""'TP# look up'!A:C""),3,0),"""")"),"")</f>
        <v/>
      </c>
      <c r="AH5925" s="49">
        <f>LEFT(J5925,2)</f>
        <v/>
      </c>
    </row>
    <row r="5926" ht="12.75" customHeight="1">
      <c r="H5926" s="43" t="n"/>
      <c r="AG5926" s="49">
        <f>IFERROR(__xludf.DUMMYFUNCTION("IFNA(vlookup(H5926,IMPORTRANGE(""1vUGwO1n0QQGx9kKbO0_M5gmuhXZ6-LaxQxgrmJnzgP0"",""'TP# look up'!A:C""),3,0),"""")"),"")</f>
        <v/>
      </c>
      <c r="AH5926" s="49">
        <f>LEFT(J5926,2)</f>
        <v/>
      </c>
    </row>
    <row r="5927" ht="12.75" customHeight="1">
      <c r="H5927" s="43" t="n"/>
      <c r="AG5927" s="49">
        <f>IFERROR(__xludf.DUMMYFUNCTION("IFNA(vlookup(H5927,IMPORTRANGE(""1vUGwO1n0QQGx9kKbO0_M5gmuhXZ6-LaxQxgrmJnzgP0"",""'TP# look up'!A:C""),3,0),"""")"),"")</f>
        <v/>
      </c>
      <c r="AH5927" s="49">
        <f>LEFT(J5927,2)</f>
        <v/>
      </c>
    </row>
    <row r="5928" ht="12.75" customHeight="1">
      <c r="H5928" s="43" t="n"/>
      <c r="AG5928" s="49">
        <f>IFERROR(__xludf.DUMMYFUNCTION("IFNA(vlookup(H5928,IMPORTRANGE(""1vUGwO1n0QQGx9kKbO0_M5gmuhXZ6-LaxQxgrmJnzgP0"",""'TP# look up'!A:C""),3,0),"""")"),"")</f>
        <v/>
      </c>
      <c r="AH5928" s="49">
        <f>LEFT(J5928,2)</f>
        <v/>
      </c>
    </row>
    <row r="5929" ht="12.75" customHeight="1">
      <c r="H5929" s="43" t="n"/>
      <c r="AG5929" s="49">
        <f>IFERROR(__xludf.DUMMYFUNCTION("IFNA(vlookup(H5929,IMPORTRANGE(""1vUGwO1n0QQGx9kKbO0_M5gmuhXZ6-LaxQxgrmJnzgP0"",""'TP# look up'!A:C""),3,0),"""")"),"")</f>
        <v/>
      </c>
      <c r="AH5929" s="49">
        <f>LEFT(J5929,2)</f>
        <v/>
      </c>
    </row>
    <row r="5930" ht="12.75" customHeight="1">
      <c r="H5930" s="43" t="n"/>
      <c r="AG5930" s="49">
        <f>IFERROR(__xludf.DUMMYFUNCTION("IFNA(vlookup(H5930,IMPORTRANGE(""1vUGwO1n0QQGx9kKbO0_M5gmuhXZ6-LaxQxgrmJnzgP0"",""'TP# look up'!A:C""),3,0),"""")"),"")</f>
        <v/>
      </c>
      <c r="AH5930" s="49">
        <f>LEFT(J5930,2)</f>
        <v/>
      </c>
    </row>
    <row r="5931" ht="12.75" customHeight="1">
      <c r="H5931" s="43" t="n"/>
      <c r="AG5931" s="49">
        <f>IFERROR(__xludf.DUMMYFUNCTION("IFNA(vlookup(H5931,IMPORTRANGE(""1vUGwO1n0QQGx9kKbO0_M5gmuhXZ6-LaxQxgrmJnzgP0"",""'TP# look up'!A:C""),3,0),"""")"),"")</f>
        <v/>
      </c>
      <c r="AH5931" s="49">
        <f>LEFT(J5931,2)</f>
        <v/>
      </c>
    </row>
    <row r="5932" ht="12.75" customHeight="1">
      <c r="H5932" s="43" t="n"/>
      <c r="AG5932" s="49">
        <f>IFERROR(__xludf.DUMMYFUNCTION("IFNA(vlookup(H5932,IMPORTRANGE(""1vUGwO1n0QQGx9kKbO0_M5gmuhXZ6-LaxQxgrmJnzgP0"",""'TP# look up'!A:C""),3,0),"""")"),"")</f>
        <v/>
      </c>
      <c r="AH5932" s="49">
        <f>LEFT(J5932,2)</f>
        <v/>
      </c>
    </row>
    <row r="5933" ht="12.75" customHeight="1">
      <c r="H5933" s="43" t="n"/>
      <c r="AG5933" s="49">
        <f>IFERROR(__xludf.DUMMYFUNCTION("IFNA(vlookup(H5933,IMPORTRANGE(""1vUGwO1n0QQGx9kKbO0_M5gmuhXZ6-LaxQxgrmJnzgP0"",""'TP# look up'!A:C""),3,0),"""")"),"")</f>
        <v/>
      </c>
      <c r="AH5933" s="49">
        <f>LEFT(J5933,2)</f>
        <v/>
      </c>
    </row>
    <row r="5934" ht="12.75" customHeight="1">
      <c r="H5934" s="43" t="n"/>
      <c r="AG5934" s="49">
        <f>IFERROR(__xludf.DUMMYFUNCTION("IFNA(vlookup(H5934,IMPORTRANGE(""1vUGwO1n0QQGx9kKbO0_M5gmuhXZ6-LaxQxgrmJnzgP0"",""'TP# look up'!A:C""),3,0),"""")"),"")</f>
        <v/>
      </c>
      <c r="AH5934" s="49">
        <f>LEFT(J5934,2)</f>
        <v/>
      </c>
    </row>
    <row r="5935" ht="12.75" customHeight="1">
      <c r="H5935" s="43" t="n"/>
      <c r="AG5935" s="49">
        <f>IFERROR(__xludf.DUMMYFUNCTION("IFNA(vlookup(H5935,IMPORTRANGE(""1vUGwO1n0QQGx9kKbO0_M5gmuhXZ6-LaxQxgrmJnzgP0"",""'TP# look up'!A:C""),3,0),"""")"),"")</f>
        <v/>
      </c>
      <c r="AH5935" s="49">
        <f>LEFT(J5935,2)</f>
        <v/>
      </c>
    </row>
    <row r="5936" ht="12.75" customHeight="1">
      <c r="H5936" s="43" t="n"/>
      <c r="AG5936" s="49">
        <f>IFERROR(__xludf.DUMMYFUNCTION("IFNA(vlookup(H5936,IMPORTRANGE(""1vUGwO1n0QQGx9kKbO0_M5gmuhXZ6-LaxQxgrmJnzgP0"",""'TP# look up'!A:C""),3,0),"""")"),"")</f>
        <v/>
      </c>
      <c r="AH5936" s="49">
        <f>LEFT(J5936,2)</f>
        <v/>
      </c>
    </row>
    <row r="5937" ht="12.75" customHeight="1">
      <c r="H5937" s="43" t="n"/>
      <c r="AG5937" s="49">
        <f>IFERROR(__xludf.DUMMYFUNCTION("IFNA(vlookup(H5937,IMPORTRANGE(""1vUGwO1n0QQGx9kKbO0_M5gmuhXZ6-LaxQxgrmJnzgP0"",""'TP# look up'!A:C""),3,0),"""")"),"")</f>
        <v/>
      </c>
      <c r="AH5937" s="49">
        <f>LEFT(J5937,2)</f>
        <v/>
      </c>
    </row>
    <row r="5938" ht="12.75" customHeight="1">
      <c r="H5938" s="43" t="n"/>
      <c r="AG5938" s="49">
        <f>IFERROR(__xludf.DUMMYFUNCTION("IFNA(vlookup(H5938,IMPORTRANGE(""1vUGwO1n0QQGx9kKbO0_M5gmuhXZ6-LaxQxgrmJnzgP0"",""'TP# look up'!A:C""),3,0),"""")"),"")</f>
        <v/>
      </c>
      <c r="AH5938" s="49">
        <f>LEFT(J5938,2)</f>
        <v/>
      </c>
    </row>
    <row r="5939" ht="12.75" customHeight="1">
      <c r="H5939" s="43" t="n"/>
      <c r="AG5939" s="49">
        <f>IFERROR(__xludf.DUMMYFUNCTION("IFNA(vlookup(H5939,IMPORTRANGE(""1vUGwO1n0QQGx9kKbO0_M5gmuhXZ6-LaxQxgrmJnzgP0"",""'TP# look up'!A:C""),3,0),"""")"),"")</f>
        <v/>
      </c>
      <c r="AH5939" s="49">
        <f>LEFT(J5939,2)</f>
        <v/>
      </c>
    </row>
    <row r="5940" ht="12.75" customHeight="1">
      <c r="H5940" s="43" t="n"/>
      <c r="AG5940" s="49">
        <f>IFERROR(__xludf.DUMMYFUNCTION("IFNA(vlookup(H5940,IMPORTRANGE(""1vUGwO1n0QQGx9kKbO0_M5gmuhXZ6-LaxQxgrmJnzgP0"",""'TP# look up'!A:C""),3,0),"""")"),"")</f>
        <v/>
      </c>
      <c r="AH5940" s="49">
        <f>LEFT(J5940,2)</f>
        <v/>
      </c>
    </row>
    <row r="5941" ht="12.75" customHeight="1">
      <c r="H5941" s="43" t="n"/>
      <c r="AG5941" s="49">
        <f>IFERROR(__xludf.DUMMYFUNCTION("IFNA(vlookup(H5941,IMPORTRANGE(""1vUGwO1n0QQGx9kKbO0_M5gmuhXZ6-LaxQxgrmJnzgP0"",""'TP# look up'!A:C""),3,0),"""")"),"")</f>
        <v/>
      </c>
      <c r="AH5941" s="49">
        <f>LEFT(J5941,2)</f>
        <v/>
      </c>
    </row>
    <row r="5942" ht="12.75" customHeight="1">
      <c r="H5942" s="43" t="n"/>
      <c r="AG5942" s="49">
        <f>IFERROR(__xludf.DUMMYFUNCTION("IFNA(vlookup(H5942,IMPORTRANGE(""1vUGwO1n0QQGx9kKbO0_M5gmuhXZ6-LaxQxgrmJnzgP0"",""'TP# look up'!A:C""),3,0),"""")"),"")</f>
        <v/>
      </c>
      <c r="AH5942" s="49">
        <f>LEFT(J5942,2)</f>
        <v/>
      </c>
    </row>
    <row r="5943" ht="12.75" customHeight="1">
      <c r="H5943" s="43" t="n"/>
      <c r="AG5943" s="49">
        <f>IFERROR(__xludf.DUMMYFUNCTION("IFNA(vlookup(H5943,IMPORTRANGE(""1vUGwO1n0QQGx9kKbO0_M5gmuhXZ6-LaxQxgrmJnzgP0"",""'TP# look up'!A:C""),3,0),"""")"),"")</f>
        <v/>
      </c>
      <c r="AH5943" s="49">
        <f>LEFT(J5943,2)</f>
        <v/>
      </c>
    </row>
    <row r="5944" ht="12.75" customHeight="1">
      <c r="H5944" s="43" t="n"/>
      <c r="AG5944" s="49">
        <f>IFERROR(__xludf.DUMMYFUNCTION("IFNA(vlookup(H5944,IMPORTRANGE(""1vUGwO1n0QQGx9kKbO0_M5gmuhXZ6-LaxQxgrmJnzgP0"",""'TP# look up'!A:C""),3,0),"""")"),"")</f>
        <v/>
      </c>
      <c r="AH5944" s="49">
        <f>LEFT(J5944,2)</f>
        <v/>
      </c>
    </row>
    <row r="5945" ht="12.75" customHeight="1">
      <c r="H5945" s="43" t="n"/>
      <c r="AG5945" s="49">
        <f>IFERROR(__xludf.DUMMYFUNCTION("IFNA(vlookup(H5945,IMPORTRANGE(""1vUGwO1n0QQGx9kKbO0_M5gmuhXZ6-LaxQxgrmJnzgP0"",""'TP# look up'!A:C""),3,0),"""")"),"")</f>
        <v/>
      </c>
      <c r="AH5945" s="49">
        <f>LEFT(J5945,2)</f>
        <v/>
      </c>
    </row>
    <row r="5946" ht="12.75" customHeight="1">
      <c r="H5946" s="43" t="n"/>
      <c r="AG5946" s="49">
        <f>IFERROR(__xludf.DUMMYFUNCTION("IFNA(vlookup(H5946,IMPORTRANGE(""1vUGwO1n0QQGx9kKbO0_M5gmuhXZ6-LaxQxgrmJnzgP0"",""'TP# look up'!A:C""),3,0),"""")"),"")</f>
        <v/>
      </c>
      <c r="AH5946" s="49">
        <f>LEFT(J5946,2)</f>
        <v/>
      </c>
    </row>
    <row r="5947" ht="12.75" customHeight="1">
      <c r="H5947" s="43" t="n"/>
      <c r="AG5947" s="49">
        <f>IFERROR(__xludf.DUMMYFUNCTION("IFNA(vlookup(H5947,IMPORTRANGE(""1vUGwO1n0QQGx9kKbO0_M5gmuhXZ6-LaxQxgrmJnzgP0"",""'TP# look up'!A:C""),3,0),"""")"),"")</f>
        <v/>
      </c>
      <c r="AH5947" s="49">
        <f>LEFT(J5947,2)</f>
        <v/>
      </c>
    </row>
    <row r="5948" ht="12.75" customHeight="1">
      <c r="H5948" s="43" t="n"/>
      <c r="AG5948" s="49">
        <f>IFERROR(__xludf.DUMMYFUNCTION("IFNA(vlookup(H5948,IMPORTRANGE(""1vUGwO1n0QQGx9kKbO0_M5gmuhXZ6-LaxQxgrmJnzgP0"",""'TP# look up'!A:C""),3,0),"""")"),"")</f>
        <v/>
      </c>
      <c r="AH5948" s="49">
        <f>LEFT(J5948,2)</f>
        <v/>
      </c>
    </row>
    <row r="5949" ht="12.75" customHeight="1">
      <c r="H5949" s="43" t="n"/>
      <c r="AG5949" s="49">
        <f>IFERROR(__xludf.DUMMYFUNCTION("IFNA(vlookup(H5949,IMPORTRANGE(""1vUGwO1n0QQGx9kKbO0_M5gmuhXZ6-LaxQxgrmJnzgP0"",""'TP# look up'!A:C""),3,0),"""")"),"")</f>
        <v/>
      </c>
      <c r="AH5949" s="49">
        <f>LEFT(J5949,2)</f>
        <v/>
      </c>
    </row>
    <row r="5950" ht="12.75" customHeight="1">
      <c r="H5950" s="43" t="n"/>
      <c r="AG5950" s="49">
        <f>IFERROR(__xludf.DUMMYFUNCTION("IFNA(vlookup(H5950,IMPORTRANGE(""1vUGwO1n0QQGx9kKbO0_M5gmuhXZ6-LaxQxgrmJnzgP0"",""'TP# look up'!A:C""),3,0),"""")"),"")</f>
        <v/>
      </c>
      <c r="AH5950" s="49">
        <f>LEFT(J5950,2)</f>
        <v/>
      </c>
    </row>
    <row r="5951" ht="12.75" customHeight="1">
      <c r="H5951" s="43" t="n"/>
      <c r="AG5951" s="49">
        <f>IFERROR(__xludf.DUMMYFUNCTION("IFNA(vlookup(H5951,IMPORTRANGE(""1vUGwO1n0QQGx9kKbO0_M5gmuhXZ6-LaxQxgrmJnzgP0"",""'TP# look up'!A:C""),3,0),"""")"),"")</f>
        <v/>
      </c>
      <c r="AH5951" s="49">
        <f>LEFT(J5951,2)</f>
        <v/>
      </c>
    </row>
    <row r="5952" ht="12.75" customHeight="1">
      <c r="H5952" s="43" t="n"/>
      <c r="AG5952" s="49">
        <f>IFERROR(__xludf.DUMMYFUNCTION("IFNA(vlookup(H5952,IMPORTRANGE(""1vUGwO1n0QQGx9kKbO0_M5gmuhXZ6-LaxQxgrmJnzgP0"",""'TP# look up'!A:C""),3,0),"""")"),"")</f>
        <v/>
      </c>
      <c r="AH5952" s="49">
        <f>LEFT(J5952,2)</f>
        <v/>
      </c>
    </row>
    <row r="5953" ht="12.75" customHeight="1">
      <c r="H5953" s="43" t="n"/>
      <c r="AG5953" s="49">
        <f>IFERROR(__xludf.DUMMYFUNCTION("IFNA(vlookup(H5953,IMPORTRANGE(""1vUGwO1n0QQGx9kKbO0_M5gmuhXZ6-LaxQxgrmJnzgP0"",""'TP# look up'!A:C""),3,0),"""")"),"")</f>
        <v/>
      </c>
      <c r="AH5953" s="49">
        <f>LEFT(J5953,2)</f>
        <v/>
      </c>
    </row>
    <row r="5954" ht="12.75" customHeight="1">
      <c r="H5954" s="43" t="n"/>
      <c r="AG5954" s="49">
        <f>IFERROR(__xludf.DUMMYFUNCTION("IFNA(vlookup(H5954,IMPORTRANGE(""1vUGwO1n0QQGx9kKbO0_M5gmuhXZ6-LaxQxgrmJnzgP0"",""'TP# look up'!A:C""),3,0),"""")"),"")</f>
        <v/>
      </c>
      <c r="AH5954" s="49">
        <f>LEFT(J5954,2)</f>
        <v/>
      </c>
    </row>
    <row r="5955" ht="12.75" customHeight="1">
      <c r="H5955" s="43" t="n"/>
      <c r="AG5955" s="49">
        <f>IFERROR(__xludf.DUMMYFUNCTION("IFNA(vlookup(H5955,IMPORTRANGE(""1vUGwO1n0QQGx9kKbO0_M5gmuhXZ6-LaxQxgrmJnzgP0"",""'TP# look up'!A:C""),3,0),"""")"),"")</f>
        <v/>
      </c>
      <c r="AH5955" s="49">
        <f>LEFT(J5955,2)</f>
        <v/>
      </c>
    </row>
    <row r="5956" ht="12.75" customHeight="1">
      <c r="H5956" s="43" t="n"/>
      <c r="AG5956" s="49">
        <f>IFERROR(__xludf.DUMMYFUNCTION("IFNA(vlookup(H5956,IMPORTRANGE(""1vUGwO1n0QQGx9kKbO0_M5gmuhXZ6-LaxQxgrmJnzgP0"",""'TP# look up'!A:C""),3,0),"""")"),"")</f>
        <v/>
      </c>
      <c r="AH5956" s="49">
        <f>LEFT(J5956,2)</f>
        <v/>
      </c>
    </row>
    <row r="5957" ht="12.75" customHeight="1">
      <c r="H5957" s="43" t="n"/>
      <c r="AG5957" s="49">
        <f>IFERROR(__xludf.DUMMYFUNCTION("IFNA(vlookup(H5957,IMPORTRANGE(""1vUGwO1n0QQGx9kKbO0_M5gmuhXZ6-LaxQxgrmJnzgP0"",""'TP# look up'!A:C""),3,0),"""")"),"")</f>
        <v/>
      </c>
      <c r="AH5957" s="49">
        <f>LEFT(J5957,2)</f>
        <v/>
      </c>
    </row>
    <row r="5958" ht="12.75" customHeight="1">
      <c r="H5958" s="43" t="n"/>
      <c r="AG5958" s="49">
        <f>IFERROR(__xludf.DUMMYFUNCTION("IFNA(vlookup(H5958,IMPORTRANGE(""1vUGwO1n0QQGx9kKbO0_M5gmuhXZ6-LaxQxgrmJnzgP0"",""'TP# look up'!A:C""),3,0),"""")"),"")</f>
        <v/>
      </c>
      <c r="AH5958" s="49">
        <f>LEFT(J5958,2)</f>
        <v/>
      </c>
    </row>
    <row r="5959" ht="12.75" customHeight="1">
      <c r="H5959" s="43" t="n"/>
      <c r="AG5959" s="49">
        <f>IFERROR(__xludf.DUMMYFUNCTION("IFNA(vlookup(H5959,IMPORTRANGE(""1vUGwO1n0QQGx9kKbO0_M5gmuhXZ6-LaxQxgrmJnzgP0"",""'TP# look up'!A:C""),3,0),"""")"),"")</f>
        <v/>
      </c>
      <c r="AH5959" s="49">
        <f>LEFT(J5959,2)</f>
        <v/>
      </c>
    </row>
    <row r="5960" ht="12.75" customHeight="1">
      <c r="H5960" s="43" t="n"/>
      <c r="AG5960" s="49">
        <f>IFERROR(__xludf.DUMMYFUNCTION("IFNA(vlookup(H5960,IMPORTRANGE(""1vUGwO1n0QQGx9kKbO0_M5gmuhXZ6-LaxQxgrmJnzgP0"",""'TP# look up'!A:C""),3,0),"""")"),"")</f>
        <v/>
      </c>
      <c r="AH5960" s="49">
        <f>LEFT(J5960,2)</f>
        <v/>
      </c>
    </row>
    <row r="5961" ht="12.75" customHeight="1">
      <c r="H5961" s="43" t="n"/>
      <c r="AG5961" s="49">
        <f>IFERROR(__xludf.DUMMYFUNCTION("IFNA(vlookup(H5961,IMPORTRANGE(""1vUGwO1n0QQGx9kKbO0_M5gmuhXZ6-LaxQxgrmJnzgP0"",""'TP# look up'!A:C""),3,0),"""")"),"")</f>
        <v/>
      </c>
      <c r="AH5961" s="49">
        <f>LEFT(J5961,2)</f>
        <v/>
      </c>
    </row>
    <row r="5962" ht="12.75" customHeight="1">
      <c r="H5962" s="43" t="n"/>
      <c r="AG5962" s="49">
        <f>IFERROR(__xludf.DUMMYFUNCTION("IFNA(vlookup(H5962,IMPORTRANGE(""1vUGwO1n0QQGx9kKbO0_M5gmuhXZ6-LaxQxgrmJnzgP0"",""'TP# look up'!A:C""),3,0),"""")"),"")</f>
        <v/>
      </c>
      <c r="AH5962" s="49">
        <f>LEFT(J5962,2)</f>
        <v/>
      </c>
    </row>
    <row r="5963" ht="12.75" customHeight="1">
      <c r="H5963" s="43" t="n"/>
      <c r="AG5963" s="49">
        <f>IFERROR(__xludf.DUMMYFUNCTION("IFNA(vlookup(H5963,IMPORTRANGE(""1vUGwO1n0QQGx9kKbO0_M5gmuhXZ6-LaxQxgrmJnzgP0"",""'TP# look up'!A:C""),3,0),"""")"),"")</f>
        <v/>
      </c>
      <c r="AH5963" s="49">
        <f>LEFT(J5963,2)</f>
        <v/>
      </c>
    </row>
    <row r="5964" ht="12.75" customHeight="1">
      <c r="H5964" s="43" t="n"/>
      <c r="AG5964" s="49">
        <f>IFERROR(__xludf.DUMMYFUNCTION("IFNA(vlookup(H5964,IMPORTRANGE(""1vUGwO1n0QQGx9kKbO0_M5gmuhXZ6-LaxQxgrmJnzgP0"",""'TP# look up'!A:C""),3,0),"""")"),"")</f>
        <v/>
      </c>
      <c r="AH5964" s="49">
        <f>LEFT(J5964,2)</f>
        <v/>
      </c>
    </row>
    <row r="5965" ht="12.75" customHeight="1">
      <c r="H5965" s="43" t="n"/>
      <c r="AG5965" s="49">
        <f>IFERROR(__xludf.DUMMYFUNCTION("IFNA(vlookup(H5965,IMPORTRANGE(""1vUGwO1n0QQGx9kKbO0_M5gmuhXZ6-LaxQxgrmJnzgP0"",""'TP# look up'!A:C""),3,0),"""")"),"")</f>
        <v/>
      </c>
      <c r="AH5965" s="49">
        <f>LEFT(J5965,2)</f>
        <v/>
      </c>
    </row>
    <row r="5966" ht="12.75" customHeight="1">
      <c r="H5966" s="43" t="n"/>
      <c r="AG5966" s="49">
        <f>IFERROR(__xludf.DUMMYFUNCTION("IFNA(vlookup(H5966,IMPORTRANGE(""1vUGwO1n0QQGx9kKbO0_M5gmuhXZ6-LaxQxgrmJnzgP0"",""'TP# look up'!A:C""),3,0),"""")"),"")</f>
        <v/>
      </c>
      <c r="AH5966" s="49">
        <f>LEFT(J5966,2)</f>
        <v/>
      </c>
    </row>
    <row r="5967" ht="12.75" customHeight="1">
      <c r="H5967" s="43" t="n"/>
      <c r="AG5967" s="49">
        <f>IFERROR(__xludf.DUMMYFUNCTION("IFNA(vlookup(H5967,IMPORTRANGE(""1vUGwO1n0QQGx9kKbO0_M5gmuhXZ6-LaxQxgrmJnzgP0"",""'TP# look up'!A:C""),3,0),"""")"),"")</f>
        <v/>
      </c>
      <c r="AH5967" s="49">
        <f>LEFT(J5967,2)</f>
        <v/>
      </c>
    </row>
    <row r="5968" ht="12.75" customHeight="1">
      <c r="H5968" s="43" t="n"/>
      <c r="AG5968" s="49">
        <f>IFERROR(__xludf.DUMMYFUNCTION("IFNA(vlookup(H5968,IMPORTRANGE(""1vUGwO1n0QQGx9kKbO0_M5gmuhXZ6-LaxQxgrmJnzgP0"",""'TP# look up'!A:C""),3,0),"""")"),"")</f>
        <v/>
      </c>
      <c r="AH5968" s="49">
        <f>LEFT(J5968,2)</f>
        <v/>
      </c>
    </row>
    <row r="5969" ht="12.75" customHeight="1">
      <c r="H5969" s="43" t="n"/>
      <c r="AG5969" s="49">
        <f>IFERROR(__xludf.DUMMYFUNCTION("IFNA(vlookup(H5969,IMPORTRANGE(""1vUGwO1n0QQGx9kKbO0_M5gmuhXZ6-LaxQxgrmJnzgP0"",""'TP# look up'!A:C""),3,0),"""")"),"")</f>
        <v/>
      </c>
      <c r="AH5969" s="49">
        <f>LEFT(J5969,2)</f>
        <v/>
      </c>
    </row>
    <row r="5970" ht="12.75" customHeight="1">
      <c r="H5970" s="43" t="n"/>
      <c r="AG5970" s="49">
        <f>IFERROR(__xludf.DUMMYFUNCTION("IFNA(vlookup(H5970,IMPORTRANGE(""1vUGwO1n0QQGx9kKbO0_M5gmuhXZ6-LaxQxgrmJnzgP0"",""'TP# look up'!A:C""),3,0),"""")"),"")</f>
        <v/>
      </c>
      <c r="AH5970" s="49">
        <f>LEFT(J5970,2)</f>
        <v/>
      </c>
    </row>
    <row r="5971" ht="12.75" customHeight="1">
      <c r="H5971" s="43" t="n"/>
      <c r="AG5971" s="49">
        <f>IFERROR(__xludf.DUMMYFUNCTION("IFNA(vlookup(H5971,IMPORTRANGE(""1vUGwO1n0QQGx9kKbO0_M5gmuhXZ6-LaxQxgrmJnzgP0"",""'TP# look up'!A:C""),3,0),"""")"),"")</f>
        <v/>
      </c>
      <c r="AH5971" s="49">
        <f>LEFT(J5971,2)</f>
        <v/>
      </c>
    </row>
    <row r="5972" ht="12.75" customHeight="1">
      <c r="H5972" s="43" t="n"/>
      <c r="AG5972" s="49">
        <f>IFERROR(__xludf.DUMMYFUNCTION("IFNA(vlookup(H5972,IMPORTRANGE(""1vUGwO1n0QQGx9kKbO0_M5gmuhXZ6-LaxQxgrmJnzgP0"",""'TP# look up'!A:C""),3,0),"""")"),"")</f>
        <v/>
      </c>
      <c r="AH5972" s="49">
        <f>LEFT(J5972,2)</f>
        <v/>
      </c>
    </row>
    <row r="5973" ht="12.75" customHeight="1">
      <c r="H5973" s="43" t="n"/>
      <c r="AG5973" s="49">
        <f>IFERROR(__xludf.DUMMYFUNCTION("IFNA(vlookup(H5973,IMPORTRANGE(""1vUGwO1n0QQGx9kKbO0_M5gmuhXZ6-LaxQxgrmJnzgP0"",""'TP# look up'!A:C""),3,0),"""")"),"")</f>
        <v/>
      </c>
      <c r="AH5973" s="49">
        <f>LEFT(J5973,2)</f>
        <v/>
      </c>
    </row>
    <row r="5974" ht="12.75" customHeight="1">
      <c r="H5974" s="43" t="n"/>
      <c r="AG5974" s="49">
        <f>IFERROR(__xludf.DUMMYFUNCTION("IFNA(vlookup(H5974,IMPORTRANGE(""1vUGwO1n0QQGx9kKbO0_M5gmuhXZ6-LaxQxgrmJnzgP0"",""'TP# look up'!A:C""),3,0),"""")"),"")</f>
        <v/>
      </c>
      <c r="AH5974" s="49">
        <f>LEFT(J5974,2)</f>
        <v/>
      </c>
    </row>
    <row r="5975" ht="12.75" customHeight="1">
      <c r="H5975" s="43" t="n"/>
      <c r="AG5975" s="49">
        <f>IFERROR(__xludf.DUMMYFUNCTION("IFNA(vlookup(H5975,IMPORTRANGE(""1vUGwO1n0QQGx9kKbO0_M5gmuhXZ6-LaxQxgrmJnzgP0"",""'TP# look up'!A:C""),3,0),"""")"),"")</f>
        <v/>
      </c>
      <c r="AH5975" s="49">
        <f>LEFT(J5975,2)</f>
        <v/>
      </c>
    </row>
    <row r="5976" ht="12.75" customHeight="1">
      <c r="H5976" s="43" t="n"/>
      <c r="AG5976" s="49">
        <f>IFERROR(__xludf.DUMMYFUNCTION("IFNA(vlookup(H5976,IMPORTRANGE(""1vUGwO1n0QQGx9kKbO0_M5gmuhXZ6-LaxQxgrmJnzgP0"",""'TP# look up'!A:C""),3,0),"""")"),"")</f>
        <v/>
      </c>
      <c r="AH5976" s="49">
        <f>LEFT(J5976,2)</f>
        <v/>
      </c>
    </row>
    <row r="5977" ht="12.75" customHeight="1">
      <c r="H5977" s="43" t="n"/>
      <c r="AG5977" s="49">
        <f>IFERROR(__xludf.DUMMYFUNCTION("IFNA(vlookup(H5977,IMPORTRANGE(""1vUGwO1n0QQGx9kKbO0_M5gmuhXZ6-LaxQxgrmJnzgP0"",""'TP# look up'!A:C""),3,0),"""")"),"")</f>
        <v/>
      </c>
      <c r="AH5977" s="49">
        <f>LEFT(J5977,2)</f>
        <v/>
      </c>
    </row>
    <row r="5978" ht="12.75" customHeight="1">
      <c r="H5978" s="43" t="n"/>
      <c r="AG5978" s="49">
        <f>IFERROR(__xludf.DUMMYFUNCTION("IFNA(vlookup(H5978,IMPORTRANGE(""1vUGwO1n0QQGx9kKbO0_M5gmuhXZ6-LaxQxgrmJnzgP0"",""'TP# look up'!A:C""),3,0),"""")"),"")</f>
        <v/>
      </c>
      <c r="AH5978" s="49">
        <f>LEFT(J5978,2)</f>
        <v/>
      </c>
    </row>
    <row r="5979" ht="12.75" customHeight="1">
      <c r="H5979" s="43" t="n"/>
      <c r="AG5979" s="49">
        <f>IFERROR(__xludf.DUMMYFUNCTION("IFNA(vlookup(H5979,IMPORTRANGE(""1vUGwO1n0QQGx9kKbO0_M5gmuhXZ6-LaxQxgrmJnzgP0"",""'TP# look up'!A:C""),3,0),"""")"),"")</f>
        <v/>
      </c>
      <c r="AH5979" s="49">
        <f>LEFT(J5979,2)</f>
        <v/>
      </c>
    </row>
    <row r="5980" ht="12.75" customHeight="1">
      <c r="H5980" s="43" t="n"/>
      <c r="AG5980" s="49">
        <f>IFERROR(__xludf.DUMMYFUNCTION("IFNA(vlookup(H5980,IMPORTRANGE(""1vUGwO1n0QQGx9kKbO0_M5gmuhXZ6-LaxQxgrmJnzgP0"",""'TP# look up'!A:C""),3,0),"""")"),"")</f>
        <v/>
      </c>
      <c r="AH5980" s="49">
        <f>LEFT(J5980,2)</f>
        <v/>
      </c>
    </row>
    <row r="5981" ht="12.75" customHeight="1">
      <c r="H5981" s="43" t="n"/>
      <c r="AG5981" s="49">
        <f>IFERROR(__xludf.DUMMYFUNCTION("IFNA(vlookup(H5981,IMPORTRANGE(""1vUGwO1n0QQGx9kKbO0_M5gmuhXZ6-LaxQxgrmJnzgP0"",""'TP# look up'!A:C""),3,0),"""")"),"")</f>
        <v/>
      </c>
      <c r="AH5981" s="49">
        <f>LEFT(J5981,2)</f>
        <v/>
      </c>
    </row>
    <row r="5982" ht="12.75" customHeight="1">
      <c r="H5982" s="43" t="n"/>
      <c r="AG5982" s="49">
        <f>IFERROR(__xludf.DUMMYFUNCTION("IFNA(vlookup(H5982,IMPORTRANGE(""1vUGwO1n0QQGx9kKbO0_M5gmuhXZ6-LaxQxgrmJnzgP0"",""'TP# look up'!A:C""),3,0),"""")"),"")</f>
        <v/>
      </c>
      <c r="AH5982" s="49">
        <f>LEFT(J5982,2)</f>
        <v/>
      </c>
    </row>
    <row r="5983" ht="12.75" customHeight="1">
      <c r="H5983" s="43" t="n"/>
      <c r="AG5983" s="49">
        <f>IFERROR(__xludf.DUMMYFUNCTION("IFNA(vlookup(H5983,IMPORTRANGE(""1vUGwO1n0QQGx9kKbO0_M5gmuhXZ6-LaxQxgrmJnzgP0"",""'TP# look up'!A:C""),3,0),"""")"),"")</f>
        <v/>
      </c>
      <c r="AH5983" s="49">
        <f>LEFT(J5983,2)</f>
        <v/>
      </c>
    </row>
    <row r="5984" ht="12.75" customHeight="1">
      <c r="H5984" s="43" t="n"/>
      <c r="AG5984" s="49">
        <f>IFERROR(__xludf.DUMMYFUNCTION("IFNA(vlookup(H5984,IMPORTRANGE(""1vUGwO1n0QQGx9kKbO0_M5gmuhXZ6-LaxQxgrmJnzgP0"",""'TP# look up'!A:C""),3,0),"""")"),"")</f>
        <v/>
      </c>
      <c r="AH5984" s="49">
        <f>LEFT(J5984,2)</f>
        <v/>
      </c>
    </row>
    <row r="5985" ht="12.75" customHeight="1">
      <c r="H5985" s="43" t="n"/>
      <c r="AG5985" s="49">
        <f>IFERROR(__xludf.DUMMYFUNCTION("IFNA(vlookup(H5985,IMPORTRANGE(""1vUGwO1n0QQGx9kKbO0_M5gmuhXZ6-LaxQxgrmJnzgP0"",""'TP# look up'!A:C""),3,0),"""")"),"")</f>
        <v/>
      </c>
      <c r="AH5985" s="49">
        <f>LEFT(J5985,2)</f>
        <v/>
      </c>
    </row>
    <row r="5986" ht="12.75" customHeight="1">
      <c r="H5986" s="43" t="n"/>
      <c r="AG5986" s="49">
        <f>IFERROR(__xludf.DUMMYFUNCTION("IFNA(vlookup(H5986,IMPORTRANGE(""1vUGwO1n0QQGx9kKbO0_M5gmuhXZ6-LaxQxgrmJnzgP0"",""'TP# look up'!A:C""),3,0),"""")"),"")</f>
        <v/>
      </c>
      <c r="AH5986" s="49">
        <f>LEFT(J5986,2)</f>
        <v/>
      </c>
    </row>
    <row r="5987" ht="12.75" customHeight="1">
      <c r="H5987" s="43" t="n"/>
      <c r="AG5987" s="49">
        <f>IFERROR(__xludf.DUMMYFUNCTION("IFNA(vlookup(H5987,IMPORTRANGE(""1vUGwO1n0QQGx9kKbO0_M5gmuhXZ6-LaxQxgrmJnzgP0"",""'TP# look up'!A:C""),3,0),"""")"),"")</f>
        <v/>
      </c>
      <c r="AH5987" s="49">
        <f>LEFT(J5987,2)</f>
        <v/>
      </c>
    </row>
    <row r="5988" ht="12.75" customHeight="1">
      <c r="H5988" s="43" t="n"/>
      <c r="AG5988" s="49">
        <f>IFERROR(__xludf.DUMMYFUNCTION("IFNA(vlookup(H5988,IMPORTRANGE(""1vUGwO1n0QQGx9kKbO0_M5gmuhXZ6-LaxQxgrmJnzgP0"",""'TP# look up'!A:C""),3,0),"""")"),"")</f>
        <v/>
      </c>
      <c r="AH5988" s="49">
        <f>LEFT(J5988,2)</f>
        <v/>
      </c>
    </row>
    <row r="5989" ht="12.75" customHeight="1">
      <c r="H5989" s="43" t="n"/>
      <c r="AG5989" s="49">
        <f>IFERROR(__xludf.DUMMYFUNCTION("IFNA(vlookup(H5989,IMPORTRANGE(""1vUGwO1n0QQGx9kKbO0_M5gmuhXZ6-LaxQxgrmJnzgP0"",""'TP# look up'!A:C""),3,0),"""")"),"")</f>
        <v/>
      </c>
      <c r="AH5989" s="49">
        <f>LEFT(J5989,2)</f>
        <v/>
      </c>
    </row>
    <row r="5990" ht="12.75" customHeight="1">
      <c r="H5990" s="43" t="n"/>
      <c r="AG5990" s="49">
        <f>IFERROR(__xludf.DUMMYFUNCTION("IFNA(vlookup(H5990,IMPORTRANGE(""1vUGwO1n0QQGx9kKbO0_M5gmuhXZ6-LaxQxgrmJnzgP0"",""'TP# look up'!A:C""),3,0),"""")"),"")</f>
        <v/>
      </c>
      <c r="AH5990" s="49">
        <f>LEFT(J5990,2)</f>
        <v/>
      </c>
    </row>
    <row r="5991" ht="12.75" customHeight="1">
      <c r="H5991" s="43" t="n"/>
      <c r="AG5991" s="49">
        <f>IFERROR(__xludf.DUMMYFUNCTION("IFNA(vlookup(H5991,IMPORTRANGE(""1vUGwO1n0QQGx9kKbO0_M5gmuhXZ6-LaxQxgrmJnzgP0"",""'TP# look up'!A:C""),3,0),"""")"),"")</f>
        <v/>
      </c>
      <c r="AH5991" s="49">
        <f>LEFT(J5991,2)</f>
        <v/>
      </c>
    </row>
    <row r="5992" ht="12.75" customHeight="1">
      <c r="H5992" s="43" t="n"/>
      <c r="AG5992" s="49">
        <f>IFERROR(__xludf.DUMMYFUNCTION("IFNA(vlookup(H5992,IMPORTRANGE(""1vUGwO1n0QQGx9kKbO0_M5gmuhXZ6-LaxQxgrmJnzgP0"",""'TP# look up'!A:C""),3,0),"""")"),"")</f>
        <v/>
      </c>
      <c r="AH5992" s="49">
        <f>LEFT(J5992,2)</f>
        <v/>
      </c>
    </row>
    <row r="5993" ht="12.75" customHeight="1">
      <c r="H5993" s="43" t="n"/>
      <c r="AG5993" s="49">
        <f>IFERROR(__xludf.DUMMYFUNCTION("IFNA(vlookup(H5993,IMPORTRANGE(""1vUGwO1n0QQGx9kKbO0_M5gmuhXZ6-LaxQxgrmJnzgP0"",""'TP# look up'!A:C""),3,0),"""")"),"")</f>
        <v/>
      </c>
      <c r="AH5993" s="49">
        <f>LEFT(J5993,2)</f>
        <v/>
      </c>
    </row>
    <row r="5994" ht="12.75" customHeight="1">
      <c r="H5994" s="43" t="n"/>
      <c r="AG5994" s="49">
        <f>IFERROR(__xludf.DUMMYFUNCTION("IFNA(vlookup(H5994,IMPORTRANGE(""1vUGwO1n0QQGx9kKbO0_M5gmuhXZ6-LaxQxgrmJnzgP0"",""'TP# look up'!A:C""),3,0),"""")"),"")</f>
        <v/>
      </c>
      <c r="AH5994" s="49">
        <f>LEFT(J5994,2)</f>
        <v/>
      </c>
    </row>
    <row r="5995" ht="12.75" customHeight="1">
      <c r="H5995" s="43" t="n"/>
      <c r="AG5995" s="49">
        <f>IFERROR(__xludf.DUMMYFUNCTION("IFNA(vlookup(H5995,IMPORTRANGE(""1vUGwO1n0QQGx9kKbO0_M5gmuhXZ6-LaxQxgrmJnzgP0"",""'TP# look up'!A:C""),3,0),"""")"),"")</f>
        <v/>
      </c>
      <c r="AH5995" s="49">
        <f>LEFT(J5995,2)</f>
        <v/>
      </c>
    </row>
    <row r="5996" ht="12.75" customHeight="1">
      <c r="H5996" s="43" t="n"/>
      <c r="AG5996" s="49">
        <f>IFERROR(__xludf.DUMMYFUNCTION("IFNA(vlookup(H5996,IMPORTRANGE(""1vUGwO1n0QQGx9kKbO0_M5gmuhXZ6-LaxQxgrmJnzgP0"",""'TP# look up'!A:C""),3,0),"""")"),"")</f>
        <v/>
      </c>
      <c r="AH5996" s="49">
        <f>LEFT(J5996,2)</f>
        <v/>
      </c>
    </row>
    <row r="5997" ht="12.75" customHeight="1">
      <c r="H5997" s="43" t="n"/>
      <c r="AG5997" s="49">
        <f>IFERROR(__xludf.DUMMYFUNCTION("IFNA(vlookup(H5997,IMPORTRANGE(""1vUGwO1n0QQGx9kKbO0_M5gmuhXZ6-LaxQxgrmJnzgP0"",""'TP# look up'!A:C""),3,0),"""")"),"")</f>
        <v/>
      </c>
      <c r="AH5997" s="49">
        <f>LEFT(J5997,2)</f>
        <v/>
      </c>
    </row>
    <row r="5998" ht="12.75" customHeight="1">
      <c r="H5998" s="43" t="n"/>
      <c r="AG5998" s="49">
        <f>IFERROR(__xludf.DUMMYFUNCTION("IFNA(vlookup(H5998,IMPORTRANGE(""1vUGwO1n0QQGx9kKbO0_M5gmuhXZ6-LaxQxgrmJnzgP0"",""'TP# look up'!A:C""),3,0),"""")"),"")</f>
        <v/>
      </c>
      <c r="AH5998" s="49">
        <f>LEFT(J5998,2)</f>
        <v/>
      </c>
    </row>
    <row r="5999" ht="12.75" customHeight="1">
      <c r="H5999" s="43" t="n"/>
      <c r="AG5999" s="49">
        <f>IFERROR(__xludf.DUMMYFUNCTION("IFNA(vlookup(H5999,IMPORTRANGE(""1vUGwO1n0QQGx9kKbO0_M5gmuhXZ6-LaxQxgrmJnzgP0"",""'TP# look up'!A:C""),3,0),"""")"),"")</f>
        <v/>
      </c>
      <c r="AH5999" s="49">
        <f>LEFT(J5999,2)</f>
        <v/>
      </c>
    </row>
    <row r="6000" ht="12.75" customHeight="1">
      <c r="H6000" s="43" t="n"/>
      <c r="AG6000" s="49">
        <f>IFERROR(__xludf.DUMMYFUNCTION("IFNA(vlookup(H6000,IMPORTRANGE(""1vUGwO1n0QQGx9kKbO0_M5gmuhXZ6-LaxQxgrmJnzgP0"",""'TP# look up'!A:C""),3,0),"""")"),"")</f>
        <v/>
      </c>
      <c r="AH6000" s="49">
        <f>LEFT(J6000,2)</f>
        <v/>
      </c>
    </row>
    <row r="6001" ht="12.75" customHeight="1">
      <c r="H6001" s="43" t="n"/>
      <c r="AG6001" s="49">
        <f>IFERROR(__xludf.DUMMYFUNCTION("IFNA(vlookup(H6001,IMPORTRANGE(""1vUGwO1n0QQGx9kKbO0_M5gmuhXZ6-LaxQxgrmJnzgP0"",""'TP# look up'!A:C""),3,0),"""")"),"")</f>
        <v/>
      </c>
      <c r="AH6001" s="49">
        <f>LEFT(J6001,2)</f>
        <v/>
      </c>
    </row>
    <row r="6002" ht="12.75" customHeight="1">
      <c r="H6002" s="43" t="n"/>
      <c r="AG6002" s="49">
        <f>IFERROR(__xludf.DUMMYFUNCTION("IFNA(vlookup(H6002,IMPORTRANGE(""1vUGwO1n0QQGx9kKbO0_M5gmuhXZ6-LaxQxgrmJnzgP0"",""'TP# look up'!A:C""),3,0),"""")"),"")</f>
        <v/>
      </c>
      <c r="AH6002" s="49">
        <f>LEFT(J6002,2)</f>
        <v/>
      </c>
    </row>
    <row r="6003" ht="12.75" customHeight="1">
      <c r="H6003" s="43" t="n"/>
      <c r="AG6003" s="49">
        <f>IFERROR(__xludf.DUMMYFUNCTION("IFNA(vlookup(H6003,IMPORTRANGE(""1vUGwO1n0QQGx9kKbO0_M5gmuhXZ6-LaxQxgrmJnzgP0"",""'TP# look up'!A:C""),3,0),"""")"),"")</f>
        <v/>
      </c>
      <c r="AH6003" s="49">
        <f>LEFT(J6003,2)</f>
        <v/>
      </c>
    </row>
    <row r="6004" ht="12.75" customHeight="1">
      <c r="H6004" s="43" t="n"/>
      <c r="AG6004" s="49">
        <f>IFERROR(__xludf.DUMMYFUNCTION("IFNA(vlookup(H6004,IMPORTRANGE(""1vUGwO1n0QQGx9kKbO0_M5gmuhXZ6-LaxQxgrmJnzgP0"",""'TP# look up'!A:C""),3,0),"""")"),"")</f>
        <v/>
      </c>
      <c r="AH6004" s="49">
        <f>LEFT(J6004,2)</f>
        <v/>
      </c>
    </row>
    <row r="6005" ht="12.75" customHeight="1">
      <c r="H6005" s="43" t="n"/>
      <c r="AG6005" s="49">
        <f>IFERROR(__xludf.DUMMYFUNCTION("IFNA(vlookup(H6005,IMPORTRANGE(""1vUGwO1n0QQGx9kKbO0_M5gmuhXZ6-LaxQxgrmJnzgP0"",""'TP# look up'!A:C""),3,0),"""")"),"")</f>
        <v/>
      </c>
      <c r="AH6005" s="49">
        <f>LEFT(J6005,2)</f>
        <v/>
      </c>
    </row>
    <row r="6006" ht="12.75" customHeight="1">
      <c r="H6006" s="43" t="n"/>
      <c r="AG6006" s="49">
        <f>IFERROR(__xludf.DUMMYFUNCTION("IFNA(vlookup(H6006,IMPORTRANGE(""1vUGwO1n0QQGx9kKbO0_M5gmuhXZ6-LaxQxgrmJnzgP0"",""'TP# look up'!A:C""),3,0),"""")"),"")</f>
        <v/>
      </c>
      <c r="AH6006" s="49">
        <f>LEFT(J6006,2)</f>
        <v/>
      </c>
    </row>
    <row r="6007" ht="12.75" customHeight="1">
      <c r="H6007" s="43" t="n"/>
      <c r="AG6007" s="49">
        <f>IFERROR(__xludf.DUMMYFUNCTION("IFNA(vlookup(H6007,IMPORTRANGE(""1vUGwO1n0QQGx9kKbO0_M5gmuhXZ6-LaxQxgrmJnzgP0"",""'TP# look up'!A:C""),3,0),"""")"),"")</f>
        <v/>
      </c>
      <c r="AH6007" s="49">
        <f>LEFT(J6007,2)</f>
        <v/>
      </c>
    </row>
    <row r="6008" ht="12.75" customHeight="1">
      <c r="H6008" s="43" t="n"/>
      <c r="AG6008" s="49">
        <f>IFERROR(__xludf.DUMMYFUNCTION("IFNA(vlookup(H6008,IMPORTRANGE(""1vUGwO1n0QQGx9kKbO0_M5gmuhXZ6-LaxQxgrmJnzgP0"",""'TP# look up'!A:C""),3,0),"""")"),"")</f>
        <v/>
      </c>
      <c r="AH6008" s="49">
        <f>LEFT(J6008,2)</f>
        <v/>
      </c>
    </row>
    <row r="6009" ht="12.75" customHeight="1">
      <c r="H6009" s="43" t="n"/>
      <c r="AG6009" s="49">
        <f>IFERROR(__xludf.DUMMYFUNCTION("IFNA(vlookup(H6009,IMPORTRANGE(""1vUGwO1n0QQGx9kKbO0_M5gmuhXZ6-LaxQxgrmJnzgP0"",""'TP# look up'!A:C""),3,0),"""")"),"")</f>
        <v/>
      </c>
      <c r="AH6009" s="49">
        <f>LEFT(J6009,2)</f>
        <v/>
      </c>
    </row>
    <row r="6010" ht="12.75" customHeight="1">
      <c r="H6010" s="43" t="n"/>
      <c r="AG6010" s="49">
        <f>IFERROR(__xludf.DUMMYFUNCTION("IFNA(vlookup(H6010,IMPORTRANGE(""1vUGwO1n0QQGx9kKbO0_M5gmuhXZ6-LaxQxgrmJnzgP0"",""'TP# look up'!A:C""),3,0),"""")"),"")</f>
        <v/>
      </c>
      <c r="AH6010" s="49">
        <f>LEFT(J6010,2)</f>
        <v/>
      </c>
    </row>
    <row r="6011" ht="12.75" customHeight="1">
      <c r="H6011" s="43" t="n"/>
      <c r="AG6011" s="49">
        <f>IFERROR(__xludf.DUMMYFUNCTION("IFNA(vlookup(H6011,IMPORTRANGE(""1vUGwO1n0QQGx9kKbO0_M5gmuhXZ6-LaxQxgrmJnzgP0"",""'TP# look up'!A:C""),3,0),"""")"),"")</f>
        <v/>
      </c>
      <c r="AH6011" s="49">
        <f>LEFT(J6011,2)</f>
        <v/>
      </c>
    </row>
    <row r="6012" ht="12.75" customHeight="1">
      <c r="H6012" s="43" t="n"/>
      <c r="AG6012" s="49">
        <f>IFERROR(__xludf.DUMMYFUNCTION("IFNA(vlookup(H6012,IMPORTRANGE(""1vUGwO1n0QQGx9kKbO0_M5gmuhXZ6-LaxQxgrmJnzgP0"",""'TP# look up'!A:C""),3,0),"""")"),"")</f>
        <v/>
      </c>
      <c r="AH6012" s="49">
        <f>LEFT(J6012,2)</f>
        <v/>
      </c>
    </row>
    <row r="6013" ht="12.75" customHeight="1">
      <c r="H6013" s="43" t="n"/>
      <c r="AG6013" s="49">
        <f>IFERROR(__xludf.DUMMYFUNCTION("IFNA(vlookup(H6013,IMPORTRANGE(""1vUGwO1n0QQGx9kKbO0_M5gmuhXZ6-LaxQxgrmJnzgP0"",""'TP# look up'!A:C""),3,0),"""")"),"")</f>
        <v/>
      </c>
      <c r="AH6013" s="49">
        <f>LEFT(J6013,2)</f>
        <v/>
      </c>
    </row>
    <row r="6014" ht="12.75" customHeight="1">
      <c r="H6014" s="43" t="n"/>
      <c r="AG6014" s="49">
        <f>IFERROR(__xludf.DUMMYFUNCTION("IFNA(vlookup(H6014,IMPORTRANGE(""1vUGwO1n0QQGx9kKbO0_M5gmuhXZ6-LaxQxgrmJnzgP0"",""'TP# look up'!A:C""),3,0),"""")"),"")</f>
        <v/>
      </c>
      <c r="AH6014" s="49">
        <f>LEFT(J6014,2)</f>
        <v/>
      </c>
    </row>
    <row r="6015" ht="12.75" customHeight="1">
      <c r="H6015" s="43" t="n"/>
      <c r="AG6015" s="49">
        <f>IFERROR(__xludf.DUMMYFUNCTION("IFNA(vlookup(H6015,IMPORTRANGE(""1vUGwO1n0QQGx9kKbO0_M5gmuhXZ6-LaxQxgrmJnzgP0"",""'TP# look up'!A:C""),3,0),"""")"),"")</f>
        <v/>
      </c>
      <c r="AH6015" s="49">
        <f>LEFT(J6015,2)</f>
        <v/>
      </c>
    </row>
    <row r="6016" ht="12.75" customHeight="1">
      <c r="H6016" s="43" t="n"/>
      <c r="AG6016" s="49">
        <f>IFERROR(__xludf.DUMMYFUNCTION("IFNA(vlookup(H6016,IMPORTRANGE(""1vUGwO1n0QQGx9kKbO0_M5gmuhXZ6-LaxQxgrmJnzgP0"",""'TP# look up'!A:C""),3,0),"""")"),"")</f>
        <v/>
      </c>
      <c r="AH6016" s="49">
        <f>LEFT(J6016,2)</f>
        <v/>
      </c>
    </row>
    <row r="6017" ht="12.75" customHeight="1">
      <c r="H6017" s="43" t="n"/>
      <c r="AG6017" s="49">
        <f>IFERROR(__xludf.DUMMYFUNCTION("IFNA(vlookup(H6017,IMPORTRANGE(""1vUGwO1n0QQGx9kKbO0_M5gmuhXZ6-LaxQxgrmJnzgP0"",""'TP# look up'!A:C""),3,0),"""")"),"")</f>
        <v/>
      </c>
      <c r="AH6017" s="49">
        <f>LEFT(J6017,2)</f>
        <v/>
      </c>
    </row>
    <row r="6018" ht="12.75" customHeight="1">
      <c r="H6018" s="43" t="n"/>
      <c r="AG6018" s="49">
        <f>IFERROR(__xludf.DUMMYFUNCTION("IFNA(vlookup(H6018,IMPORTRANGE(""1vUGwO1n0QQGx9kKbO0_M5gmuhXZ6-LaxQxgrmJnzgP0"",""'TP# look up'!A:C""),3,0),"""")"),"")</f>
        <v/>
      </c>
      <c r="AH6018" s="49">
        <f>LEFT(J6018,2)</f>
        <v/>
      </c>
    </row>
    <row r="6019" ht="12.75" customHeight="1">
      <c r="H6019" s="43" t="n"/>
      <c r="AG6019" s="49">
        <f>IFERROR(__xludf.DUMMYFUNCTION("IFNA(vlookup(H6019,IMPORTRANGE(""1vUGwO1n0QQGx9kKbO0_M5gmuhXZ6-LaxQxgrmJnzgP0"",""'TP# look up'!A:C""),3,0),"""")"),"")</f>
        <v/>
      </c>
      <c r="AH6019" s="49">
        <f>LEFT(J6019,2)</f>
        <v/>
      </c>
    </row>
    <row r="6020" ht="12.75" customHeight="1">
      <c r="H6020" s="43" t="n"/>
      <c r="AG6020" s="49">
        <f>IFERROR(__xludf.DUMMYFUNCTION("IFNA(vlookup(H6020,IMPORTRANGE(""1vUGwO1n0QQGx9kKbO0_M5gmuhXZ6-LaxQxgrmJnzgP0"",""'TP# look up'!A:C""),3,0),"""")"),"")</f>
        <v/>
      </c>
      <c r="AH6020" s="49">
        <f>LEFT(J6020,2)</f>
        <v/>
      </c>
    </row>
    <row r="6021" ht="12.75" customHeight="1">
      <c r="H6021" s="43" t="n"/>
      <c r="AG6021" s="49">
        <f>IFERROR(__xludf.DUMMYFUNCTION("IFNA(vlookup(H6021,IMPORTRANGE(""1vUGwO1n0QQGx9kKbO0_M5gmuhXZ6-LaxQxgrmJnzgP0"",""'TP# look up'!A:C""),3,0),"""")"),"")</f>
        <v/>
      </c>
      <c r="AH6021" s="49">
        <f>LEFT(J6021,2)</f>
        <v/>
      </c>
    </row>
    <row r="6022" ht="12.75" customHeight="1">
      <c r="H6022" s="43" t="n"/>
      <c r="AG6022" s="49">
        <f>IFERROR(__xludf.DUMMYFUNCTION("IFNA(vlookup(H6022,IMPORTRANGE(""1vUGwO1n0QQGx9kKbO0_M5gmuhXZ6-LaxQxgrmJnzgP0"",""'TP# look up'!A:C""),3,0),"""")"),"")</f>
        <v/>
      </c>
      <c r="AH6022" s="49">
        <f>LEFT(J6022,2)</f>
        <v/>
      </c>
    </row>
    <row r="6023" ht="12.75" customHeight="1">
      <c r="H6023" s="43" t="n"/>
      <c r="AG6023" s="49">
        <f>IFERROR(__xludf.DUMMYFUNCTION("IFNA(vlookup(H6023,IMPORTRANGE(""1vUGwO1n0QQGx9kKbO0_M5gmuhXZ6-LaxQxgrmJnzgP0"",""'TP# look up'!A:C""),3,0),"""")"),"")</f>
        <v/>
      </c>
      <c r="AH6023" s="49">
        <f>LEFT(J6023,2)</f>
        <v/>
      </c>
    </row>
    <row r="6024" ht="12.75" customHeight="1">
      <c r="H6024" s="43" t="n"/>
      <c r="AG6024" s="49">
        <f>IFERROR(__xludf.DUMMYFUNCTION("IFNA(vlookup(H6024,IMPORTRANGE(""1vUGwO1n0QQGx9kKbO0_M5gmuhXZ6-LaxQxgrmJnzgP0"",""'TP# look up'!A:C""),3,0),"""")"),"")</f>
        <v/>
      </c>
      <c r="AH6024" s="49">
        <f>LEFT(J6024,2)</f>
        <v/>
      </c>
    </row>
    <row r="6025" ht="12.75" customHeight="1">
      <c r="H6025" s="43" t="n"/>
      <c r="AG6025" s="49">
        <f>IFERROR(__xludf.DUMMYFUNCTION("IFNA(vlookup(H6025,IMPORTRANGE(""1vUGwO1n0QQGx9kKbO0_M5gmuhXZ6-LaxQxgrmJnzgP0"",""'TP# look up'!A:C""),3,0),"""")"),"")</f>
        <v/>
      </c>
      <c r="AH6025" s="49">
        <f>LEFT(J6025,2)</f>
        <v/>
      </c>
    </row>
    <row r="6026" ht="12.75" customHeight="1">
      <c r="H6026" s="43" t="n"/>
      <c r="AG6026" s="49">
        <f>IFERROR(__xludf.DUMMYFUNCTION("IFNA(vlookup(H6026,IMPORTRANGE(""1vUGwO1n0QQGx9kKbO0_M5gmuhXZ6-LaxQxgrmJnzgP0"",""'TP# look up'!A:C""),3,0),"""")"),"")</f>
        <v/>
      </c>
      <c r="AH6026" s="49">
        <f>LEFT(J6026,2)</f>
        <v/>
      </c>
    </row>
    <row r="6027" ht="12.75" customHeight="1">
      <c r="H6027" s="43" t="n"/>
      <c r="AG6027" s="49">
        <f>IFERROR(__xludf.DUMMYFUNCTION("IFNA(vlookup(H6027,IMPORTRANGE(""1vUGwO1n0QQGx9kKbO0_M5gmuhXZ6-LaxQxgrmJnzgP0"",""'TP# look up'!A:C""),3,0),"""")"),"")</f>
        <v/>
      </c>
      <c r="AH6027" s="49">
        <f>LEFT(J6027,2)</f>
        <v/>
      </c>
    </row>
    <row r="6028" ht="12.75" customHeight="1">
      <c r="H6028" s="43" t="n"/>
      <c r="AG6028" s="49">
        <f>IFERROR(__xludf.DUMMYFUNCTION("IFNA(vlookup(H6028,IMPORTRANGE(""1vUGwO1n0QQGx9kKbO0_M5gmuhXZ6-LaxQxgrmJnzgP0"",""'TP# look up'!A:C""),3,0),"""")"),"")</f>
        <v/>
      </c>
      <c r="AH6028" s="49">
        <f>LEFT(J6028,2)</f>
        <v/>
      </c>
    </row>
    <row r="6029" ht="12.75" customHeight="1">
      <c r="H6029" s="43" t="n"/>
      <c r="AG6029" s="49">
        <f>IFERROR(__xludf.DUMMYFUNCTION("IFNA(vlookup(H6029,IMPORTRANGE(""1vUGwO1n0QQGx9kKbO0_M5gmuhXZ6-LaxQxgrmJnzgP0"",""'TP# look up'!A:C""),3,0),"""")"),"")</f>
        <v/>
      </c>
      <c r="AH6029" s="49">
        <f>LEFT(J6029,2)</f>
        <v/>
      </c>
    </row>
    <row r="6030" ht="12.75" customHeight="1">
      <c r="H6030" s="43" t="n"/>
      <c r="AG6030" s="49">
        <f>IFERROR(__xludf.DUMMYFUNCTION("IFNA(vlookup(H6030,IMPORTRANGE(""1vUGwO1n0QQGx9kKbO0_M5gmuhXZ6-LaxQxgrmJnzgP0"",""'TP# look up'!A:C""),3,0),"""")"),"")</f>
        <v/>
      </c>
      <c r="AH6030" s="49">
        <f>LEFT(J6030,2)</f>
        <v/>
      </c>
    </row>
    <row r="6031" ht="12.75" customHeight="1">
      <c r="H6031" s="43" t="n"/>
      <c r="AG6031" s="49">
        <f>IFERROR(__xludf.DUMMYFUNCTION("IFNA(vlookup(H6031,IMPORTRANGE(""1vUGwO1n0QQGx9kKbO0_M5gmuhXZ6-LaxQxgrmJnzgP0"",""'TP# look up'!A:C""),3,0),"""")"),"")</f>
        <v/>
      </c>
      <c r="AH6031" s="49">
        <f>LEFT(J6031,2)</f>
        <v/>
      </c>
    </row>
    <row r="6032" ht="12.75" customHeight="1">
      <c r="H6032" s="43" t="n"/>
      <c r="AG6032" s="49">
        <f>IFERROR(__xludf.DUMMYFUNCTION("IFNA(vlookup(H6032,IMPORTRANGE(""1vUGwO1n0QQGx9kKbO0_M5gmuhXZ6-LaxQxgrmJnzgP0"",""'TP# look up'!A:C""),3,0),"""")"),"")</f>
        <v/>
      </c>
      <c r="AH6032" s="49">
        <f>LEFT(J6032,2)</f>
        <v/>
      </c>
    </row>
    <row r="6033" ht="12.75" customHeight="1">
      <c r="H6033" s="43" t="n"/>
      <c r="AG6033" s="49">
        <f>IFERROR(__xludf.DUMMYFUNCTION("IFNA(vlookup(H6033,IMPORTRANGE(""1vUGwO1n0QQGx9kKbO0_M5gmuhXZ6-LaxQxgrmJnzgP0"",""'TP# look up'!A:C""),3,0),"""")"),"")</f>
        <v/>
      </c>
      <c r="AH6033" s="49">
        <f>LEFT(J6033,2)</f>
        <v/>
      </c>
    </row>
    <row r="6034" ht="12.75" customHeight="1">
      <c r="H6034" s="43" t="n"/>
      <c r="AG6034" s="49">
        <f>IFERROR(__xludf.DUMMYFUNCTION("IFNA(vlookup(H6034,IMPORTRANGE(""1vUGwO1n0QQGx9kKbO0_M5gmuhXZ6-LaxQxgrmJnzgP0"",""'TP# look up'!A:C""),3,0),"""")"),"")</f>
        <v/>
      </c>
      <c r="AH6034" s="49">
        <f>LEFT(J6034,2)</f>
        <v/>
      </c>
    </row>
    <row r="6035" ht="12.75" customHeight="1">
      <c r="H6035" s="43" t="n"/>
      <c r="AG6035" s="49">
        <f>IFERROR(__xludf.DUMMYFUNCTION("IFNA(vlookup(H6035,IMPORTRANGE(""1vUGwO1n0QQGx9kKbO0_M5gmuhXZ6-LaxQxgrmJnzgP0"",""'TP# look up'!A:C""),3,0),"""")"),"")</f>
        <v/>
      </c>
      <c r="AH6035" s="49">
        <f>LEFT(J6035,2)</f>
        <v/>
      </c>
    </row>
    <row r="6036" ht="12.75" customHeight="1">
      <c r="H6036" s="43" t="n"/>
      <c r="AG6036" s="49">
        <f>IFERROR(__xludf.DUMMYFUNCTION("IFNA(vlookup(H6036,IMPORTRANGE(""1vUGwO1n0QQGx9kKbO0_M5gmuhXZ6-LaxQxgrmJnzgP0"",""'TP# look up'!A:C""),3,0),"""")"),"")</f>
        <v/>
      </c>
      <c r="AH6036" s="49">
        <f>LEFT(J6036,2)</f>
        <v/>
      </c>
    </row>
    <row r="6037" ht="12.75" customHeight="1">
      <c r="H6037" s="43" t="n"/>
      <c r="AG6037" s="49">
        <f>IFERROR(__xludf.DUMMYFUNCTION("IFNA(vlookup(H6037,IMPORTRANGE(""1vUGwO1n0QQGx9kKbO0_M5gmuhXZ6-LaxQxgrmJnzgP0"",""'TP# look up'!A:C""),3,0),"""")"),"")</f>
        <v/>
      </c>
      <c r="AH6037" s="49">
        <f>LEFT(J6037,2)</f>
        <v/>
      </c>
    </row>
    <row r="6038" ht="12.75" customHeight="1">
      <c r="H6038" s="43" t="n"/>
      <c r="AG6038" s="49">
        <f>IFERROR(__xludf.DUMMYFUNCTION("IFNA(vlookup(H6038,IMPORTRANGE(""1vUGwO1n0QQGx9kKbO0_M5gmuhXZ6-LaxQxgrmJnzgP0"",""'TP# look up'!A:C""),3,0),"""")"),"")</f>
        <v/>
      </c>
      <c r="AH6038" s="49">
        <f>LEFT(J6038,2)</f>
        <v/>
      </c>
    </row>
    <row r="6039" ht="12.75" customHeight="1">
      <c r="H6039" s="43" t="n"/>
      <c r="AG6039" s="49">
        <f>IFERROR(__xludf.DUMMYFUNCTION("IFNA(vlookup(H6039,IMPORTRANGE(""1vUGwO1n0QQGx9kKbO0_M5gmuhXZ6-LaxQxgrmJnzgP0"",""'TP# look up'!A:C""),3,0),"""")"),"")</f>
        <v/>
      </c>
      <c r="AH6039" s="49">
        <f>LEFT(J6039,2)</f>
        <v/>
      </c>
    </row>
    <row r="6040" ht="12.75" customHeight="1">
      <c r="H6040" s="43" t="n"/>
      <c r="AG6040" s="49">
        <f>IFERROR(__xludf.DUMMYFUNCTION("IFNA(vlookup(H6040,IMPORTRANGE(""1vUGwO1n0QQGx9kKbO0_M5gmuhXZ6-LaxQxgrmJnzgP0"",""'TP# look up'!A:C""),3,0),"""")"),"")</f>
        <v/>
      </c>
      <c r="AH6040" s="49">
        <f>LEFT(J6040,2)</f>
        <v/>
      </c>
    </row>
    <row r="6041" ht="12.75" customHeight="1">
      <c r="H6041" s="43" t="n"/>
      <c r="AG6041" s="49">
        <f>IFERROR(__xludf.DUMMYFUNCTION("IFNA(vlookup(H6041,IMPORTRANGE(""1vUGwO1n0QQGx9kKbO0_M5gmuhXZ6-LaxQxgrmJnzgP0"",""'TP# look up'!A:C""),3,0),"""")"),"")</f>
        <v/>
      </c>
      <c r="AH6041" s="49">
        <f>LEFT(J6041,2)</f>
        <v/>
      </c>
    </row>
    <row r="6042" ht="12.75" customHeight="1">
      <c r="H6042" s="43" t="n"/>
      <c r="AG6042" s="49">
        <f>IFERROR(__xludf.DUMMYFUNCTION("IFNA(vlookup(H6042,IMPORTRANGE(""1vUGwO1n0QQGx9kKbO0_M5gmuhXZ6-LaxQxgrmJnzgP0"",""'TP# look up'!A:C""),3,0),"""")"),"")</f>
        <v/>
      </c>
      <c r="AH6042" s="49">
        <f>LEFT(J6042,2)</f>
        <v/>
      </c>
    </row>
    <row r="6043" ht="12.75" customHeight="1">
      <c r="H6043" s="43" t="n"/>
      <c r="AG6043" s="49">
        <f>IFERROR(__xludf.DUMMYFUNCTION("IFNA(vlookup(H6043,IMPORTRANGE(""1vUGwO1n0QQGx9kKbO0_M5gmuhXZ6-LaxQxgrmJnzgP0"",""'TP# look up'!A:C""),3,0),"""")"),"")</f>
        <v/>
      </c>
      <c r="AH6043" s="49">
        <f>LEFT(J6043,2)</f>
        <v/>
      </c>
    </row>
    <row r="6044" ht="12.75" customHeight="1">
      <c r="H6044" s="43" t="n"/>
      <c r="AG6044" s="49">
        <f>IFERROR(__xludf.DUMMYFUNCTION("IFNA(vlookup(H6044,IMPORTRANGE(""1vUGwO1n0QQGx9kKbO0_M5gmuhXZ6-LaxQxgrmJnzgP0"",""'TP# look up'!A:C""),3,0),"""")"),"")</f>
        <v/>
      </c>
      <c r="AH6044" s="49">
        <f>LEFT(J6044,2)</f>
        <v/>
      </c>
    </row>
    <row r="6045" ht="12.75" customHeight="1">
      <c r="H6045" s="43" t="n"/>
      <c r="AG6045" s="49">
        <f>IFERROR(__xludf.DUMMYFUNCTION("IFNA(vlookup(H6045,IMPORTRANGE(""1vUGwO1n0QQGx9kKbO0_M5gmuhXZ6-LaxQxgrmJnzgP0"",""'TP# look up'!A:C""),3,0),"""")"),"")</f>
        <v/>
      </c>
      <c r="AH6045" s="49">
        <f>LEFT(J6045,2)</f>
        <v/>
      </c>
    </row>
    <row r="6046" ht="12.75" customHeight="1">
      <c r="H6046" s="43" t="n"/>
      <c r="AG6046" s="49">
        <f>IFERROR(__xludf.DUMMYFUNCTION("IFNA(vlookup(H6046,IMPORTRANGE(""1vUGwO1n0QQGx9kKbO0_M5gmuhXZ6-LaxQxgrmJnzgP0"",""'TP# look up'!A:C""),3,0),"""")"),"")</f>
        <v/>
      </c>
      <c r="AH6046" s="49">
        <f>LEFT(J6046,2)</f>
        <v/>
      </c>
    </row>
    <row r="6047" ht="12.75" customHeight="1">
      <c r="H6047" s="43" t="n"/>
      <c r="AG6047" s="49">
        <f>IFERROR(__xludf.DUMMYFUNCTION("IFNA(vlookup(H6047,IMPORTRANGE(""1vUGwO1n0QQGx9kKbO0_M5gmuhXZ6-LaxQxgrmJnzgP0"",""'TP# look up'!A:C""),3,0),"""")"),"")</f>
        <v/>
      </c>
      <c r="AH6047" s="49">
        <f>LEFT(J6047,2)</f>
        <v/>
      </c>
    </row>
    <row r="6048" ht="12.75" customHeight="1">
      <c r="H6048" s="43" t="n"/>
      <c r="AG6048" s="49">
        <f>IFERROR(__xludf.DUMMYFUNCTION("IFNA(vlookup(H6048,IMPORTRANGE(""1vUGwO1n0QQGx9kKbO0_M5gmuhXZ6-LaxQxgrmJnzgP0"",""'TP# look up'!A:C""),3,0),"""")"),"")</f>
        <v/>
      </c>
      <c r="AH6048" s="49">
        <f>LEFT(J6048,2)</f>
        <v/>
      </c>
    </row>
    <row r="6049" ht="12.75" customHeight="1">
      <c r="H6049" s="43" t="n"/>
      <c r="AG6049" s="49">
        <f>IFERROR(__xludf.DUMMYFUNCTION("IFNA(vlookup(H6049,IMPORTRANGE(""1vUGwO1n0QQGx9kKbO0_M5gmuhXZ6-LaxQxgrmJnzgP0"",""'TP# look up'!A:C""),3,0),"""")"),"")</f>
        <v/>
      </c>
      <c r="AH6049" s="49">
        <f>LEFT(J6049,2)</f>
        <v/>
      </c>
    </row>
    <row r="6050" ht="12.75" customHeight="1">
      <c r="H6050" s="43" t="n"/>
      <c r="AG6050" s="49">
        <f>IFERROR(__xludf.DUMMYFUNCTION("IFNA(vlookup(H6050,IMPORTRANGE(""1vUGwO1n0QQGx9kKbO0_M5gmuhXZ6-LaxQxgrmJnzgP0"",""'TP# look up'!A:C""),3,0),"""")"),"")</f>
        <v/>
      </c>
      <c r="AH6050" s="49">
        <f>LEFT(J6050,2)</f>
        <v/>
      </c>
    </row>
    <row r="6051" ht="12.75" customHeight="1">
      <c r="H6051" s="43" t="n"/>
      <c r="AG6051" s="49">
        <f>IFERROR(__xludf.DUMMYFUNCTION("IFNA(vlookup(H6051,IMPORTRANGE(""1vUGwO1n0QQGx9kKbO0_M5gmuhXZ6-LaxQxgrmJnzgP0"",""'TP# look up'!A:C""),3,0),"""")"),"")</f>
        <v/>
      </c>
      <c r="AH6051" s="49">
        <f>LEFT(J6051,2)</f>
        <v/>
      </c>
    </row>
    <row r="6052" ht="12.75" customHeight="1">
      <c r="H6052" s="43" t="n"/>
      <c r="AG6052" s="49">
        <f>IFERROR(__xludf.DUMMYFUNCTION("IFNA(vlookup(H6052,IMPORTRANGE(""1vUGwO1n0QQGx9kKbO0_M5gmuhXZ6-LaxQxgrmJnzgP0"",""'TP# look up'!A:C""),3,0),"""")"),"")</f>
        <v/>
      </c>
      <c r="AH6052" s="49">
        <f>LEFT(J6052,2)</f>
        <v/>
      </c>
    </row>
    <row r="6053" ht="12.75" customHeight="1">
      <c r="H6053" s="43" t="n"/>
      <c r="AG6053" s="49">
        <f>IFERROR(__xludf.DUMMYFUNCTION("IFNA(vlookup(H6053,IMPORTRANGE(""1vUGwO1n0QQGx9kKbO0_M5gmuhXZ6-LaxQxgrmJnzgP0"",""'TP# look up'!A:C""),3,0),"""")"),"")</f>
        <v/>
      </c>
      <c r="AH6053" s="49">
        <f>LEFT(J6053,2)</f>
        <v/>
      </c>
    </row>
    <row r="6054" ht="12.75" customHeight="1">
      <c r="H6054" s="43" t="n"/>
      <c r="AG6054" s="49">
        <f>IFERROR(__xludf.DUMMYFUNCTION("IFNA(vlookup(H6054,IMPORTRANGE(""1vUGwO1n0QQGx9kKbO0_M5gmuhXZ6-LaxQxgrmJnzgP0"",""'TP# look up'!A:C""),3,0),"""")"),"")</f>
        <v/>
      </c>
      <c r="AH6054" s="49">
        <f>LEFT(J6054,2)</f>
        <v/>
      </c>
    </row>
    <row r="6055" ht="12.75" customHeight="1">
      <c r="H6055" s="43" t="n"/>
      <c r="AG6055" s="49">
        <f>IFERROR(__xludf.DUMMYFUNCTION("IFNA(vlookup(H6055,IMPORTRANGE(""1vUGwO1n0QQGx9kKbO0_M5gmuhXZ6-LaxQxgrmJnzgP0"",""'TP# look up'!A:C""),3,0),"""")"),"")</f>
        <v/>
      </c>
      <c r="AH6055" s="49">
        <f>LEFT(J6055,2)</f>
        <v/>
      </c>
    </row>
    <row r="6056" ht="12.75" customHeight="1">
      <c r="H6056" s="43" t="n"/>
      <c r="AG6056" s="49">
        <f>IFERROR(__xludf.DUMMYFUNCTION("IFNA(vlookup(H6056,IMPORTRANGE(""1vUGwO1n0QQGx9kKbO0_M5gmuhXZ6-LaxQxgrmJnzgP0"",""'TP# look up'!A:C""),3,0),"""")"),"")</f>
        <v/>
      </c>
      <c r="AH6056" s="49">
        <f>LEFT(J6056,2)</f>
        <v/>
      </c>
    </row>
    <row r="6057" ht="12.75" customHeight="1">
      <c r="H6057" s="43" t="n"/>
      <c r="AG6057" s="49">
        <f>IFERROR(__xludf.DUMMYFUNCTION("IFNA(vlookup(H6057,IMPORTRANGE(""1vUGwO1n0QQGx9kKbO0_M5gmuhXZ6-LaxQxgrmJnzgP0"",""'TP# look up'!A:C""),3,0),"""")"),"")</f>
        <v/>
      </c>
      <c r="AH6057" s="49">
        <f>LEFT(J6057,2)</f>
        <v/>
      </c>
    </row>
    <row r="6058" ht="12.75" customHeight="1">
      <c r="H6058" s="43" t="n"/>
      <c r="AG6058" s="49">
        <f>IFERROR(__xludf.DUMMYFUNCTION("IFNA(vlookup(H6058,IMPORTRANGE(""1vUGwO1n0QQGx9kKbO0_M5gmuhXZ6-LaxQxgrmJnzgP0"",""'TP# look up'!A:C""),3,0),"""")"),"")</f>
        <v/>
      </c>
      <c r="AH6058" s="49">
        <f>LEFT(J6058,2)</f>
        <v/>
      </c>
    </row>
    <row r="6059" ht="12.75" customHeight="1">
      <c r="H6059" s="43" t="n"/>
      <c r="AG6059" s="49">
        <f>IFERROR(__xludf.DUMMYFUNCTION("IFNA(vlookup(H6059,IMPORTRANGE(""1vUGwO1n0QQGx9kKbO0_M5gmuhXZ6-LaxQxgrmJnzgP0"",""'TP# look up'!A:C""),3,0),"""")"),"")</f>
        <v/>
      </c>
      <c r="AH6059" s="49">
        <f>LEFT(J6059,2)</f>
        <v/>
      </c>
    </row>
    <row r="6060" ht="12.75" customHeight="1">
      <c r="H6060" s="43" t="n"/>
      <c r="AG6060" s="49">
        <f>IFERROR(__xludf.DUMMYFUNCTION("IFNA(vlookup(H6060,IMPORTRANGE(""1vUGwO1n0QQGx9kKbO0_M5gmuhXZ6-LaxQxgrmJnzgP0"",""'TP# look up'!A:C""),3,0),"""")"),"")</f>
        <v/>
      </c>
      <c r="AH6060" s="49">
        <f>LEFT(J6060,2)</f>
        <v/>
      </c>
    </row>
    <row r="6061" ht="12.75" customHeight="1">
      <c r="H6061" s="43" t="n"/>
      <c r="AG6061" s="49">
        <f>IFERROR(__xludf.DUMMYFUNCTION("IFNA(vlookup(H6061,IMPORTRANGE(""1vUGwO1n0QQGx9kKbO0_M5gmuhXZ6-LaxQxgrmJnzgP0"",""'TP# look up'!A:C""),3,0),"""")"),"")</f>
        <v/>
      </c>
      <c r="AH6061" s="49">
        <f>LEFT(J6061,2)</f>
        <v/>
      </c>
    </row>
    <row r="6062" ht="12.75" customHeight="1">
      <c r="H6062" s="43" t="n"/>
      <c r="AG6062" s="49">
        <f>IFERROR(__xludf.DUMMYFUNCTION("IFNA(vlookup(H6062,IMPORTRANGE(""1vUGwO1n0QQGx9kKbO0_M5gmuhXZ6-LaxQxgrmJnzgP0"",""'TP# look up'!A:C""),3,0),"""")"),"")</f>
        <v/>
      </c>
      <c r="AH6062" s="49">
        <f>LEFT(J6062,2)</f>
        <v/>
      </c>
    </row>
    <row r="6063" ht="12.75" customHeight="1">
      <c r="H6063" s="43" t="n"/>
      <c r="AG6063" s="49">
        <f>IFERROR(__xludf.DUMMYFUNCTION("IFNA(vlookup(H6063,IMPORTRANGE(""1vUGwO1n0QQGx9kKbO0_M5gmuhXZ6-LaxQxgrmJnzgP0"",""'TP# look up'!A:C""),3,0),"""")"),"")</f>
        <v/>
      </c>
      <c r="AH6063" s="49">
        <f>LEFT(J6063,2)</f>
        <v/>
      </c>
    </row>
    <row r="6064" ht="12.75" customHeight="1">
      <c r="H6064" s="43" t="n"/>
      <c r="AG6064" s="49">
        <f>IFERROR(__xludf.DUMMYFUNCTION("IFNA(vlookup(H6064,IMPORTRANGE(""1vUGwO1n0QQGx9kKbO0_M5gmuhXZ6-LaxQxgrmJnzgP0"",""'TP# look up'!A:C""),3,0),"""")"),"")</f>
        <v/>
      </c>
      <c r="AH6064" s="49">
        <f>LEFT(J6064,2)</f>
        <v/>
      </c>
    </row>
    <row r="6065" ht="12.75" customHeight="1">
      <c r="H6065" s="43" t="n"/>
      <c r="AG6065" s="49">
        <f>IFERROR(__xludf.DUMMYFUNCTION("IFNA(vlookup(H6065,IMPORTRANGE(""1vUGwO1n0QQGx9kKbO0_M5gmuhXZ6-LaxQxgrmJnzgP0"",""'TP# look up'!A:C""),3,0),"""")"),"")</f>
        <v/>
      </c>
      <c r="AH6065" s="49">
        <f>LEFT(J6065,2)</f>
        <v/>
      </c>
    </row>
    <row r="6066" ht="12.75" customHeight="1">
      <c r="H6066" s="43" t="n"/>
      <c r="AG6066" s="49">
        <f>IFERROR(__xludf.DUMMYFUNCTION("IFNA(vlookup(H6066,IMPORTRANGE(""1vUGwO1n0QQGx9kKbO0_M5gmuhXZ6-LaxQxgrmJnzgP0"",""'TP# look up'!A:C""),3,0),"""")"),"")</f>
        <v/>
      </c>
      <c r="AH6066" s="49">
        <f>LEFT(J6066,2)</f>
        <v/>
      </c>
    </row>
    <row r="6067" ht="12.75" customHeight="1">
      <c r="H6067" s="43" t="n"/>
      <c r="AG6067" s="49">
        <f>IFERROR(__xludf.DUMMYFUNCTION("IFNA(vlookup(H6067,IMPORTRANGE(""1vUGwO1n0QQGx9kKbO0_M5gmuhXZ6-LaxQxgrmJnzgP0"",""'TP# look up'!A:C""),3,0),"""")"),"")</f>
        <v/>
      </c>
      <c r="AH6067" s="49">
        <f>LEFT(J6067,2)</f>
        <v/>
      </c>
    </row>
    <row r="6068" ht="12.75" customHeight="1">
      <c r="H6068" s="43" t="n"/>
      <c r="AG6068" s="49">
        <f>IFERROR(__xludf.DUMMYFUNCTION("IFNA(vlookup(H6068,IMPORTRANGE(""1vUGwO1n0QQGx9kKbO0_M5gmuhXZ6-LaxQxgrmJnzgP0"",""'TP# look up'!A:C""),3,0),"""")"),"")</f>
        <v/>
      </c>
      <c r="AH6068" s="49">
        <f>LEFT(J6068,2)</f>
        <v/>
      </c>
    </row>
    <row r="6069" ht="12.75" customHeight="1">
      <c r="H6069" s="43" t="n"/>
      <c r="AG6069" s="49">
        <f>IFERROR(__xludf.DUMMYFUNCTION("IFNA(vlookup(H6069,IMPORTRANGE(""1vUGwO1n0QQGx9kKbO0_M5gmuhXZ6-LaxQxgrmJnzgP0"",""'TP# look up'!A:C""),3,0),"""")"),"")</f>
        <v/>
      </c>
      <c r="AH6069" s="49">
        <f>LEFT(J6069,2)</f>
        <v/>
      </c>
    </row>
    <row r="6070" ht="12.75" customHeight="1">
      <c r="H6070" s="43" t="n"/>
      <c r="AG6070" s="49">
        <f>IFERROR(__xludf.DUMMYFUNCTION("IFNA(vlookup(H6070,IMPORTRANGE(""1vUGwO1n0QQGx9kKbO0_M5gmuhXZ6-LaxQxgrmJnzgP0"",""'TP# look up'!A:C""),3,0),"""")"),"")</f>
        <v/>
      </c>
      <c r="AH6070" s="49">
        <f>LEFT(J6070,2)</f>
        <v/>
      </c>
    </row>
    <row r="6071" ht="12.75" customHeight="1">
      <c r="H6071" s="43" t="n"/>
      <c r="AG6071" s="49">
        <f>IFERROR(__xludf.DUMMYFUNCTION("IFNA(vlookup(H6071,IMPORTRANGE(""1vUGwO1n0QQGx9kKbO0_M5gmuhXZ6-LaxQxgrmJnzgP0"",""'TP# look up'!A:C""),3,0),"""")"),"")</f>
        <v/>
      </c>
      <c r="AH6071" s="49">
        <f>LEFT(J6071,2)</f>
        <v/>
      </c>
    </row>
    <row r="6072" ht="12.75" customHeight="1">
      <c r="H6072" s="43" t="n"/>
      <c r="AG6072" s="49">
        <f>IFERROR(__xludf.DUMMYFUNCTION("IFNA(vlookup(H6072,IMPORTRANGE(""1vUGwO1n0QQGx9kKbO0_M5gmuhXZ6-LaxQxgrmJnzgP0"",""'TP# look up'!A:C""),3,0),"""")"),"")</f>
        <v/>
      </c>
      <c r="AH6072" s="49">
        <f>LEFT(J6072,2)</f>
        <v/>
      </c>
    </row>
    <row r="6073" ht="12.75" customHeight="1">
      <c r="H6073" s="43" t="n"/>
      <c r="AG6073" s="49">
        <f>IFERROR(__xludf.DUMMYFUNCTION("IFNA(vlookup(H6073,IMPORTRANGE(""1vUGwO1n0QQGx9kKbO0_M5gmuhXZ6-LaxQxgrmJnzgP0"",""'TP# look up'!A:C""),3,0),"""")"),"")</f>
        <v/>
      </c>
      <c r="AH6073" s="49">
        <f>LEFT(J6073,2)</f>
        <v/>
      </c>
    </row>
    <row r="6074" ht="12.75" customHeight="1">
      <c r="H6074" s="43" t="n"/>
      <c r="AG6074" s="49">
        <f>IFERROR(__xludf.DUMMYFUNCTION("IFNA(vlookup(H6074,IMPORTRANGE(""1vUGwO1n0QQGx9kKbO0_M5gmuhXZ6-LaxQxgrmJnzgP0"",""'TP# look up'!A:C""),3,0),"""")"),"")</f>
        <v/>
      </c>
      <c r="AH6074" s="49">
        <f>LEFT(J6074,2)</f>
        <v/>
      </c>
    </row>
    <row r="6075" ht="12.75" customHeight="1">
      <c r="H6075" s="43" t="n"/>
      <c r="AG6075" s="49">
        <f>IFERROR(__xludf.DUMMYFUNCTION("IFNA(vlookup(H6075,IMPORTRANGE(""1vUGwO1n0QQGx9kKbO0_M5gmuhXZ6-LaxQxgrmJnzgP0"",""'TP# look up'!A:C""),3,0),"""")"),"")</f>
        <v/>
      </c>
      <c r="AH6075" s="49">
        <f>LEFT(J6075,2)</f>
        <v/>
      </c>
    </row>
    <row r="6076" ht="12.75" customHeight="1">
      <c r="H6076" s="43" t="n"/>
      <c r="AG6076" s="49">
        <f>IFERROR(__xludf.DUMMYFUNCTION("IFNA(vlookup(H6076,IMPORTRANGE(""1vUGwO1n0QQGx9kKbO0_M5gmuhXZ6-LaxQxgrmJnzgP0"",""'TP# look up'!A:C""),3,0),"""")"),"")</f>
        <v/>
      </c>
      <c r="AH6076" s="49">
        <f>LEFT(J6076,2)</f>
        <v/>
      </c>
    </row>
    <row r="6077" ht="12.75" customHeight="1">
      <c r="H6077" s="43" t="n"/>
      <c r="AG6077" s="49">
        <f>IFERROR(__xludf.DUMMYFUNCTION("IFNA(vlookup(H6077,IMPORTRANGE(""1vUGwO1n0QQGx9kKbO0_M5gmuhXZ6-LaxQxgrmJnzgP0"",""'TP# look up'!A:C""),3,0),"""")"),"")</f>
        <v/>
      </c>
      <c r="AH6077" s="49">
        <f>LEFT(J6077,2)</f>
        <v/>
      </c>
    </row>
    <row r="6078" ht="12.75" customHeight="1">
      <c r="H6078" s="43" t="n"/>
      <c r="AG6078" s="49">
        <f>IFERROR(__xludf.DUMMYFUNCTION("IFNA(vlookup(H6078,IMPORTRANGE(""1vUGwO1n0QQGx9kKbO0_M5gmuhXZ6-LaxQxgrmJnzgP0"",""'TP# look up'!A:C""),3,0),"""")"),"")</f>
        <v/>
      </c>
      <c r="AH6078" s="49">
        <f>LEFT(J6078,2)</f>
        <v/>
      </c>
    </row>
    <row r="6079" ht="12.75" customHeight="1">
      <c r="H6079" s="43" t="n"/>
      <c r="AG6079" s="49">
        <f>IFERROR(__xludf.DUMMYFUNCTION("IFNA(vlookup(H6079,IMPORTRANGE(""1vUGwO1n0QQGx9kKbO0_M5gmuhXZ6-LaxQxgrmJnzgP0"",""'TP# look up'!A:C""),3,0),"""")"),"")</f>
        <v/>
      </c>
      <c r="AH6079" s="49">
        <f>LEFT(J6079,2)</f>
        <v/>
      </c>
    </row>
    <row r="6080" ht="12.75" customHeight="1">
      <c r="H6080" s="43" t="n"/>
      <c r="AG6080" s="49">
        <f>IFERROR(__xludf.DUMMYFUNCTION("IFNA(vlookup(H6080,IMPORTRANGE(""1vUGwO1n0QQGx9kKbO0_M5gmuhXZ6-LaxQxgrmJnzgP0"",""'TP# look up'!A:C""),3,0),"""")"),"")</f>
        <v/>
      </c>
      <c r="AH6080" s="49">
        <f>LEFT(J6080,2)</f>
        <v/>
      </c>
    </row>
    <row r="6081" ht="12.75" customHeight="1">
      <c r="H6081" s="43" t="n"/>
      <c r="AG6081" s="49">
        <f>IFERROR(__xludf.DUMMYFUNCTION("IFNA(vlookup(H6081,IMPORTRANGE(""1vUGwO1n0QQGx9kKbO0_M5gmuhXZ6-LaxQxgrmJnzgP0"",""'TP# look up'!A:C""),3,0),"""")"),"")</f>
        <v/>
      </c>
      <c r="AH6081" s="49">
        <f>LEFT(J6081,2)</f>
        <v/>
      </c>
    </row>
    <row r="6082" ht="12.75" customHeight="1">
      <c r="H6082" s="43" t="n"/>
      <c r="AG6082" s="49">
        <f>IFERROR(__xludf.DUMMYFUNCTION("IFNA(vlookup(H6082,IMPORTRANGE(""1vUGwO1n0QQGx9kKbO0_M5gmuhXZ6-LaxQxgrmJnzgP0"",""'TP# look up'!A:C""),3,0),"""")"),"")</f>
        <v/>
      </c>
      <c r="AH6082" s="49">
        <f>LEFT(J6082,2)</f>
        <v/>
      </c>
    </row>
    <row r="6083" ht="12.75" customHeight="1">
      <c r="H6083" s="43" t="n"/>
      <c r="AG6083" s="49">
        <f>IFERROR(__xludf.DUMMYFUNCTION("IFNA(vlookup(H6083,IMPORTRANGE(""1vUGwO1n0QQGx9kKbO0_M5gmuhXZ6-LaxQxgrmJnzgP0"",""'TP# look up'!A:C""),3,0),"""")"),"")</f>
        <v/>
      </c>
      <c r="AH6083" s="49">
        <f>LEFT(J6083,2)</f>
        <v/>
      </c>
    </row>
    <row r="6084" ht="12.75" customHeight="1">
      <c r="H6084" s="43" t="n"/>
      <c r="AG6084" s="49">
        <f>IFERROR(__xludf.DUMMYFUNCTION("IFNA(vlookup(H6084,IMPORTRANGE(""1vUGwO1n0QQGx9kKbO0_M5gmuhXZ6-LaxQxgrmJnzgP0"",""'TP# look up'!A:C""),3,0),"""")"),"")</f>
        <v/>
      </c>
      <c r="AH6084" s="49">
        <f>LEFT(J6084,2)</f>
        <v/>
      </c>
    </row>
    <row r="6085" ht="12.75" customHeight="1">
      <c r="H6085" s="43" t="n"/>
      <c r="AG6085" s="49">
        <f>IFERROR(__xludf.DUMMYFUNCTION("IFNA(vlookup(H6085,IMPORTRANGE(""1vUGwO1n0QQGx9kKbO0_M5gmuhXZ6-LaxQxgrmJnzgP0"",""'TP# look up'!A:C""),3,0),"""")"),"")</f>
        <v/>
      </c>
      <c r="AH6085" s="49">
        <f>LEFT(J6085,2)</f>
        <v/>
      </c>
    </row>
    <row r="6086" ht="12.75" customHeight="1">
      <c r="H6086" s="43" t="n"/>
      <c r="AG6086" s="49">
        <f>IFERROR(__xludf.DUMMYFUNCTION("IFNA(vlookup(H6086,IMPORTRANGE(""1vUGwO1n0QQGx9kKbO0_M5gmuhXZ6-LaxQxgrmJnzgP0"",""'TP# look up'!A:C""),3,0),"""")"),"")</f>
        <v/>
      </c>
      <c r="AH6086" s="49">
        <f>LEFT(J6086,2)</f>
        <v/>
      </c>
    </row>
    <row r="6087" ht="12.75" customHeight="1">
      <c r="H6087" s="43" t="n"/>
      <c r="AG6087" s="49">
        <f>IFERROR(__xludf.DUMMYFUNCTION("IFNA(vlookup(H6087,IMPORTRANGE(""1vUGwO1n0QQGx9kKbO0_M5gmuhXZ6-LaxQxgrmJnzgP0"",""'TP# look up'!A:C""),3,0),"""")"),"")</f>
        <v/>
      </c>
      <c r="AH6087" s="49">
        <f>LEFT(J6087,2)</f>
        <v/>
      </c>
    </row>
    <row r="6088" ht="12.75" customHeight="1">
      <c r="H6088" s="43" t="n"/>
      <c r="AG6088" s="49">
        <f>IFERROR(__xludf.DUMMYFUNCTION("IFNA(vlookup(H6088,IMPORTRANGE(""1vUGwO1n0QQGx9kKbO0_M5gmuhXZ6-LaxQxgrmJnzgP0"",""'TP# look up'!A:C""),3,0),"""")"),"")</f>
        <v/>
      </c>
      <c r="AH6088" s="49">
        <f>LEFT(J6088,2)</f>
        <v/>
      </c>
    </row>
    <row r="6089" ht="12.75" customHeight="1">
      <c r="H6089" s="43" t="n"/>
      <c r="AG6089" s="49">
        <f>IFERROR(__xludf.DUMMYFUNCTION("IFNA(vlookup(H6089,IMPORTRANGE(""1vUGwO1n0QQGx9kKbO0_M5gmuhXZ6-LaxQxgrmJnzgP0"",""'TP# look up'!A:C""),3,0),"""")"),"")</f>
        <v/>
      </c>
      <c r="AH6089" s="49">
        <f>LEFT(J6089,2)</f>
        <v/>
      </c>
    </row>
    <row r="6090" ht="12.75" customHeight="1">
      <c r="H6090" s="43" t="n"/>
      <c r="AG6090" s="49">
        <f>IFERROR(__xludf.DUMMYFUNCTION("IFNA(vlookup(H6090,IMPORTRANGE(""1vUGwO1n0QQGx9kKbO0_M5gmuhXZ6-LaxQxgrmJnzgP0"",""'TP# look up'!A:C""),3,0),"""")"),"")</f>
        <v/>
      </c>
      <c r="AH6090" s="49">
        <f>LEFT(J6090,2)</f>
        <v/>
      </c>
    </row>
    <row r="6091" ht="12.75" customHeight="1">
      <c r="H6091" s="43" t="n"/>
      <c r="AG6091" s="49">
        <f>IFERROR(__xludf.DUMMYFUNCTION("IFNA(vlookup(H6091,IMPORTRANGE(""1vUGwO1n0QQGx9kKbO0_M5gmuhXZ6-LaxQxgrmJnzgP0"",""'TP# look up'!A:C""),3,0),"""")"),"")</f>
        <v/>
      </c>
      <c r="AH6091" s="49">
        <f>LEFT(J6091,2)</f>
        <v/>
      </c>
    </row>
    <row r="6092" ht="12.75" customHeight="1">
      <c r="H6092" s="43" t="n"/>
      <c r="AG6092" s="49">
        <f>IFERROR(__xludf.DUMMYFUNCTION("IFNA(vlookup(H6092,IMPORTRANGE(""1vUGwO1n0QQGx9kKbO0_M5gmuhXZ6-LaxQxgrmJnzgP0"",""'TP# look up'!A:C""),3,0),"""")"),"")</f>
        <v/>
      </c>
      <c r="AH6092" s="49">
        <f>LEFT(J6092,2)</f>
        <v/>
      </c>
    </row>
    <row r="6093" ht="12.75" customHeight="1">
      <c r="H6093" s="43" t="n"/>
      <c r="AG6093" s="49">
        <f>IFERROR(__xludf.DUMMYFUNCTION("IFNA(vlookup(H6093,IMPORTRANGE(""1vUGwO1n0QQGx9kKbO0_M5gmuhXZ6-LaxQxgrmJnzgP0"",""'TP# look up'!A:C""),3,0),"""")"),"")</f>
        <v/>
      </c>
      <c r="AH6093" s="49">
        <f>LEFT(J6093,2)</f>
        <v/>
      </c>
    </row>
    <row r="6094" ht="12.75" customHeight="1">
      <c r="H6094" s="43" t="n"/>
      <c r="AG6094" s="49">
        <f>IFERROR(__xludf.DUMMYFUNCTION("IFNA(vlookup(H6094,IMPORTRANGE(""1vUGwO1n0QQGx9kKbO0_M5gmuhXZ6-LaxQxgrmJnzgP0"",""'TP# look up'!A:C""),3,0),"""")"),"")</f>
        <v/>
      </c>
      <c r="AH6094" s="49">
        <f>LEFT(J6094,2)</f>
        <v/>
      </c>
    </row>
    <row r="6095" ht="12.75" customHeight="1">
      <c r="H6095" s="43" t="n"/>
      <c r="AG6095" s="49">
        <f>IFERROR(__xludf.DUMMYFUNCTION("IFNA(vlookup(H6095,IMPORTRANGE(""1vUGwO1n0QQGx9kKbO0_M5gmuhXZ6-LaxQxgrmJnzgP0"",""'TP# look up'!A:C""),3,0),"""")"),"")</f>
        <v/>
      </c>
      <c r="AH6095" s="49">
        <f>LEFT(J6095,2)</f>
        <v/>
      </c>
    </row>
    <row r="6096" ht="12.75" customHeight="1">
      <c r="H6096" s="43" t="n"/>
      <c r="AG6096" s="49">
        <f>IFERROR(__xludf.DUMMYFUNCTION("IFNA(vlookup(H6096,IMPORTRANGE(""1vUGwO1n0QQGx9kKbO0_M5gmuhXZ6-LaxQxgrmJnzgP0"",""'TP# look up'!A:C""),3,0),"""")"),"")</f>
        <v/>
      </c>
      <c r="AH6096" s="49">
        <f>LEFT(J6096,2)</f>
        <v/>
      </c>
    </row>
    <row r="6097" ht="12.75" customHeight="1">
      <c r="H6097" s="43" t="n"/>
      <c r="AG6097" s="49">
        <f>IFERROR(__xludf.DUMMYFUNCTION("IFNA(vlookup(H6097,IMPORTRANGE(""1vUGwO1n0QQGx9kKbO0_M5gmuhXZ6-LaxQxgrmJnzgP0"",""'TP# look up'!A:C""),3,0),"""")"),"")</f>
        <v/>
      </c>
      <c r="AH6097" s="49">
        <f>LEFT(J6097,2)</f>
        <v/>
      </c>
    </row>
    <row r="6098" ht="12.75" customHeight="1">
      <c r="H6098" s="43" t="n"/>
      <c r="AG6098" s="49">
        <f>IFERROR(__xludf.DUMMYFUNCTION("IFNA(vlookup(H6098,IMPORTRANGE(""1vUGwO1n0QQGx9kKbO0_M5gmuhXZ6-LaxQxgrmJnzgP0"",""'TP# look up'!A:C""),3,0),"""")"),"")</f>
        <v/>
      </c>
      <c r="AH6098" s="49">
        <f>LEFT(J6098,2)</f>
        <v/>
      </c>
    </row>
    <row r="6099" ht="12.75" customHeight="1">
      <c r="H6099" s="43" t="n"/>
      <c r="AG6099" s="49">
        <f>IFERROR(__xludf.DUMMYFUNCTION("IFNA(vlookup(H6099,IMPORTRANGE(""1vUGwO1n0QQGx9kKbO0_M5gmuhXZ6-LaxQxgrmJnzgP0"",""'TP# look up'!A:C""),3,0),"""")"),"")</f>
        <v/>
      </c>
      <c r="AH6099" s="49">
        <f>LEFT(J6099,2)</f>
        <v/>
      </c>
    </row>
    <row r="6100" ht="12.75" customHeight="1">
      <c r="H6100" s="43" t="n"/>
      <c r="AG6100" s="49">
        <f>IFERROR(__xludf.DUMMYFUNCTION("IFNA(vlookup(H6100,IMPORTRANGE(""1vUGwO1n0QQGx9kKbO0_M5gmuhXZ6-LaxQxgrmJnzgP0"",""'TP# look up'!A:C""),3,0),"""")"),"")</f>
        <v/>
      </c>
      <c r="AH6100" s="49">
        <f>LEFT(J6100,2)</f>
        <v/>
      </c>
    </row>
    <row r="6101" ht="12.75" customHeight="1">
      <c r="H6101" s="43" t="n"/>
      <c r="AG6101" s="49">
        <f>IFERROR(__xludf.DUMMYFUNCTION("IFNA(vlookup(H6101,IMPORTRANGE(""1vUGwO1n0QQGx9kKbO0_M5gmuhXZ6-LaxQxgrmJnzgP0"",""'TP# look up'!A:C""),3,0),"""")"),"")</f>
        <v/>
      </c>
      <c r="AH6101" s="49">
        <f>LEFT(J6101,2)</f>
        <v/>
      </c>
    </row>
    <row r="6102" ht="12.75" customHeight="1">
      <c r="H6102" s="43" t="n"/>
      <c r="AG6102" s="49">
        <f>IFERROR(__xludf.DUMMYFUNCTION("IFNA(vlookup(H6102,IMPORTRANGE(""1vUGwO1n0QQGx9kKbO0_M5gmuhXZ6-LaxQxgrmJnzgP0"",""'TP# look up'!A:C""),3,0),"""")"),"")</f>
        <v/>
      </c>
      <c r="AH6102" s="49">
        <f>LEFT(J6102,2)</f>
        <v/>
      </c>
    </row>
    <row r="6103" ht="12.75" customHeight="1">
      <c r="H6103" s="43" t="n"/>
      <c r="AG6103" s="49">
        <f>IFERROR(__xludf.DUMMYFUNCTION("IFNA(vlookup(H6103,IMPORTRANGE(""1vUGwO1n0QQGx9kKbO0_M5gmuhXZ6-LaxQxgrmJnzgP0"",""'TP# look up'!A:C""),3,0),"""")"),"")</f>
        <v/>
      </c>
      <c r="AH6103" s="49">
        <f>LEFT(J6103,2)</f>
        <v/>
      </c>
    </row>
    <row r="6104" ht="12.75" customHeight="1">
      <c r="H6104" s="43" t="n"/>
      <c r="AG6104" s="49">
        <f>IFERROR(__xludf.DUMMYFUNCTION("IFNA(vlookup(H6104,IMPORTRANGE(""1vUGwO1n0QQGx9kKbO0_M5gmuhXZ6-LaxQxgrmJnzgP0"",""'TP# look up'!A:C""),3,0),"""")"),"")</f>
        <v/>
      </c>
      <c r="AH6104" s="49">
        <f>LEFT(J6104,2)</f>
        <v/>
      </c>
    </row>
    <row r="6105" ht="12.75" customHeight="1">
      <c r="H6105" s="43" t="n"/>
      <c r="AG6105" s="49">
        <f>IFERROR(__xludf.DUMMYFUNCTION("IFNA(vlookup(H6105,IMPORTRANGE(""1vUGwO1n0QQGx9kKbO0_M5gmuhXZ6-LaxQxgrmJnzgP0"",""'TP# look up'!A:C""),3,0),"""")"),"")</f>
        <v/>
      </c>
      <c r="AH6105" s="49">
        <f>LEFT(J6105,2)</f>
        <v/>
      </c>
    </row>
    <row r="6106" ht="12.75" customHeight="1">
      <c r="H6106" s="43" t="n"/>
      <c r="AG6106" s="49">
        <f>IFERROR(__xludf.DUMMYFUNCTION("IFNA(vlookup(H6106,IMPORTRANGE(""1vUGwO1n0QQGx9kKbO0_M5gmuhXZ6-LaxQxgrmJnzgP0"",""'TP# look up'!A:C""),3,0),"""")"),"")</f>
        <v/>
      </c>
      <c r="AH6106" s="49">
        <f>LEFT(J6106,2)</f>
        <v/>
      </c>
    </row>
    <row r="6107" ht="12.75" customHeight="1">
      <c r="H6107" s="43" t="n"/>
      <c r="AG6107" s="49">
        <f>IFERROR(__xludf.DUMMYFUNCTION("IFNA(vlookup(H6107,IMPORTRANGE(""1vUGwO1n0QQGx9kKbO0_M5gmuhXZ6-LaxQxgrmJnzgP0"",""'TP# look up'!A:C""),3,0),"""")"),"")</f>
        <v/>
      </c>
      <c r="AH6107" s="49">
        <f>LEFT(J6107,2)</f>
        <v/>
      </c>
    </row>
    <row r="6108" ht="12.75" customHeight="1">
      <c r="H6108" s="43" t="n"/>
      <c r="AG6108" s="49">
        <f>IFERROR(__xludf.DUMMYFUNCTION("IFNA(vlookup(H6108,IMPORTRANGE(""1vUGwO1n0QQGx9kKbO0_M5gmuhXZ6-LaxQxgrmJnzgP0"",""'TP# look up'!A:C""),3,0),"""")"),"")</f>
        <v/>
      </c>
      <c r="AH6108" s="49">
        <f>LEFT(J6108,2)</f>
        <v/>
      </c>
    </row>
    <row r="6109" ht="12.75" customHeight="1">
      <c r="H6109" s="43" t="n"/>
      <c r="AG6109" s="49">
        <f>IFERROR(__xludf.DUMMYFUNCTION("IFNA(vlookup(H6109,IMPORTRANGE(""1vUGwO1n0QQGx9kKbO0_M5gmuhXZ6-LaxQxgrmJnzgP0"",""'TP# look up'!A:C""),3,0),"""")"),"")</f>
        <v/>
      </c>
      <c r="AH6109" s="49">
        <f>LEFT(J6109,2)</f>
        <v/>
      </c>
    </row>
    <row r="6110" ht="12.75" customHeight="1">
      <c r="H6110" s="43" t="n"/>
      <c r="AG6110" s="49">
        <f>IFERROR(__xludf.DUMMYFUNCTION("IFNA(vlookup(H6110,IMPORTRANGE(""1vUGwO1n0QQGx9kKbO0_M5gmuhXZ6-LaxQxgrmJnzgP0"",""'TP# look up'!A:C""),3,0),"""")"),"")</f>
        <v/>
      </c>
      <c r="AH6110" s="49">
        <f>LEFT(J6110,2)</f>
        <v/>
      </c>
    </row>
    <row r="6111" ht="12.75" customHeight="1">
      <c r="H6111" s="43" t="n"/>
      <c r="AG6111" s="49">
        <f>IFERROR(__xludf.DUMMYFUNCTION("IFNA(vlookup(H6111,IMPORTRANGE(""1vUGwO1n0QQGx9kKbO0_M5gmuhXZ6-LaxQxgrmJnzgP0"",""'TP# look up'!A:C""),3,0),"""")"),"")</f>
        <v/>
      </c>
      <c r="AH6111" s="49">
        <f>LEFT(J6111,2)</f>
        <v/>
      </c>
    </row>
    <row r="6112" ht="12.75" customHeight="1">
      <c r="H6112" s="43" t="n"/>
      <c r="AG6112" s="49">
        <f>IFERROR(__xludf.DUMMYFUNCTION("IFNA(vlookup(H6112,IMPORTRANGE(""1vUGwO1n0QQGx9kKbO0_M5gmuhXZ6-LaxQxgrmJnzgP0"",""'TP# look up'!A:C""),3,0),"""")"),"")</f>
        <v/>
      </c>
      <c r="AH6112" s="49">
        <f>LEFT(J6112,2)</f>
        <v/>
      </c>
    </row>
    <row r="6113" ht="12.75" customHeight="1">
      <c r="H6113" s="43" t="n"/>
      <c r="AG6113" s="49">
        <f>IFERROR(__xludf.DUMMYFUNCTION("IFNA(vlookup(H6113,IMPORTRANGE(""1vUGwO1n0QQGx9kKbO0_M5gmuhXZ6-LaxQxgrmJnzgP0"",""'TP# look up'!A:C""),3,0),"""")"),"")</f>
        <v/>
      </c>
      <c r="AH6113" s="49">
        <f>LEFT(J6113,2)</f>
        <v/>
      </c>
    </row>
    <row r="6114" ht="12.75" customHeight="1">
      <c r="H6114" s="43" t="n"/>
      <c r="AG6114" s="49">
        <f>IFERROR(__xludf.DUMMYFUNCTION("IFNA(vlookup(H6114,IMPORTRANGE(""1vUGwO1n0QQGx9kKbO0_M5gmuhXZ6-LaxQxgrmJnzgP0"",""'TP# look up'!A:C""),3,0),"""")"),"")</f>
        <v/>
      </c>
      <c r="AH6114" s="49">
        <f>LEFT(J6114,2)</f>
        <v/>
      </c>
    </row>
    <row r="6115" ht="12.75" customHeight="1">
      <c r="H6115" s="43" t="n"/>
      <c r="AG6115" s="49">
        <f>IFERROR(__xludf.DUMMYFUNCTION("IFNA(vlookup(H6115,IMPORTRANGE(""1vUGwO1n0QQGx9kKbO0_M5gmuhXZ6-LaxQxgrmJnzgP0"",""'TP# look up'!A:C""),3,0),"""")"),"")</f>
        <v/>
      </c>
      <c r="AH6115" s="49">
        <f>LEFT(J6115,2)</f>
        <v/>
      </c>
    </row>
    <row r="6116" ht="12.75" customHeight="1">
      <c r="H6116" s="43" t="n"/>
      <c r="AG6116" s="49">
        <f>IFERROR(__xludf.DUMMYFUNCTION("IFNA(vlookup(H6116,IMPORTRANGE(""1vUGwO1n0QQGx9kKbO0_M5gmuhXZ6-LaxQxgrmJnzgP0"",""'TP# look up'!A:C""),3,0),"""")"),"")</f>
        <v/>
      </c>
      <c r="AH6116" s="49">
        <f>LEFT(J6116,2)</f>
        <v/>
      </c>
    </row>
    <row r="6117" ht="12.75" customHeight="1">
      <c r="H6117" s="43" t="n"/>
      <c r="AG6117" s="49">
        <f>IFERROR(__xludf.DUMMYFUNCTION("IFNA(vlookup(H6117,IMPORTRANGE(""1vUGwO1n0QQGx9kKbO0_M5gmuhXZ6-LaxQxgrmJnzgP0"",""'TP# look up'!A:C""),3,0),"""")"),"")</f>
        <v/>
      </c>
      <c r="AH6117" s="49">
        <f>LEFT(J6117,2)</f>
        <v/>
      </c>
    </row>
    <row r="6118" ht="12.75" customHeight="1">
      <c r="H6118" s="43" t="n"/>
      <c r="AG6118" s="49">
        <f>IFERROR(__xludf.DUMMYFUNCTION("IFNA(vlookup(H6118,IMPORTRANGE(""1vUGwO1n0QQGx9kKbO0_M5gmuhXZ6-LaxQxgrmJnzgP0"",""'TP# look up'!A:C""),3,0),"""")"),"")</f>
        <v/>
      </c>
      <c r="AH6118" s="49">
        <f>LEFT(J6118,2)</f>
        <v/>
      </c>
    </row>
    <row r="6119" ht="12.75" customHeight="1">
      <c r="H6119" s="43" t="n"/>
      <c r="AG6119" s="49">
        <f>IFERROR(__xludf.DUMMYFUNCTION("IFNA(vlookup(H6119,IMPORTRANGE(""1vUGwO1n0QQGx9kKbO0_M5gmuhXZ6-LaxQxgrmJnzgP0"",""'TP# look up'!A:C""),3,0),"""")"),"")</f>
        <v/>
      </c>
      <c r="AH6119" s="49">
        <f>LEFT(J6119,2)</f>
        <v/>
      </c>
    </row>
    <row r="6120" ht="12.75" customHeight="1">
      <c r="H6120" s="43" t="n"/>
      <c r="AG6120" s="49">
        <f>IFERROR(__xludf.DUMMYFUNCTION("IFNA(vlookup(H6120,IMPORTRANGE(""1vUGwO1n0QQGx9kKbO0_M5gmuhXZ6-LaxQxgrmJnzgP0"",""'TP# look up'!A:C""),3,0),"""")"),"")</f>
        <v/>
      </c>
      <c r="AH6120" s="49">
        <f>LEFT(J6120,2)</f>
        <v/>
      </c>
    </row>
    <row r="6121" ht="12.75" customHeight="1">
      <c r="H6121" s="43" t="n"/>
      <c r="AG6121" s="49">
        <f>IFERROR(__xludf.DUMMYFUNCTION("IFNA(vlookup(H6121,IMPORTRANGE(""1vUGwO1n0QQGx9kKbO0_M5gmuhXZ6-LaxQxgrmJnzgP0"",""'TP# look up'!A:C""),3,0),"""")"),"")</f>
        <v/>
      </c>
      <c r="AH6121" s="49">
        <f>LEFT(J6121,2)</f>
        <v/>
      </c>
    </row>
    <row r="6122" ht="12.75" customHeight="1">
      <c r="H6122" s="43" t="n"/>
      <c r="AG6122" s="49">
        <f>IFERROR(__xludf.DUMMYFUNCTION("IFNA(vlookup(H6122,IMPORTRANGE(""1vUGwO1n0QQGx9kKbO0_M5gmuhXZ6-LaxQxgrmJnzgP0"",""'TP# look up'!A:C""),3,0),"""")"),"")</f>
        <v/>
      </c>
      <c r="AH6122" s="49">
        <f>LEFT(J6122,2)</f>
        <v/>
      </c>
    </row>
    <row r="6123" ht="12.75" customHeight="1">
      <c r="H6123" s="43" t="n"/>
      <c r="AG6123" s="49">
        <f>IFERROR(__xludf.DUMMYFUNCTION("IFNA(vlookup(H6123,IMPORTRANGE(""1vUGwO1n0QQGx9kKbO0_M5gmuhXZ6-LaxQxgrmJnzgP0"",""'TP# look up'!A:C""),3,0),"""")"),"")</f>
        <v/>
      </c>
      <c r="AH6123" s="49">
        <f>LEFT(J6123,2)</f>
        <v/>
      </c>
    </row>
    <row r="6124" ht="12.75" customHeight="1">
      <c r="H6124" s="43" t="n"/>
      <c r="AG6124" s="49">
        <f>IFERROR(__xludf.DUMMYFUNCTION("IFNA(vlookup(H6124,IMPORTRANGE(""1vUGwO1n0QQGx9kKbO0_M5gmuhXZ6-LaxQxgrmJnzgP0"",""'TP# look up'!A:C""),3,0),"""")"),"")</f>
        <v/>
      </c>
      <c r="AH6124" s="49">
        <f>LEFT(J6124,2)</f>
        <v/>
      </c>
    </row>
    <row r="6125" ht="12.75" customHeight="1">
      <c r="H6125" s="43" t="n"/>
      <c r="AG6125" s="49">
        <f>IFERROR(__xludf.DUMMYFUNCTION("IFNA(vlookup(H6125,IMPORTRANGE(""1vUGwO1n0QQGx9kKbO0_M5gmuhXZ6-LaxQxgrmJnzgP0"",""'TP# look up'!A:C""),3,0),"""")"),"")</f>
        <v/>
      </c>
      <c r="AH6125" s="49">
        <f>LEFT(J6125,2)</f>
        <v/>
      </c>
    </row>
    <row r="6126" ht="12.75" customHeight="1">
      <c r="H6126" s="43" t="n"/>
      <c r="AG6126" s="49">
        <f>IFERROR(__xludf.DUMMYFUNCTION("IFNA(vlookup(H6126,IMPORTRANGE(""1vUGwO1n0QQGx9kKbO0_M5gmuhXZ6-LaxQxgrmJnzgP0"",""'TP# look up'!A:C""),3,0),"""")"),"")</f>
        <v/>
      </c>
      <c r="AH6126" s="49">
        <f>LEFT(J6126,2)</f>
        <v/>
      </c>
    </row>
    <row r="6127" ht="12.75" customHeight="1">
      <c r="H6127" s="43" t="n"/>
      <c r="AG6127" s="49">
        <f>IFERROR(__xludf.DUMMYFUNCTION("IFNA(vlookup(H6127,IMPORTRANGE(""1vUGwO1n0QQGx9kKbO0_M5gmuhXZ6-LaxQxgrmJnzgP0"",""'TP# look up'!A:C""),3,0),"""")"),"")</f>
        <v/>
      </c>
      <c r="AH6127" s="49">
        <f>LEFT(J6127,2)</f>
        <v/>
      </c>
    </row>
    <row r="6128" ht="12.75" customHeight="1">
      <c r="H6128" s="43" t="n"/>
      <c r="AG6128" s="49">
        <f>IFERROR(__xludf.DUMMYFUNCTION("IFNA(vlookup(H6128,IMPORTRANGE(""1vUGwO1n0QQGx9kKbO0_M5gmuhXZ6-LaxQxgrmJnzgP0"",""'TP# look up'!A:C""),3,0),"""")"),"")</f>
        <v/>
      </c>
      <c r="AH6128" s="49">
        <f>LEFT(J6128,2)</f>
        <v/>
      </c>
    </row>
    <row r="6129" ht="12.75" customHeight="1">
      <c r="H6129" s="43" t="n"/>
      <c r="AG6129" s="49">
        <f>IFERROR(__xludf.DUMMYFUNCTION("IFNA(vlookup(H6129,IMPORTRANGE(""1vUGwO1n0QQGx9kKbO0_M5gmuhXZ6-LaxQxgrmJnzgP0"",""'TP# look up'!A:C""),3,0),"""")"),"")</f>
        <v/>
      </c>
      <c r="AH6129" s="49">
        <f>LEFT(J6129,2)</f>
        <v/>
      </c>
    </row>
    <row r="6130" ht="12.75" customHeight="1">
      <c r="H6130" s="43" t="n"/>
      <c r="AG6130" s="49">
        <f>IFERROR(__xludf.DUMMYFUNCTION("IFNA(vlookup(H6130,IMPORTRANGE(""1vUGwO1n0QQGx9kKbO0_M5gmuhXZ6-LaxQxgrmJnzgP0"",""'TP# look up'!A:C""),3,0),"""")"),"")</f>
        <v/>
      </c>
      <c r="AH6130" s="49">
        <f>LEFT(J6130,2)</f>
        <v/>
      </c>
    </row>
    <row r="6131" ht="12.75" customHeight="1">
      <c r="H6131" s="43" t="n"/>
      <c r="AG6131" s="49">
        <f>IFERROR(__xludf.DUMMYFUNCTION("IFNA(vlookup(H6131,IMPORTRANGE(""1vUGwO1n0QQGx9kKbO0_M5gmuhXZ6-LaxQxgrmJnzgP0"",""'TP# look up'!A:C""),3,0),"""")"),"")</f>
        <v/>
      </c>
      <c r="AH6131" s="49">
        <f>LEFT(J6131,2)</f>
        <v/>
      </c>
    </row>
    <row r="6132" ht="12.75" customHeight="1">
      <c r="H6132" s="43" t="n"/>
      <c r="AG6132" s="49">
        <f>IFERROR(__xludf.DUMMYFUNCTION("IFNA(vlookup(H6132,IMPORTRANGE(""1vUGwO1n0QQGx9kKbO0_M5gmuhXZ6-LaxQxgrmJnzgP0"",""'TP# look up'!A:C""),3,0),"""")"),"")</f>
        <v/>
      </c>
      <c r="AH6132" s="49">
        <f>LEFT(J6132,2)</f>
        <v/>
      </c>
    </row>
    <row r="6133" ht="12.75" customHeight="1">
      <c r="H6133" s="43" t="n"/>
      <c r="AG6133" s="49">
        <f>IFERROR(__xludf.DUMMYFUNCTION("IFNA(vlookup(H6133,IMPORTRANGE(""1vUGwO1n0QQGx9kKbO0_M5gmuhXZ6-LaxQxgrmJnzgP0"",""'TP# look up'!A:C""),3,0),"""")"),"")</f>
        <v/>
      </c>
      <c r="AH6133" s="49">
        <f>LEFT(J6133,2)</f>
        <v/>
      </c>
    </row>
    <row r="6134" ht="12.75" customHeight="1">
      <c r="H6134" s="43" t="n"/>
      <c r="AG6134" s="49">
        <f>IFERROR(__xludf.DUMMYFUNCTION("IFNA(vlookup(H6134,IMPORTRANGE(""1vUGwO1n0QQGx9kKbO0_M5gmuhXZ6-LaxQxgrmJnzgP0"",""'TP# look up'!A:C""),3,0),"""")"),"")</f>
        <v/>
      </c>
      <c r="AH6134" s="49">
        <f>LEFT(J6134,2)</f>
        <v/>
      </c>
    </row>
    <row r="6135" ht="12.75" customHeight="1">
      <c r="H6135" s="43" t="n"/>
      <c r="AG6135" s="49">
        <f>IFERROR(__xludf.DUMMYFUNCTION("IFNA(vlookup(H6135,IMPORTRANGE(""1vUGwO1n0QQGx9kKbO0_M5gmuhXZ6-LaxQxgrmJnzgP0"",""'TP# look up'!A:C""),3,0),"""")"),"")</f>
        <v/>
      </c>
      <c r="AH6135" s="49">
        <f>LEFT(J6135,2)</f>
        <v/>
      </c>
    </row>
    <row r="6136" ht="12.75" customHeight="1">
      <c r="H6136" s="43" t="n"/>
      <c r="AG6136" s="49">
        <f>IFERROR(__xludf.DUMMYFUNCTION("IFNA(vlookup(H6136,IMPORTRANGE(""1vUGwO1n0QQGx9kKbO0_M5gmuhXZ6-LaxQxgrmJnzgP0"",""'TP# look up'!A:C""),3,0),"""")"),"")</f>
        <v/>
      </c>
      <c r="AH6136" s="49">
        <f>LEFT(J6136,2)</f>
        <v/>
      </c>
    </row>
    <row r="6137" ht="12.75" customHeight="1">
      <c r="H6137" s="43" t="n"/>
      <c r="AG6137" s="49">
        <f>IFERROR(__xludf.DUMMYFUNCTION("IFNA(vlookup(H6137,IMPORTRANGE(""1vUGwO1n0QQGx9kKbO0_M5gmuhXZ6-LaxQxgrmJnzgP0"",""'TP# look up'!A:C""),3,0),"""")"),"")</f>
        <v/>
      </c>
      <c r="AH6137" s="49">
        <f>LEFT(J6137,2)</f>
        <v/>
      </c>
    </row>
    <row r="6138" ht="12.75" customHeight="1">
      <c r="H6138" s="43" t="n"/>
      <c r="AG6138" s="49">
        <f>IFERROR(__xludf.DUMMYFUNCTION("IFNA(vlookup(H6138,IMPORTRANGE(""1vUGwO1n0QQGx9kKbO0_M5gmuhXZ6-LaxQxgrmJnzgP0"",""'TP# look up'!A:C""),3,0),"""")"),"")</f>
        <v/>
      </c>
      <c r="AH6138" s="49">
        <f>LEFT(J6138,2)</f>
        <v/>
      </c>
    </row>
    <row r="6139" ht="12.75" customHeight="1">
      <c r="H6139" s="43" t="n"/>
      <c r="AG6139" s="49">
        <f>IFERROR(__xludf.DUMMYFUNCTION("IFNA(vlookup(H6139,IMPORTRANGE(""1vUGwO1n0QQGx9kKbO0_M5gmuhXZ6-LaxQxgrmJnzgP0"",""'TP# look up'!A:C""),3,0),"""")"),"")</f>
        <v/>
      </c>
      <c r="AH6139" s="49">
        <f>LEFT(J6139,2)</f>
        <v/>
      </c>
    </row>
    <row r="6140" ht="12.75" customHeight="1">
      <c r="H6140" s="43" t="n"/>
      <c r="AG6140" s="49">
        <f>IFERROR(__xludf.DUMMYFUNCTION("IFNA(vlookup(H6140,IMPORTRANGE(""1vUGwO1n0QQGx9kKbO0_M5gmuhXZ6-LaxQxgrmJnzgP0"",""'TP# look up'!A:C""),3,0),"""")"),"")</f>
        <v/>
      </c>
      <c r="AH6140" s="49">
        <f>LEFT(J6140,2)</f>
        <v/>
      </c>
    </row>
    <row r="6141" ht="12.75" customHeight="1">
      <c r="H6141" s="43" t="n"/>
      <c r="AG6141" s="49">
        <f>IFERROR(__xludf.DUMMYFUNCTION("IFNA(vlookup(H6141,IMPORTRANGE(""1vUGwO1n0QQGx9kKbO0_M5gmuhXZ6-LaxQxgrmJnzgP0"",""'TP# look up'!A:C""),3,0),"""")"),"")</f>
        <v/>
      </c>
      <c r="AH6141" s="49">
        <f>LEFT(J6141,2)</f>
        <v/>
      </c>
    </row>
    <row r="6142" ht="12.75" customHeight="1">
      <c r="H6142" s="43" t="n"/>
      <c r="AG6142" s="49">
        <f>IFERROR(__xludf.DUMMYFUNCTION("IFNA(vlookup(H6142,IMPORTRANGE(""1vUGwO1n0QQGx9kKbO0_M5gmuhXZ6-LaxQxgrmJnzgP0"",""'TP# look up'!A:C""),3,0),"""")"),"")</f>
        <v/>
      </c>
      <c r="AH6142" s="49">
        <f>LEFT(J6142,2)</f>
        <v/>
      </c>
    </row>
    <row r="6143" ht="12.75" customHeight="1">
      <c r="H6143" s="43" t="n"/>
      <c r="AG6143" s="49">
        <f>IFERROR(__xludf.DUMMYFUNCTION("IFNA(vlookup(H6143,IMPORTRANGE(""1vUGwO1n0QQGx9kKbO0_M5gmuhXZ6-LaxQxgrmJnzgP0"",""'TP# look up'!A:C""),3,0),"""")"),"")</f>
        <v/>
      </c>
      <c r="AH6143" s="49">
        <f>LEFT(J6143,2)</f>
        <v/>
      </c>
    </row>
    <row r="6144" ht="12.75" customHeight="1">
      <c r="H6144" s="43" t="n"/>
      <c r="AG6144" s="49">
        <f>IFERROR(__xludf.DUMMYFUNCTION("IFNA(vlookup(H6144,IMPORTRANGE(""1vUGwO1n0QQGx9kKbO0_M5gmuhXZ6-LaxQxgrmJnzgP0"",""'TP# look up'!A:C""),3,0),"""")"),"")</f>
        <v/>
      </c>
      <c r="AH6144" s="49">
        <f>LEFT(J6144,2)</f>
        <v/>
      </c>
    </row>
    <row r="6145" ht="12.75" customHeight="1">
      <c r="H6145" s="43" t="n"/>
      <c r="AG6145" s="49">
        <f>IFERROR(__xludf.DUMMYFUNCTION("IFNA(vlookup(H6145,IMPORTRANGE(""1vUGwO1n0QQGx9kKbO0_M5gmuhXZ6-LaxQxgrmJnzgP0"",""'TP# look up'!A:C""),3,0),"""")"),"")</f>
        <v/>
      </c>
      <c r="AH6145" s="49">
        <f>LEFT(J6145,2)</f>
        <v/>
      </c>
    </row>
    <row r="6146" ht="12.75" customHeight="1">
      <c r="H6146" s="43" t="n"/>
      <c r="AG6146" s="49">
        <f>IFERROR(__xludf.DUMMYFUNCTION("IFNA(vlookup(H6146,IMPORTRANGE(""1vUGwO1n0QQGx9kKbO0_M5gmuhXZ6-LaxQxgrmJnzgP0"",""'TP# look up'!A:C""),3,0),"""")"),"")</f>
        <v/>
      </c>
      <c r="AH6146" s="49">
        <f>LEFT(J6146,2)</f>
        <v/>
      </c>
    </row>
    <row r="6147" ht="12.75" customHeight="1">
      <c r="H6147" s="43" t="n"/>
      <c r="AG6147" s="49">
        <f>IFERROR(__xludf.DUMMYFUNCTION("IFNA(vlookup(H6147,IMPORTRANGE(""1vUGwO1n0QQGx9kKbO0_M5gmuhXZ6-LaxQxgrmJnzgP0"",""'TP# look up'!A:C""),3,0),"""")"),"")</f>
        <v/>
      </c>
      <c r="AH6147" s="49">
        <f>LEFT(J6147,2)</f>
        <v/>
      </c>
    </row>
    <row r="6148" ht="12.75" customHeight="1">
      <c r="H6148" s="43" t="n"/>
      <c r="AG6148" s="49">
        <f>IFERROR(__xludf.DUMMYFUNCTION("IFNA(vlookup(H6148,IMPORTRANGE(""1vUGwO1n0QQGx9kKbO0_M5gmuhXZ6-LaxQxgrmJnzgP0"",""'TP# look up'!A:C""),3,0),"""")"),"")</f>
        <v/>
      </c>
      <c r="AH6148" s="49">
        <f>LEFT(J6148,2)</f>
        <v/>
      </c>
    </row>
    <row r="6149" ht="12.75" customHeight="1">
      <c r="H6149" s="43" t="n"/>
      <c r="AG6149" s="49">
        <f>IFERROR(__xludf.DUMMYFUNCTION("IFNA(vlookup(H6149,IMPORTRANGE(""1vUGwO1n0QQGx9kKbO0_M5gmuhXZ6-LaxQxgrmJnzgP0"",""'TP# look up'!A:C""),3,0),"""")"),"")</f>
        <v/>
      </c>
      <c r="AH6149" s="49">
        <f>LEFT(J6149,2)</f>
        <v/>
      </c>
    </row>
    <row r="6150" ht="12.75" customHeight="1">
      <c r="H6150" s="43" t="n"/>
      <c r="AG6150" s="49">
        <f>IFERROR(__xludf.DUMMYFUNCTION("IFNA(vlookup(H6150,IMPORTRANGE(""1vUGwO1n0QQGx9kKbO0_M5gmuhXZ6-LaxQxgrmJnzgP0"",""'TP# look up'!A:C""),3,0),"""")"),"")</f>
        <v/>
      </c>
      <c r="AH6150" s="49">
        <f>LEFT(J6150,2)</f>
        <v/>
      </c>
    </row>
    <row r="6151" ht="12.75" customHeight="1">
      <c r="H6151" s="43" t="n"/>
      <c r="AG6151" s="49">
        <f>IFERROR(__xludf.DUMMYFUNCTION("IFNA(vlookup(H6151,IMPORTRANGE(""1vUGwO1n0QQGx9kKbO0_M5gmuhXZ6-LaxQxgrmJnzgP0"",""'TP# look up'!A:C""),3,0),"""")"),"")</f>
        <v/>
      </c>
      <c r="AH6151" s="49">
        <f>LEFT(J6151,2)</f>
        <v/>
      </c>
    </row>
    <row r="6152" ht="12.75" customHeight="1">
      <c r="H6152" s="43" t="n"/>
      <c r="AG6152" s="49">
        <f>IFERROR(__xludf.DUMMYFUNCTION("IFNA(vlookup(H6152,IMPORTRANGE(""1vUGwO1n0QQGx9kKbO0_M5gmuhXZ6-LaxQxgrmJnzgP0"",""'TP# look up'!A:C""),3,0),"""")"),"")</f>
        <v/>
      </c>
      <c r="AH6152" s="49">
        <f>LEFT(J6152,2)</f>
        <v/>
      </c>
    </row>
    <row r="6153" ht="12.75" customHeight="1">
      <c r="H6153" s="43" t="n"/>
      <c r="AG6153" s="49">
        <f>IFERROR(__xludf.DUMMYFUNCTION("IFNA(vlookup(H6153,IMPORTRANGE(""1vUGwO1n0QQGx9kKbO0_M5gmuhXZ6-LaxQxgrmJnzgP0"",""'TP# look up'!A:C""),3,0),"""")"),"")</f>
        <v/>
      </c>
      <c r="AH6153" s="49">
        <f>LEFT(J6153,2)</f>
        <v/>
      </c>
    </row>
    <row r="6154" ht="12.75" customHeight="1">
      <c r="H6154" s="43" t="n"/>
      <c r="AG6154" s="49">
        <f>IFERROR(__xludf.DUMMYFUNCTION("IFNA(vlookup(H6154,IMPORTRANGE(""1vUGwO1n0QQGx9kKbO0_M5gmuhXZ6-LaxQxgrmJnzgP0"",""'TP# look up'!A:C""),3,0),"""")"),"")</f>
        <v/>
      </c>
      <c r="AH6154" s="49">
        <f>LEFT(J6154,2)</f>
        <v/>
      </c>
    </row>
    <row r="6155" ht="12.75" customHeight="1">
      <c r="H6155" s="43" t="n"/>
      <c r="AG6155" s="49">
        <f>IFERROR(__xludf.DUMMYFUNCTION("IFNA(vlookup(H6155,IMPORTRANGE(""1vUGwO1n0QQGx9kKbO0_M5gmuhXZ6-LaxQxgrmJnzgP0"",""'TP# look up'!A:C""),3,0),"""")"),"")</f>
        <v/>
      </c>
      <c r="AH6155" s="49">
        <f>LEFT(J6155,2)</f>
        <v/>
      </c>
    </row>
    <row r="6156" ht="12.75" customHeight="1">
      <c r="H6156" s="43" t="n"/>
      <c r="AG6156" s="49">
        <f>IFERROR(__xludf.DUMMYFUNCTION("IFNA(vlookup(H6156,IMPORTRANGE(""1vUGwO1n0QQGx9kKbO0_M5gmuhXZ6-LaxQxgrmJnzgP0"",""'TP# look up'!A:C""),3,0),"""")"),"")</f>
        <v/>
      </c>
      <c r="AH6156" s="49">
        <f>LEFT(J6156,2)</f>
        <v/>
      </c>
    </row>
    <row r="6157" ht="12.75" customHeight="1">
      <c r="H6157" s="43" t="n"/>
      <c r="AG6157" s="49">
        <f>IFERROR(__xludf.DUMMYFUNCTION("IFNA(vlookup(H6157,IMPORTRANGE(""1vUGwO1n0QQGx9kKbO0_M5gmuhXZ6-LaxQxgrmJnzgP0"",""'TP# look up'!A:C""),3,0),"""")"),"")</f>
        <v/>
      </c>
      <c r="AH6157" s="49">
        <f>LEFT(J6157,2)</f>
        <v/>
      </c>
    </row>
    <row r="6158" ht="12.75" customHeight="1">
      <c r="H6158" s="43" t="n"/>
      <c r="AG6158" s="49">
        <f>IFERROR(__xludf.DUMMYFUNCTION("IFNA(vlookup(H6158,IMPORTRANGE(""1vUGwO1n0QQGx9kKbO0_M5gmuhXZ6-LaxQxgrmJnzgP0"",""'TP# look up'!A:C""),3,0),"""")"),"")</f>
        <v/>
      </c>
      <c r="AH6158" s="49">
        <f>LEFT(J6158,2)</f>
        <v/>
      </c>
    </row>
    <row r="6159" ht="12.75" customHeight="1">
      <c r="H6159" s="43" t="n"/>
      <c r="AG6159" s="49">
        <f>IFERROR(__xludf.DUMMYFUNCTION("IFNA(vlookup(H6159,IMPORTRANGE(""1vUGwO1n0QQGx9kKbO0_M5gmuhXZ6-LaxQxgrmJnzgP0"",""'TP# look up'!A:C""),3,0),"""")"),"")</f>
        <v/>
      </c>
      <c r="AH6159" s="49">
        <f>LEFT(J6159,2)</f>
        <v/>
      </c>
    </row>
    <row r="6160" ht="12.75" customHeight="1">
      <c r="H6160" s="43" t="n"/>
      <c r="AG6160" s="49">
        <f>IFERROR(__xludf.DUMMYFUNCTION("IFNA(vlookup(H6160,IMPORTRANGE(""1vUGwO1n0QQGx9kKbO0_M5gmuhXZ6-LaxQxgrmJnzgP0"",""'TP# look up'!A:C""),3,0),"""")"),"")</f>
        <v/>
      </c>
      <c r="AH6160" s="49">
        <f>LEFT(J6160,2)</f>
        <v/>
      </c>
    </row>
    <row r="6161" ht="12.75" customHeight="1">
      <c r="H6161" s="43" t="n"/>
      <c r="AG6161" s="49">
        <f>IFERROR(__xludf.DUMMYFUNCTION("IFNA(vlookup(H6161,IMPORTRANGE(""1vUGwO1n0QQGx9kKbO0_M5gmuhXZ6-LaxQxgrmJnzgP0"",""'TP# look up'!A:C""),3,0),"""")"),"")</f>
        <v/>
      </c>
      <c r="AH6161" s="49">
        <f>LEFT(J6161,2)</f>
        <v/>
      </c>
    </row>
    <row r="6162" ht="12.75" customHeight="1">
      <c r="H6162" s="43" t="n"/>
      <c r="AG6162" s="49">
        <f>IFERROR(__xludf.DUMMYFUNCTION("IFNA(vlookup(H6162,IMPORTRANGE(""1vUGwO1n0QQGx9kKbO0_M5gmuhXZ6-LaxQxgrmJnzgP0"",""'TP# look up'!A:C""),3,0),"""")"),"")</f>
        <v/>
      </c>
      <c r="AH6162" s="49">
        <f>LEFT(J6162,2)</f>
        <v/>
      </c>
    </row>
    <row r="6163" ht="12.75" customHeight="1">
      <c r="H6163" s="43" t="n"/>
      <c r="AG6163" s="49">
        <f>IFERROR(__xludf.DUMMYFUNCTION("IFNA(vlookup(H6163,IMPORTRANGE(""1vUGwO1n0QQGx9kKbO0_M5gmuhXZ6-LaxQxgrmJnzgP0"",""'TP# look up'!A:C""),3,0),"""")"),"")</f>
        <v/>
      </c>
      <c r="AH6163" s="49">
        <f>LEFT(J6163,2)</f>
        <v/>
      </c>
    </row>
    <row r="6164" ht="12.75" customHeight="1">
      <c r="H6164" s="43" t="n"/>
      <c r="AG6164" s="49">
        <f>IFERROR(__xludf.DUMMYFUNCTION("IFNA(vlookup(H6164,IMPORTRANGE(""1vUGwO1n0QQGx9kKbO0_M5gmuhXZ6-LaxQxgrmJnzgP0"",""'TP# look up'!A:C""),3,0),"""")"),"")</f>
        <v/>
      </c>
      <c r="AH6164" s="49">
        <f>LEFT(J6164,2)</f>
        <v/>
      </c>
    </row>
    <row r="6165" ht="12.75" customHeight="1">
      <c r="H6165" s="43" t="n"/>
      <c r="AG6165" s="49">
        <f>IFERROR(__xludf.DUMMYFUNCTION("IFNA(vlookup(H6165,IMPORTRANGE(""1vUGwO1n0QQGx9kKbO0_M5gmuhXZ6-LaxQxgrmJnzgP0"",""'TP# look up'!A:C""),3,0),"""")"),"")</f>
        <v/>
      </c>
      <c r="AH6165" s="49">
        <f>LEFT(J6165,2)</f>
        <v/>
      </c>
    </row>
    <row r="6166" ht="12.75" customHeight="1">
      <c r="H6166" s="43" t="n"/>
      <c r="AG6166" s="49">
        <f>IFERROR(__xludf.DUMMYFUNCTION("IFNA(vlookup(H6166,IMPORTRANGE(""1vUGwO1n0QQGx9kKbO0_M5gmuhXZ6-LaxQxgrmJnzgP0"",""'TP# look up'!A:C""),3,0),"""")"),"")</f>
        <v/>
      </c>
      <c r="AH6166" s="49">
        <f>LEFT(J6166,2)</f>
        <v/>
      </c>
    </row>
    <row r="6167" ht="12.75" customHeight="1">
      <c r="H6167" s="43" t="n"/>
      <c r="AG6167" s="49">
        <f>IFERROR(__xludf.DUMMYFUNCTION("IFNA(vlookup(H6167,IMPORTRANGE(""1vUGwO1n0QQGx9kKbO0_M5gmuhXZ6-LaxQxgrmJnzgP0"",""'TP# look up'!A:C""),3,0),"""")"),"")</f>
        <v/>
      </c>
      <c r="AH6167" s="49">
        <f>LEFT(J6167,2)</f>
        <v/>
      </c>
    </row>
    <row r="6168" ht="12.75" customHeight="1">
      <c r="H6168" s="43" t="n"/>
      <c r="AG6168" s="49">
        <f>IFERROR(__xludf.DUMMYFUNCTION("IFNA(vlookup(H6168,IMPORTRANGE(""1vUGwO1n0QQGx9kKbO0_M5gmuhXZ6-LaxQxgrmJnzgP0"",""'TP# look up'!A:C""),3,0),"""")"),"")</f>
        <v/>
      </c>
      <c r="AH6168" s="49">
        <f>LEFT(J6168,2)</f>
        <v/>
      </c>
    </row>
    <row r="6169" ht="12.75" customHeight="1">
      <c r="H6169" s="43" t="n"/>
      <c r="AG6169" s="49">
        <f>IFERROR(__xludf.DUMMYFUNCTION("IFNA(vlookup(H6169,IMPORTRANGE(""1vUGwO1n0QQGx9kKbO0_M5gmuhXZ6-LaxQxgrmJnzgP0"",""'TP# look up'!A:C""),3,0),"""")"),"")</f>
        <v/>
      </c>
      <c r="AH6169" s="49">
        <f>LEFT(J6169,2)</f>
        <v/>
      </c>
    </row>
    <row r="6170" ht="12.75" customHeight="1">
      <c r="H6170" s="43" t="n"/>
      <c r="AG6170" s="49">
        <f>IFERROR(__xludf.DUMMYFUNCTION("IFNA(vlookup(H6170,IMPORTRANGE(""1vUGwO1n0QQGx9kKbO0_M5gmuhXZ6-LaxQxgrmJnzgP0"",""'TP# look up'!A:C""),3,0),"""")"),"")</f>
        <v/>
      </c>
      <c r="AH6170" s="49">
        <f>LEFT(J6170,2)</f>
        <v/>
      </c>
    </row>
    <row r="6171" ht="12.75" customHeight="1">
      <c r="H6171" s="43" t="n"/>
      <c r="AG6171" s="49">
        <f>IFERROR(__xludf.DUMMYFUNCTION("IFNA(vlookup(H6171,IMPORTRANGE(""1vUGwO1n0QQGx9kKbO0_M5gmuhXZ6-LaxQxgrmJnzgP0"",""'TP# look up'!A:C""),3,0),"""")"),"")</f>
        <v/>
      </c>
      <c r="AH6171" s="49">
        <f>LEFT(J6171,2)</f>
        <v/>
      </c>
    </row>
    <row r="6172" ht="12.75" customHeight="1">
      <c r="H6172" s="43" t="n"/>
      <c r="AG6172" s="49">
        <f>IFERROR(__xludf.DUMMYFUNCTION("IFNA(vlookup(H6172,IMPORTRANGE(""1vUGwO1n0QQGx9kKbO0_M5gmuhXZ6-LaxQxgrmJnzgP0"",""'TP# look up'!A:C""),3,0),"""")"),"")</f>
        <v/>
      </c>
      <c r="AH6172" s="49">
        <f>LEFT(J6172,2)</f>
        <v/>
      </c>
    </row>
    <row r="6173" ht="12.75" customHeight="1">
      <c r="H6173" s="43" t="n"/>
      <c r="AG6173" s="49">
        <f>IFERROR(__xludf.DUMMYFUNCTION("IFNA(vlookup(H6173,IMPORTRANGE(""1vUGwO1n0QQGx9kKbO0_M5gmuhXZ6-LaxQxgrmJnzgP0"",""'TP# look up'!A:C""),3,0),"""")"),"")</f>
        <v/>
      </c>
      <c r="AH6173" s="49">
        <f>LEFT(J6173,2)</f>
        <v/>
      </c>
    </row>
    <row r="6174" ht="12.75" customHeight="1">
      <c r="H6174" s="43" t="n"/>
      <c r="AG6174" s="49">
        <f>IFERROR(__xludf.DUMMYFUNCTION("IFNA(vlookup(H6174,IMPORTRANGE(""1vUGwO1n0QQGx9kKbO0_M5gmuhXZ6-LaxQxgrmJnzgP0"",""'TP# look up'!A:C""),3,0),"""")"),"")</f>
        <v/>
      </c>
      <c r="AH6174" s="49">
        <f>LEFT(J6174,2)</f>
        <v/>
      </c>
    </row>
    <row r="6175" ht="12.75" customHeight="1">
      <c r="H6175" s="43" t="n"/>
      <c r="AG6175" s="49">
        <f>IFERROR(__xludf.DUMMYFUNCTION("IFNA(vlookup(H6175,IMPORTRANGE(""1vUGwO1n0QQGx9kKbO0_M5gmuhXZ6-LaxQxgrmJnzgP0"",""'TP# look up'!A:C""),3,0),"""")"),"")</f>
        <v/>
      </c>
      <c r="AH6175" s="49">
        <f>LEFT(J6175,2)</f>
        <v/>
      </c>
    </row>
    <row r="6176" ht="12.75" customHeight="1">
      <c r="H6176" s="43" t="n"/>
      <c r="AG6176" s="49">
        <f>IFERROR(__xludf.DUMMYFUNCTION("IFNA(vlookup(H6176,IMPORTRANGE(""1vUGwO1n0QQGx9kKbO0_M5gmuhXZ6-LaxQxgrmJnzgP0"",""'TP# look up'!A:C""),3,0),"""")"),"")</f>
        <v/>
      </c>
      <c r="AH6176" s="49">
        <f>LEFT(J6176,2)</f>
        <v/>
      </c>
    </row>
    <row r="6177" ht="12.75" customHeight="1">
      <c r="H6177" s="43" t="n"/>
      <c r="AG6177" s="49">
        <f>IFERROR(__xludf.DUMMYFUNCTION("IFNA(vlookup(H6177,IMPORTRANGE(""1vUGwO1n0QQGx9kKbO0_M5gmuhXZ6-LaxQxgrmJnzgP0"",""'TP# look up'!A:C""),3,0),"""")"),"")</f>
        <v/>
      </c>
      <c r="AH6177" s="49">
        <f>LEFT(J6177,2)</f>
        <v/>
      </c>
    </row>
    <row r="6178" ht="12.75" customHeight="1">
      <c r="H6178" s="43" t="n"/>
      <c r="AG6178" s="49">
        <f>IFERROR(__xludf.DUMMYFUNCTION("IFNA(vlookup(H6178,IMPORTRANGE(""1vUGwO1n0QQGx9kKbO0_M5gmuhXZ6-LaxQxgrmJnzgP0"",""'TP# look up'!A:C""),3,0),"""")"),"")</f>
        <v/>
      </c>
      <c r="AH6178" s="49">
        <f>LEFT(J6178,2)</f>
        <v/>
      </c>
    </row>
    <row r="6179" ht="12.75" customHeight="1">
      <c r="H6179" s="43" t="n"/>
      <c r="AG6179" s="49">
        <f>IFERROR(__xludf.DUMMYFUNCTION("IFNA(vlookup(H6179,IMPORTRANGE(""1vUGwO1n0QQGx9kKbO0_M5gmuhXZ6-LaxQxgrmJnzgP0"",""'TP# look up'!A:C""),3,0),"""")"),"")</f>
        <v/>
      </c>
      <c r="AH6179" s="49">
        <f>LEFT(J6179,2)</f>
        <v/>
      </c>
    </row>
    <row r="6180" ht="12.75" customHeight="1">
      <c r="H6180" s="43" t="n"/>
      <c r="AG6180" s="49">
        <f>IFERROR(__xludf.DUMMYFUNCTION("IFNA(vlookup(H6180,IMPORTRANGE(""1vUGwO1n0QQGx9kKbO0_M5gmuhXZ6-LaxQxgrmJnzgP0"",""'TP# look up'!A:C""),3,0),"""")"),"")</f>
        <v/>
      </c>
      <c r="AH6180" s="49">
        <f>LEFT(J6180,2)</f>
        <v/>
      </c>
    </row>
    <row r="6181" ht="12.75" customHeight="1">
      <c r="H6181" s="43" t="n"/>
      <c r="AG6181" s="49">
        <f>IFERROR(__xludf.DUMMYFUNCTION("IFNA(vlookup(H6181,IMPORTRANGE(""1vUGwO1n0QQGx9kKbO0_M5gmuhXZ6-LaxQxgrmJnzgP0"",""'TP# look up'!A:C""),3,0),"""")"),"")</f>
        <v/>
      </c>
      <c r="AH6181" s="49">
        <f>LEFT(J6181,2)</f>
        <v/>
      </c>
    </row>
    <row r="6182" ht="12.75" customHeight="1">
      <c r="H6182" s="43" t="n"/>
      <c r="AG6182" s="49">
        <f>IFERROR(__xludf.DUMMYFUNCTION("IFNA(vlookup(H6182,IMPORTRANGE(""1vUGwO1n0QQGx9kKbO0_M5gmuhXZ6-LaxQxgrmJnzgP0"",""'TP# look up'!A:C""),3,0),"""")"),"")</f>
        <v/>
      </c>
      <c r="AH6182" s="49">
        <f>LEFT(J6182,2)</f>
        <v/>
      </c>
    </row>
    <row r="6183" ht="12.75" customHeight="1">
      <c r="H6183" s="43" t="n"/>
      <c r="AG6183" s="49">
        <f>IFERROR(__xludf.DUMMYFUNCTION("IFNA(vlookup(H6183,IMPORTRANGE(""1vUGwO1n0QQGx9kKbO0_M5gmuhXZ6-LaxQxgrmJnzgP0"",""'TP# look up'!A:C""),3,0),"""")"),"")</f>
        <v/>
      </c>
      <c r="AH6183" s="49">
        <f>LEFT(J6183,2)</f>
        <v/>
      </c>
    </row>
    <row r="6184" ht="12.75" customHeight="1">
      <c r="H6184" s="43" t="n"/>
      <c r="AG6184" s="49">
        <f>IFERROR(__xludf.DUMMYFUNCTION("IFNA(vlookup(H6184,IMPORTRANGE(""1vUGwO1n0QQGx9kKbO0_M5gmuhXZ6-LaxQxgrmJnzgP0"",""'TP# look up'!A:C""),3,0),"""")"),"")</f>
        <v/>
      </c>
      <c r="AH6184" s="49">
        <f>LEFT(J6184,2)</f>
        <v/>
      </c>
    </row>
    <row r="6185" ht="12.75" customHeight="1">
      <c r="H6185" s="43" t="n"/>
      <c r="AG6185" s="49">
        <f>IFERROR(__xludf.DUMMYFUNCTION("IFNA(vlookup(H6185,IMPORTRANGE(""1vUGwO1n0QQGx9kKbO0_M5gmuhXZ6-LaxQxgrmJnzgP0"",""'TP# look up'!A:C""),3,0),"""")"),"")</f>
        <v/>
      </c>
      <c r="AH6185" s="49">
        <f>LEFT(J6185,2)</f>
        <v/>
      </c>
    </row>
    <row r="6186" ht="12.75" customHeight="1">
      <c r="H6186" s="43" t="n"/>
      <c r="AG6186" s="49">
        <f>IFERROR(__xludf.DUMMYFUNCTION("IFNA(vlookup(H6186,IMPORTRANGE(""1vUGwO1n0QQGx9kKbO0_M5gmuhXZ6-LaxQxgrmJnzgP0"",""'TP# look up'!A:C""),3,0),"""")"),"")</f>
        <v/>
      </c>
      <c r="AH6186" s="49">
        <f>LEFT(J6186,2)</f>
        <v/>
      </c>
    </row>
    <row r="6187" ht="12.75" customHeight="1">
      <c r="H6187" s="43" t="n"/>
      <c r="AG6187" s="49">
        <f>IFERROR(__xludf.DUMMYFUNCTION("IFNA(vlookup(H6187,IMPORTRANGE(""1vUGwO1n0QQGx9kKbO0_M5gmuhXZ6-LaxQxgrmJnzgP0"",""'TP# look up'!A:C""),3,0),"""")"),"")</f>
        <v/>
      </c>
      <c r="AH6187" s="49">
        <f>LEFT(J6187,2)</f>
        <v/>
      </c>
    </row>
    <row r="6188" ht="12.75" customHeight="1">
      <c r="H6188" s="43" t="n"/>
      <c r="AG6188" s="49">
        <f>IFERROR(__xludf.DUMMYFUNCTION("IFNA(vlookup(H6188,IMPORTRANGE(""1vUGwO1n0QQGx9kKbO0_M5gmuhXZ6-LaxQxgrmJnzgP0"",""'TP# look up'!A:C""),3,0),"""")"),"")</f>
        <v/>
      </c>
      <c r="AH6188" s="49">
        <f>LEFT(J6188,2)</f>
        <v/>
      </c>
    </row>
    <row r="6189" ht="12.75" customHeight="1">
      <c r="H6189" s="43" t="n"/>
      <c r="AG6189" s="49">
        <f>IFERROR(__xludf.DUMMYFUNCTION("IFNA(vlookup(H6189,IMPORTRANGE(""1vUGwO1n0QQGx9kKbO0_M5gmuhXZ6-LaxQxgrmJnzgP0"",""'TP# look up'!A:C""),3,0),"""")"),"")</f>
        <v/>
      </c>
      <c r="AH6189" s="49">
        <f>LEFT(J6189,2)</f>
        <v/>
      </c>
    </row>
    <row r="6190" ht="12.75" customHeight="1">
      <c r="H6190" s="43" t="n"/>
      <c r="AG6190" s="49">
        <f>IFERROR(__xludf.DUMMYFUNCTION("IFNA(vlookup(H6190,IMPORTRANGE(""1vUGwO1n0QQGx9kKbO0_M5gmuhXZ6-LaxQxgrmJnzgP0"",""'TP# look up'!A:C""),3,0),"""")"),"")</f>
        <v/>
      </c>
      <c r="AH6190" s="49">
        <f>LEFT(J6190,2)</f>
        <v/>
      </c>
    </row>
    <row r="6191" ht="12.75" customHeight="1">
      <c r="H6191" s="43" t="n"/>
      <c r="AG6191" s="49">
        <f>IFERROR(__xludf.DUMMYFUNCTION("IFNA(vlookup(H6191,IMPORTRANGE(""1vUGwO1n0QQGx9kKbO0_M5gmuhXZ6-LaxQxgrmJnzgP0"",""'TP# look up'!A:C""),3,0),"""")"),"")</f>
        <v/>
      </c>
      <c r="AH6191" s="49">
        <f>LEFT(J6191,2)</f>
        <v/>
      </c>
    </row>
    <row r="6192" ht="12.75" customHeight="1">
      <c r="H6192" s="43" t="n"/>
      <c r="AG6192" s="49">
        <f>IFERROR(__xludf.DUMMYFUNCTION("IFNA(vlookup(H6192,IMPORTRANGE(""1vUGwO1n0QQGx9kKbO0_M5gmuhXZ6-LaxQxgrmJnzgP0"",""'TP# look up'!A:C""),3,0),"""")"),"")</f>
        <v/>
      </c>
      <c r="AH6192" s="49">
        <f>LEFT(J6192,2)</f>
        <v/>
      </c>
    </row>
    <row r="6193" ht="12.75" customHeight="1">
      <c r="H6193" s="43" t="n"/>
      <c r="AG6193" s="49">
        <f>IFERROR(__xludf.DUMMYFUNCTION("IFNA(vlookup(H6193,IMPORTRANGE(""1vUGwO1n0QQGx9kKbO0_M5gmuhXZ6-LaxQxgrmJnzgP0"",""'TP# look up'!A:C""),3,0),"""")"),"")</f>
        <v/>
      </c>
      <c r="AH6193" s="49">
        <f>LEFT(J6193,2)</f>
        <v/>
      </c>
    </row>
    <row r="6194" ht="12.75" customHeight="1">
      <c r="H6194" s="43" t="n"/>
      <c r="AG6194" s="49">
        <f>IFERROR(__xludf.DUMMYFUNCTION("IFNA(vlookup(H6194,IMPORTRANGE(""1vUGwO1n0QQGx9kKbO0_M5gmuhXZ6-LaxQxgrmJnzgP0"",""'TP# look up'!A:C""),3,0),"""")"),"")</f>
        <v/>
      </c>
      <c r="AH6194" s="49">
        <f>LEFT(J6194,2)</f>
        <v/>
      </c>
    </row>
    <row r="6195" ht="12.75" customHeight="1">
      <c r="H6195" s="43" t="n"/>
      <c r="AG6195" s="49">
        <f>IFERROR(__xludf.DUMMYFUNCTION("IFNA(vlookup(H6195,IMPORTRANGE(""1vUGwO1n0QQGx9kKbO0_M5gmuhXZ6-LaxQxgrmJnzgP0"",""'TP# look up'!A:C""),3,0),"""")"),"")</f>
        <v/>
      </c>
      <c r="AH6195" s="49">
        <f>LEFT(J6195,2)</f>
        <v/>
      </c>
    </row>
    <row r="6196" ht="12.75" customHeight="1">
      <c r="H6196" s="43" t="n"/>
      <c r="AG6196" s="49">
        <f>IFERROR(__xludf.DUMMYFUNCTION("IFNA(vlookup(H6196,IMPORTRANGE(""1vUGwO1n0QQGx9kKbO0_M5gmuhXZ6-LaxQxgrmJnzgP0"",""'TP# look up'!A:C""),3,0),"""")"),"")</f>
        <v/>
      </c>
      <c r="AH6196" s="49">
        <f>LEFT(J6196,2)</f>
        <v/>
      </c>
    </row>
    <row r="6197" ht="12.75" customHeight="1">
      <c r="H6197" s="43" t="n"/>
      <c r="AG6197" s="49">
        <f>IFERROR(__xludf.DUMMYFUNCTION("IFNA(vlookup(H6197,IMPORTRANGE(""1vUGwO1n0QQGx9kKbO0_M5gmuhXZ6-LaxQxgrmJnzgP0"",""'TP# look up'!A:C""),3,0),"""")"),"")</f>
        <v/>
      </c>
      <c r="AH6197" s="49">
        <f>LEFT(J6197,2)</f>
        <v/>
      </c>
    </row>
    <row r="6198" ht="12.75" customHeight="1">
      <c r="H6198" s="43" t="n"/>
      <c r="AG6198" s="49">
        <f>IFERROR(__xludf.DUMMYFUNCTION("IFNA(vlookup(H6198,IMPORTRANGE(""1vUGwO1n0QQGx9kKbO0_M5gmuhXZ6-LaxQxgrmJnzgP0"",""'TP# look up'!A:C""),3,0),"""")"),"")</f>
        <v/>
      </c>
      <c r="AH6198" s="49">
        <f>LEFT(J6198,2)</f>
        <v/>
      </c>
    </row>
    <row r="6199" ht="12.75" customHeight="1">
      <c r="H6199" s="43" t="n"/>
      <c r="AG6199" s="49">
        <f>IFERROR(__xludf.DUMMYFUNCTION("IFNA(vlookup(H6199,IMPORTRANGE(""1vUGwO1n0QQGx9kKbO0_M5gmuhXZ6-LaxQxgrmJnzgP0"",""'TP# look up'!A:C""),3,0),"""")"),"")</f>
        <v/>
      </c>
      <c r="AH6199" s="49">
        <f>LEFT(J6199,2)</f>
        <v/>
      </c>
    </row>
    <row r="6200" ht="12.75" customHeight="1">
      <c r="H6200" s="43" t="n"/>
      <c r="AG6200" s="49">
        <f>IFERROR(__xludf.DUMMYFUNCTION("IFNA(vlookup(H6200,IMPORTRANGE(""1vUGwO1n0QQGx9kKbO0_M5gmuhXZ6-LaxQxgrmJnzgP0"",""'TP# look up'!A:C""),3,0),"""")"),"")</f>
        <v/>
      </c>
      <c r="AH6200" s="49">
        <f>LEFT(J6200,2)</f>
        <v/>
      </c>
    </row>
    <row r="6201" ht="12.75" customHeight="1">
      <c r="H6201" s="43" t="n"/>
      <c r="AG6201" s="49">
        <f>IFERROR(__xludf.DUMMYFUNCTION("IFNA(vlookup(H6201,IMPORTRANGE(""1vUGwO1n0QQGx9kKbO0_M5gmuhXZ6-LaxQxgrmJnzgP0"",""'TP# look up'!A:C""),3,0),"""")"),"")</f>
        <v/>
      </c>
      <c r="AH6201" s="49">
        <f>LEFT(J6201,2)</f>
        <v/>
      </c>
    </row>
    <row r="6202" ht="12.75" customHeight="1">
      <c r="H6202" s="43" t="n"/>
      <c r="AG6202" s="49">
        <f>IFERROR(__xludf.DUMMYFUNCTION("IFNA(vlookup(H6202,IMPORTRANGE(""1vUGwO1n0QQGx9kKbO0_M5gmuhXZ6-LaxQxgrmJnzgP0"",""'TP# look up'!A:C""),3,0),"""")"),"")</f>
        <v/>
      </c>
      <c r="AH6202" s="49">
        <f>LEFT(J6202,2)</f>
        <v/>
      </c>
    </row>
    <row r="6203" ht="12.75" customHeight="1">
      <c r="H6203" s="43" t="n"/>
      <c r="AG6203" s="49">
        <f>IFERROR(__xludf.DUMMYFUNCTION("IFNA(vlookup(H6203,IMPORTRANGE(""1vUGwO1n0QQGx9kKbO0_M5gmuhXZ6-LaxQxgrmJnzgP0"",""'TP# look up'!A:C""),3,0),"""")"),"")</f>
        <v/>
      </c>
      <c r="AH6203" s="49">
        <f>LEFT(J6203,2)</f>
        <v/>
      </c>
    </row>
    <row r="6204" ht="12.75" customHeight="1">
      <c r="H6204" s="43" t="n"/>
      <c r="AG6204" s="49">
        <f>IFERROR(__xludf.DUMMYFUNCTION("IFNA(vlookup(H6204,IMPORTRANGE(""1vUGwO1n0QQGx9kKbO0_M5gmuhXZ6-LaxQxgrmJnzgP0"",""'TP# look up'!A:C""),3,0),"""")"),"")</f>
        <v/>
      </c>
      <c r="AH6204" s="49">
        <f>LEFT(J6204,2)</f>
        <v/>
      </c>
    </row>
    <row r="6205" ht="12.75" customHeight="1">
      <c r="H6205" s="43" t="n"/>
      <c r="AG6205" s="49">
        <f>IFERROR(__xludf.DUMMYFUNCTION("IFNA(vlookup(H6205,IMPORTRANGE(""1vUGwO1n0QQGx9kKbO0_M5gmuhXZ6-LaxQxgrmJnzgP0"",""'TP# look up'!A:C""),3,0),"""")"),"")</f>
        <v/>
      </c>
      <c r="AH6205" s="49">
        <f>LEFT(J6205,2)</f>
        <v/>
      </c>
    </row>
    <row r="6206" ht="12.75" customHeight="1">
      <c r="H6206" s="43" t="n"/>
      <c r="AG6206" s="49">
        <f>IFERROR(__xludf.DUMMYFUNCTION("IFNA(vlookup(H6206,IMPORTRANGE(""1vUGwO1n0QQGx9kKbO0_M5gmuhXZ6-LaxQxgrmJnzgP0"",""'TP# look up'!A:C""),3,0),"""")"),"")</f>
        <v/>
      </c>
      <c r="AH6206" s="49">
        <f>LEFT(J6206,2)</f>
        <v/>
      </c>
    </row>
    <row r="6207" ht="12.75" customHeight="1">
      <c r="H6207" s="43" t="n"/>
      <c r="AG6207" s="49">
        <f>IFERROR(__xludf.DUMMYFUNCTION("IFNA(vlookup(H6207,IMPORTRANGE(""1vUGwO1n0QQGx9kKbO0_M5gmuhXZ6-LaxQxgrmJnzgP0"",""'TP# look up'!A:C""),3,0),"""")"),"")</f>
        <v/>
      </c>
      <c r="AH6207" s="49">
        <f>LEFT(J6207,2)</f>
        <v/>
      </c>
    </row>
    <row r="6208" ht="12.75" customHeight="1">
      <c r="H6208" s="43" t="n"/>
      <c r="AG6208" s="49">
        <f>IFERROR(__xludf.DUMMYFUNCTION("IFNA(vlookup(H6208,IMPORTRANGE(""1vUGwO1n0QQGx9kKbO0_M5gmuhXZ6-LaxQxgrmJnzgP0"",""'TP# look up'!A:C""),3,0),"""")"),"")</f>
        <v/>
      </c>
      <c r="AH6208" s="49">
        <f>LEFT(J6208,2)</f>
        <v/>
      </c>
    </row>
    <row r="6209" ht="12.75" customHeight="1">
      <c r="H6209" s="43" t="n"/>
      <c r="AG6209" s="49">
        <f>IFERROR(__xludf.DUMMYFUNCTION("IFNA(vlookup(H6209,IMPORTRANGE(""1vUGwO1n0QQGx9kKbO0_M5gmuhXZ6-LaxQxgrmJnzgP0"",""'TP# look up'!A:C""),3,0),"""")"),"")</f>
        <v/>
      </c>
      <c r="AH6209" s="49">
        <f>LEFT(J6209,2)</f>
        <v/>
      </c>
    </row>
    <row r="6210" ht="12.75" customHeight="1">
      <c r="H6210" s="43" t="n"/>
      <c r="AG6210" s="49">
        <f>IFERROR(__xludf.DUMMYFUNCTION("IFNA(vlookup(H6210,IMPORTRANGE(""1vUGwO1n0QQGx9kKbO0_M5gmuhXZ6-LaxQxgrmJnzgP0"",""'TP# look up'!A:C""),3,0),"""")"),"")</f>
        <v/>
      </c>
      <c r="AH6210" s="49">
        <f>LEFT(J6210,2)</f>
        <v/>
      </c>
    </row>
    <row r="6211" ht="12.75" customHeight="1">
      <c r="H6211" s="43" t="n"/>
      <c r="AG6211" s="49">
        <f>IFERROR(__xludf.DUMMYFUNCTION("IFNA(vlookup(H6211,IMPORTRANGE(""1vUGwO1n0QQGx9kKbO0_M5gmuhXZ6-LaxQxgrmJnzgP0"",""'TP# look up'!A:C""),3,0),"""")"),"")</f>
        <v/>
      </c>
      <c r="AH6211" s="49">
        <f>LEFT(J6211,2)</f>
        <v/>
      </c>
    </row>
    <row r="6212" ht="12.75" customHeight="1">
      <c r="H6212" s="43" t="n"/>
      <c r="AG6212" s="49">
        <f>IFERROR(__xludf.DUMMYFUNCTION("IFNA(vlookup(H6212,IMPORTRANGE(""1vUGwO1n0QQGx9kKbO0_M5gmuhXZ6-LaxQxgrmJnzgP0"",""'TP# look up'!A:C""),3,0),"""")"),"")</f>
        <v/>
      </c>
      <c r="AH6212" s="49">
        <f>LEFT(J6212,2)</f>
        <v/>
      </c>
    </row>
    <row r="6213" ht="12.75" customHeight="1">
      <c r="H6213" s="43" t="n"/>
      <c r="AG6213" s="49">
        <f>IFERROR(__xludf.DUMMYFUNCTION("IFNA(vlookup(H6213,IMPORTRANGE(""1vUGwO1n0QQGx9kKbO0_M5gmuhXZ6-LaxQxgrmJnzgP0"",""'TP# look up'!A:C""),3,0),"""")"),"")</f>
        <v/>
      </c>
      <c r="AH6213" s="49">
        <f>LEFT(J6213,2)</f>
        <v/>
      </c>
    </row>
    <row r="6214" ht="12.75" customHeight="1">
      <c r="H6214" s="43" t="n"/>
      <c r="AG6214" s="49">
        <f>IFERROR(__xludf.DUMMYFUNCTION("IFNA(vlookup(H6214,IMPORTRANGE(""1vUGwO1n0QQGx9kKbO0_M5gmuhXZ6-LaxQxgrmJnzgP0"",""'TP# look up'!A:C""),3,0),"""")"),"")</f>
        <v/>
      </c>
      <c r="AH6214" s="49">
        <f>LEFT(J6214,2)</f>
        <v/>
      </c>
    </row>
    <row r="6215" ht="12.75" customHeight="1">
      <c r="H6215" s="43" t="n"/>
      <c r="AG6215" s="49">
        <f>IFERROR(__xludf.DUMMYFUNCTION("IFNA(vlookup(H6215,IMPORTRANGE(""1vUGwO1n0QQGx9kKbO0_M5gmuhXZ6-LaxQxgrmJnzgP0"",""'TP# look up'!A:C""),3,0),"""")"),"")</f>
        <v/>
      </c>
      <c r="AH6215" s="49">
        <f>LEFT(J6215,2)</f>
        <v/>
      </c>
    </row>
    <row r="6216" ht="12.75" customHeight="1">
      <c r="H6216" s="43" t="n"/>
      <c r="AG6216" s="49">
        <f>IFERROR(__xludf.DUMMYFUNCTION("IFNA(vlookup(H6216,IMPORTRANGE(""1vUGwO1n0QQGx9kKbO0_M5gmuhXZ6-LaxQxgrmJnzgP0"",""'TP# look up'!A:C""),3,0),"""")"),"")</f>
        <v/>
      </c>
      <c r="AH6216" s="49">
        <f>LEFT(J6216,2)</f>
        <v/>
      </c>
    </row>
    <row r="6217" ht="12.75" customHeight="1">
      <c r="H6217" s="43" t="n"/>
      <c r="AG6217" s="49">
        <f>IFERROR(__xludf.DUMMYFUNCTION("IFNA(vlookup(H6217,IMPORTRANGE(""1vUGwO1n0QQGx9kKbO0_M5gmuhXZ6-LaxQxgrmJnzgP0"",""'TP# look up'!A:C""),3,0),"""")"),"")</f>
        <v/>
      </c>
      <c r="AH6217" s="49">
        <f>LEFT(J6217,2)</f>
        <v/>
      </c>
    </row>
    <row r="6218" ht="12.75" customHeight="1">
      <c r="H6218" s="43" t="n"/>
      <c r="AG6218" s="49">
        <f>IFERROR(__xludf.DUMMYFUNCTION("IFNA(vlookup(H6218,IMPORTRANGE(""1vUGwO1n0QQGx9kKbO0_M5gmuhXZ6-LaxQxgrmJnzgP0"",""'TP# look up'!A:C""),3,0),"""")"),"")</f>
        <v/>
      </c>
      <c r="AH6218" s="49">
        <f>LEFT(J6218,2)</f>
        <v/>
      </c>
    </row>
    <row r="6219" ht="12.75" customHeight="1">
      <c r="H6219" s="43" t="n"/>
      <c r="AG6219" s="49">
        <f>IFERROR(__xludf.DUMMYFUNCTION("IFNA(vlookup(H6219,IMPORTRANGE(""1vUGwO1n0QQGx9kKbO0_M5gmuhXZ6-LaxQxgrmJnzgP0"",""'TP# look up'!A:C""),3,0),"""")"),"")</f>
        <v/>
      </c>
      <c r="AH6219" s="49">
        <f>LEFT(J6219,2)</f>
        <v/>
      </c>
    </row>
    <row r="6220" ht="12.75" customHeight="1">
      <c r="H6220" s="43" t="n"/>
      <c r="AG6220" s="49">
        <f>IFERROR(__xludf.DUMMYFUNCTION("IFNA(vlookup(H6220,IMPORTRANGE(""1vUGwO1n0QQGx9kKbO0_M5gmuhXZ6-LaxQxgrmJnzgP0"",""'TP# look up'!A:C""),3,0),"""")"),"")</f>
        <v/>
      </c>
      <c r="AH6220" s="49">
        <f>LEFT(J6220,2)</f>
        <v/>
      </c>
    </row>
    <row r="6221" ht="12.75" customHeight="1">
      <c r="H6221" s="43" t="n"/>
      <c r="AG6221" s="49">
        <f>IFERROR(__xludf.DUMMYFUNCTION("IFNA(vlookup(H6221,IMPORTRANGE(""1vUGwO1n0QQGx9kKbO0_M5gmuhXZ6-LaxQxgrmJnzgP0"",""'TP# look up'!A:C""),3,0),"""")"),"")</f>
        <v/>
      </c>
      <c r="AH6221" s="49">
        <f>LEFT(J6221,2)</f>
        <v/>
      </c>
    </row>
    <row r="6222" ht="12.75" customHeight="1">
      <c r="H6222" s="43" t="n"/>
      <c r="AG6222" s="49">
        <f>IFERROR(__xludf.DUMMYFUNCTION("IFNA(vlookup(H6222,IMPORTRANGE(""1vUGwO1n0QQGx9kKbO0_M5gmuhXZ6-LaxQxgrmJnzgP0"",""'TP# look up'!A:C""),3,0),"""")"),"")</f>
        <v/>
      </c>
      <c r="AH6222" s="49">
        <f>LEFT(J6222,2)</f>
        <v/>
      </c>
    </row>
    <row r="6223" ht="12.75" customHeight="1">
      <c r="H6223" s="43" t="n"/>
      <c r="AG6223" s="49">
        <f>IFERROR(__xludf.DUMMYFUNCTION("IFNA(vlookup(H6223,IMPORTRANGE(""1vUGwO1n0QQGx9kKbO0_M5gmuhXZ6-LaxQxgrmJnzgP0"",""'TP# look up'!A:C""),3,0),"""")"),"")</f>
        <v/>
      </c>
      <c r="AH6223" s="49">
        <f>LEFT(J6223,2)</f>
        <v/>
      </c>
    </row>
    <row r="6224" ht="12.75" customHeight="1">
      <c r="H6224" s="43" t="n"/>
      <c r="AG6224" s="49">
        <f>IFERROR(__xludf.DUMMYFUNCTION("IFNA(vlookup(H6224,IMPORTRANGE(""1vUGwO1n0QQGx9kKbO0_M5gmuhXZ6-LaxQxgrmJnzgP0"",""'TP# look up'!A:C""),3,0),"""")"),"")</f>
        <v/>
      </c>
      <c r="AH6224" s="49">
        <f>LEFT(J6224,2)</f>
        <v/>
      </c>
    </row>
    <row r="6225" ht="12.75" customHeight="1">
      <c r="H6225" s="43" t="n"/>
      <c r="AG6225" s="49">
        <f>IFERROR(__xludf.DUMMYFUNCTION("IFNA(vlookup(H6225,IMPORTRANGE(""1vUGwO1n0QQGx9kKbO0_M5gmuhXZ6-LaxQxgrmJnzgP0"",""'TP# look up'!A:C""),3,0),"""")"),"")</f>
        <v/>
      </c>
      <c r="AH6225" s="49">
        <f>LEFT(J6225,2)</f>
        <v/>
      </c>
    </row>
    <row r="6226" ht="12.75" customHeight="1">
      <c r="H6226" s="43" t="n"/>
      <c r="AG6226" s="49">
        <f>IFERROR(__xludf.DUMMYFUNCTION("IFNA(vlookup(H6226,IMPORTRANGE(""1vUGwO1n0QQGx9kKbO0_M5gmuhXZ6-LaxQxgrmJnzgP0"",""'TP# look up'!A:C""),3,0),"""")"),"")</f>
        <v/>
      </c>
      <c r="AH6226" s="49">
        <f>LEFT(J6226,2)</f>
        <v/>
      </c>
    </row>
    <row r="6227" ht="12.75" customHeight="1">
      <c r="H6227" s="43" t="n"/>
      <c r="AG6227" s="49">
        <f>IFERROR(__xludf.DUMMYFUNCTION("IFNA(vlookup(H6227,IMPORTRANGE(""1vUGwO1n0QQGx9kKbO0_M5gmuhXZ6-LaxQxgrmJnzgP0"",""'TP# look up'!A:C""),3,0),"""")"),"")</f>
        <v/>
      </c>
      <c r="AH6227" s="49">
        <f>LEFT(J6227,2)</f>
        <v/>
      </c>
    </row>
    <row r="6228" ht="12.75" customHeight="1">
      <c r="H6228" s="43" t="n"/>
      <c r="AG6228" s="49">
        <f>IFERROR(__xludf.DUMMYFUNCTION("IFNA(vlookup(H6228,IMPORTRANGE(""1vUGwO1n0QQGx9kKbO0_M5gmuhXZ6-LaxQxgrmJnzgP0"",""'TP# look up'!A:C""),3,0),"""")"),"")</f>
        <v/>
      </c>
      <c r="AH6228" s="49">
        <f>LEFT(J6228,2)</f>
        <v/>
      </c>
    </row>
    <row r="6229" ht="12.75" customHeight="1">
      <c r="H6229" s="43" t="n"/>
      <c r="AG6229" s="49">
        <f>IFERROR(__xludf.DUMMYFUNCTION("IFNA(vlookup(H6229,IMPORTRANGE(""1vUGwO1n0QQGx9kKbO0_M5gmuhXZ6-LaxQxgrmJnzgP0"",""'TP# look up'!A:C""),3,0),"""")"),"")</f>
        <v/>
      </c>
      <c r="AH6229" s="49">
        <f>LEFT(J6229,2)</f>
        <v/>
      </c>
    </row>
    <row r="6230" ht="12.75" customHeight="1">
      <c r="H6230" s="43" t="n"/>
      <c r="AG6230" s="49">
        <f>IFERROR(__xludf.DUMMYFUNCTION("IFNA(vlookup(H6230,IMPORTRANGE(""1vUGwO1n0QQGx9kKbO0_M5gmuhXZ6-LaxQxgrmJnzgP0"",""'TP# look up'!A:C""),3,0),"""")"),"")</f>
        <v/>
      </c>
      <c r="AH6230" s="49">
        <f>LEFT(J6230,2)</f>
        <v/>
      </c>
    </row>
    <row r="6231" ht="12.75" customHeight="1">
      <c r="H6231" s="43" t="n"/>
      <c r="AG6231" s="49">
        <f>IFERROR(__xludf.DUMMYFUNCTION("IFNA(vlookup(H6231,IMPORTRANGE(""1vUGwO1n0QQGx9kKbO0_M5gmuhXZ6-LaxQxgrmJnzgP0"",""'TP# look up'!A:C""),3,0),"""")"),"")</f>
        <v/>
      </c>
      <c r="AH6231" s="49">
        <f>LEFT(J6231,2)</f>
        <v/>
      </c>
    </row>
    <row r="6232" ht="12.75" customHeight="1">
      <c r="H6232" s="43" t="n"/>
      <c r="AG6232" s="49">
        <f>IFERROR(__xludf.DUMMYFUNCTION("IFNA(vlookup(H6232,IMPORTRANGE(""1vUGwO1n0QQGx9kKbO0_M5gmuhXZ6-LaxQxgrmJnzgP0"",""'TP# look up'!A:C""),3,0),"""")"),"")</f>
        <v/>
      </c>
      <c r="AH6232" s="49">
        <f>LEFT(J6232,2)</f>
        <v/>
      </c>
    </row>
    <row r="6233" ht="12.75" customHeight="1">
      <c r="H6233" s="43" t="n"/>
      <c r="AG6233" s="49">
        <f>IFERROR(__xludf.DUMMYFUNCTION("IFNA(vlookup(H6233,IMPORTRANGE(""1vUGwO1n0QQGx9kKbO0_M5gmuhXZ6-LaxQxgrmJnzgP0"",""'TP# look up'!A:C""),3,0),"""")"),"")</f>
        <v/>
      </c>
      <c r="AH6233" s="49">
        <f>LEFT(J6233,2)</f>
        <v/>
      </c>
    </row>
    <row r="6234" ht="12.75" customHeight="1">
      <c r="H6234" s="43" t="n"/>
      <c r="AG6234" s="49">
        <f>IFERROR(__xludf.DUMMYFUNCTION("IFNA(vlookup(H6234,IMPORTRANGE(""1vUGwO1n0QQGx9kKbO0_M5gmuhXZ6-LaxQxgrmJnzgP0"",""'TP# look up'!A:C""),3,0),"""")"),"")</f>
        <v/>
      </c>
      <c r="AH6234" s="49">
        <f>LEFT(J6234,2)</f>
        <v/>
      </c>
    </row>
    <row r="6235" ht="12.75" customHeight="1">
      <c r="H6235" s="43" t="n"/>
      <c r="AG6235" s="49">
        <f>IFERROR(__xludf.DUMMYFUNCTION("IFNA(vlookup(H6235,IMPORTRANGE(""1vUGwO1n0QQGx9kKbO0_M5gmuhXZ6-LaxQxgrmJnzgP0"",""'TP# look up'!A:C""),3,0),"""")"),"")</f>
        <v/>
      </c>
      <c r="AH6235" s="49">
        <f>LEFT(J6235,2)</f>
        <v/>
      </c>
    </row>
    <row r="6236" ht="12.75" customHeight="1">
      <c r="H6236" s="43" t="n"/>
      <c r="AG6236" s="49">
        <f>IFERROR(__xludf.DUMMYFUNCTION("IFNA(vlookup(H6236,IMPORTRANGE(""1vUGwO1n0QQGx9kKbO0_M5gmuhXZ6-LaxQxgrmJnzgP0"",""'TP# look up'!A:C""),3,0),"""")"),"")</f>
        <v/>
      </c>
      <c r="AH6236" s="49">
        <f>LEFT(J6236,2)</f>
        <v/>
      </c>
    </row>
    <row r="6237" ht="12.75" customHeight="1">
      <c r="H6237" s="43" t="n"/>
      <c r="AG6237" s="49">
        <f>IFERROR(__xludf.DUMMYFUNCTION("IFNA(vlookup(H6237,IMPORTRANGE(""1vUGwO1n0QQGx9kKbO0_M5gmuhXZ6-LaxQxgrmJnzgP0"",""'TP# look up'!A:C""),3,0),"""")"),"")</f>
        <v/>
      </c>
      <c r="AH6237" s="49">
        <f>LEFT(J6237,2)</f>
        <v/>
      </c>
    </row>
    <row r="6238" ht="12.75" customHeight="1">
      <c r="H6238" s="43" t="n"/>
      <c r="AG6238" s="49">
        <f>IFERROR(__xludf.DUMMYFUNCTION("IFNA(vlookup(H6238,IMPORTRANGE(""1vUGwO1n0QQGx9kKbO0_M5gmuhXZ6-LaxQxgrmJnzgP0"",""'TP# look up'!A:C""),3,0),"""")"),"")</f>
        <v/>
      </c>
      <c r="AH6238" s="49">
        <f>LEFT(J6238,2)</f>
        <v/>
      </c>
    </row>
    <row r="6239" ht="12.75" customHeight="1">
      <c r="H6239" s="43" t="n"/>
      <c r="AG6239" s="49">
        <f>IFERROR(__xludf.DUMMYFUNCTION("IFNA(vlookup(H6239,IMPORTRANGE(""1vUGwO1n0QQGx9kKbO0_M5gmuhXZ6-LaxQxgrmJnzgP0"",""'TP# look up'!A:C""),3,0),"""")"),"")</f>
        <v/>
      </c>
      <c r="AH6239" s="49">
        <f>LEFT(J6239,2)</f>
        <v/>
      </c>
    </row>
    <row r="6240" ht="12.75" customHeight="1">
      <c r="H6240" s="43" t="n"/>
      <c r="AG6240" s="49">
        <f>IFERROR(__xludf.DUMMYFUNCTION("IFNA(vlookup(H6240,IMPORTRANGE(""1vUGwO1n0QQGx9kKbO0_M5gmuhXZ6-LaxQxgrmJnzgP0"",""'TP# look up'!A:C""),3,0),"""")"),"")</f>
        <v/>
      </c>
      <c r="AH6240" s="49">
        <f>LEFT(J6240,2)</f>
        <v/>
      </c>
    </row>
    <row r="6241" ht="12.75" customHeight="1">
      <c r="H6241" s="43" t="n"/>
      <c r="AG6241" s="49">
        <f>IFERROR(__xludf.DUMMYFUNCTION("IFNA(vlookup(H6241,IMPORTRANGE(""1vUGwO1n0QQGx9kKbO0_M5gmuhXZ6-LaxQxgrmJnzgP0"",""'TP# look up'!A:C""),3,0),"""")"),"")</f>
        <v/>
      </c>
      <c r="AH6241" s="49">
        <f>LEFT(J6241,2)</f>
        <v/>
      </c>
    </row>
    <row r="6242" ht="12.75" customHeight="1">
      <c r="H6242" s="43" t="n"/>
      <c r="AG6242" s="49">
        <f>IFERROR(__xludf.DUMMYFUNCTION("IFNA(vlookup(H6242,IMPORTRANGE(""1vUGwO1n0QQGx9kKbO0_M5gmuhXZ6-LaxQxgrmJnzgP0"",""'TP# look up'!A:C""),3,0),"""")"),"")</f>
        <v/>
      </c>
      <c r="AH6242" s="49">
        <f>LEFT(J6242,2)</f>
        <v/>
      </c>
    </row>
    <row r="6243" ht="12.75" customHeight="1">
      <c r="H6243" s="43" t="n"/>
      <c r="AG6243" s="49">
        <f>IFERROR(__xludf.DUMMYFUNCTION("IFNA(vlookup(H6243,IMPORTRANGE(""1vUGwO1n0QQGx9kKbO0_M5gmuhXZ6-LaxQxgrmJnzgP0"",""'TP# look up'!A:C""),3,0),"""")"),"")</f>
        <v/>
      </c>
      <c r="AH6243" s="49">
        <f>LEFT(J6243,2)</f>
        <v/>
      </c>
    </row>
    <row r="6244" ht="12.75" customHeight="1">
      <c r="H6244" s="43" t="n"/>
      <c r="AG6244" s="49">
        <f>IFERROR(__xludf.DUMMYFUNCTION("IFNA(vlookup(H6244,IMPORTRANGE(""1vUGwO1n0QQGx9kKbO0_M5gmuhXZ6-LaxQxgrmJnzgP0"",""'TP# look up'!A:C""),3,0),"""")"),"")</f>
        <v/>
      </c>
      <c r="AH6244" s="49">
        <f>LEFT(J6244,2)</f>
        <v/>
      </c>
    </row>
    <row r="6245" ht="12.75" customHeight="1">
      <c r="H6245" s="43" t="n"/>
      <c r="AG6245" s="49">
        <f>IFERROR(__xludf.DUMMYFUNCTION("IFNA(vlookup(H6245,IMPORTRANGE(""1vUGwO1n0QQGx9kKbO0_M5gmuhXZ6-LaxQxgrmJnzgP0"",""'TP# look up'!A:C""),3,0),"""")"),"")</f>
        <v/>
      </c>
      <c r="AH6245" s="49">
        <f>LEFT(J6245,2)</f>
        <v/>
      </c>
    </row>
    <row r="6246" ht="12.75" customHeight="1">
      <c r="H6246" s="43" t="n"/>
      <c r="AG6246" s="49">
        <f>IFERROR(__xludf.DUMMYFUNCTION("IFNA(vlookup(H6246,IMPORTRANGE(""1vUGwO1n0QQGx9kKbO0_M5gmuhXZ6-LaxQxgrmJnzgP0"",""'TP# look up'!A:C""),3,0),"""")"),"")</f>
        <v/>
      </c>
      <c r="AH6246" s="49">
        <f>LEFT(J6246,2)</f>
        <v/>
      </c>
    </row>
    <row r="6247" ht="12.75" customHeight="1">
      <c r="H6247" s="43" t="n"/>
      <c r="AG6247" s="49">
        <f>IFERROR(__xludf.DUMMYFUNCTION("IFNA(vlookup(H6247,IMPORTRANGE(""1vUGwO1n0QQGx9kKbO0_M5gmuhXZ6-LaxQxgrmJnzgP0"",""'TP# look up'!A:C""),3,0),"""")"),"")</f>
        <v/>
      </c>
      <c r="AH6247" s="49">
        <f>LEFT(J6247,2)</f>
        <v/>
      </c>
    </row>
    <row r="6248" ht="12.75" customHeight="1">
      <c r="H6248" s="43" t="n"/>
      <c r="AG6248" s="49">
        <f>IFERROR(__xludf.DUMMYFUNCTION("IFNA(vlookup(H6248,IMPORTRANGE(""1vUGwO1n0QQGx9kKbO0_M5gmuhXZ6-LaxQxgrmJnzgP0"",""'TP# look up'!A:C""),3,0),"""")"),"")</f>
        <v/>
      </c>
      <c r="AH6248" s="49">
        <f>LEFT(J6248,2)</f>
        <v/>
      </c>
    </row>
    <row r="6249" ht="12.75" customHeight="1">
      <c r="H6249" s="43" t="n"/>
      <c r="AG6249" s="49">
        <f>IFERROR(__xludf.DUMMYFUNCTION("IFNA(vlookup(H6249,IMPORTRANGE(""1vUGwO1n0QQGx9kKbO0_M5gmuhXZ6-LaxQxgrmJnzgP0"",""'TP# look up'!A:C""),3,0),"""")"),"")</f>
        <v/>
      </c>
      <c r="AH6249" s="49">
        <f>LEFT(J6249,2)</f>
        <v/>
      </c>
    </row>
    <row r="6250" ht="12.75" customHeight="1">
      <c r="H6250" s="43" t="n"/>
      <c r="AG6250" s="49">
        <f>IFERROR(__xludf.DUMMYFUNCTION("IFNA(vlookup(H6250,IMPORTRANGE(""1vUGwO1n0QQGx9kKbO0_M5gmuhXZ6-LaxQxgrmJnzgP0"",""'TP# look up'!A:C""),3,0),"""")"),"")</f>
        <v/>
      </c>
      <c r="AH6250" s="49">
        <f>LEFT(J6250,2)</f>
        <v/>
      </c>
    </row>
    <row r="6251" ht="12.75" customHeight="1">
      <c r="H6251" s="43" t="n"/>
      <c r="AG6251" s="49">
        <f>IFERROR(__xludf.DUMMYFUNCTION("IFNA(vlookup(H6251,IMPORTRANGE(""1vUGwO1n0QQGx9kKbO0_M5gmuhXZ6-LaxQxgrmJnzgP0"",""'TP# look up'!A:C""),3,0),"""")"),"")</f>
        <v/>
      </c>
      <c r="AH6251" s="49">
        <f>LEFT(J6251,2)</f>
        <v/>
      </c>
    </row>
    <row r="6252" ht="12.75" customHeight="1">
      <c r="H6252" s="43" t="n"/>
      <c r="AG6252" s="49">
        <f>IFERROR(__xludf.DUMMYFUNCTION("IFNA(vlookup(H6252,IMPORTRANGE(""1vUGwO1n0QQGx9kKbO0_M5gmuhXZ6-LaxQxgrmJnzgP0"",""'TP# look up'!A:C""),3,0),"""")"),"")</f>
        <v/>
      </c>
      <c r="AH6252" s="49">
        <f>LEFT(J6252,2)</f>
        <v/>
      </c>
    </row>
    <row r="6253" ht="12.75" customHeight="1">
      <c r="H6253" s="43" t="n"/>
      <c r="AG6253" s="49">
        <f>IFERROR(__xludf.DUMMYFUNCTION("IFNA(vlookup(H6253,IMPORTRANGE(""1vUGwO1n0QQGx9kKbO0_M5gmuhXZ6-LaxQxgrmJnzgP0"",""'TP# look up'!A:C""),3,0),"""")"),"")</f>
        <v/>
      </c>
      <c r="AH6253" s="49">
        <f>LEFT(J6253,2)</f>
        <v/>
      </c>
    </row>
    <row r="6254" ht="12.75" customHeight="1">
      <c r="H6254" s="43" t="n"/>
      <c r="AG6254" s="49">
        <f>IFERROR(__xludf.DUMMYFUNCTION("IFNA(vlookup(H6254,IMPORTRANGE(""1vUGwO1n0QQGx9kKbO0_M5gmuhXZ6-LaxQxgrmJnzgP0"",""'TP# look up'!A:C""),3,0),"""")"),"")</f>
        <v/>
      </c>
      <c r="AH6254" s="49">
        <f>LEFT(J6254,2)</f>
        <v/>
      </c>
    </row>
    <row r="6255" ht="12.75" customHeight="1">
      <c r="H6255" s="43" t="n"/>
      <c r="AG6255" s="49">
        <f>IFERROR(__xludf.DUMMYFUNCTION("IFNA(vlookup(H6255,IMPORTRANGE(""1vUGwO1n0QQGx9kKbO0_M5gmuhXZ6-LaxQxgrmJnzgP0"",""'TP# look up'!A:C""),3,0),"""")"),"")</f>
        <v/>
      </c>
      <c r="AH6255" s="49">
        <f>LEFT(J6255,2)</f>
        <v/>
      </c>
    </row>
    <row r="6256" ht="12.75" customHeight="1">
      <c r="H6256" s="43" t="n"/>
      <c r="AG6256" s="49">
        <f>IFERROR(__xludf.DUMMYFUNCTION("IFNA(vlookup(H6256,IMPORTRANGE(""1vUGwO1n0QQGx9kKbO0_M5gmuhXZ6-LaxQxgrmJnzgP0"",""'TP# look up'!A:C""),3,0),"""")"),"")</f>
        <v/>
      </c>
      <c r="AH6256" s="49">
        <f>LEFT(J6256,2)</f>
        <v/>
      </c>
    </row>
    <row r="6257" ht="12.75" customHeight="1">
      <c r="H6257" s="43" t="n"/>
      <c r="AG6257" s="49">
        <f>IFERROR(__xludf.DUMMYFUNCTION("IFNA(vlookup(H6257,IMPORTRANGE(""1vUGwO1n0QQGx9kKbO0_M5gmuhXZ6-LaxQxgrmJnzgP0"",""'TP# look up'!A:C""),3,0),"""")"),"")</f>
        <v/>
      </c>
      <c r="AH6257" s="49">
        <f>LEFT(J6257,2)</f>
        <v/>
      </c>
    </row>
    <row r="6258" ht="12.75" customHeight="1">
      <c r="H6258" s="43" t="n"/>
      <c r="AG6258" s="49">
        <f>IFERROR(__xludf.DUMMYFUNCTION("IFNA(vlookup(H6258,IMPORTRANGE(""1vUGwO1n0QQGx9kKbO0_M5gmuhXZ6-LaxQxgrmJnzgP0"",""'TP# look up'!A:C""),3,0),"""")"),"")</f>
        <v/>
      </c>
      <c r="AH6258" s="49">
        <f>LEFT(J6258,2)</f>
        <v/>
      </c>
    </row>
    <row r="6259" ht="12.75" customHeight="1">
      <c r="H6259" s="43" t="n"/>
      <c r="AG6259" s="49">
        <f>IFERROR(__xludf.DUMMYFUNCTION("IFNA(vlookup(H6259,IMPORTRANGE(""1vUGwO1n0QQGx9kKbO0_M5gmuhXZ6-LaxQxgrmJnzgP0"",""'TP# look up'!A:C""),3,0),"""")"),"")</f>
        <v/>
      </c>
      <c r="AH6259" s="49">
        <f>LEFT(J6259,2)</f>
        <v/>
      </c>
    </row>
    <row r="6260" ht="12.75" customHeight="1">
      <c r="H6260" s="43" t="n"/>
      <c r="AG6260" s="49">
        <f>IFERROR(__xludf.DUMMYFUNCTION("IFNA(vlookup(H6260,IMPORTRANGE(""1vUGwO1n0QQGx9kKbO0_M5gmuhXZ6-LaxQxgrmJnzgP0"",""'TP# look up'!A:C""),3,0),"""")"),"")</f>
        <v/>
      </c>
      <c r="AH6260" s="49">
        <f>LEFT(J6260,2)</f>
        <v/>
      </c>
    </row>
    <row r="6261" ht="12.75" customHeight="1">
      <c r="H6261" s="43" t="n"/>
      <c r="AG6261" s="49">
        <f>IFERROR(__xludf.DUMMYFUNCTION("IFNA(vlookup(H6261,IMPORTRANGE(""1vUGwO1n0QQGx9kKbO0_M5gmuhXZ6-LaxQxgrmJnzgP0"",""'TP# look up'!A:C""),3,0),"""")"),"")</f>
        <v/>
      </c>
      <c r="AH6261" s="49">
        <f>LEFT(J6261,2)</f>
        <v/>
      </c>
    </row>
    <row r="6262" ht="12.75" customHeight="1">
      <c r="H6262" s="43" t="n"/>
      <c r="AG6262" s="49">
        <f>IFERROR(__xludf.DUMMYFUNCTION("IFNA(vlookup(H6262,IMPORTRANGE(""1vUGwO1n0QQGx9kKbO0_M5gmuhXZ6-LaxQxgrmJnzgP0"",""'TP# look up'!A:C""),3,0),"""")"),"")</f>
        <v/>
      </c>
      <c r="AH6262" s="49">
        <f>LEFT(J6262,2)</f>
        <v/>
      </c>
    </row>
    <row r="6263" ht="12.75" customHeight="1">
      <c r="H6263" s="43" t="n"/>
      <c r="AG6263" s="49">
        <f>IFERROR(__xludf.DUMMYFUNCTION("IFNA(vlookup(H6263,IMPORTRANGE(""1vUGwO1n0QQGx9kKbO0_M5gmuhXZ6-LaxQxgrmJnzgP0"",""'TP# look up'!A:C""),3,0),"""")"),"")</f>
        <v/>
      </c>
      <c r="AH6263" s="49">
        <f>LEFT(J6263,2)</f>
        <v/>
      </c>
    </row>
    <row r="6264" ht="12.75" customHeight="1">
      <c r="H6264" s="43" t="n"/>
      <c r="AG6264" s="49">
        <f>IFERROR(__xludf.DUMMYFUNCTION("IFNA(vlookup(H6264,IMPORTRANGE(""1vUGwO1n0QQGx9kKbO0_M5gmuhXZ6-LaxQxgrmJnzgP0"",""'TP# look up'!A:C""),3,0),"""")"),"")</f>
        <v/>
      </c>
      <c r="AH6264" s="49">
        <f>LEFT(J6264,2)</f>
        <v/>
      </c>
    </row>
    <row r="6265" ht="12.75" customHeight="1">
      <c r="H6265" s="43" t="n"/>
      <c r="AG6265" s="49">
        <f>IFERROR(__xludf.DUMMYFUNCTION("IFNA(vlookup(H6265,IMPORTRANGE(""1vUGwO1n0QQGx9kKbO0_M5gmuhXZ6-LaxQxgrmJnzgP0"",""'TP# look up'!A:C""),3,0),"""")"),"")</f>
        <v/>
      </c>
      <c r="AH6265" s="49">
        <f>LEFT(J6265,2)</f>
        <v/>
      </c>
    </row>
    <row r="6266" ht="12.75" customHeight="1">
      <c r="H6266" s="43" t="n"/>
      <c r="AG6266" s="49">
        <f>IFERROR(__xludf.DUMMYFUNCTION("IFNA(vlookup(H6266,IMPORTRANGE(""1vUGwO1n0QQGx9kKbO0_M5gmuhXZ6-LaxQxgrmJnzgP0"",""'TP# look up'!A:C""),3,0),"""")"),"")</f>
        <v/>
      </c>
      <c r="AH6266" s="49">
        <f>LEFT(J6266,2)</f>
        <v/>
      </c>
    </row>
    <row r="6267" ht="12.75" customHeight="1">
      <c r="H6267" s="43" t="n"/>
      <c r="AG6267" s="49">
        <f>IFERROR(__xludf.DUMMYFUNCTION("IFNA(vlookup(H6267,IMPORTRANGE(""1vUGwO1n0QQGx9kKbO0_M5gmuhXZ6-LaxQxgrmJnzgP0"",""'TP# look up'!A:C""),3,0),"""")"),"")</f>
        <v/>
      </c>
      <c r="AH6267" s="49">
        <f>LEFT(J6267,2)</f>
        <v/>
      </c>
    </row>
    <row r="6268" ht="12.75" customHeight="1">
      <c r="H6268" s="43" t="n"/>
      <c r="AG6268" s="49">
        <f>IFERROR(__xludf.DUMMYFUNCTION("IFNA(vlookup(H6268,IMPORTRANGE(""1vUGwO1n0QQGx9kKbO0_M5gmuhXZ6-LaxQxgrmJnzgP0"",""'TP# look up'!A:C""),3,0),"""")"),"")</f>
        <v/>
      </c>
      <c r="AH6268" s="49">
        <f>LEFT(J6268,2)</f>
        <v/>
      </c>
    </row>
    <row r="6269" ht="12.75" customHeight="1">
      <c r="H6269" s="43" t="n"/>
      <c r="AG6269" s="49">
        <f>IFERROR(__xludf.DUMMYFUNCTION("IFNA(vlookup(H6269,IMPORTRANGE(""1vUGwO1n0QQGx9kKbO0_M5gmuhXZ6-LaxQxgrmJnzgP0"",""'TP# look up'!A:C""),3,0),"""")"),"")</f>
        <v/>
      </c>
      <c r="AH6269" s="49">
        <f>LEFT(J6269,2)</f>
        <v/>
      </c>
    </row>
    <row r="6270" ht="12.75" customHeight="1">
      <c r="H6270" s="43" t="n"/>
      <c r="AG6270" s="49">
        <f>IFERROR(__xludf.DUMMYFUNCTION("IFNA(vlookup(H6270,IMPORTRANGE(""1vUGwO1n0QQGx9kKbO0_M5gmuhXZ6-LaxQxgrmJnzgP0"",""'TP# look up'!A:C""),3,0),"""")"),"")</f>
        <v/>
      </c>
      <c r="AH6270" s="49">
        <f>LEFT(J6270,2)</f>
        <v/>
      </c>
    </row>
    <row r="6271" ht="12.75" customHeight="1">
      <c r="H6271" s="43" t="n"/>
      <c r="AG6271" s="49">
        <f>IFERROR(__xludf.DUMMYFUNCTION("IFNA(vlookup(H6271,IMPORTRANGE(""1vUGwO1n0QQGx9kKbO0_M5gmuhXZ6-LaxQxgrmJnzgP0"",""'TP# look up'!A:C""),3,0),"""")"),"")</f>
        <v/>
      </c>
      <c r="AH6271" s="49">
        <f>LEFT(J6271,2)</f>
        <v/>
      </c>
    </row>
    <row r="6272" ht="12.75" customHeight="1">
      <c r="H6272" s="43" t="n"/>
      <c r="AG6272" s="49">
        <f>IFERROR(__xludf.DUMMYFUNCTION("IFNA(vlookup(H6272,IMPORTRANGE(""1vUGwO1n0QQGx9kKbO0_M5gmuhXZ6-LaxQxgrmJnzgP0"",""'TP# look up'!A:C""),3,0),"""")"),"")</f>
        <v/>
      </c>
      <c r="AH6272" s="49">
        <f>LEFT(J6272,2)</f>
        <v/>
      </c>
    </row>
    <row r="6273" ht="12.75" customHeight="1">
      <c r="H6273" s="43" t="n"/>
      <c r="AG6273" s="49">
        <f>IFERROR(__xludf.DUMMYFUNCTION("IFNA(vlookup(H6273,IMPORTRANGE(""1vUGwO1n0QQGx9kKbO0_M5gmuhXZ6-LaxQxgrmJnzgP0"",""'TP# look up'!A:C""),3,0),"""")"),"")</f>
        <v/>
      </c>
      <c r="AH6273" s="49">
        <f>LEFT(J6273,2)</f>
        <v/>
      </c>
    </row>
    <row r="6274" ht="12.75" customHeight="1">
      <c r="H6274" s="43" t="n"/>
      <c r="AG6274" s="49">
        <f>IFERROR(__xludf.DUMMYFUNCTION("IFNA(vlookup(H6274,IMPORTRANGE(""1vUGwO1n0QQGx9kKbO0_M5gmuhXZ6-LaxQxgrmJnzgP0"",""'TP# look up'!A:C""),3,0),"""")"),"")</f>
        <v/>
      </c>
      <c r="AH6274" s="49">
        <f>LEFT(J6274,2)</f>
        <v/>
      </c>
    </row>
    <row r="6275" ht="12.75" customHeight="1">
      <c r="H6275" s="43" t="n"/>
      <c r="AG6275" s="49">
        <f>IFERROR(__xludf.DUMMYFUNCTION("IFNA(vlookup(H6275,IMPORTRANGE(""1vUGwO1n0QQGx9kKbO0_M5gmuhXZ6-LaxQxgrmJnzgP0"",""'TP# look up'!A:C""),3,0),"""")"),"")</f>
        <v/>
      </c>
      <c r="AH6275" s="49">
        <f>LEFT(J6275,2)</f>
        <v/>
      </c>
    </row>
    <row r="6276" ht="12.75" customHeight="1">
      <c r="H6276" s="43" t="n"/>
      <c r="AG6276" s="49">
        <f>IFERROR(__xludf.DUMMYFUNCTION("IFNA(vlookup(H6276,IMPORTRANGE(""1vUGwO1n0QQGx9kKbO0_M5gmuhXZ6-LaxQxgrmJnzgP0"",""'TP# look up'!A:C""),3,0),"""")"),"")</f>
        <v/>
      </c>
      <c r="AH6276" s="49">
        <f>LEFT(J6276,2)</f>
        <v/>
      </c>
    </row>
    <row r="6277" ht="12.75" customHeight="1">
      <c r="H6277" s="43" t="n"/>
      <c r="AG6277" s="49">
        <f>IFERROR(__xludf.DUMMYFUNCTION("IFNA(vlookup(H6277,IMPORTRANGE(""1vUGwO1n0QQGx9kKbO0_M5gmuhXZ6-LaxQxgrmJnzgP0"",""'TP# look up'!A:C""),3,0),"""")"),"")</f>
        <v/>
      </c>
      <c r="AH6277" s="49">
        <f>LEFT(J6277,2)</f>
        <v/>
      </c>
    </row>
    <row r="6278" ht="12.75" customHeight="1">
      <c r="H6278" s="43" t="n"/>
      <c r="AG6278" s="49">
        <f>IFERROR(__xludf.DUMMYFUNCTION("IFNA(vlookup(H6278,IMPORTRANGE(""1vUGwO1n0QQGx9kKbO0_M5gmuhXZ6-LaxQxgrmJnzgP0"",""'TP# look up'!A:C""),3,0),"""")"),"")</f>
        <v/>
      </c>
      <c r="AH6278" s="49">
        <f>LEFT(J6278,2)</f>
        <v/>
      </c>
    </row>
    <row r="6279" ht="12.75" customHeight="1">
      <c r="H6279" s="43" t="n"/>
      <c r="AG6279" s="49">
        <f>IFERROR(__xludf.DUMMYFUNCTION("IFNA(vlookup(H6279,IMPORTRANGE(""1vUGwO1n0QQGx9kKbO0_M5gmuhXZ6-LaxQxgrmJnzgP0"",""'TP# look up'!A:C""),3,0),"""")"),"")</f>
        <v/>
      </c>
      <c r="AH6279" s="49">
        <f>LEFT(J6279,2)</f>
        <v/>
      </c>
    </row>
    <row r="6280" ht="12.75" customHeight="1">
      <c r="H6280" s="43" t="n"/>
      <c r="AG6280" s="49">
        <f>IFERROR(__xludf.DUMMYFUNCTION("IFNA(vlookup(H6280,IMPORTRANGE(""1vUGwO1n0QQGx9kKbO0_M5gmuhXZ6-LaxQxgrmJnzgP0"",""'TP# look up'!A:C""),3,0),"""")"),"")</f>
        <v/>
      </c>
      <c r="AH6280" s="49">
        <f>LEFT(J6280,2)</f>
        <v/>
      </c>
    </row>
    <row r="6281" ht="12.75" customHeight="1">
      <c r="H6281" s="43" t="n"/>
      <c r="AG6281" s="49">
        <f>IFERROR(__xludf.DUMMYFUNCTION("IFNA(vlookup(H6281,IMPORTRANGE(""1vUGwO1n0QQGx9kKbO0_M5gmuhXZ6-LaxQxgrmJnzgP0"",""'TP# look up'!A:C""),3,0),"""")"),"")</f>
        <v/>
      </c>
      <c r="AH6281" s="49">
        <f>LEFT(J6281,2)</f>
        <v/>
      </c>
    </row>
    <row r="6282" ht="12.75" customHeight="1">
      <c r="H6282" s="43" t="n"/>
      <c r="AG6282" s="49">
        <f>IFERROR(__xludf.DUMMYFUNCTION("IFNA(vlookup(H6282,IMPORTRANGE(""1vUGwO1n0QQGx9kKbO0_M5gmuhXZ6-LaxQxgrmJnzgP0"",""'TP# look up'!A:C""),3,0),"""")"),"")</f>
        <v/>
      </c>
      <c r="AH6282" s="49">
        <f>LEFT(J6282,2)</f>
        <v/>
      </c>
    </row>
    <row r="6283" ht="12.75" customHeight="1">
      <c r="H6283" s="43" t="n"/>
      <c r="AG6283" s="49">
        <f>IFERROR(__xludf.DUMMYFUNCTION("IFNA(vlookup(H6283,IMPORTRANGE(""1vUGwO1n0QQGx9kKbO0_M5gmuhXZ6-LaxQxgrmJnzgP0"",""'TP# look up'!A:C""),3,0),"""")"),"")</f>
        <v/>
      </c>
      <c r="AH6283" s="49">
        <f>LEFT(J6283,2)</f>
        <v/>
      </c>
    </row>
    <row r="6284" ht="12.75" customHeight="1">
      <c r="H6284" s="43" t="n"/>
      <c r="AG6284" s="49">
        <f>IFERROR(__xludf.DUMMYFUNCTION("IFNA(vlookup(H6284,IMPORTRANGE(""1vUGwO1n0QQGx9kKbO0_M5gmuhXZ6-LaxQxgrmJnzgP0"",""'TP# look up'!A:C""),3,0),"""")"),"")</f>
        <v/>
      </c>
      <c r="AH6284" s="49">
        <f>LEFT(J6284,2)</f>
        <v/>
      </c>
    </row>
    <row r="6285" ht="12.75" customHeight="1">
      <c r="H6285" s="43" t="n"/>
      <c r="AG6285" s="49">
        <f>IFERROR(__xludf.DUMMYFUNCTION("IFNA(vlookup(H6285,IMPORTRANGE(""1vUGwO1n0QQGx9kKbO0_M5gmuhXZ6-LaxQxgrmJnzgP0"",""'TP# look up'!A:C""),3,0),"""")"),"")</f>
        <v/>
      </c>
      <c r="AH6285" s="49">
        <f>LEFT(J6285,2)</f>
        <v/>
      </c>
    </row>
    <row r="6286" ht="12.75" customHeight="1">
      <c r="H6286" s="43" t="n"/>
      <c r="AG6286" s="49">
        <f>IFERROR(__xludf.DUMMYFUNCTION("IFNA(vlookup(H6286,IMPORTRANGE(""1vUGwO1n0QQGx9kKbO0_M5gmuhXZ6-LaxQxgrmJnzgP0"",""'TP# look up'!A:C""),3,0),"""")"),"")</f>
        <v/>
      </c>
      <c r="AH6286" s="49">
        <f>LEFT(J6286,2)</f>
        <v/>
      </c>
    </row>
    <row r="6287" ht="12.75" customHeight="1">
      <c r="H6287" s="43" t="n"/>
      <c r="AG6287" s="49">
        <f>IFERROR(__xludf.DUMMYFUNCTION("IFNA(vlookup(H6287,IMPORTRANGE(""1vUGwO1n0QQGx9kKbO0_M5gmuhXZ6-LaxQxgrmJnzgP0"",""'TP# look up'!A:C""),3,0),"""")"),"")</f>
        <v/>
      </c>
      <c r="AH6287" s="49">
        <f>LEFT(J6287,2)</f>
        <v/>
      </c>
    </row>
    <row r="6288" ht="12.75" customHeight="1">
      <c r="H6288" s="43" t="n"/>
      <c r="AG6288" s="49">
        <f>IFERROR(__xludf.DUMMYFUNCTION("IFNA(vlookup(H6288,IMPORTRANGE(""1vUGwO1n0QQGx9kKbO0_M5gmuhXZ6-LaxQxgrmJnzgP0"",""'TP# look up'!A:C""),3,0),"""")"),"")</f>
        <v/>
      </c>
      <c r="AH6288" s="49">
        <f>LEFT(J6288,2)</f>
        <v/>
      </c>
    </row>
    <row r="6289" ht="12.75" customHeight="1">
      <c r="H6289" s="43" t="n"/>
      <c r="AG6289" s="49">
        <f>IFERROR(__xludf.DUMMYFUNCTION("IFNA(vlookup(H6289,IMPORTRANGE(""1vUGwO1n0QQGx9kKbO0_M5gmuhXZ6-LaxQxgrmJnzgP0"",""'TP# look up'!A:C""),3,0),"""")"),"")</f>
        <v/>
      </c>
      <c r="AH6289" s="49">
        <f>LEFT(J6289,2)</f>
        <v/>
      </c>
    </row>
    <row r="6290" ht="12.75" customHeight="1">
      <c r="H6290" s="43" t="n"/>
      <c r="AG6290" s="49">
        <f>IFERROR(__xludf.DUMMYFUNCTION("IFNA(vlookup(H6290,IMPORTRANGE(""1vUGwO1n0QQGx9kKbO0_M5gmuhXZ6-LaxQxgrmJnzgP0"",""'TP# look up'!A:C""),3,0),"""")"),"")</f>
        <v/>
      </c>
      <c r="AH6290" s="49">
        <f>LEFT(J6290,2)</f>
        <v/>
      </c>
    </row>
    <row r="6291" ht="12.75" customHeight="1">
      <c r="H6291" s="43" t="n"/>
      <c r="AG6291" s="49">
        <f>IFERROR(__xludf.DUMMYFUNCTION("IFNA(vlookup(H6291,IMPORTRANGE(""1vUGwO1n0QQGx9kKbO0_M5gmuhXZ6-LaxQxgrmJnzgP0"",""'TP# look up'!A:C""),3,0),"""")"),"")</f>
        <v/>
      </c>
      <c r="AH6291" s="49">
        <f>LEFT(J6291,2)</f>
        <v/>
      </c>
    </row>
    <row r="6292" ht="12.75" customHeight="1">
      <c r="H6292" s="43" t="n"/>
      <c r="AG6292" s="49">
        <f>IFERROR(__xludf.DUMMYFUNCTION("IFNA(vlookup(H6292,IMPORTRANGE(""1vUGwO1n0QQGx9kKbO0_M5gmuhXZ6-LaxQxgrmJnzgP0"",""'TP# look up'!A:C""),3,0),"""")"),"")</f>
        <v/>
      </c>
      <c r="AH6292" s="49">
        <f>LEFT(J6292,2)</f>
        <v/>
      </c>
    </row>
    <row r="6293" ht="12.75" customHeight="1">
      <c r="H6293" s="43" t="n"/>
      <c r="AG6293" s="49">
        <f>IFERROR(__xludf.DUMMYFUNCTION("IFNA(vlookup(H6293,IMPORTRANGE(""1vUGwO1n0QQGx9kKbO0_M5gmuhXZ6-LaxQxgrmJnzgP0"",""'TP# look up'!A:C""),3,0),"""")"),"")</f>
        <v/>
      </c>
      <c r="AH6293" s="49">
        <f>LEFT(J6293,2)</f>
        <v/>
      </c>
    </row>
    <row r="6294" ht="12.75" customHeight="1">
      <c r="H6294" s="43" t="n"/>
      <c r="AG6294" s="49">
        <f>IFERROR(__xludf.DUMMYFUNCTION("IFNA(vlookup(H6294,IMPORTRANGE(""1vUGwO1n0QQGx9kKbO0_M5gmuhXZ6-LaxQxgrmJnzgP0"",""'TP# look up'!A:C""),3,0),"""")"),"")</f>
        <v/>
      </c>
      <c r="AH6294" s="49">
        <f>LEFT(J6294,2)</f>
        <v/>
      </c>
    </row>
    <row r="6295" ht="12.75" customHeight="1">
      <c r="H6295" s="43" t="n"/>
      <c r="AG6295" s="49">
        <f>IFERROR(__xludf.DUMMYFUNCTION("IFNA(vlookup(H6295,IMPORTRANGE(""1vUGwO1n0QQGx9kKbO0_M5gmuhXZ6-LaxQxgrmJnzgP0"",""'TP# look up'!A:C""),3,0),"""")"),"")</f>
        <v/>
      </c>
      <c r="AH6295" s="49">
        <f>LEFT(J6295,2)</f>
        <v/>
      </c>
    </row>
    <row r="6296" ht="12.75" customHeight="1">
      <c r="H6296" s="43" t="n"/>
      <c r="AG6296" s="49">
        <f>IFERROR(__xludf.DUMMYFUNCTION("IFNA(vlookup(H6296,IMPORTRANGE(""1vUGwO1n0QQGx9kKbO0_M5gmuhXZ6-LaxQxgrmJnzgP0"",""'TP# look up'!A:C""),3,0),"""")"),"")</f>
        <v/>
      </c>
      <c r="AH6296" s="49">
        <f>LEFT(J6296,2)</f>
        <v/>
      </c>
    </row>
    <row r="6297" ht="12.75" customHeight="1">
      <c r="H6297" s="43" t="n"/>
      <c r="AG6297" s="49">
        <f>IFERROR(__xludf.DUMMYFUNCTION("IFNA(vlookup(H6297,IMPORTRANGE(""1vUGwO1n0QQGx9kKbO0_M5gmuhXZ6-LaxQxgrmJnzgP0"",""'TP# look up'!A:C""),3,0),"""")"),"")</f>
        <v/>
      </c>
      <c r="AH6297" s="49">
        <f>LEFT(J6297,2)</f>
        <v/>
      </c>
    </row>
    <row r="6298" ht="12.75" customHeight="1">
      <c r="H6298" s="43" t="n"/>
      <c r="AG6298" s="49">
        <f>IFERROR(__xludf.DUMMYFUNCTION("IFNA(vlookup(H6298,IMPORTRANGE(""1vUGwO1n0QQGx9kKbO0_M5gmuhXZ6-LaxQxgrmJnzgP0"",""'TP# look up'!A:C""),3,0),"""")"),"")</f>
        <v/>
      </c>
      <c r="AH6298" s="49">
        <f>LEFT(J6298,2)</f>
        <v/>
      </c>
    </row>
    <row r="6299" ht="12.75" customHeight="1">
      <c r="H6299" s="43" t="n"/>
      <c r="AG6299" s="49">
        <f>IFERROR(__xludf.DUMMYFUNCTION("IFNA(vlookup(H6299,IMPORTRANGE(""1vUGwO1n0QQGx9kKbO0_M5gmuhXZ6-LaxQxgrmJnzgP0"",""'TP# look up'!A:C""),3,0),"""")"),"")</f>
        <v/>
      </c>
      <c r="AH6299" s="49">
        <f>LEFT(J6299,2)</f>
        <v/>
      </c>
    </row>
    <row r="6300" ht="12.75" customHeight="1">
      <c r="H6300" s="43" t="n"/>
      <c r="AG6300" s="49">
        <f>IFERROR(__xludf.DUMMYFUNCTION("IFNA(vlookup(H6300,IMPORTRANGE(""1vUGwO1n0QQGx9kKbO0_M5gmuhXZ6-LaxQxgrmJnzgP0"",""'TP# look up'!A:C""),3,0),"""")"),"")</f>
        <v/>
      </c>
      <c r="AH6300" s="49">
        <f>LEFT(J6300,2)</f>
        <v/>
      </c>
    </row>
    <row r="6301" ht="12.75" customHeight="1">
      <c r="H6301" s="43" t="n"/>
      <c r="AG6301" s="49">
        <f>IFERROR(__xludf.DUMMYFUNCTION("IFNA(vlookup(H6301,IMPORTRANGE(""1vUGwO1n0QQGx9kKbO0_M5gmuhXZ6-LaxQxgrmJnzgP0"",""'TP# look up'!A:C""),3,0),"""")"),"")</f>
        <v/>
      </c>
      <c r="AH6301" s="49">
        <f>LEFT(J6301,2)</f>
        <v/>
      </c>
    </row>
    <row r="6302" ht="12.75" customHeight="1">
      <c r="H6302" s="43" t="n"/>
      <c r="AG6302" s="49">
        <f>IFERROR(__xludf.DUMMYFUNCTION("IFNA(vlookup(H6302,IMPORTRANGE(""1vUGwO1n0QQGx9kKbO0_M5gmuhXZ6-LaxQxgrmJnzgP0"",""'TP# look up'!A:C""),3,0),"""")"),"")</f>
        <v/>
      </c>
      <c r="AH6302" s="49">
        <f>LEFT(J6302,2)</f>
        <v/>
      </c>
    </row>
    <row r="6303" ht="12.75" customHeight="1">
      <c r="H6303" s="43" t="n"/>
      <c r="AG6303" s="49">
        <f>IFERROR(__xludf.DUMMYFUNCTION("IFNA(vlookup(H6303,IMPORTRANGE(""1vUGwO1n0QQGx9kKbO0_M5gmuhXZ6-LaxQxgrmJnzgP0"",""'TP# look up'!A:C""),3,0),"""")"),"")</f>
        <v/>
      </c>
      <c r="AH6303" s="49">
        <f>LEFT(J6303,2)</f>
        <v/>
      </c>
    </row>
    <row r="6304" ht="12.75" customHeight="1">
      <c r="H6304" s="43" t="n"/>
      <c r="AG6304" s="49">
        <f>IFERROR(__xludf.DUMMYFUNCTION("IFNA(vlookup(H6304,IMPORTRANGE(""1vUGwO1n0QQGx9kKbO0_M5gmuhXZ6-LaxQxgrmJnzgP0"",""'TP# look up'!A:C""),3,0),"""")"),"")</f>
        <v/>
      </c>
      <c r="AH6304" s="49">
        <f>LEFT(J6304,2)</f>
        <v/>
      </c>
    </row>
    <row r="6305" ht="12.75" customHeight="1">
      <c r="H6305" s="43" t="n"/>
      <c r="AG6305" s="49">
        <f>IFERROR(__xludf.DUMMYFUNCTION("IFNA(vlookup(H6305,IMPORTRANGE(""1vUGwO1n0QQGx9kKbO0_M5gmuhXZ6-LaxQxgrmJnzgP0"",""'TP# look up'!A:C""),3,0),"""")"),"")</f>
        <v/>
      </c>
      <c r="AH6305" s="49">
        <f>LEFT(J6305,2)</f>
        <v/>
      </c>
    </row>
    <row r="6306" ht="12.75" customHeight="1">
      <c r="H6306" s="43" t="n"/>
      <c r="AG6306" s="49">
        <f>IFERROR(__xludf.DUMMYFUNCTION("IFNA(vlookup(H6306,IMPORTRANGE(""1vUGwO1n0QQGx9kKbO0_M5gmuhXZ6-LaxQxgrmJnzgP0"",""'TP# look up'!A:C""),3,0),"""")"),"")</f>
        <v/>
      </c>
      <c r="AH6306" s="49">
        <f>LEFT(J6306,2)</f>
        <v/>
      </c>
    </row>
    <row r="6307" ht="12.75" customHeight="1">
      <c r="H6307" s="43" t="n"/>
      <c r="AG6307" s="49">
        <f>IFERROR(__xludf.DUMMYFUNCTION("IFNA(vlookup(H6307,IMPORTRANGE(""1vUGwO1n0QQGx9kKbO0_M5gmuhXZ6-LaxQxgrmJnzgP0"",""'TP# look up'!A:C""),3,0),"""")"),"")</f>
        <v/>
      </c>
      <c r="AH6307" s="49">
        <f>LEFT(J6307,2)</f>
        <v/>
      </c>
    </row>
    <row r="6308" ht="12.75" customHeight="1">
      <c r="H6308" s="43" t="n"/>
      <c r="AG6308" s="49">
        <f>IFERROR(__xludf.DUMMYFUNCTION("IFNA(vlookup(H6308,IMPORTRANGE(""1vUGwO1n0QQGx9kKbO0_M5gmuhXZ6-LaxQxgrmJnzgP0"",""'TP# look up'!A:C""),3,0),"""")"),"")</f>
        <v/>
      </c>
      <c r="AH6308" s="49">
        <f>LEFT(J6308,2)</f>
        <v/>
      </c>
    </row>
    <row r="6309" ht="12.75" customHeight="1">
      <c r="H6309" s="43" t="n"/>
      <c r="AG6309" s="49">
        <f>IFERROR(__xludf.DUMMYFUNCTION("IFNA(vlookup(H6309,IMPORTRANGE(""1vUGwO1n0QQGx9kKbO0_M5gmuhXZ6-LaxQxgrmJnzgP0"",""'TP# look up'!A:C""),3,0),"""")"),"")</f>
        <v/>
      </c>
      <c r="AH6309" s="49">
        <f>LEFT(J6309,2)</f>
        <v/>
      </c>
    </row>
    <row r="6310" ht="12.75" customHeight="1">
      <c r="H6310" s="43" t="n"/>
      <c r="AG6310" s="49">
        <f>IFERROR(__xludf.DUMMYFUNCTION("IFNA(vlookup(H6310,IMPORTRANGE(""1vUGwO1n0QQGx9kKbO0_M5gmuhXZ6-LaxQxgrmJnzgP0"",""'TP# look up'!A:C""),3,0),"""")"),"")</f>
        <v/>
      </c>
      <c r="AH6310" s="49">
        <f>LEFT(J6310,2)</f>
        <v/>
      </c>
    </row>
    <row r="6311" ht="12.75" customHeight="1">
      <c r="H6311" s="43" t="n"/>
      <c r="AG6311" s="49">
        <f>IFERROR(__xludf.DUMMYFUNCTION("IFNA(vlookup(H6311,IMPORTRANGE(""1vUGwO1n0QQGx9kKbO0_M5gmuhXZ6-LaxQxgrmJnzgP0"",""'TP# look up'!A:C""),3,0),"""")"),"")</f>
        <v/>
      </c>
      <c r="AH6311" s="49">
        <f>LEFT(J6311,2)</f>
        <v/>
      </c>
    </row>
    <row r="6312" ht="12.75" customHeight="1">
      <c r="H6312" s="43" t="n"/>
      <c r="AG6312" s="49">
        <f>IFERROR(__xludf.DUMMYFUNCTION("IFNA(vlookup(H6312,IMPORTRANGE(""1vUGwO1n0QQGx9kKbO0_M5gmuhXZ6-LaxQxgrmJnzgP0"",""'TP# look up'!A:C""),3,0),"""")"),"")</f>
        <v/>
      </c>
      <c r="AH6312" s="49">
        <f>LEFT(J6312,2)</f>
        <v/>
      </c>
    </row>
    <row r="6313" ht="12.75" customHeight="1">
      <c r="H6313" s="43" t="n"/>
      <c r="AG6313" s="49">
        <f>IFERROR(__xludf.DUMMYFUNCTION("IFNA(vlookup(H6313,IMPORTRANGE(""1vUGwO1n0QQGx9kKbO0_M5gmuhXZ6-LaxQxgrmJnzgP0"",""'TP# look up'!A:C""),3,0),"""")"),"")</f>
        <v/>
      </c>
      <c r="AH6313" s="49">
        <f>LEFT(J6313,2)</f>
        <v/>
      </c>
    </row>
    <row r="6314" ht="12.75" customHeight="1">
      <c r="H6314" s="43" t="n"/>
      <c r="AG6314" s="49">
        <f>IFERROR(__xludf.DUMMYFUNCTION("IFNA(vlookup(H6314,IMPORTRANGE(""1vUGwO1n0QQGx9kKbO0_M5gmuhXZ6-LaxQxgrmJnzgP0"",""'TP# look up'!A:C""),3,0),"""")"),"")</f>
        <v/>
      </c>
      <c r="AH6314" s="49">
        <f>LEFT(J6314,2)</f>
        <v/>
      </c>
    </row>
    <row r="6315" ht="12.75" customHeight="1">
      <c r="H6315" s="43" t="n"/>
      <c r="AG6315" s="49">
        <f>IFERROR(__xludf.DUMMYFUNCTION("IFNA(vlookup(H6315,IMPORTRANGE(""1vUGwO1n0QQGx9kKbO0_M5gmuhXZ6-LaxQxgrmJnzgP0"",""'TP# look up'!A:C""),3,0),"""")"),"")</f>
        <v/>
      </c>
      <c r="AH6315" s="49">
        <f>LEFT(J6315,2)</f>
        <v/>
      </c>
    </row>
    <row r="6316" ht="12.75" customHeight="1">
      <c r="H6316" s="43" t="n"/>
      <c r="AG6316" s="49">
        <f>IFERROR(__xludf.DUMMYFUNCTION("IFNA(vlookup(H6316,IMPORTRANGE(""1vUGwO1n0QQGx9kKbO0_M5gmuhXZ6-LaxQxgrmJnzgP0"",""'TP# look up'!A:C""),3,0),"""")"),"")</f>
        <v/>
      </c>
      <c r="AH6316" s="49">
        <f>LEFT(J6316,2)</f>
        <v/>
      </c>
    </row>
    <row r="6317" ht="12.75" customHeight="1">
      <c r="H6317" s="43" t="n"/>
      <c r="AG6317" s="49">
        <f>IFERROR(__xludf.DUMMYFUNCTION("IFNA(vlookup(H6317,IMPORTRANGE(""1vUGwO1n0QQGx9kKbO0_M5gmuhXZ6-LaxQxgrmJnzgP0"",""'TP# look up'!A:C""),3,0),"""")"),"")</f>
        <v/>
      </c>
      <c r="AH6317" s="49">
        <f>LEFT(J6317,2)</f>
        <v/>
      </c>
    </row>
    <row r="6318" ht="12.75" customHeight="1">
      <c r="H6318" s="43" t="n"/>
      <c r="AG6318" s="49">
        <f>IFERROR(__xludf.DUMMYFUNCTION("IFNA(vlookup(H6318,IMPORTRANGE(""1vUGwO1n0QQGx9kKbO0_M5gmuhXZ6-LaxQxgrmJnzgP0"",""'TP# look up'!A:C""),3,0),"""")"),"")</f>
        <v/>
      </c>
      <c r="AH6318" s="49">
        <f>LEFT(J6318,2)</f>
        <v/>
      </c>
    </row>
    <row r="6319" ht="12.75" customHeight="1">
      <c r="H6319" s="43" t="n"/>
      <c r="AG6319" s="49">
        <f>IFERROR(__xludf.DUMMYFUNCTION("IFNA(vlookup(H6319,IMPORTRANGE(""1vUGwO1n0QQGx9kKbO0_M5gmuhXZ6-LaxQxgrmJnzgP0"",""'TP# look up'!A:C""),3,0),"""")"),"")</f>
        <v/>
      </c>
      <c r="AH6319" s="49">
        <f>LEFT(J6319,2)</f>
        <v/>
      </c>
    </row>
    <row r="6320" ht="12.75" customHeight="1">
      <c r="H6320" s="43" t="n"/>
      <c r="AG6320" s="49">
        <f>IFERROR(__xludf.DUMMYFUNCTION("IFNA(vlookup(H6320,IMPORTRANGE(""1vUGwO1n0QQGx9kKbO0_M5gmuhXZ6-LaxQxgrmJnzgP0"",""'TP# look up'!A:C""),3,0),"""")"),"")</f>
        <v/>
      </c>
      <c r="AH6320" s="49">
        <f>LEFT(J6320,2)</f>
        <v/>
      </c>
    </row>
    <row r="6321" ht="12.75" customHeight="1">
      <c r="H6321" s="43" t="n"/>
      <c r="AG6321" s="49">
        <f>IFERROR(__xludf.DUMMYFUNCTION("IFNA(vlookup(H6321,IMPORTRANGE(""1vUGwO1n0QQGx9kKbO0_M5gmuhXZ6-LaxQxgrmJnzgP0"",""'TP# look up'!A:C""),3,0),"""")"),"")</f>
        <v/>
      </c>
      <c r="AH6321" s="49">
        <f>LEFT(J6321,2)</f>
        <v/>
      </c>
    </row>
    <row r="6322" ht="12.75" customHeight="1">
      <c r="H6322" s="43" t="n"/>
      <c r="AG6322" s="49">
        <f>IFERROR(__xludf.DUMMYFUNCTION("IFNA(vlookup(H6322,IMPORTRANGE(""1vUGwO1n0QQGx9kKbO0_M5gmuhXZ6-LaxQxgrmJnzgP0"",""'TP# look up'!A:C""),3,0),"""")"),"")</f>
        <v/>
      </c>
      <c r="AH6322" s="49">
        <f>LEFT(J6322,2)</f>
        <v/>
      </c>
    </row>
    <row r="6323" ht="12.75" customHeight="1">
      <c r="H6323" s="43" t="n"/>
      <c r="AG6323" s="49">
        <f>IFERROR(__xludf.DUMMYFUNCTION("IFNA(vlookup(H6323,IMPORTRANGE(""1vUGwO1n0QQGx9kKbO0_M5gmuhXZ6-LaxQxgrmJnzgP0"",""'TP# look up'!A:C""),3,0),"""")"),"")</f>
        <v/>
      </c>
      <c r="AH6323" s="49">
        <f>LEFT(J6323,2)</f>
        <v/>
      </c>
    </row>
    <row r="6324" ht="12.75" customHeight="1">
      <c r="H6324" s="43" t="n"/>
      <c r="AG6324" s="49">
        <f>IFERROR(__xludf.DUMMYFUNCTION("IFNA(vlookup(H6324,IMPORTRANGE(""1vUGwO1n0QQGx9kKbO0_M5gmuhXZ6-LaxQxgrmJnzgP0"",""'TP# look up'!A:C""),3,0),"""")"),"")</f>
        <v/>
      </c>
      <c r="AH6324" s="49">
        <f>LEFT(J6324,2)</f>
        <v/>
      </c>
    </row>
    <row r="6325" ht="12.75" customHeight="1">
      <c r="H6325" s="43" t="n"/>
      <c r="AG6325" s="49">
        <f>IFERROR(__xludf.DUMMYFUNCTION("IFNA(vlookup(H6325,IMPORTRANGE(""1vUGwO1n0QQGx9kKbO0_M5gmuhXZ6-LaxQxgrmJnzgP0"",""'TP# look up'!A:C""),3,0),"""")"),"")</f>
        <v/>
      </c>
      <c r="AH6325" s="49">
        <f>LEFT(J6325,2)</f>
        <v/>
      </c>
    </row>
    <row r="6326" ht="12.75" customHeight="1">
      <c r="H6326" s="43" t="n"/>
      <c r="AG6326" s="49">
        <f>IFERROR(__xludf.DUMMYFUNCTION("IFNA(vlookup(H6326,IMPORTRANGE(""1vUGwO1n0QQGx9kKbO0_M5gmuhXZ6-LaxQxgrmJnzgP0"",""'TP# look up'!A:C""),3,0),"""")"),"")</f>
        <v/>
      </c>
      <c r="AH6326" s="49">
        <f>LEFT(J6326,2)</f>
        <v/>
      </c>
    </row>
    <row r="6327" ht="12.75" customHeight="1">
      <c r="H6327" s="43" t="n"/>
      <c r="AG6327" s="49">
        <f>IFERROR(__xludf.DUMMYFUNCTION("IFNA(vlookup(H6327,IMPORTRANGE(""1vUGwO1n0QQGx9kKbO0_M5gmuhXZ6-LaxQxgrmJnzgP0"",""'TP# look up'!A:C""),3,0),"""")"),"")</f>
        <v/>
      </c>
      <c r="AH6327" s="49">
        <f>LEFT(J6327,2)</f>
        <v/>
      </c>
    </row>
    <row r="6328" ht="12.75" customHeight="1">
      <c r="H6328" s="43" t="n"/>
      <c r="AG6328" s="49">
        <f>IFERROR(__xludf.DUMMYFUNCTION("IFNA(vlookup(H6328,IMPORTRANGE(""1vUGwO1n0QQGx9kKbO0_M5gmuhXZ6-LaxQxgrmJnzgP0"",""'TP# look up'!A:C""),3,0),"""")"),"")</f>
        <v/>
      </c>
      <c r="AH6328" s="49">
        <f>LEFT(J6328,2)</f>
        <v/>
      </c>
    </row>
    <row r="6329" ht="12.75" customHeight="1">
      <c r="H6329" s="43" t="n"/>
      <c r="AG6329" s="49">
        <f>IFERROR(__xludf.DUMMYFUNCTION("IFNA(vlookup(H6329,IMPORTRANGE(""1vUGwO1n0QQGx9kKbO0_M5gmuhXZ6-LaxQxgrmJnzgP0"",""'TP# look up'!A:C""),3,0),"""")"),"")</f>
        <v/>
      </c>
      <c r="AH6329" s="49">
        <f>LEFT(J6329,2)</f>
        <v/>
      </c>
    </row>
    <row r="6330" ht="12.75" customHeight="1">
      <c r="H6330" s="43" t="n"/>
      <c r="AG6330" s="49">
        <f>IFERROR(__xludf.DUMMYFUNCTION("IFNA(vlookup(H6330,IMPORTRANGE(""1vUGwO1n0QQGx9kKbO0_M5gmuhXZ6-LaxQxgrmJnzgP0"",""'TP# look up'!A:C""),3,0),"""")"),"")</f>
        <v/>
      </c>
      <c r="AH6330" s="49">
        <f>LEFT(J6330,2)</f>
        <v/>
      </c>
    </row>
    <row r="6331" ht="12.75" customHeight="1">
      <c r="H6331" s="43" t="n"/>
      <c r="AG6331" s="49">
        <f>IFERROR(__xludf.DUMMYFUNCTION("IFNA(vlookup(H6331,IMPORTRANGE(""1vUGwO1n0QQGx9kKbO0_M5gmuhXZ6-LaxQxgrmJnzgP0"",""'TP# look up'!A:C""),3,0),"""")"),"")</f>
        <v/>
      </c>
      <c r="AH6331" s="49">
        <f>LEFT(J6331,2)</f>
        <v/>
      </c>
    </row>
    <row r="6332" ht="12.75" customHeight="1">
      <c r="H6332" s="43" t="n"/>
      <c r="AG6332" s="49">
        <f>IFERROR(__xludf.DUMMYFUNCTION("IFNA(vlookup(H6332,IMPORTRANGE(""1vUGwO1n0QQGx9kKbO0_M5gmuhXZ6-LaxQxgrmJnzgP0"",""'TP# look up'!A:C""),3,0),"""")"),"")</f>
        <v/>
      </c>
      <c r="AH6332" s="49">
        <f>LEFT(J6332,2)</f>
        <v/>
      </c>
    </row>
    <row r="6333" ht="12.75" customHeight="1">
      <c r="H6333" s="43" t="n"/>
      <c r="AG6333" s="49">
        <f>IFERROR(__xludf.DUMMYFUNCTION("IFNA(vlookup(H6333,IMPORTRANGE(""1vUGwO1n0QQGx9kKbO0_M5gmuhXZ6-LaxQxgrmJnzgP0"",""'TP# look up'!A:C""),3,0),"""")"),"")</f>
        <v/>
      </c>
      <c r="AH6333" s="49">
        <f>LEFT(J6333,2)</f>
        <v/>
      </c>
    </row>
    <row r="6334" ht="12.75" customHeight="1">
      <c r="H6334" s="43" t="n"/>
      <c r="AG6334" s="49">
        <f>IFERROR(__xludf.DUMMYFUNCTION("IFNA(vlookup(H6334,IMPORTRANGE(""1vUGwO1n0QQGx9kKbO0_M5gmuhXZ6-LaxQxgrmJnzgP0"",""'TP# look up'!A:C""),3,0),"""")"),"")</f>
        <v/>
      </c>
      <c r="AH6334" s="49">
        <f>LEFT(J6334,2)</f>
        <v/>
      </c>
    </row>
    <row r="6335" ht="12.75" customHeight="1">
      <c r="H6335" s="43" t="n"/>
      <c r="AG6335" s="49">
        <f>IFERROR(__xludf.DUMMYFUNCTION("IFNA(vlookup(H6335,IMPORTRANGE(""1vUGwO1n0QQGx9kKbO0_M5gmuhXZ6-LaxQxgrmJnzgP0"",""'TP# look up'!A:C""),3,0),"""")"),"")</f>
        <v/>
      </c>
      <c r="AH6335" s="49">
        <f>LEFT(J6335,2)</f>
        <v/>
      </c>
    </row>
    <row r="6336" ht="12.75" customHeight="1">
      <c r="H6336" s="43" t="n"/>
      <c r="AG6336" s="49">
        <f>IFERROR(__xludf.DUMMYFUNCTION("IFNA(vlookup(H6336,IMPORTRANGE(""1vUGwO1n0QQGx9kKbO0_M5gmuhXZ6-LaxQxgrmJnzgP0"",""'TP# look up'!A:C""),3,0),"""")"),"")</f>
        <v/>
      </c>
      <c r="AH6336" s="49">
        <f>LEFT(J6336,2)</f>
        <v/>
      </c>
    </row>
    <row r="6337" ht="12.75" customHeight="1">
      <c r="H6337" s="43" t="n"/>
      <c r="AG6337" s="49">
        <f>IFERROR(__xludf.DUMMYFUNCTION("IFNA(vlookup(H6337,IMPORTRANGE(""1vUGwO1n0QQGx9kKbO0_M5gmuhXZ6-LaxQxgrmJnzgP0"",""'TP# look up'!A:C""),3,0),"""")"),"")</f>
        <v/>
      </c>
      <c r="AH6337" s="49">
        <f>LEFT(J6337,2)</f>
        <v/>
      </c>
    </row>
    <row r="6338" ht="12.75" customHeight="1">
      <c r="H6338" s="43" t="n"/>
      <c r="AG6338" s="49">
        <f>IFERROR(__xludf.DUMMYFUNCTION("IFNA(vlookup(H6338,IMPORTRANGE(""1vUGwO1n0QQGx9kKbO0_M5gmuhXZ6-LaxQxgrmJnzgP0"",""'TP# look up'!A:C""),3,0),"""")"),"")</f>
        <v/>
      </c>
      <c r="AH6338" s="49">
        <f>LEFT(J6338,2)</f>
        <v/>
      </c>
    </row>
    <row r="6339" ht="12.75" customHeight="1">
      <c r="H6339" s="43" t="n"/>
      <c r="AG6339" s="49">
        <f>IFERROR(__xludf.DUMMYFUNCTION("IFNA(vlookup(H6339,IMPORTRANGE(""1vUGwO1n0QQGx9kKbO0_M5gmuhXZ6-LaxQxgrmJnzgP0"",""'TP# look up'!A:C""),3,0),"""")"),"")</f>
        <v/>
      </c>
      <c r="AH6339" s="49">
        <f>LEFT(J6339,2)</f>
        <v/>
      </c>
    </row>
    <row r="6340" ht="12.75" customHeight="1">
      <c r="H6340" s="43" t="n"/>
      <c r="AG6340" s="49">
        <f>IFERROR(__xludf.DUMMYFUNCTION("IFNA(vlookup(H6340,IMPORTRANGE(""1vUGwO1n0QQGx9kKbO0_M5gmuhXZ6-LaxQxgrmJnzgP0"",""'TP# look up'!A:C""),3,0),"""")"),"")</f>
        <v/>
      </c>
      <c r="AH6340" s="49">
        <f>LEFT(J6340,2)</f>
        <v/>
      </c>
    </row>
    <row r="6341" ht="12.75" customHeight="1">
      <c r="H6341" s="43" t="n"/>
      <c r="AG6341" s="49">
        <f>IFERROR(__xludf.DUMMYFUNCTION("IFNA(vlookup(H6341,IMPORTRANGE(""1vUGwO1n0QQGx9kKbO0_M5gmuhXZ6-LaxQxgrmJnzgP0"",""'TP# look up'!A:C""),3,0),"""")"),"")</f>
        <v/>
      </c>
      <c r="AH6341" s="49">
        <f>LEFT(J6341,2)</f>
        <v/>
      </c>
    </row>
    <row r="6342" ht="12.75" customHeight="1">
      <c r="H6342" s="43" t="n"/>
      <c r="AG6342" s="49">
        <f>IFERROR(__xludf.DUMMYFUNCTION("IFNA(vlookup(H6342,IMPORTRANGE(""1vUGwO1n0QQGx9kKbO0_M5gmuhXZ6-LaxQxgrmJnzgP0"",""'TP# look up'!A:C""),3,0),"""")"),"")</f>
        <v/>
      </c>
      <c r="AH6342" s="49">
        <f>LEFT(J6342,2)</f>
        <v/>
      </c>
    </row>
    <row r="6343" ht="12.75" customHeight="1">
      <c r="H6343" s="43" t="n"/>
      <c r="AG6343" s="49">
        <f>IFERROR(__xludf.DUMMYFUNCTION("IFNA(vlookup(H6343,IMPORTRANGE(""1vUGwO1n0QQGx9kKbO0_M5gmuhXZ6-LaxQxgrmJnzgP0"",""'TP# look up'!A:C""),3,0),"""")"),"")</f>
        <v/>
      </c>
      <c r="AH6343" s="49">
        <f>LEFT(J6343,2)</f>
        <v/>
      </c>
    </row>
    <row r="6344" ht="12.75" customHeight="1">
      <c r="H6344" s="43" t="n"/>
      <c r="AG6344" s="49">
        <f>IFERROR(__xludf.DUMMYFUNCTION("IFNA(vlookup(H6344,IMPORTRANGE(""1vUGwO1n0QQGx9kKbO0_M5gmuhXZ6-LaxQxgrmJnzgP0"",""'TP# look up'!A:C""),3,0),"""")"),"")</f>
        <v/>
      </c>
      <c r="AH6344" s="49">
        <f>LEFT(J6344,2)</f>
        <v/>
      </c>
    </row>
    <row r="6345" ht="12.75" customHeight="1">
      <c r="H6345" s="43" t="n"/>
      <c r="AG6345" s="49">
        <f>IFERROR(__xludf.DUMMYFUNCTION("IFNA(vlookup(H6345,IMPORTRANGE(""1vUGwO1n0QQGx9kKbO0_M5gmuhXZ6-LaxQxgrmJnzgP0"",""'TP# look up'!A:C""),3,0),"""")"),"")</f>
        <v/>
      </c>
      <c r="AH6345" s="49">
        <f>LEFT(J6345,2)</f>
        <v/>
      </c>
    </row>
    <row r="6346" ht="12.75" customHeight="1">
      <c r="H6346" s="43" t="n"/>
      <c r="AG6346" s="49">
        <f>IFERROR(__xludf.DUMMYFUNCTION("IFNA(vlookup(H6346,IMPORTRANGE(""1vUGwO1n0QQGx9kKbO0_M5gmuhXZ6-LaxQxgrmJnzgP0"",""'TP# look up'!A:C""),3,0),"""")"),"")</f>
        <v/>
      </c>
      <c r="AH6346" s="49">
        <f>LEFT(J6346,2)</f>
        <v/>
      </c>
    </row>
    <row r="6347" ht="12.75" customHeight="1">
      <c r="H6347" s="43" t="n"/>
      <c r="AG6347" s="49">
        <f>IFERROR(__xludf.DUMMYFUNCTION("IFNA(vlookup(H6347,IMPORTRANGE(""1vUGwO1n0QQGx9kKbO0_M5gmuhXZ6-LaxQxgrmJnzgP0"",""'TP# look up'!A:C""),3,0),"""")"),"")</f>
        <v/>
      </c>
      <c r="AH6347" s="49">
        <f>LEFT(J6347,2)</f>
        <v/>
      </c>
    </row>
    <row r="6348" ht="12.75" customHeight="1">
      <c r="H6348" s="43" t="n"/>
      <c r="AG6348" s="49">
        <f>IFERROR(__xludf.DUMMYFUNCTION("IFNA(vlookup(H6348,IMPORTRANGE(""1vUGwO1n0QQGx9kKbO0_M5gmuhXZ6-LaxQxgrmJnzgP0"",""'TP# look up'!A:C""),3,0),"""")"),"")</f>
        <v/>
      </c>
      <c r="AH6348" s="49">
        <f>LEFT(J6348,2)</f>
        <v/>
      </c>
    </row>
    <row r="6349" ht="12.75" customHeight="1">
      <c r="H6349" s="43" t="n"/>
      <c r="AG6349" s="49">
        <f>IFERROR(__xludf.DUMMYFUNCTION("IFNA(vlookup(H6349,IMPORTRANGE(""1vUGwO1n0QQGx9kKbO0_M5gmuhXZ6-LaxQxgrmJnzgP0"",""'TP# look up'!A:C""),3,0),"""")"),"")</f>
        <v/>
      </c>
      <c r="AH6349" s="49">
        <f>LEFT(J6349,2)</f>
        <v/>
      </c>
    </row>
    <row r="6350" ht="12.75" customHeight="1">
      <c r="H6350" s="43" t="n"/>
      <c r="AG6350" s="49">
        <f>IFERROR(__xludf.DUMMYFUNCTION("IFNA(vlookup(H6350,IMPORTRANGE(""1vUGwO1n0QQGx9kKbO0_M5gmuhXZ6-LaxQxgrmJnzgP0"",""'TP# look up'!A:C""),3,0),"""")"),"")</f>
        <v/>
      </c>
      <c r="AH6350" s="49">
        <f>LEFT(J6350,2)</f>
        <v/>
      </c>
    </row>
    <row r="6351" ht="12.75" customHeight="1">
      <c r="H6351" s="43" t="n"/>
      <c r="AG6351" s="49">
        <f>IFERROR(__xludf.DUMMYFUNCTION("IFNA(vlookup(H6351,IMPORTRANGE(""1vUGwO1n0QQGx9kKbO0_M5gmuhXZ6-LaxQxgrmJnzgP0"",""'TP# look up'!A:C""),3,0),"""")"),"")</f>
        <v/>
      </c>
      <c r="AH6351" s="49">
        <f>LEFT(J6351,2)</f>
        <v/>
      </c>
    </row>
    <row r="6352" ht="12.75" customHeight="1">
      <c r="H6352" s="43" t="n"/>
      <c r="AG6352" s="49">
        <f>IFERROR(__xludf.DUMMYFUNCTION("IFNA(vlookup(H6352,IMPORTRANGE(""1vUGwO1n0QQGx9kKbO0_M5gmuhXZ6-LaxQxgrmJnzgP0"",""'TP# look up'!A:C""),3,0),"""")"),"")</f>
        <v/>
      </c>
      <c r="AH6352" s="49">
        <f>LEFT(J6352,2)</f>
        <v/>
      </c>
    </row>
    <row r="6353" ht="12.75" customHeight="1">
      <c r="H6353" s="43" t="n"/>
      <c r="AG6353" s="49">
        <f>IFERROR(__xludf.DUMMYFUNCTION("IFNA(vlookup(H6353,IMPORTRANGE(""1vUGwO1n0QQGx9kKbO0_M5gmuhXZ6-LaxQxgrmJnzgP0"",""'TP# look up'!A:C""),3,0),"""")"),"")</f>
        <v/>
      </c>
      <c r="AH6353" s="49">
        <f>LEFT(J6353,2)</f>
        <v/>
      </c>
    </row>
    <row r="6354" ht="12.75" customHeight="1">
      <c r="H6354" s="43" t="n"/>
      <c r="AG6354" s="49">
        <f>IFERROR(__xludf.DUMMYFUNCTION("IFNA(vlookup(H6354,IMPORTRANGE(""1vUGwO1n0QQGx9kKbO0_M5gmuhXZ6-LaxQxgrmJnzgP0"",""'TP# look up'!A:C""),3,0),"""")"),"")</f>
        <v/>
      </c>
      <c r="AH6354" s="49">
        <f>LEFT(J6354,2)</f>
        <v/>
      </c>
    </row>
    <row r="6355" ht="12.75" customHeight="1">
      <c r="H6355" s="43" t="n"/>
      <c r="AG6355" s="49">
        <f>IFERROR(__xludf.DUMMYFUNCTION("IFNA(vlookup(H6355,IMPORTRANGE(""1vUGwO1n0QQGx9kKbO0_M5gmuhXZ6-LaxQxgrmJnzgP0"",""'TP# look up'!A:C""),3,0),"""")"),"")</f>
        <v/>
      </c>
      <c r="AH6355" s="49">
        <f>LEFT(J6355,2)</f>
        <v/>
      </c>
    </row>
    <row r="6356" ht="12.75" customHeight="1">
      <c r="H6356" s="43" t="n"/>
      <c r="AG6356" s="49">
        <f>IFERROR(__xludf.DUMMYFUNCTION("IFNA(vlookup(H6356,IMPORTRANGE(""1vUGwO1n0QQGx9kKbO0_M5gmuhXZ6-LaxQxgrmJnzgP0"",""'TP# look up'!A:C""),3,0),"""")"),"")</f>
        <v/>
      </c>
      <c r="AH6356" s="49">
        <f>LEFT(J6356,2)</f>
        <v/>
      </c>
    </row>
    <row r="6357" ht="12.75" customHeight="1">
      <c r="H6357" s="43" t="n"/>
      <c r="AG6357" s="49">
        <f>IFERROR(__xludf.DUMMYFUNCTION("IFNA(vlookup(H6357,IMPORTRANGE(""1vUGwO1n0QQGx9kKbO0_M5gmuhXZ6-LaxQxgrmJnzgP0"",""'TP# look up'!A:C""),3,0),"""")"),"")</f>
        <v/>
      </c>
      <c r="AH6357" s="49">
        <f>LEFT(J6357,2)</f>
        <v/>
      </c>
    </row>
    <row r="6358" ht="12.75" customHeight="1">
      <c r="H6358" s="43" t="n"/>
      <c r="AG6358" s="49">
        <f>IFERROR(__xludf.DUMMYFUNCTION("IFNA(vlookup(H6358,IMPORTRANGE(""1vUGwO1n0QQGx9kKbO0_M5gmuhXZ6-LaxQxgrmJnzgP0"",""'TP# look up'!A:C""),3,0),"""")"),"")</f>
        <v/>
      </c>
      <c r="AH6358" s="49">
        <f>LEFT(J6358,2)</f>
        <v/>
      </c>
    </row>
    <row r="6359" ht="12.75" customHeight="1">
      <c r="H6359" s="43" t="n"/>
      <c r="AG6359" s="49">
        <f>IFERROR(__xludf.DUMMYFUNCTION("IFNA(vlookup(H6359,IMPORTRANGE(""1vUGwO1n0QQGx9kKbO0_M5gmuhXZ6-LaxQxgrmJnzgP0"",""'TP# look up'!A:C""),3,0),"""")"),"")</f>
        <v/>
      </c>
      <c r="AH6359" s="49">
        <f>LEFT(J6359,2)</f>
        <v/>
      </c>
    </row>
    <row r="6360" ht="12.75" customHeight="1">
      <c r="H6360" s="43" t="n"/>
      <c r="AG6360" s="49">
        <f>IFERROR(__xludf.DUMMYFUNCTION("IFNA(vlookup(H6360,IMPORTRANGE(""1vUGwO1n0QQGx9kKbO0_M5gmuhXZ6-LaxQxgrmJnzgP0"",""'TP# look up'!A:C""),3,0),"""")"),"")</f>
        <v/>
      </c>
      <c r="AH6360" s="49">
        <f>LEFT(J6360,2)</f>
        <v/>
      </c>
    </row>
    <row r="6361" ht="12.75" customHeight="1">
      <c r="H6361" s="43" t="n"/>
      <c r="AG6361" s="49">
        <f>IFERROR(__xludf.DUMMYFUNCTION("IFNA(vlookup(H6361,IMPORTRANGE(""1vUGwO1n0QQGx9kKbO0_M5gmuhXZ6-LaxQxgrmJnzgP0"",""'TP# look up'!A:C""),3,0),"""")"),"")</f>
        <v/>
      </c>
      <c r="AH6361" s="49">
        <f>LEFT(J6361,2)</f>
        <v/>
      </c>
    </row>
    <row r="6362" ht="12.75" customHeight="1">
      <c r="H6362" s="43" t="n"/>
      <c r="AG6362" s="49">
        <f>IFERROR(__xludf.DUMMYFUNCTION("IFNA(vlookup(H6362,IMPORTRANGE(""1vUGwO1n0QQGx9kKbO0_M5gmuhXZ6-LaxQxgrmJnzgP0"",""'TP# look up'!A:C""),3,0),"""")"),"")</f>
        <v/>
      </c>
      <c r="AH6362" s="49">
        <f>LEFT(J6362,2)</f>
        <v/>
      </c>
    </row>
    <row r="6363" ht="12.75" customHeight="1">
      <c r="H6363" s="43" t="n"/>
      <c r="AG6363" s="49">
        <f>IFERROR(__xludf.DUMMYFUNCTION("IFNA(vlookup(H6363,IMPORTRANGE(""1vUGwO1n0QQGx9kKbO0_M5gmuhXZ6-LaxQxgrmJnzgP0"",""'TP# look up'!A:C""),3,0),"""")"),"")</f>
        <v/>
      </c>
      <c r="AH6363" s="49">
        <f>LEFT(J6363,2)</f>
        <v/>
      </c>
    </row>
    <row r="6364" ht="12.75" customHeight="1">
      <c r="H6364" s="43" t="n"/>
      <c r="AG6364" s="49">
        <f>IFERROR(__xludf.DUMMYFUNCTION("IFNA(vlookup(H6364,IMPORTRANGE(""1vUGwO1n0QQGx9kKbO0_M5gmuhXZ6-LaxQxgrmJnzgP0"",""'TP# look up'!A:C""),3,0),"""")"),"")</f>
        <v/>
      </c>
      <c r="AH6364" s="49">
        <f>LEFT(J6364,2)</f>
        <v/>
      </c>
    </row>
    <row r="6365" ht="12.75" customHeight="1">
      <c r="H6365" s="43" t="n"/>
      <c r="AG6365" s="49">
        <f>IFERROR(__xludf.DUMMYFUNCTION("IFNA(vlookup(H6365,IMPORTRANGE(""1vUGwO1n0QQGx9kKbO0_M5gmuhXZ6-LaxQxgrmJnzgP0"",""'TP# look up'!A:C""),3,0),"""")"),"")</f>
        <v/>
      </c>
      <c r="AH6365" s="49">
        <f>LEFT(J6365,2)</f>
        <v/>
      </c>
    </row>
    <row r="6366" ht="12.75" customHeight="1">
      <c r="H6366" s="43" t="n"/>
      <c r="AG6366" s="49">
        <f>IFERROR(__xludf.DUMMYFUNCTION("IFNA(vlookup(H6366,IMPORTRANGE(""1vUGwO1n0QQGx9kKbO0_M5gmuhXZ6-LaxQxgrmJnzgP0"",""'TP# look up'!A:C""),3,0),"""")"),"")</f>
        <v/>
      </c>
      <c r="AH6366" s="49">
        <f>LEFT(J6366,2)</f>
        <v/>
      </c>
    </row>
    <row r="6367" ht="12.75" customHeight="1">
      <c r="H6367" s="43" t="n"/>
      <c r="AG6367" s="49">
        <f>IFERROR(__xludf.DUMMYFUNCTION("IFNA(vlookup(H6367,IMPORTRANGE(""1vUGwO1n0QQGx9kKbO0_M5gmuhXZ6-LaxQxgrmJnzgP0"",""'TP# look up'!A:C""),3,0),"""")"),"")</f>
        <v/>
      </c>
      <c r="AH6367" s="49">
        <f>LEFT(J6367,2)</f>
        <v/>
      </c>
    </row>
    <row r="6368" ht="12.75" customHeight="1">
      <c r="H6368" s="43" t="n"/>
      <c r="AG6368" s="49">
        <f>IFERROR(__xludf.DUMMYFUNCTION("IFNA(vlookup(H6368,IMPORTRANGE(""1vUGwO1n0QQGx9kKbO0_M5gmuhXZ6-LaxQxgrmJnzgP0"",""'TP# look up'!A:C""),3,0),"""")"),"")</f>
        <v/>
      </c>
      <c r="AH6368" s="49">
        <f>LEFT(J6368,2)</f>
        <v/>
      </c>
    </row>
    <row r="6369" ht="12.75" customHeight="1">
      <c r="H6369" s="43" t="n"/>
      <c r="AG6369" s="49">
        <f>IFERROR(__xludf.DUMMYFUNCTION("IFNA(vlookup(H6369,IMPORTRANGE(""1vUGwO1n0QQGx9kKbO0_M5gmuhXZ6-LaxQxgrmJnzgP0"",""'TP# look up'!A:C""),3,0),"""")"),"")</f>
        <v/>
      </c>
      <c r="AH6369" s="49">
        <f>LEFT(J6369,2)</f>
        <v/>
      </c>
    </row>
    <row r="6370" ht="12.75" customHeight="1">
      <c r="H6370" s="43" t="n"/>
      <c r="AG6370" s="49">
        <f>IFERROR(__xludf.DUMMYFUNCTION("IFNA(vlookup(H6370,IMPORTRANGE(""1vUGwO1n0QQGx9kKbO0_M5gmuhXZ6-LaxQxgrmJnzgP0"",""'TP# look up'!A:C""),3,0),"""")"),"")</f>
        <v/>
      </c>
      <c r="AH6370" s="49">
        <f>LEFT(J6370,2)</f>
        <v/>
      </c>
    </row>
    <row r="6371" ht="12.75" customHeight="1">
      <c r="H6371" s="43" t="n"/>
      <c r="AG6371" s="49">
        <f>IFERROR(__xludf.DUMMYFUNCTION("IFNA(vlookup(H6371,IMPORTRANGE(""1vUGwO1n0QQGx9kKbO0_M5gmuhXZ6-LaxQxgrmJnzgP0"",""'TP# look up'!A:C""),3,0),"""")"),"")</f>
        <v/>
      </c>
      <c r="AH6371" s="49">
        <f>LEFT(J6371,2)</f>
        <v/>
      </c>
    </row>
    <row r="6372" ht="12.75" customHeight="1">
      <c r="H6372" s="43" t="n"/>
      <c r="AG6372" s="49">
        <f>IFERROR(__xludf.DUMMYFUNCTION("IFNA(vlookup(H6372,IMPORTRANGE(""1vUGwO1n0QQGx9kKbO0_M5gmuhXZ6-LaxQxgrmJnzgP0"",""'TP# look up'!A:C""),3,0),"""")"),"")</f>
        <v/>
      </c>
      <c r="AH6372" s="49">
        <f>LEFT(J6372,2)</f>
        <v/>
      </c>
    </row>
    <row r="6373" ht="12.75" customHeight="1">
      <c r="H6373" s="43" t="n"/>
      <c r="AG6373" s="49">
        <f>IFERROR(__xludf.DUMMYFUNCTION("IFNA(vlookup(H6373,IMPORTRANGE(""1vUGwO1n0QQGx9kKbO0_M5gmuhXZ6-LaxQxgrmJnzgP0"",""'TP# look up'!A:C""),3,0),"""")"),"")</f>
        <v/>
      </c>
      <c r="AH6373" s="49">
        <f>LEFT(J6373,2)</f>
        <v/>
      </c>
    </row>
    <row r="6374" ht="12.75" customHeight="1">
      <c r="H6374" s="43" t="n"/>
      <c r="AG6374" s="49">
        <f>IFERROR(__xludf.DUMMYFUNCTION("IFNA(vlookup(H6374,IMPORTRANGE(""1vUGwO1n0QQGx9kKbO0_M5gmuhXZ6-LaxQxgrmJnzgP0"",""'TP# look up'!A:C""),3,0),"""")"),"")</f>
        <v/>
      </c>
      <c r="AH6374" s="49">
        <f>LEFT(J6374,2)</f>
        <v/>
      </c>
    </row>
    <row r="6375" ht="12.75" customHeight="1">
      <c r="H6375" s="43" t="n"/>
      <c r="AG6375" s="49">
        <f>IFERROR(__xludf.DUMMYFUNCTION("IFNA(vlookup(H6375,IMPORTRANGE(""1vUGwO1n0QQGx9kKbO0_M5gmuhXZ6-LaxQxgrmJnzgP0"",""'TP# look up'!A:C""),3,0),"""")"),"")</f>
        <v/>
      </c>
      <c r="AH6375" s="49">
        <f>LEFT(J6375,2)</f>
        <v/>
      </c>
    </row>
    <row r="6376" ht="12.75" customHeight="1">
      <c r="H6376" s="43" t="n"/>
      <c r="AG6376" s="49">
        <f>IFERROR(__xludf.DUMMYFUNCTION("IFNA(vlookup(H6376,IMPORTRANGE(""1vUGwO1n0QQGx9kKbO0_M5gmuhXZ6-LaxQxgrmJnzgP0"",""'TP# look up'!A:C""),3,0),"""")"),"")</f>
        <v/>
      </c>
      <c r="AH6376" s="49">
        <f>LEFT(J6376,2)</f>
        <v/>
      </c>
    </row>
    <row r="6377" ht="12.75" customHeight="1">
      <c r="H6377" s="43" t="n"/>
      <c r="AG6377" s="49">
        <f>IFERROR(__xludf.DUMMYFUNCTION("IFNA(vlookup(H6377,IMPORTRANGE(""1vUGwO1n0QQGx9kKbO0_M5gmuhXZ6-LaxQxgrmJnzgP0"",""'TP# look up'!A:C""),3,0),"""")"),"")</f>
        <v/>
      </c>
      <c r="AH6377" s="49">
        <f>LEFT(J6377,2)</f>
        <v/>
      </c>
    </row>
    <row r="6378" ht="12.75" customHeight="1">
      <c r="H6378" s="43" t="n"/>
      <c r="AG6378" s="49">
        <f>IFERROR(__xludf.DUMMYFUNCTION("IFNA(vlookup(H6378,IMPORTRANGE(""1vUGwO1n0QQGx9kKbO0_M5gmuhXZ6-LaxQxgrmJnzgP0"",""'TP# look up'!A:C""),3,0),"""")"),"")</f>
        <v/>
      </c>
      <c r="AH6378" s="49">
        <f>LEFT(J6378,2)</f>
        <v/>
      </c>
    </row>
    <row r="6379" ht="12.75" customHeight="1">
      <c r="H6379" s="43" t="n"/>
      <c r="AG6379" s="49">
        <f>IFERROR(__xludf.DUMMYFUNCTION("IFNA(vlookup(H6379,IMPORTRANGE(""1vUGwO1n0QQGx9kKbO0_M5gmuhXZ6-LaxQxgrmJnzgP0"",""'TP# look up'!A:C""),3,0),"""")"),"")</f>
        <v/>
      </c>
      <c r="AH6379" s="49">
        <f>LEFT(J6379,2)</f>
        <v/>
      </c>
    </row>
    <row r="6380" ht="12.75" customHeight="1">
      <c r="H6380" s="43" t="n"/>
      <c r="AG6380" s="49">
        <f>IFERROR(__xludf.DUMMYFUNCTION("IFNA(vlookup(H6380,IMPORTRANGE(""1vUGwO1n0QQGx9kKbO0_M5gmuhXZ6-LaxQxgrmJnzgP0"",""'TP# look up'!A:C""),3,0),"""")"),"")</f>
        <v/>
      </c>
      <c r="AH6380" s="49">
        <f>LEFT(J6380,2)</f>
        <v/>
      </c>
    </row>
    <row r="6381" ht="12.75" customHeight="1">
      <c r="H6381" s="43" t="n"/>
      <c r="AG6381" s="49">
        <f>IFERROR(__xludf.DUMMYFUNCTION("IFNA(vlookup(H6381,IMPORTRANGE(""1vUGwO1n0QQGx9kKbO0_M5gmuhXZ6-LaxQxgrmJnzgP0"",""'TP# look up'!A:C""),3,0),"""")"),"")</f>
        <v/>
      </c>
      <c r="AH6381" s="49">
        <f>LEFT(J6381,2)</f>
        <v/>
      </c>
    </row>
    <row r="6382" ht="12.75" customHeight="1">
      <c r="H6382" s="43" t="n"/>
      <c r="AG6382" s="49">
        <f>IFERROR(__xludf.DUMMYFUNCTION("IFNA(vlookup(H6382,IMPORTRANGE(""1vUGwO1n0QQGx9kKbO0_M5gmuhXZ6-LaxQxgrmJnzgP0"",""'TP# look up'!A:C""),3,0),"""")"),"")</f>
        <v/>
      </c>
      <c r="AH6382" s="49">
        <f>LEFT(J6382,2)</f>
        <v/>
      </c>
    </row>
    <row r="6383" ht="12.75" customHeight="1">
      <c r="H6383" s="43" t="n"/>
      <c r="AG6383" s="49">
        <f>IFERROR(__xludf.DUMMYFUNCTION("IFNA(vlookup(H6383,IMPORTRANGE(""1vUGwO1n0QQGx9kKbO0_M5gmuhXZ6-LaxQxgrmJnzgP0"",""'TP# look up'!A:C""),3,0),"""")"),"")</f>
        <v/>
      </c>
      <c r="AH6383" s="49">
        <f>LEFT(J6383,2)</f>
        <v/>
      </c>
    </row>
    <row r="6384" ht="12.75" customHeight="1">
      <c r="H6384" s="43" t="n"/>
      <c r="AG6384" s="49">
        <f>IFERROR(__xludf.DUMMYFUNCTION("IFNA(vlookup(H6384,IMPORTRANGE(""1vUGwO1n0QQGx9kKbO0_M5gmuhXZ6-LaxQxgrmJnzgP0"",""'TP# look up'!A:C""),3,0),"""")"),"")</f>
        <v/>
      </c>
      <c r="AH6384" s="49">
        <f>LEFT(J6384,2)</f>
        <v/>
      </c>
    </row>
    <row r="6385" ht="12.75" customHeight="1">
      <c r="H6385" s="43" t="n"/>
      <c r="AG6385" s="49">
        <f>IFERROR(__xludf.DUMMYFUNCTION("IFNA(vlookup(H6385,IMPORTRANGE(""1vUGwO1n0QQGx9kKbO0_M5gmuhXZ6-LaxQxgrmJnzgP0"",""'TP# look up'!A:C""),3,0),"""")"),"")</f>
        <v/>
      </c>
      <c r="AH6385" s="49">
        <f>LEFT(J6385,2)</f>
        <v/>
      </c>
    </row>
    <row r="6386" ht="12.75" customHeight="1">
      <c r="H6386" s="43" t="n"/>
      <c r="AG6386" s="49">
        <f>IFERROR(__xludf.DUMMYFUNCTION("IFNA(vlookup(H6386,IMPORTRANGE(""1vUGwO1n0QQGx9kKbO0_M5gmuhXZ6-LaxQxgrmJnzgP0"",""'TP# look up'!A:C""),3,0),"""")"),"")</f>
        <v/>
      </c>
      <c r="AH6386" s="49">
        <f>LEFT(J6386,2)</f>
        <v/>
      </c>
    </row>
    <row r="6387" ht="12.75" customHeight="1">
      <c r="H6387" s="43" t="n"/>
      <c r="AG6387" s="49">
        <f>IFERROR(__xludf.DUMMYFUNCTION("IFNA(vlookup(H6387,IMPORTRANGE(""1vUGwO1n0QQGx9kKbO0_M5gmuhXZ6-LaxQxgrmJnzgP0"",""'TP# look up'!A:C""),3,0),"""")"),"")</f>
        <v/>
      </c>
      <c r="AH6387" s="49">
        <f>LEFT(J6387,2)</f>
        <v/>
      </c>
    </row>
    <row r="6388" ht="12.75" customHeight="1">
      <c r="H6388" s="43" t="n"/>
      <c r="AG6388" s="49">
        <f>IFERROR(__xludf.DUMMYFUNCTION("IFNA(vlookup(H6388,IMPORTRANGE(""1vUGwO1n0QQGx9kKbO0_M5gmuhXZ6-LaxQxgrmJnzgP0"",""'TP# look up'!A:C""),3,0),"""")"),"")</f>
        <v/>
      </c>
      <c r="AH6388" s="49">
        <f>LEFT(J6388,2)</f>
        <v/>
      </c>
    </row>
    <row r="6389" ht="12.75" customHeight="1">
      <c r="H6389" s="43" t="n"/>
      <c r="AG6389" s="49">
        <f>IFERROR(__xludf.DUMMYFUNCTION("IFNA(vlookup(H6389,IMPORTRANGE(""1vUGwO1n0QQGx9kKbO0_M5gmuhXZ6-LaxQxgrmJnzgP0"",""'TP# look up'!A:C""),3,0),"""")"),"")</f>
        <v/>
      </c>
      <c r="AH6389" s="49">
        <f>LEFT(J6389,2)</f>
        <v/>
      </c>
    </row>
    <row r="6390" ht="12.75" customHeight="1">
      <c r="H6390" s="43" t="n"/>
      <c r="AG6390" s="49">
        <f>IFERROR(__xludf.DUMMYFUNCTION("IFNA(vlookup(H6390,IMPORTRANGE(""1vUGwO1n0QQGx9kKbO0_M5gmuhXZ6-LaxQxgrmJnzgP0"",""'TP# look up'!A:C""),3,0),"""")"),"")</f>
        <v/>
      </c>
      <c r="AH6390" s="49">
        <f>LEFT(J6390,2)</f>
        <v/>
      </c>
    </row>
    <row r="6391" ht="12.75" customHeight="1">
      <c r="H6391" s="43" t="n"/>
      <c r="AG6391" s="49">
        <f>IFERROR(__xludf.DUMMYFUNCTION("IFNA(vlookup(H6391,IMPORTRANGE(""1vUGwO1n0QQGx9kKbO0_M5gmuhXZ6-LaxQxgrmJnzgP0"",""'TP# look up'!A:C""),3,0),"""")"),"")</f>
        <v/>
      </c>
      <c r="AH6391" s="49">
        <f>LEFT(J6391,2)</f>
        <v/>
      </c>
    </row>
    <row r="6392" ht="12.75" customHeight="1">
      <c r="H6392" s="43" t="n"/>
      <c r="AG6392" s="49">
        <f>IFERROR(__xludf.DUMMYFUNCTION("IFNA(vlookup(H6392,IMPORTRANGE(""1vUGwO1n0QQGx9kKbO0_M5gmuhXZ6-LaxQxgrmJnzgP0"",""'TP# look up'!A:C""),3,0),"""")"),"")</f>
        <v/>
      </c>
      <c r="AH6392" s="49">
        <f>LEFT(J6392,2)</f>
        <v/>
      </c>
    </row>
    <row r="6393" ht="12.75" customHeight="1">
      <c r="H6393" s="43" t="n"/>
      <c r="AG6393" s="49">
        <f>IFERROR(__xludf.DUMMYFUNCTION("IFNA(vlookup(H6393,IMPORTRANGE(""1vUGwO1n0QQGx9kKbO0_M5gmuhXZ6-LaxQxgrmJnzgP0"",""'TP# look up'!A:C""),3,0),"""")"),"")</f>
        <v/>
      </c>
      <c r="AH6393" s="49">
        <f>LEFT(J6393,2)</f>
        <v/>
      </c>
    </row>
    <row r="6394" ht="12.75" customHeight="1">
      <c r="H6394" s="43" t="n"/>
      <c r="AG6394" s="49">
        <f>IFERROR(__xludf.DUMMYFUNCTION("IFNA(vlookup(H6394,IMPORTRANGE(""1vUGwO1n0QQGx9kKbO0_M5gmuhXZ6-LaxQxgrmJnzgP0"",""'TP# look up'!A:C""),3,0),"""")"),"")</f>
        <v/>
      </c>
      <c r="AH6394" s="49">
        <f>LEFT(J6394,2)</f>
        <v/>
      </c>
    </row>
    <row r="6395" ht="12.75" customHeight="1">
      <c r="H6395" s="43" t="n"/>
      <c r="AG6395" s="49">
        <f>IFERROR(__xludf.DUMMYFUNCTION("IFNA(vlookup(H6395,IMPORTRANGE(""1vUGwO1n0QQGx9kKbO0_M5gmuhXZ6-LaxQxgrmJnzgP0"",""'TP# look up'!A:C""),3,0),"""")"),"")</f>
        <v/>
      </c>
      <c r="AH6395" s="49">
        <f>LEFT(J6395,2)</f>
        <v/>
      </c>
    </row>
    <row r="6396" ht="12.75" customHeight="1">
      <c r="H6396" s="43" t="n"/>
      <c r="AG6396" s="49">
        <f>IFERROR(__xludf.DUMMYFUNCTION("IFNA(vlookup(H6396,IMPORTRANGE(""1vUGwO1n0QQGx9kKbO0_M5gmuhXZ6-LaxQxgrmJnzgP0"",""'TP# look up'!A:C""),3,0),"""")"),"")</f>
        <v/>
      </c>
      <c r="AH6396" s="49">
        <f>LEFT(J6396,2)</f>
        <v/>
      </c>
    </row>
    <row r="6397" ht="12.75" customHeight="1">
      <c r="H6397" s="43" t="n"/>
      <c r="AG6397" s="49">
        <f>IFERROR(__xludf.DUMMYFUNCTION("IFNA(vlookup(H6397,IMPORTRANGE(""1vUGwO1n0QQGx9kKbO0_M5gmuhXZ6-LaxQxgrmJnzgP0"",""'TP# look up'!A:C""),3,0),"""")"),"")</f>
        <v/>
      </c>
      <c r="AH6397" s="49">
        <f>LEFT(J6397,2)</f>
        <v/>
      </c>
    </row>
    <row r="6398" ht="12.75" customHeight="1">
      <c r="H6398" s="43" t="n"/>
      <c r="AG6398" s="49">
        <f>IFERROR(__xludf.DUMMYFUNCTION("IFNA(vlookup(H6398,IMPORTRANGE(""1vUGwO1n0QQGx9kKbO0_M5gmuhXZ6-LaxQxgrmJnzgP0"",""'TP# look up'!A:C""),3,0),"""")"),"")</f>
        <v/>
      </c>
      <c r="AH6398" s="49">
        <f>LEFT(J6398,2)</f>
        <v/>
      </c>
    </row>
    <row r="6399" ht="12.75" customHeight="1">
      <c r="H6399" s="43" t="n"/>
      <c r="AG6399" s="49">
        <f>IFERROR(__xludf.DUMMYFUNCTION("IFNA(vlookup(H6399,IMPORTRANGE(""1vUGwO1n0QQGx9kKbO0_M5gmuhXZ6-LaxQxgrmJnzgP0"",""'TP# look up'!A:C""),3,0),"""")"),"")</f>
        <v/>
      </c>
      <c r="AH6399" s="49">
        <f>LEFT(J6399,2)</f>
        <v/>
      </c>
    </row>
    <row r="6400" ht="12.75" customHeight="1">
      <c r="H6400" s="43" t="n"/>
      <c r="AG6400" s="49">
        <f>IFERROR(__xludf.DUMMYFUNCTION("IFNA(vlookup(H6400,IMPORTRANGE(""1vUGwO1n0QQGx9kKbO0_M5gmuhXZ6-LaxQxgrmJnzgP0"",""'TP# look up'!A:C""),3,0),"""")"),"")</f>
        <v/>
      </c>
      <c r="AH6400" s="49">
        <f>LEFT(J6400,2)</f>
        <v/>
      </c>
    </row>
    <row r="6401" ht="12.75" customHeight="1">
      <c r="H6401" s="43" t="n"/>
      <c r="AG6401" s="49">
        <f>IFERROR(__xludf.DUMMYFUNCTION("IFNA(vlookup(H6401,IMPORTRANGE(""1vUGwO1n0QQGx9kKbO0_M5gmuhXZ6-LaxQxgrmJnzgP0"",""'TP# look up'!A:C""),3,0),"""")"),"")</f>
        <v/>
      </c>
      <c r="AH6401" s="49">
        <f>LEFT(J6401,2)</f>
        <v/>
      </c>
    </row>
    <row r="6402" ht="12.75" customHeight="1">
      <c r="H6402" s="43" t="n"/>
      <c r="AG6402" s="49">
        <f>IFERROR(__xludf.DUMMYFUNCTION("IFNA(vlookup(H6402,IMPORTRANGE(""1vUGwO1n0QQGx9kKbO0_M5gmuhXZ6-LaxQxgrmJnzgP0"",""'TP# look up'!A:C""),3,0),"""")"),"")</f>
        <v/>
      </c>
      <c r="AH6402" s="49">
        <f>LEFT(J6402,2)</f>
        <v/>
      </c>
    </row>
    <row r="6403" ht="12.75" customHeight="1">
      <c r="H6403" s="43" t="n"/>
      <c r="AG6403" s="49">
        <f>IFERROR(__xludf.DUMMYFUNCTION("IFNA(vlookup(H6403,IMPORTRANGE(""1vUGwO1n0QQGx9kKbO0_M5gmuhXZ6-LaxQxgrmJnzgP0"",""'TP# look up'!A:C""),3,0),"""")"),"")</f>
        <v/>
      </c>
      <c r="AH6403" s="49">
        <f>LEFT(J6403,2)</f>
        <v/>
      </c>
    </row>
    <row r="6404" ht="12.75" customHeight="1">
      <c r="H6404" s="43" t="n"/>
      <c r="AG6404" s="49">
        <f>IFERROR(__xludf.DUMMYFUNCTION("IFNA(vlookup(H6404,IMPORTRANGE(""1vUGwO1n0QQGx9kKbO0_M5gmuhXZ6-LaxQxgrmJnzgP0"",""'TP# look up'!A:C""),3,0),"""")"),"")</f>
        <v/>
      </c>
      <c r="AH6404" s="49">
        <f>LEFT(J6404,2)</f>
        <v/>
      </c>
    </row>
    <row r="6405" ht="12.75" customHeight="1">
      <c r="H6405" s="43" t="n"/>
      <c r="AG6405" s="49">
        <f>IFERROR(__xludf.DUMMYFUNCTION("IFNA(vlookup(H6405,IMPORTRANGE(""1vUGwO1n0QQGx9kKbO0_M5gmuhXZ6-LaxQxgrmJnzgP0"",""'TP# look up'!A:C""),3,0),"""")"),"")</f>
        <v/>
      </c>
      <c r="AH6405" s="49">
        <f>LEFT(J6405,2)</f>
        <v/>
      </c>
    </row>
    <row r="6406" ht="12.75" customHeight="1">
      <c r="H6406" s="43" t="n"/>
      <c r="AG6406" s="49">
        <f>IFERROR(__xludf.DUMMYFUNCTION("IFNA(vlookup(H6406,IMPORTRANGE(""1vUGwO1n0QQGx9kKbO0_M5gmuhXZ6-LaxQxgrmJnzgP0"",""'TP# look up'!A:C""),3,0),"""")"),"")</f>
        <v/>
      </c>
      <c r="AH6406" s="49">
        <f>LEFT(J6406,2)</f>
        <v/>
      </c>
    </row>
    <row r="6407" ht="12.75" customHeight="1">
      <c r="H6407" s="43" t="n"/>
      <c r="AG6407" s="49">
        <f>IFERROR(__xludf.DUMMYFUNCTION("IFNA(vlookup(H6407,IMPORTRANGE(""1vUGwO1n0QQGx9kKbO0_M5gmuhXZ6-LaxQxgrmJnzgP0"",""'TP# look up'!A:C""),3,0),"""")"),"")</f>
        <v/>
      </c>
      <c r="AH6407" s="49">
        <f>LEFT(J6407,2)</f>
        <v/>
      </c>
    </row>
    <row r="6408" ht="12.75" customHeight="1">
      <c r="H6408" s="43" t="n"/>
      <c r="AG6408" s="49">
        <f>IFERROR(__xludf.DUMMYFUNCTION("IFNA(vlookup(H6408,IMPORTRANGE(""1vUGwO1n0QQGx9kKbO0_M5gmuhXZ6-LaxQxgrmJnzgP0"",""'TP# look up'!A:C""),3,0),"""")"),"")</f>
        <v/>
      </c>
      <c r="AH6408" s="49">
        <f>LEFT(J6408,2)</f>
        <v/>
      </c>
    </row>
    <row r="6409" ht="12.75" customHeight="1">
      <c r="H6409" s="43" t="n"/>
      <c r="AG6409" s="49">
        <f>IFERROR(__xludf.DUMMYFUNCTION("IFNA(vlookup(H6409,IMPORTRANGE(""1vUGwO1n0QQGx9kKbO0_M5gmuhXZ6-LaxQxgrmJnzgP0"",""'TP# look up'!A:C""),3,0),"""")"),"")</f>
        <v/>
      </c>
      <c r="AH6409" s="49">
        <f>LEFT(J6409,2)</f>
        <v/>
      </c>
    </row>
    <row r="6410" ht="12.75" customHeight="1">
      <c r="H6410" s="43" t="n"/>
      <c r="AG6410" s="49">
        <f>IFERROR(__xludf.DUMMYFUNCTION("IFNA(vlookup(H6410,IMPORTRANGE(""1vUGwO1n0QQGx9kKbO0_M5gmuhXZ6-LaxQxgrmJnzgP0"",""'TP# look up'!A:C""),3,0),"""")"),"")</f>
        <v/>
      </c>
      <c r="AH6410" s="49">
        <f>LEFT(J6410,2)</f>
        <v/>
      </c>
    </row>
    <row r="6411" ht="12.75" customHeight="1">
      <c r="H6411" s="43" t="n"/>
      <c r="AG6411" s="49">
        <f>IFERROR(__xludf.DUMMYFUNCTION("IFNA(vlookup(H6411,IMPORTRANGE(""1vUGwO1n0QQGx9kKbO0_M5gmuhXZ6-LaxQxgrmJnzgP0"",""'TP# look up'!A:C""),3,0),"""")"),"")</f>
        <v/>
      </c>
      <c r="AH6411" s="49">
        <f>LEFT(J6411,2)</f>
        <v/>
      </c>
    </row>
    <row r="6412" ht="12.75" customHeight="1">
      <c r="H6412" s="43" t="n"/>
      <c r="AG6412" s="49">
        <f>IFERROR(__xludf.DUMMYFUNCTION("IFNA(vlookup(H6412,IMPORTRANGE(""1vUGwO1n0QQGx9kKbO0_M5gmuhXZ6-LaxQxgrmJnzgP0"",""'TP# look up'!A:C""),3,0),"""")"),"")</f>
        <v/>
      </c>
      <c r="AH6412" s="49">
        <f>LEFT(J6412,2)</f>
        <v/>
      </c>
    </row>
    <row r="6413" ht="12.75" customHeight="1">
      <c r="H6413" s="43" t="n"/>
      <c r="AG6413" s="49">
        <f>IFERROR(__xludf.DUMMYFUNCTION("IFNA(vlookup(H6413,IMPORTRANGE(""1vUGwO1n0QQGx9kKbO0_M5gmuhXZ6-LaxQxgrmJnzgP0"",""'TP# look up'!A:C""),3,0),"""")"),"")</f>
        <v/>
      </c>
      <c r="AH6413" s="49">
        <f>LEFT(J6413,2)</f>
        <v/>
      </c>
    </row>
    <row r="6414" ht="12.75" customHeight="1">
      <c r="H6414" s="43" t="n"/>
      <c r="AG6414" s="49">
        <f>IFERROR(__xludf.DUMMYFUNCTION("IFNA(vlookup(H6414,IMPORTRANGE(""1vUGwO1n0QQGx9kKbO0_M5gmuhXZ6-LaxQxgrmJnzgP0"",""'TP# look up'!A:C""),3,0),"""")"),"")</f>
        <v/>
      </c>
      <c r="AH6414" s="49">
        <f>LEFT(J6414,2)</f>
        <v/>
      </c>
    </row>
    <row r="6415" ht="12.75" customHeight="1">
      <c r="H6415" s="43" t="n"/>
      <c r="AG6415" s="49">
        <f>IFERROR(__xludf.DUMMYFUNCTION("IFNA(vlookup(H6415,IMPORTRANGE(""1vUGwO1n0QQGx9kKbO0_M5gmuhXZ6-LaxQxgrmJnzgP0"",""'TP# look up'!A:C""),3,0),"""")"),"")</f>
        <v/>
      </c>
      <c r="AH6415" s="49">
        <f>LEFT(J6415,2)</f>
        <v/>
      </c>
    </row>
    <row r="6416" ht="12.75" customHeight="1">
      <c r="H6416" s="43" t="n"/>
      <c r="AG6416" s="49">
        <f>IFERROR(__xludf.DUMMYFUNCTION("IFNA(vlookup(H6416,IMPORTRANGE(""1vUGwO1n0QQGx9kKbO0_M5gmuhXZ6-LaxQxgrmJnzgP0"",""'TP# look up'!A:C""),3,0),"""")"),"")</f>
        <v/>
      </c>
      <c r="AH6416" s="49">
        <f>LEFT(J6416,2)</f>
        <v/>
      </c>
    </row>
    <row r="6417" ht="12.75" customHeight="1">
      <c r="H6417" s="43" t="n"/>
      <c r="AG6417" s="49">
        <f>IFERROR(__xludf.DUMMYFUNCTION("IFNA(vlookup(H6417,IMPORTRANGE(""1vUGwO1n0QQGx9kKbO0_M5gmuhXZ6-LaxQxgrmJnzgP0"",""'TP# look up'!A:C""),3,0),"""")"),"")</f>
        <v/>
      </c>
      <c r="AH6417" s="49">
        <f>LEFT(J6417,2)</f>
        <v/>
      </c>
    </row>
    <row r="6418" ht="12.75" customHeight="1">
      <c r="H6418" s="43" t="n"/>
      <c r="AG6418" s="49">
        <f>IFERROR(__xludf.DUMMYFUNCTION("IFNA(vlookup(H6418,IMPORTRANGE(""1vUGwO1n0QQGx9kKbO0_M5gmuhXZ6-LaxQxgrmJnzgP0"",""'TP# look up'!A:C""),3,0),"""")"),"")</f>
        <v/>
      </c>
      <c r="AH6418" s="49">
        <f>LEFT(J6418,2)</f>
        <v/>
      </c>
    </row>
    <row r="6419" ht="12.75" customHeight="1">
      <c r="H6419" s="43" t="n"/>
      <c r="AG6419" s="49">
        <f>IFERROR(__xludf.DUMMYFUNCTION("IFNA(vlookup(H6419,IMPORTRANGE(""1vUGwO1n0QQGx9kKbO0_M5gmuhXZ6-LaxQxgrmJnzgP0"",""'TP# look up'!A:C""),3,0),"""")"),"")</f>
        <v/>
      </c>
      <c r="AH6419" s="49">
        <f>LEFT(J6419,2)</f>
        <v/>
      </c>
    </row>
    <row r="6420" ht="12.75" customHeight="1">
      <c r="H6420" s="43" t="n"/>
      <c r="AG6420" s="49">
        <f>IFERROR(__xludf.DUMMYFUNCTION("IFNA(vlookup(H6420,IMPORTRANGE(""1vUGwO1n0QQGx9kKbO0_M5gmuhXZ6-LaxQxgrmJnzgP0"",""'TP# look up'!A:C""),3,0),"""")"),"")</f>
        <v/>
      </c>
      <c r="AH6420" s="49">
        <f>LEFT(J6420,2)</f>
        <v/>
      </c>
    </row>
    <row r="6421" ht="12.75" customHeight="1">
      <c r="H6421" s="43" t="n"/>
      <c r="AG6421" s="49">
        <f>IFERROR(__xludf.DUMMYFUNCTION("IFNA(vlookup(H6421,IMPORTRANGE(""1vUGwO1n0QQGx9kKbO0_M5gmuhXZ6-LaxQxgrmJnzgP0"",""'TP# look up'!A:C""),3,0),"""")"),"")</f>
        <v/>
      </c>
      <c r="AH6421" s="49">
        <f>LEFT(J6421,2)</f>
        <v/>
      </c>
    </row>
    <row r="6422" ht="12.75" customHeight="1">
      <c r="H6422" s="43" t="n"/>
      <c r="AG6422" s="49">
        <f>IFERROR(__xludf.DUMMYFUNCTION("IFNA(vlookup(H6422,IMPORTRANGE(""1vUGwO1n0QQGx9kKbO0_M5gmuhXZ6-LaxQxgrmJnzgP0"",""'TP# look up'!A:C""),3,0),"""")"),"")</f>
        <v/>
      </c>
      <c r="AH6422" s="49">
        <f>LEFT(J6422,2)</f>
        <v/>
      </c>
    </row>
    <row r="6423" ht="12.75" customHeight="1">
      <c r="H6423" s="43" t="n"/>
      <c r="AG6423" s="49">
        <f>IFERROR(__xludf.DUMMYFUNCTION("IFNA(vlookup(H6423,IMPORTRANGE(""1vUGwO1n0QQGx9kKbO0_M5gmuhXZ6-LaxQxgrmJnzgP0"",""'TP# look up'!A:C""),3,0),"""")"),"")</f>
        <v/>
      </c>
      <c r="AH6423" s="49">
        <f>LEFT(J6423,2)</f>
        <v/>
      </c>
    </row>
    <row r="6424" ht="12.75" customHeight="1">
      <c r="H6424" s="43" t="n"/>
      <c r="AG6424" s="49">
        <f>IFERROR(__xludf.DUMMYFUNCTION("IFNA(vlookup(H6424,IMPORTRANGE(""1vUGwO1n0QQGx9kKbO0_M5gmuhXZ6-LaxQxgrmJnzgP0"",""'TP# look up'!A:C""),3,0),"""")"),"")</f>
        <v/>
      </c>
      <c r="AH6424" s="49">
        <f>LEFT(J6424,2)</f>
        <v/>
      </c>
    </row>
    <row r="6425" ht="12.75" customHeight="1">
      <c r="H6425" s="43" t="n"/>
      <c r="AG6425" s="49">
        <f>IFERROR(__xludf.DUMMYFUNCTION("IFNA(vlookup(H6425,IMPORTRANGE(""1vUGwO1n0QQGx9kKbO0_M5gmuhXZ6-LaxQxgrmJnzgP0"",""'TP# look up'!A:C""),3,0),"""")"),"")</f>
        <v/>
      </c>
      <c r="AH6425" s="49">
        <f>LEFT(J6425,2)</f>
        <v/>
      </c>
    </row>
    <row r="6426" ht="12.75" customHeight="1">
      <c r="H6426" s="43" t="n"/>
      <c r="AG6426" s="49">
        <f>IFERROR(__xludf.DUMMYFUNCTION("IFNA(vlookup(H6426,IMPORTRANGE(""1vUGwO1n0QQGx9kKbO0_M5gmuhXZ6-LaxQxgrmJnzgP0"",""'TP# look up'!A:C""),3,0),"""")"),"")</f>
        <v/>
      </c>
      <c r="AH6426" s="49">
        <f>LEFT(J6426,2)</f>
        <v/>
      </c>
    </row>
    <row r="6427" ht="12.75" customHeight="1">
      <c r="H6427" s="43" t="n"/>
      <c r="AG6427" s="49">
        <f>IFERROR(__xludf.DUMMYFUNCTION("IFNA(vlookup(H6427,IMPORTRANGE(""1vUGwO1n0QQGx9kKbO0_M5gmuhXZ6-LaxQxgrmJnzgP0"",""'TP# look up'!A:C""),3,0),"""")"),"")</f>
        <v/>
      </c>
      <c r="AH6427" s="49">
        <f>LEFT(J6427,2)</f>
        <v/>
      </c>
    </row>
    <row r="6428" ht="12.75" customHeight="1">
      <c r="H6428" s="43" t="n"/>
      <c r="AG6428" s="49">
        <f>IFERROR(__xludf.DUMMYFUNCTION("IFNA(vlookup(H6428,IMPORTRANGE(""1vUGwO1n0QQGx9kKbO0_M5gmuhXZ6-LaxQxgrmJnzgP0"",""'TP# look up'!A:C""),3,0),"""")"),"")</f>
        <v/>
      </c>
      <c r="AH6428" s="49">
        <f>LEFT(J6428,2)</f>
        <v/>
      </c>
    </row>
    <row r="6429" ht="12.75" customHeight="1">
      <c r="H6429" s="43" t="n"/>
      <c r="AG6429" s="49">
        <f>IFERROR(__xludf.DUMMYFUNCTION("IFNA(vlookup(H6429,IMPORTRANGE(""1vUGwO1n0QQGx9kKbO0_M5gmuhXZ6-LaxQxgrmJnzgP0"",""'TP# look up'!A:C""),3,0),"""")"),"")</f>
        <v/>
      </c>
      <c r="AH6429" s="49">
        <f>LEFT(J6429,2)</f>
        <v/>
      </c>
    </row>
    <row r="6430" ht="12.75" customHeight="1">
      <c r="H6430" s="43" t="n"/>
      <c r="AG6430" s="49">
        <f>IFERROR(__xludf.DUMMYFUNCTION("IFNA(vlookup(H6430,IMPORTRANGE(""1vUGwO1n0QQGx9kKbO0_M5gmuhXZ6-LaxQxgrmJnzgP0"",""'TP# look up'!A:C""),3,0),"""")"),"")</f>
        <v/>
      </c>
      <c r="AH6430" s="49">
        <f>LEFT(J6430,2)</f>
        <v/>
      </c>
    </row>
    <row r="6431" ht="12.75" customHeight="1">
      <c r="H6431" s="43" t="n"/>
      <c r="AG6431" s="49">
        <f>IFERROR(__xludf.DUMMYFUNCTION("IFNA(vlookup(H6431,IMPORTRANGE(""1vUGwO1n0QQGx9kKbO0_M5gmuhXZ6-LaxQxgrmJnzgP0"",""'TP# look up'!A:C""),3,0),"""")"),"")</f>
        <v/>
      </c>
      <c r="AH6431" s="49">
        <f>LEFT(J6431,2)</f>
        <v/>
      </c>
    </row>
    <row r="6432" ht="12.75" customHeight="1">
      <c r="H6432" s="43" t="n"/>
      <c r="AG6432" s="49">
        <f>IFERROR(__xludf.DUMMYFUNCTION("IFNA(vlookup(H6432,IMPORTRANGE(""1vUGwO1n0QQGx9kKbO0_M5gmuhXZ6-LaxQxgrmJnzgP0"",""'TP# look up'!A:C""),3,0),"""")"),"")</f>
        <v/>
      </c>
      <c r="AH6432" s="49">
        <f>LEFT(J6432,2)</f>
        <v/>
      </c>
    </row>
    <row r="6433" ht="12.75" customHeight="1">
      <c r="H6433" s="43" t="n"/>
      <c r="AG6433" s="49">
        <f>IFERROR(__xludf.DUMMYFUNCTION("IFNA(vlookup(H6433,IMPORTRANGE(""1vUGwO1n0QQGx9kKbO0_M5gmuhXZ6-LaxQxgrmJnzgP0"",""'TP# look up'!A:C""),3,0),"""")"),"")</f>
        <v/>
      </c>
      <c r="AH6433" s="49">
        <f>LEFT(J6433,2)</f>
        <v/>
      </c>
    </row>
    <row r="6434" ht="12.75" customHeight="1">
      <c r="H6434" s="43" t="n"/>
      <c r="AG6434" s="49">
        <f>IFERROR(__xludf.DUMMYFUNCTION("IFNA(vlookup(H6434,IMPORTRANGE(""1vUGwO1n0QQGx9kKbO0_M5gmuhXZ6-LaxQxgrmJnzgP0"",""'TP# look up'!A:C""),3,0),"""")"),"")</f>
        <v/>
      </c>
      <c r="AH6434" s="49">
        <f>LEFT(J6434,2)</f>
        <v/>
      </c>
    </row>
    <row r="6435" ht="12.75" customHeight="1">
      <c r="H6435" s="43" t="n"/>
      <c r="AG6435" s="49">
        <f>IFERROR(__xludf.DUMMYFUNCTION("IFNA(vlookup(H6435,IMPORTRANGE(""1vUGwO1n0QQGx9kKbO0_M5gmuhXZ6-LaxQxgrmJnzgP0"",""'TP# look up'!A:C""),3,0),"""")"),"")</f>
        <v/>
      </c>
      <c r="AH6435" s="49">
        <f>LEFT(J6435,2)</f>
        <v/>
      </c>
    </row>
    <row r="6436" ht="12.75" customHeight="1">
      <c r="H6436" s="43" t="n"/>
      <c r="AG6436" s="49">
        <f>IFERROR(__xludf.DUMMYFUNCTION("IFNA(vlookup(H6436,IMPORTRANGE(""1vUGwO1n0QQGx9kKbO0_M5gmuhXZ6-LaxQxgrmJnzgP0"",""'TP# look up'!A:C""),3,0),"""")"),"")</f>
        <v/>
      </c>
      <c r="AH6436" s="49">
        <f>LEFT(J6436,2)</f>
        <v/>
      </c>
    </row>
    <row r="6437" ht="12.75" customHeight="1">
      <c r="H6437" s="43" t="n"/>
      <c r="AG6437" s="49">
        <f>IFERROR(__xludf.DUMMYFUNCTION("IFNA(vlookup(H6437,IMPORTRANGE(""1vUGwO1n0QQGx9kKbO0_M5gmuhXZ6-LaxQxgrmJnzgP0"",""'TP# look up'!A:C""),3,0),"""")"),"")</f>
        <v/>
      </c>
      <c r="AH6437" s="49">
        <f>LEFT(J6437,2)</f>
        <v/>
      </c>
    </row>
    <row r="6438" ht="12.75" customHeight="1">
      <c r="H6438" s="43" t="n"/>
      <c r="AG6438" s="49">
        <f>IFERROR(__xludf.DUMMYFUNCTION("IFNA(vlookup(H6438,IMPORTRANGE(""1vUGwO1n0QQGx9kKbO0_M5gmuhXZ6-LaxQxgrmJnzgP0"",""'TP# look up'!A:C""),3,0),"""")"),"")</f>
        <v/>
      </c>
      <c r="AH6438" s="49">
        <f>LEFT(J6438,2)</f>
        <v/>
      </c>
    </row>
    <row r="6439" ht="12.75" customHeight="1">
      <c r="H6439" s="43" t="n"/>
      <c r="AG6439" s="49">
        <f>IFERROR(__xludf.DUMMYFUNCTION("IFNA(vlookup(H6439,IMPORTRANGE(""1vUGwO1n0QQGx9kKbO0_M5gmuhXZ6-LaxQxgrmJnzgP0"",""'TP# look up'!A:C""),3,0),"""")"),"")</f>
        <v/>
      </c>
      <c r="AH6439" s="49">
        <f>LEFT(J6439,2)</f>
        <v/>
      </c>
    </row>
    <row r="6440" ht="12.75" customHeight="1">
      <c r="H6440" s="43" t="n"/>
      <c r="AG6440" s="49">
        <f>IFERROR(__xludf.DUMMYFUNCTION("IFNA(vlookup(H6440,IMPORTRANGE(""1vUGwO1n0QQGx9kKbO0_M5gmuhXZ6-LaxQxgrmJnzgP0"",""'TP# look up'!A:C""),3,0),"""")"),"")</f>
        <v/>
      </c>
      <c r="AH6440" s="49">
        <f>LEFT(J6440,2)</f>
        <v/>
      </c>
    </row>
    <row r="6441" ht="12.75" customHeight="1">
      <c r="H6441" s="43" t="n"/>
      <c r="AG6441" s="49">
        <f>IFERROR(__xludf.DUMMYFUNCTION("IFNA(vlookup(H6441,IMPORTRANGE(""1vUGwO1n0QQGx9kKbO0_M5gmuhXZ6-LaxQxgrmJnzgP0"",""'TP# look up'!A:C""),3,0),"""")"),"")</f>
        <v/>
      </c>
      <c r="AH6441" s="49">
        <f>LEFT(J6441,2)</f>
        <v/>
      </c>
    </row>
    <row r="6442" ht="12.75" customHeight="1">
      <c r="H6442" s="43" t="n"/>
      <c r="AG6442" s="49">
        <f>IFERROR(__xludf.DUMMYFUNCTION("IFNA(vlookup(H6442,IMPORTRANGE(""1vUGwO1n0QQGx9kKbO0_M5gmuhXZ6-LaxQxgrmJnzgP0"",""'TP# look up'!A:C""),3,0),"""")"),"")</f>
        <v/>
      </c>
      <c r="AH6442" s="49">
        <f>LEFT(J6442,2)</f>
        <v/>
      </c>
    </row>
    <row r="6443" ht="12.75" customHeight="1">
      <c r="H6443" s="43" t="n"/>
      <c r="AG6443" s="49">
        <f>IFERROR(__xludf.DUMMYFUNCTION("IFNA(vlookup(H6443,IMPORTRANGE(""1vUGwO1n0QQGx9kKbO0_M5gmuhXZ6-LaxQxgrmJnzgP0"",""'TP# look up'!A:C""),3,0),"""")"),"")</f>
        <v/>
      </c>
      <c r="AH6443" s="49">
        <f>LEFT(J6443,2)</f>
        <v/>
      </c>
    </row>
    <row r="6444" ht="12.75" customHeight="1">
      <c r="H6444" s="43" t="n"/>
      <c r="AG6444" s="49">
        <f>IFERROR(__xludf.DUMMYFUNCTION("IFNA(vlookup(H6444,IMPORTRANGE(""1vUGwO1n0QQGx9kKbO0_M5gmuhXZ6-LaxQxgrmJnzgP0"",""'TP# look up'!A:C""),3,0),"""")"),"")</f>
        <v/>
      </c>
      <c r="AH6444" s="49">
        <f>LEFT(J6444,2)</f>
        <v/>
      </c>
    </row>
    <row r="6445" ht="12.75" customHeight="1">
      <c r="H6445" s="43" t="n"/>
      <c r="AG6445" s="49">
        <f>IFERROR(__xludf.DUMMYFUNCTION("IFNA(vlookup(H6445,IMPORTRANGE(""1vUGwO1n0QQGx9kKbO0_M5gmuhXZ6-LaxQxgrmJnzgP0"",""'TP# look up'!A:C""),3,0),"""")"),"")</f>
        <v/>
      </c>
      <c r="AH6445" s="49">
        <f>LEFT(J6445,2)</f>
        <v/>
      </c>
    </row>
    <row r="6446" ht="12.75" customHeight="1">
      <c r="H6446" s="43" t="n"/>
      <c r="AG6446" s="49">
        <f>IFERROR(__xludf.DUMMYFUNCTION("IFNA(vlookup(H6446,IMPORTRANGE(""1vUGwO1n0QQGx9kKbO0_M5gmuhXZ6-LaxQxgrmJnzgP0"",""'TP# look up'!A:C""),3,0),"""")"),"")</f>
        <v/>
      </c>
      <c r="AH6446" s="49">
        <f>LEFT(J6446,2)</f>
        <v/>
      </c>
    </row>
    <row r="6447" ht="12.75" customHeight="1">
      <c r="H6447" s="43" t="n"/>
      <c r="AG6447" s="49">
        <f>IFERROR(__xludf.DUMMYFUNCTION("IFNA(vlookup(H6447,IMPORTRANGE(""1vUGwO1n0QQGx9kKbO0_M5gmuhXZ6-LaxQxgrmJnzgP0"",""'TP# look up'!A:C""),3,0),"""")"),"")</f>
        <v/>
      </c>
      <c r="AH6447" s="49">
        <f>LEFT(J6447,2)</f>
        <v/>
      </c>
    </row>
    <row r="6448" ht="12.75" customHeight="1">
      <c r="H6448" s="43" t="n"/>
      <c r="AG6448" s="49">
        <f>IFERROR(__xludf.DUMMYFUNCTION("IFNA(vlookup(H6448,IMPORTRANGE(""1vUGwO1n0QQGx9kKbO0_M5gmuhXZ6-LaxQxgrmJnzgP0"",""'TP# look up'!A:C""),3,0),"""")"),"")</f>
        <v/>
      </c>
      <c r="AH6448" s="49">
        <f>LEFT(J6448,2)</f>
        <v/>
      </c>
    </row>
    <row r="6449" ht="12.75" customHeight="1">
      <c r="H6449" s="43" t="n"/>
      <c r="AG6449" s="49">
        <f>IFERROR(__xludf.DUMMYFUNCTION("IFNA(vlookup(H6449,IMPORTRANGE(""1vUGwO1n0QQGx9kKbO0_M5gmuhXZ6-LaxQxgrmJnzgP0"",""'TP# look up'!A:C""),3,0),"""")"),"")</f>
        <v/>
      </c>
      <c r="AH6449" s="49">
        <f>LEFT(J6449,2)</f>
        <v/>
      </c>
    </row>
    <row r="6450" ht="12.75" customHeight="1">
      <c r="H6450" s="43" t="n"/>
      <c r="AG6450" s="49">
        <f>IFERROR(__xludf.DUMMYFUNCTION("IFNA(vlookup(H6450,IMPORTRANGE(""1vUGwO1n0QQGx9kKbO0_M5gmuhXZ6-LaxQxgrmJnzgP0"",""'TP# look up'!A:C""),3,0),"""")"),"")</f>
        <v/>
      </c>
      <c r="AH6450" s="49">
        <f>LEFT(J6450,2)</f>
        <v/>
      </c>
    </row>
    <row r="6451" ht="12.75" customHeight="1">
      <c r="H6451" s="43" t="n"/>
      <c r="AG6451" s="49">
        <f>IFERROR(__xludf.DUMMYFUNCTION("IFNA(vlookup(H6451,IMPORTRANGE(""1vUGwO1n0QQGx9kKbO0_M5gmuhXZ6-LaxQxgrmJnzgP0"",""'TP# look up'!A:C""),3,0),"""")"),"")</f>
        <v/>
      </c>
      <c r="AH6451" s="49">
        <f>LEFT(J6451,2)</f>
        <v/>
      </c>
    </row>
    <row r="6452" ht="12.75" customHeight="1">
      <c r="H6452" s="43" t="n"/>
      <c r="AG6452" s="49">
        <f>IFERROR(__xludf.DUMMYFUNCTION("IFNA(vlookup(H6452,IMPORTRANGE(""1vUGwO1n0QQGx9kKbO0_M5gmuhXZ6-LaxQxgrmJnzgP0"",""'TP# look up'!A:C""),3,0),"""")"),"")</f>
        <v/>
      </c>
      <c r="AH6452" s="49">
        <f>LEFT(J6452,2)</f>
        <v/>
      </c>
    </row>
    <row r="6453" ht="12.75" customHeight="1">
      <c r="H6453" s="43" t="n"/>
      <c r="AG6453" s="49">
        <f>IFERROR(__xludf.DUMMYFUNCTION("IFNA(vlookup(H6453,IMPORTRANGE(""1vUGwO1n0QQGx9kKbO0_M5gmuhXZ6-LaxQxgrmJnzgP0"",""'TP# look up'!A:C""),3,0),"""")"),"")</f>
        <v/>
      </c>
      <c r="AH6453" s="49">
        <f>LEFT(J6453,2)</f>
        <v/>
      </c>
    </row>
    <row r="6454" ht="12.75" customHeight="1">
      <c r="H6454" s="43" t="n"/>
      <c r="AG6454" s="49">
        <f>IFERROR(__xludf.DUMMYFUNCTION("IFNA(vlookup(H6454,IMPORTRANGE(""1vUGwO1n0QQGx9kKbO0_M5gmuhXZ6-LaxQxgrmJnzgP0"",""'TP# look up'!A:C""),3,0),"""")"),"")</f>
        <v/>
      </c>
      <c r="AH6454" s="49">
        <f>LEFT(J6454,2)</f>
        <v/>
      </c>
    </row>
    <row r="6455" ht="12.75" customHeight="1">
      <c r="H6455" s="43" t="n"/>
      <c r="AG6455" s="49">
        <f>IFERROR(__xludf.DUMMYFUNCTION("IFNA(vlookup(H6455,IMPORTRANGE(""1vUGwO1n0QQGx9kKbO0_M5gmuhXZ6-LaxQxgrmJnzgP0"",""'TP# look up'!A:C""),3,0),"""")"),"")</f>
        <v/>
      </c>
      <c r="AH6455" s="49">
        <f>LEFT(J6455,2)</f>
        <v/>
      </c>
    </row>
    <row r="6456" ht="12.75" customHeight="1">
      <c r="H6456" s="43" t="n"/>
      <c r="AG6456" s="49">
        <f>IFERROR(__xludf.DUMMYFUNCTION("IFNA(vlookup(H6456,IMPORTRANGE(""1vUGwO1n0QQGx9kKbO0_M5gmuhXZ6-LaxQxgrmJnzgP0"",""'TP# look up'!A:C""),3,0),"""")"),"")</f>
        <v/>
      </c>
      <c r="AH6456" s="49">
        <f>LEFT(J6456,2)</f>
        <v/>
      </c>
    </row>
    <row r="6457" ht="12.75" customHeight="1">
      <c r="H6457" s="43" t="n"/>
      <c r="AG6457" s="49">
        <f>IFERROR(__xludf.DUMMYFUNCTION("IFNA(vlookup(H6457,IMPORTRANGE(""1vUGwO1n0QQGx9kKbO0_M5gmuhXZ6-LaxQxgrmJnzgP0"",""'TP# look up'!A:C""),3,0),"""")"),"")</f>
        <v/>
      </c>
      <c r="AH6457" s="49">
        <f>LEFT(J6457,2)</f>
        <v/>
      </c>
    </row>
    <row r="6458" ht="12.75" customHeight="1">
      <c r="H6458" s="43" t="n"/>
      <c r="AG6458" s="49">
        <f>IFERROR(__xludf.DUMMYFUNCTION("IFNA(vlookup(H6458,IMPORTRANGE(""1vUGwO1n0QQGx9kKbO0_M5gmuhXZ6-LaxQxgrmJnzgP0"",""'TP# look up'!A:C""),3,0),"""")"),"")</f>
        <v/>
      </c>
      <c r="AH6458" s="49">
        <f>LEFT(J6458,2)</f>
        <v/>
      </c>
    </row>
    <row r="6459" ht="12.75" customHeight="1">
      <c r="H6459" s="43" t="n"/>
      <c r="AG6459" s="49">
        <f>IFERROR(__xludf.DUMMYFUNCTION("IFNA(vlookup(H6459,IMPORTRANGE(""1vUGwO1n0QQGx9kKbO0_M5gmuhXZ6-LaxQxgrmJnzgP0"",""'TP# look up'!A:C""),3,0),"""")"),"")</f>
        <v/>
      </c>
      <c r="AH6459" s="49">
        <f>LEFT(J6459,2)</f>
        <v/>
      </c>
    </row>
    <row r="6460" ht="12.75" customHeight="1">
      <c r="H6460" s="43" t="n"/>
      <c r="AG6460" s="49">
        <f>IFERROR(__xludf.DUMMYFUNCTION("IFNA(vlookup(H6460,IMPORTRANGE(""1vUGwO1n0QQGx9kKbO0_M5gmuhXZ6-LaxQxgrmJnzgP0"",""'TP# look up'!A:C""),3,0),"""")"),"")</f>
        <v/>
      </c>
      <c r="AH6460" s="49">
        <f>LEFT(J6460,2)</f>
        <v/>
      </c>
    </row>
    <row r="6461" ht="12.75" customHeight="1">
      <c r="H6461" s="43" t="n"/>
      <c r="AG6461" s="49">
        <f>IFERROR(__xludf.DUMMYFUNCTION("IFNA(vlookup(H6461,IMPORTRANGE(""1vUGwO1n0QQGx9kKbO0_M5gmuhXZ6-LaxQxgrmJnzgP0"",""'TP# look up'!A:C""),3,0),"""")"),"")</f>
        <v/>
      </c>
      <c r="AH6461" s="49">
        <f>LEFT(J6461,2)</f>
        <v/>
      </c>
    </row>
    <row r="6462" ht="12.75" customHeight="1">
      <c r="H6462" s="43" t="n"/>
      <c r="AG6462" s="49">
        <f>IFERROR(__xludf.DUMMYFUNCTION("IFNA(vlookup(H6462,IMPORTRANGE(""1vUGwO1n0QQGx9kKbO0_M5gmuhXZ6-LaxQxgrmJnzgP0"",""'TP# look up'!A:C""),3,0),"""")"),"")</f>
        <v/>
      </c>
      <c r="AH6462" s="49">
        <f>LEFT(J6462,2)</f>
        <v/>
      </c>
    </row>
    <row r="6463" ht="12.75" customHeight="1">
      <c r="H6463" s="43" t="n"/>
      <c r="AG6463" s="49">
        <f>IFERROR(__xludf.DUMMYFUNCTION("IFNA(vlookup(H6463,IMPORTRANGE(""1vUGwO1n0QQGx9kKbO0_M5gmuhXZ6-LaxQxgrmJnzgP0"",""'TP# look up'!A:C""),3,0),"""")"),"")</f>
        <v/>
      </c>
      <c r="AH6463" s="49">
        <f>LEFT(J6463,2)</f>
        <v/>
      </c>
    </row>
    <row r="6464" ht="12.75" customHeight="1">
      <c r="H6464" s="43" t="n"/>
      <c r="AG6464" s="49">
        <f>IFERROR(__xludf.DUMMYFUNCTION("IFNA(vlookup(H6464,IMPORTRANGE(""1vUGwO1n0QQGx9kKbO0_M5gmuhXZ6-LaxQxgrmJnzgP0"",""'TP# look up'!A:C""),3,0),"""")"),"")</f>
        <v/>
      </c>
      <c r="AH6464" s="49">
        <f>LEFT(J6464,2)</f>
        <v/>
      </c>
    </row>
    <row r="6465" ht="12.75" customHeight="1">
      <c r="H6465" s="43" t="n"/>
      <c r="AG6465" s="49">
        <f>IFERROR(__xludf.DUMMYFUNCTION("IFNA(vlookup(H6465,IMPORTRANGE(""1vUGwO1n0QQGx9kKbO0_M5gmuhXZ6-LaxQxgrmJnzgP0"",""'TP# look up'!A:C""),3,0),"""")"),"")</f>
        <v/>
      </c>
      <c r="AH6465" s="49">
        <f>LEFT(J6465,2)</f>
        <v/>
      </c>
    </row>
    <row r="6466" ht="12.75" customHeight="1">
      <c r="H6466" s="43" t="n"/>
      <c r="AG6466" s="49">
        <f>IFERROR(__xludf.DUMMYFUNCTION("IFNA(vlookup(H6466,IMPORTRANGE(""1vUGwO1n0QQGx9kKbO0_M5gmuhXZ6-LaxQxgrmJnzgP0"",""'TP# look up'!A:C""),3,0),"""")"),"")</f>
        <v/>
      </c>
      <c r="AH6466" s="49">
        <f>LEFT(J6466,2)</f>
        <v/>
      </c>
    </row>
    <row r="6467" ht="12.75" customHeight="1">
      <c r="H6467" s="43" t="n"/>
      <c r="AG6467" s="49">
        <f>IFERROR(__xludf.DUMMYFUNCTION("IFNA(vlookup(H6467,IMPORTRANGE(""1vUGwO1n0QQGx9kKbO0_M5gmuhXZ6-LaxQxgrmJnzgP0"",""'TP# look up'!A:C""),3,0),"""")"),"")</f>
        <v/>
      </c>
      <c r="AH6467" s="49">
        <f>LEFT(J6467,2)</f>
        <v/>
      </c>
    </row>
    <row r="6468" ht="12.75" customHeight="1">
      <c r="H6468" s="43" t="n"/>
      <c r="AG6468" s="49">
        <f>IFERROR(__xludf.DUMMYFUNCTION("IFNA(vlookup(H6468,IMPORTRANGE(""1vUGwO1n0QQGx9kKbO0_M5gmuhXZ6-LaxQxgrmJnzgP0"",""'TP# look up'!A:C""),3,0),"""")"),"")</f>
        <v/>
      </c>
      <c r="AH6468" s="49">
        <f>LEFT(J6468,2)</f>
        <v/>
      </c>
    </row>
    <row r="6469" ht="12.75" customHeight="1">
      <c r="H6469" s="43" t="n"/>
      <c r="AG6469" s="49">
        <f>IFERROR(__xludf.DUMMYFUNCTION("IFNA(vlookup(H6469,IMPORTRANGE(""1vUGwO1n0QQGx9kKbO0_M5gmuhXZ6-LaxQxgrmJnzgP0"",""'TP# look up'!A:C""),3,0),"""")"),"")</f>
        <v/>
      </c>
      <c r="AH6469" s="49">
        <f>LEFT(J6469,2)</f>
        <v/>
      </c>
    </row>
    <row r="6470" ht="12.75" customHeight="1">
      <c r="H6470" s="43" t="n"/>
      <c r="AG6470" s="49">
        <f>IFERROR(__xludf.DUMMYFUNCTION("IFNA(vlookup(H6470,IMPORTRANGE(""1vUGwO1n0QQGx9kKbO0_M5gmuhXZ6-LaxQxgrmJnzgP0"",""'TP# look up'!A:C""),3,0),"""")"),"")</f>
        <v/>
      </c>
      <c r="AH6470" s="49">
        <f>LEFT(J6470,2)</f>
        <v/>
      </c>
    </row>
    <row r="6471" ht="12.75" customHeight="1">
      <c r="H6471" s="43" t="n"/>
      <c r="AG6471" s="49">
        <f>IFERROR(__xludf.DUMMYFUNCTION("IFNA(vlookup(H6471,IMPORTRANGE(""1vUGwO1n0QQGx9kKbO0_M5gmuhXZ6-LaxQxgrmJnzgP0"",""'TP# look up'!A:C""),3,0),"""")"),"")</f>
        <v/>
      </c>
      <c r="AH6471" s="49">
        <f>LEFT(J6471,2)</f>
        <v/>
      </c>
    </row>
    <row r="6472" ht="12.75" customHeight="1">
      <c r="H6472" s="43" t="n"/>
      <c r="AG6472" s="49">
        <f>IFERROR(__xludf.DUMMYFUNCTION("IFNA(vlookup(H6472,IMPORTRANGE(""1vUGwO1n0QQGx9kKbO0_M5gmuhXZ6-LaxQxgrmJnzgP0"",""'TP# look up'!A:C""),3,0),"""")"),"")</f>
        <v/>
      </c>
      <c r="AH6472" s="49">
        <f>LEFT(J6472,2)</f>
        <v/>
      </c>
    </row>
    <row r="6473" ht="12.75" customHeight="1">
      <c r="H6473" s="43" t="n"/>
      <c r="AG6473" s="49">
        <f>IFERROR(__xludf.DUMMYFUNCTION("IFNA(vlookup(H6473,IMPORTRANGE(""1vUGwO1n0QQGx9kKbO0_M5gmuhXZ6-LaxQxgrmJnzgP0"",""'TP# look up'!A:C""),3,0),"""")"),"")</f>
        <v/>
      </c>
      <c r="AH6473" s="49">
        <f>LEFT(J6473,2)</f>
        <v/>
      </c>
    </row>
    <row r="6474" ht="12.75" customHeight="1">
      <c r="H6474" s="43" t="n"/>
      <c r="AG6474" s="49">
        <f>IFERROR(__xludf.DUMMYFUNCTION("IFNA(vlookup(H6474,IMPORTRANGE(""1vUGwO1n0QQGx9kKbO0_M5gmuhXZ6-LaxQxgrmJnzgP0"",""'TP# look up'!A:C""),3,0),"""")"),"")</f>
        <v/>
      </c>
      <c r="AH6474" s="49">
        <f>LEFT(J6474,2)</f>
        <v/>
      </c>
    </row>
    <row r="6475" ht="12.75" customHeight="1">
      <c r="H6475" s="43" t="n"/>
      <c r="AG6475" s="49">
        <f>IFERROR(__xludf.DUMMYFUNCTION("IFNA(vlookup(H6475,IMPORTRANGE(""1vUGwO1n0QQGx9kKbO0_M5gmuhXZ6-LaxQxgrmJnzgP0"",""'TP# look up'!A:C""),3,0),"""")"),"")</f>
        <v/>
      </c>
      <c r="AH6475" s="49">
        <f>LEFT(J6475,2)</f>
        <v/>
      </c>
    </row>
    <row r="6476" ht="12.75" customHeight="1">
      <c r="H6476" s="43" t="n"/>
      <c r="AG6476" s="49">
        <f>IFERROR(__xludf.DUMMYFUNCTION("IFNA(vlookup(H6476,IMPORTRANGE(""1vUGwO1n0QQGx9kKbO0_M5gmuhXZ6-LaxQxgrmJnzgP0"",""'TP# look up'!A:C""),3,0),"""")"),"")</f>
        <v/>
      </c>
      <c r="AH6476" s="49">
        <f>LEFT(J6476,2)</f>
        <v/>
      </c>
    </row>
    <row r="6477" ht="12.75" customHeight="1">
      <c r="H6477" s="43" t="n"/>
      <c r="AG6477" s="49">
        <f>IFERROR(__xludf.DUMMYFUNCTION("IFNA(vlookup(H6477,IMPORTRANGE(""1vUGwO1n0QQGx9kKbO0_M5gmuhXZ6-LaxQxgrmJnzgP0"",""'TP# look up'!A:C""),3,0),"""")"),"")</f>
        <v/>
      </c>
      <c r="AH6477" s="49">
        <f>LEFT(J6477,2)</f>
        <v/>
      </c>
    </row>
    <row r="6478" ht="12.75" customHeight="1">
      <c r="H6478" s="43" t="n"/>
      <c r="AG6478" s="49">
        <f>IFERROR(__xludf.DUMMYFUNCTION("IFNA(vlookup(H6478,IMPORTRANGE(""1vUGwO1n0QQGx9kKbO0_M5gmuhXZ6-LaxQxgrmJnzgP0"",""'TP# look up'!A:C""),3,0),"""")"),"")</f>
        <v/>
      </c>
      <c r="AH6478" s="49">
        <f>LEFT(J6478,2)</f>
        <v/>
      </c>
    </row>
    <row r="6479" ht="12.75" customHeight="1">
      <c r="H6479" s="43" t="n"/>
      <c r="AG6479" s="49">
        <f>IFERROR(__xludf.DUMMYFUNCTION("IFNA(vlookup(H6479,IMPORTRANGE(""1vUGwO1n0QQGx9kKbO0_M5gmuhXZ6-LaxQxgrmJnzgP0"",""'TP# look up'!A:C""),3,0),"""")"),"")</f>
        <v/>
      </c>
      <c r="AH6479" s="49">
        <f>LEFT(J6479,2)</f>
        <v/>
      </c>
    </row>
    <row r="6480" ht="12.75" customHeight="1">
      <c r="H6480" s="43" t="n"/>
      <c r="AG6480" s="49">
        <f>IFERROR(__xludf.DUMMYFUNCTION("IFNA(vlookup(H6480,IMPORTRANGE(""1vUGwO1n0QQGx9kKbO0_M5gmuhXZ6-LaxQxgrmJnzgP0"",""'TP# look up'!A:C""),3,0),"""")"),"")</f>
        <v/>
      </c>
      <c r="AH6480" s="49">
        <f>LEFT(J6480,2)</f>
        <v/>
      </c>
    </row>
    <row r="6481" ht="12.75" customHeight="1">
      <c r="H6481" s="43" t="n"/>
      <c r="AG6481" s="49">
        <f>IFERROR(__xludf.DUMMYFUNCTION("IFNA(vlookup(H6481,IMPORTRANGE(""1vUGwO1n0QQGx9kKbO0_M5gmuhXZ6-LaxQxgrmJnzgP0"",""'TP# look up'!A:C""),3,0),"""")"),"")</f>
        <v/>
      </c>
      <c r="AH6481" s="49">
        <f>LEFT(J6481,2)</f>
        <v/>
      </c>
    </row>
    <row r="6482" ht="12.75" customHeight="1">
      <c r="H6482" s="43" t="n"/>
      <c r="AG6482" s="49">
        <f>IFERROR(__xludf.DUMMYFUNCTION("IFNA(vlookup(H6482,IMPORTRANGE(""1vUGwO1n0QQGx9kKbO0_M5gmuhXZ6-LaxQxgrmJnzgP0"",""'TP# look up'!A:C""),3,0),"""")"),"")</f>
        <v/>
      </c>
      <c r="AH6482" s="49">
        <f>LEFT(J6482,2)</f>
        <v/>
      </c>
    </row>
    <row r="6483" ht="12.75" customHeight="1">
      <c r="H6483" s="43" t="n"/>
      <c r="AG6483" s="49">
        <f>IFERROR(__xludf.DUMMYFUNCTION("IFNA(vlookup(H6483,IMPORTRANGE(""1vUGwO1n0QQGx9kKbO0_M5gmuhXZ6-LaxQxgrmJnzgP0"",""'TP# look up'!A:C""),3,0),"""")"),"")</f>
        <v/>
      </c>
      <c r="AH6483" s="49">
        <f>LEFT(J6483,2)</f>
        <v/>
      </c>
    </row>
    <row r="6484" ht="12.75" customHeight="1">
      <c r="H6484" s="43" t="n"/>
      <c r="AG6484" s="49">
        <f>IFERROR(__xludf.DUMMYFUNCTION("IFNA(vlookup(H6484,IMPORTRANGE(""1vUGwO1n0QQGx9kKbO0_M5gmuhXZ6-LaxQxgrmJnzgP0"",""'TP# look up'!A:C""),3,0),"""")"),"")</f>
        <v/>
      </c>
      <c r="AH6484" s="49">
        <f>LEFT(J6484,2)</f>
        <v/>
      </c>
    </row>
    <row r="6485" ht="12.75" customHeight="1">
      <c r="H6485" s="43" t="n"/>
      <c r="AG6485" s="49">
        <f>IFERROR(__xludf.DUMMYFUNCTION("IFNA(vlookup(H6485,IMPORTRANGE(""1vUGwO1n0QQGx9kKbO0_M5gmuhXZ6-LaxQxgrmJnzgP0"",""'TP# look up'!A:C""),3,0),"""")"),"")</f>
        <v/>
      </c>
      <c r="AH6485" s="49">
        <f>LEFT(J6485,2)</f>
        <v/>
      </c>
    </row>
    <row r="6486" ht="12.75" customHeight="1">
      <c r="H6486" s="43" t="n"/>
      <c r="AG6486" s="49">
        <f>IFERROR(__xludf.DUMMYFUNCTION("IFNA(vlookup(H6486,IMPORTRANGE(""1vUGwO1n0QQGx9kKbO0_M5gmuhXZ6-LaxQxgrmJnzgP0"",""'TP# look up'!A:C""),3,0),"""")"),"")</f>
        <v/>
      </c>
      <c r="AH6486" s="49">
        <f>LEFT(J6486,2)</f>
        <v/>
      </c>
    </row>
    <row r="6487" ht="12.75" customHeight="1">
      <c r="H6487" s="43" t="n"/>
      <c r="AG6487" s="49">
        <f>IFERROR(__xludf.DUMMYFUNCTION("IFNA(vlookup(H6487,IMPORTRANGE(""1vUGwO1n0QQGx9kKbO0_M5gmuhXZ6-LaxQxgrmJnzgP0"",""'TP# look up'!A:C""),3,0),"""")"),"")</f>
        <v/>
      </c>
      <c r="AH6487" s="49">
        <f>LEFT(J6487,2)</f>
        <v/>
      </c>
    </row>
    <row r="6488" ht="12.75" customHeight="1">
      <c r="H6488" s="43" t="n"/>
      <c r="AG6488" s="49">
        <f>IFERROR(__xludf.DUMMYFUNCTION("IFNA(vlookup(H6488,IMPORTRANGE(""1vUGwO1n0QQGx9kKbO0_M5gmuhXZ6-LaxQxgrmJnzgP0"",""'TP# look up'!A:C""),3,0),"""")"),"")</f>
        <v/>
      </c>
      <c r="AH6488" s="49">
        <f>LEFT(J6488,2)</f>
        <v/>
      </c>
    </row>
    <row r="6489" ht="12.75" customHeight="1">
      <c r="H6489" s="43" t="n"/>
      <c r="AG6489" s="49">
        <f>IFERROR(__xludf.DUMMYFUNCTION("IFNA(vlookup(H6489,IMPORTRANGE(""1vUGwO1n0QQGx9kKbO0_M5gmuhXZ6-LaxQxgrmJnzgP0"",""'TP# look up'!A:C""),3,0),"""")"),"")</f>
        <v/>
      </c>
      <c r="AH6489" s="49">
        <f>LEFT(J6489,2)</f>
        <v/>
      </c>
    </row>
    <row r="6490" ht="12.75" customHeight="1">
      <c r="H6490" s="43" t="n"/>
      <c r="AG6490" s="49">
        <f>IFERROR(__xludf.DUMMYFUNCTION("IFNA(vlookup(H6490,IMPORTRANGE(""1vUGwO1n0QQGx9kKbO0_M5gmuhXZ6-LaxQxgrmJnzgP0"",""'TP# look up'!A:C""),3,0),"""")"),"")</f>
        <v/>
      </c>
      <c r="AH6490" s="49">
        <f>LEFT(J6490,2)</f>
        <v/>
      </c>
    </row>
    <row r="6491" ht="12.75" customHeight="1">
      <c r="H6491" s="43" t="n"/>
      <c r="AG6491" s="49">
        <f>IFERROR(__xludf.DUMMYFUNCTION("IFNA(vlookup(H6491,IMPORTRANGE(""1vUGwO1n0QQGx9kKbO0_M5gmuhXZ6-LaxQxgrmJnzgP0"",""'TP# look up'!A:C""),3,0),"""")"),"")</f>
        <v/>
      </c>
      <c r="AH6491" s="49">
        <f>LEFT(J6491,2)</f>
        <v/>
      </c>
    </row>
    <row r="6492" ht="12.75" customHeight="1">
      <c r="H6492" s="43" t="n"/>
      <c r="AG6492" s="49">
        <f>IFERROR(__xludf.DUMMYFUNCTION("IFNA(vlookup(H6492,IMPORTRANGE(""1vUGwO1n0QQGx9kKbO0_M5gmuhXZ6-LaxQxgrmJnzgP0"",""'TP# look up'!A:C""),3,0),"""")"),"")</f>
        <v/>
      </c>
      <c r="AH6492" s="49">
        <f>LEFT(J6492,2)</f>
        <v/>
      </c>
    </row>
    <row r="6493" ht="12.75" customHeight="1">
      <c r="H6493" s="43" t="n"/>
      <c r="AG6493" s="49">
        <f>IFERROR(__xludf.DUMMYFUNCTION("IFNA(vlookup(H6493,IMPORTRANGE(""1vUGwO1n0QQGx9kKbO0_M5gmuhXZ6-LaxQxgrmJnzgP0"",""'TP# look up'!A:C""),3,0),"""")"),"")</f>
        <v/>
      </c>
      <c r="AH6493" s="49">
        <f>LEFT(J6493,2)</f>
        <v/>
      </c>
    </row>
    <row r="6494" ht="12.75" customHeight="1">
      <c r="H6494" s="43" t="n"/>
      <c r="AG6494" s="49">
        <f>IFERROR(__xludf.DUMMYFUNCTION("IFNA(vlookup(H6494,IMPORTRANGE(""1vUGwO1n0QQGx9kKbO0_M5gmuhXZ6-LaxQxgrmJnzgP0"",""'TP# look up'!A:C""),3,0),"""")"),"")</f>
        <v/>
      </c>
      <c r="AH6494" s="49">
        <f>LEFT(J6494,2)</f>
        <v/>
      </c>
    </row>
    <row r="6495" ht="12.75" customHeight="1">
      <c r="H6495" s="43" t="n"/>
      <c r="AG6495" s="49">
        <f>IFERROR(__xludf.DUMMYFUNCTION("IFNA(vlookup(H6495,IMPORTRANGE(""1vUGwO1n0QQGx9kKbO0_M5gmuhXZ6-LaxQxgrmJnzgP0"",""'TP# look up'!A:C""),3,0),"""")"),"")</f>
        <v/>
      </c>
      <c r="AH6495" s="49">
        <f>LEFT(J6495,2)</f>
        <v/>
      </c>
    </row>
    <row r="6496" ht="12.75" customHeight="1">
      <c r="H6496" s="43" t="n"/>
      <c r="AG6496" s="49">
        <f>IFERROR(__xludf.DUMMYFUNCTION("IFNA(vlookup(H6496,IMPORTRANGE(""1vUGwO1n0QQGx9kKbO0_M5gmuhXZ6-LaxQxgrmJnzgP0"",""'TP# look up'!A:C""),3,0),"""")"),"")</f>
        <v/>
      </c>
      <c r="AH6496" s="49">
        <f>LEFT(J6496,2)</f>
        <v/>
      </c>
    </row>
    <row r="6497" ht="12.75" customHeight="1">
      <c r="H6497" s="43" t="n"/>
      <c r="AG6497" s="49">
        <f>IFERROR(__xludf.DUMMYFUNCTION("IFNA(vlookup(H6497,IMPORTRANGE(""1vUGwO1n0QQGx9kKbO0_M5gmuhXZ6-LaxQxgrmJnzgP0"",""'TP# look up'!A:C""),3,0),"""")"),"")</f>
        <v/>
      </c>
      <c r="AH6497" s="49">
        <f>LEFT(J6497,2)</f>
        <v/>
      </c>
    </row>
    <row r="6498" ht="12.75" customHeight="1">
      <c r="H6498" s="43" t="n"/>
      <c r="AG6498" s="49">
        <f>IFERROR(__xludf.DUMMYFUNCTION("IFNA(vlookup(H6498,IMPORTRANGE(""1vUGwO1n0QQGx9kKbO0_M5gmuhXZ6-LaxQxgrmJnzgP0"",""'TP# look up'!A:C""),3,0),"""")"),"")</f>
        <v/>
      </c>
      <c r="AH6498" s="49">
        <f>LEFT(J6498,2)</f>
        <v/>
      </c>
    </row>
    <row r="6499" ht="12.75" customHeight="1">
      <c r="H6499" s="43" t="n"/>
      <c r="AG6499" s="49">
        <f>IFERROR(__xludf.DUMMYFUNCTION("IFNA(vlookup(H6499,IMPORTRANGE(""1vUGwO1n0QQGx9kKbO0_M5gmuhXZ6-LaxQxgrmJnzgP0"",""'TP# look up'!A:C""),3,0),"""")"),"")</f>
        <v/>
      </c>
      <c r="AH6499" s="49">
        <f>LEFT(J6499,2)</f>
        <v/>
      </c>
    </row>
    <row r="6500" ht="12.75" customHeight="1">
      <c r="H6500" s="43" t="n"/>
      <c r="AG6500" s="49">
        <f>IFERROR(__xludf.DUMMYFUNCTION("IFNA(vlookup(H6500,IMPORTRANGE(""1vUGwO1n0QQGx9kKbO0_M5gmuhXZ6-LaxQxgrmJnzgP0"",""'TP# look up'!A:C""),3,0),"""")"),"")</f>
        <v/>
      </c>
      <c r="AH6500" s="49">
        <f>LEFT(J6500,2)</f>
        <v/>
      </c>
    </row>
    <row r="6501" ht="12.75" customHeight="1">
      <c r="H6501" s="43" t="n"/>
      <c r="AG6501" s="49">
        <f>IFERROR(__xludf.DUMMYFUNCTION("IFNA(vlookup(H6501,IMPORTRANGE(""1vUGwO1n0QQGx9kKbO0_M5gmuhXZ6-LaxQxgrmJnzgP0"",""'TP# look up'!A:C""),3,0),"""")"),"")</f>
        <v/>
      </c>
      <c r="AH6501" s="49">
        <f>LEFT(J6501,2)</f>
        <v/>
      </c>
    </row>
    <row r="6502" ht="12.75" customHeight="1">
      <c r="H6502" s="43" t="n"/>
      <c r="AG6502" s="49">
        <f>IFERROR(__xludf.DUMMYFUNCTION("IFNA(vlookup(H6502,IMPORTRANGE(""1vUGwO1n0QQGx9kKbO0_M5gmuhXZ6-LaxQxgrmJnzgP0"",""'TP# look up'!A:C""),3,0),"""")"),"")</f>
        <v/>
      </c>
      <c r="AH6502" s="49">
        <f>LEFT(J6502,2)</f>
        <v/>
      </c>
    </row>
    <row r="6503" ht="12.75" customHeight="1">
      <c r="H6503" s="43" t="n"/>
      <c r="AG6503" s="49">
        <f>IFERROR(__xludf.DUMMYFUNCTION("IFNA(vlookup(H6503,IMPORTRANGE(""1vUGwO1n0QQGx9kKbO0_M5gmuhXZ6-LaxQxgrmJnzgP0"",""'TP# look up'!A:C""),3,0),"""")"),"")</f>
        <v/>
      </c>
      <c r="AH6503" s="49">
        <f>LEFT(J6503,2)</f>
        <v/>
      </c>
    </row>
    <row r="6504" ht="12.75" customHeight="1">
      <c r="H6504" s="43" t="n"/>
      <c r="AG6504" s="49">
        <f>IFERROR(__xludf.DUMMYFUNCTION("IFNA(vlookup(H6504,IMPORTRANGE(""1vUGwO1n0QQGx9kKbO0_M5gmuhXZ6-LaxQxgrmJnzgP0"",""'TP# look up'!A:C""),3,0),"""")"),"")</f>
        <v/>
      </c>
      <c r="AH6504" s="49">
        <f>LEFT(J6504,2)</f>
        <v/>
      </c>
    </row>
    <row r="6505" ht="12.75" customHeight="1">
      <c r="H6505" s="43" t="n"/>
      <c r="AG6505" s="49">
        <f>IFERROR(__xludf.DUMMYFUNCTION("IFNA(vlookup(H6505,IMPORTRANGE(""1vUGwO1n0QQGx9kKbO0_M5gmuhXZ6-LaxQxgrmJnzgP0"",""'TP# look up'!A:C""),3,0),"""")"),"")</f>
        <v/>
      </c>
      <c r="AH6505" s="49">
        <f>LEFT(J6505,2)</f>
        <v/>
      </c>
    </row>
    <row r="6506" ht="12.75" customHeight="1">
      <c r="H6506" s="43" t="n"/>
      <c r="AG6506" s="49">
        <f>IFERROR(__xludf.DUMMYFUNCTION("IFNA(vlookup(H6506,IMPORTRANGE(""1vUGwO1n0QQGx9kKbO0_M5gmuhXZ6-LaxQxgrmJnzgP0"",""'TP# look up'!A:C""),3,0),"""")"),"")</f>
        <v/>
      </c>
      <c r="AH6506" s="49">
        <f>LEFT(J6506,2)</f>
        <v/>
      </c>
    </row>
    <row r="6507" ht="12.75" customHeight="1">
      <c r="H6507" s="43" t="n"/>
      <c r="AG6507" s="49">
        <f>IFERROR(__xludf.DUMMYFUNCTION("IFNA(vlookup(H6507,IMPORTRANGE(""1vUGwO1n0QQGx9kKbO0_M5gmuhXZ6-LaxQxgrmJnzgP0"",""'TP# look up'!A:C""),3,0),"""")"),"")</f>
        <v/>
      </c>
      <c r="AH6507" s="49">
        <f>LEFT(J6507,2)</f>
        <v/>
      </c>
    </row>
    <row r="6508" ht="12.75" customHeight="1">
      <c r="H6508" s="43" t="n"/>
      <c r="AG6508" s="49">
        <f>IFERROR(__xludf.DUMMYFUNCTION("IFNA(vlookup(H6508,IMPORTRANGE(""1vUGwO1n0QQGx9kKbO0_M5gmuhXZ6-LaxQxgrmJnzgP0"",""'TP# look up'!A:C""),3,0),"""")"),"")</f>
        <v/>
      </c>
      <c r="AH6508" s="49">
        <f>LEFT(J6508,2)</f>
        <v/>
      </c>
    </row>
    <row r="6509" ht="12.75" customHeight="1">
      <c r="H6509" s="43" t="n"/>
      <c r="AG6509" s="49">
        <f>IFERROR(__xludf.DUMMYFUNCTION("IFNA(vlookup(H6509,IMPORTRANGE(""1vUGwO1n0QQGx9kKbO0_M5gmuhXZ6-LaxQxgrmJnzgP0"",""'TP# look up'!A:C""),3,0),"""")"),"")</f>
        <v/>
      </c>
      <c r="AH6509" s="49">
        <f>LEFT(J6509,2)</f>
        <v/>
      </c>
    </row>
    <row r="6510" ht="12.75" customHeight="1">
      <c r="H6510" s="43" t="n"/>
      <c r="AG6510" s="49">
        <f>IFERROR(__xludf.DUMMYFUNCTION("IFNA(vlookup(H6510,IMPORTRANGE(""1vUGwO1n0QQGx9kKbO0_M5gmuhXZ6-LaxQxgrmJnzgP0"",""'TP# look up'!A:C""),3,0),"""")"),"")</f>
        <v/>
      </c>
      <c r="AH6510" s="49">
        <f>LEFT(J6510,2)</f>
        <v/>
      </c>
    </row>
    <row r="6511" ht="12.75" customHeight="1">
      <c r="H6511" s="43" t="n"/>
      <c r="AG6511" s="49">
        <f>IFERROR(__xludf.DUMMYFUNCTION("IFNA(vlookup(H6511,IMPORTRANGE(""1vUGwO1n0QQGx9kKbO0_M5gmuhXZ6-LaxQxgrmJnzgP0"",""'TP# look up'!A:C""),3,0),"""")"),"")</f>
        <v/>
      </c>
      <c r="AH6511" s="49">
        <f>LEFT(J6511,2)</f>
        <v/>
      </c>
    </row>
    <row r="6512" ht="12.75" customHeight="1">
      <c r="H6512" s="43" t="n"/>
      <c r="AG6512" s="49">
        <f>IFERROR(__xludf.DUMMYFUNCTION("IFNA(vlookup(H6512,IMPORTRANGE(""1vUGwO1n0QQGx9kKbO0_M5gmuhXZ6-LaxQxgrmJnzgP0"",""'TP# look up'!A:C""),3,0),"""")"),"")</f>
        <v/>
      </c>
      <c r="AH6512" s="49">
        <f>LEFT(J6512,2)</f>
        <v/>
      </c>
    </row>
    <row r="6513" ht="12.75" customHeight="1">
      <c r="H6513" s="43" t="n"/>
      <c r="AG6513" s="49">
        <f>IFERROR(__xludf.DUMMYFUNCTION("IFNA(vlookup(H6513,IMPORTRANGE(""1vUGwO1n0QQGx9kKbO0_M5gmuhXZ6-LaxQxgrmJnzgP0"",""'TP# look up'!A:C""),3,0),"""")"),"")</f>
        <v/>
      </c>
      <c r="AH6513" s="49">
        <f>LEFT(J6513,2)</f>
        <v/>
      </c>
    </row>
    <row r="6514" ht="12.75" customHeight="1">
      <c r="H6514" s="43" t="n"/>
      <c r="AG6514" s="49">
        <f>IFERROR(__xludf.DUMMYFUNCTION("IFNA(vlookup(H6514,IMPORTRANGE(""1vUGwO1n0QQGx9kKbO0_M5gmuhXZ6-LaxQxgrmJnzgP0"",""'TP# look up'!A:C""),3,0),"""")"),"")</f>
        <v/>
      </c>
      <c r="AH6514" s="49">
        <f>LEFT(J6514,2)</f>
        <v/>
      </c>
    </row>
    <row r="6515" ht="12.75" customHeight="1">
      <c r="H6515" s="43" t="n"/>
      <c r="AG6515" s="49">
        <f>IFERROR(__xludf.DUMMYFUNCTION("IFNA(vlookup(H6515,IMPORTRANGE(""1vUGwO1n0QQGx9kKbO0_M5gmuhXZ6-LaxQxgrmJnzgP0"",""'TP# look up'!A:C""),3,0),"""")"),"")</f>
        <v/>
      </c>
      <c r="AH6515" s="49">
        <f>LEFT(J6515,2)</f>
        <v/>
      </c>
    </row>
    <row r="6516" ht="12.75" customHeight="1">
      <c r="H6516" s="43" t="n"/>
      <c r="AG6516" s="49">
        <f>IFERROR(__xludf.DUMMYFUNCTION("IFNA(vlookup(H6516,IMPORTRANGE(""1vUGwO1n0QQGx9kKbO0_M5gmuhXZ6-LaxQxgrmJnzgP0"",""'TP# look up'!A:C""),3,0),"""")"),"")</f>
        <v/>
      </c>
      <c r="AH6516" s="49">
        <f>LEFT(J6516,2)</f>
        <v/>
      </c>
    </row>
    <row r="6517" ht="12.75" customHeight="1">
      <c r="H6517" s="43" t="n"/>
      <c r="AG6517" s="49">
        <f>IFERROR(__xludf.DUMMYFUNCTION("IFNA(vlookup(H6517,IMPORTRANGE(""1vUGwO1n0QQGx9kKbO0_M5gmuhXZ6-LaxQxgrmJnzgP0"",""'TP# look up'!A:C""),3,0),"""")"),"")</f>
        <v/>
      </c>
      <c r="AH6517" s="49">
        <f>LEFT(J6517,2)</f>
        <v/>
      </c>
    </row>
    <row r="6518" ht="12.75" customHeight="1">
      <c r="H6518" s="43" t="n"/>
      <c r="AG6518" s="49">
        <f>IFERROR(__xludf.DUMMYFUNCTION("IFNA(vlookup(H6518,IMPORTRANGE(""1vUGwO1n0QQGx9kKbO0_M5gmuhXZ6-LaxQxgrmJnzgP0"",""'TP# look up'!A:C""),3,0),"""")"),"")</f>
        <v/>
      </c>
      <c r="AH6518" s="49">
        <f>LEFT(J6518,2)</f>
        <v/>
      </c>
    </row>
    <row r="6519" ht="12.75" customHeight="1">
      <c r="H6519" s="43" t="n"/>
      <c r="AG6519" s="49">
        <f>IFERROR(__xludf.DUMMYFUNCTION("IFNA(vlookup(H6519,IMPORTRANGE(""1vUGwO1n0QQGx9kKbO0_M5gmuhXZ6-LaxQxgrmJnzgP0"",""'TP# look up'!A:C""),3,0),"""")"),"")</f>
        <v/>
      </c>
      <c r="AH6519" s="49">
        <f>LEFT(J6519,2)</f>
        <v/>
      </c>
    </row>
    <row r="6520" ht="12.75" customHeight="1">
      <c r="H6520" s="43" t="n"/>
      <c r="AG6520" s="49">
        <f>IFERROR(__xludf.DUMMYFUNCTION("IFNA(vlookup(H6520,IMPORTRANGE(""1vUGwO1n0QQGx9kKbO0_M5gmuhXZ6-LaxQxgrmJnzgP0"",""'TP# look up'!A:C""),3,0),"""")"),"")</f>
        <v/>
      </c>
      <c r="AH6520" s="49">
        <f>LEFT(J6520,2)</f>
        <v/>
      </c>
    </row>
    <row r="6521" ht="12.75" customHeight="1">
      <c r="H6521" s="43" t="n"/>
      <c r="AG6521" s="49">
        <f>IFERROR(__xludf.DUMMYFUNCTION("IFNA(vlookup(H6521,IMPORTRANGE(""1vUGwO1n0QQGx9kKbO0_M5gmuhXZ6-LaxQxgrmJnzgP0"",""'TP# look up'!A:C""),3,0),"""")"),"")</f>
        <v/>
      </c>
      <c r="AH6521" s="49">
        <f>LEFT(J6521,2)</f>
        <v/>
      </c>
    </row>
    <row r="6522" ht="12.75" customHeight="1">
      <c r="H6522" s="43" t="n"/>
      <c r="AG6522" s="49">
        <f>IFERROR(__xludf.DUMMYFUNCTION("IFNA(vlookup(H6522,IMPORTRANGE(""1vUGwO1n0QQGx9kKbO0_M5gmuhXZ6-LaxQxgrmJnzgP0"",""'TP# look up'!A:C""),3,0),"""")"),"")</f>
        <v/>
      </c>
      <c r="AH6522" s="49">
        <f>LEFT(J6522,2)</f>
        <v/>
      </c>
    </row>
    <row r="6523" ht="12.75" customHeight="1">
      <c r="H6523" s="43" t="n"/>
      <c r="AG6523" s="49">
        <f>IFERROR(__xludf.DUMMYFUNCTION("IFNA(vlookup(H6523,IMPORTRANGE(""1vUGwO1n0QQGx9kKbO0_M5gmuhXZ6-LaxQxgrmJnzgP0"",""'TP# look up'!A:C""),3,0),"""")"),"")</f>
        <v/>
      </c>
      <c r="AH6523" s="49">
        <f>LEFT(J6523,2)</f>
        <v/>
      </c>
    </row>
    <row r="6524" ht="12.75" customHeight="1">
      <c r="H6524" s="43" t="n"/>
      <c r="AG6524" s="49">
        <f>IFERROR(__xludf.DUMMYFUNCTION("IFNA(vlookup(H6524,IMPORTRANGE(""1vUGwO1n0QQGx9kKbO0_M5gmuhXZ6-LaxQxgrmJnzgP0"",""'TP# look up'!A:C""),3,0),"""")"),"")</f>
        <v/>
      </c>
      <c r="AH6524" s="49">
        <f>LEFT(J6524,2)</f>
        <v/>
      </c>
    </row>
    <row r="6525" ht="12.75" customHeight="1">
      <c r="H6525" s="43" t="n"/>
      <c r="AG6525" s="49">
        <f>IFERROR(__xludf.DUMMYFUNCTION("IFNA(vlookup(H6525,IMPORTRANGE(""1vUGwO1n0QQGx9kKbO0_M5gmuhXZ6-LaxQxgrmJnzgP0"",""'TP# look up'!A:C""),3,0),"""")"),"")</f>
        <v/>
      </c>
      <c r="AH6525" s="49">
        <f>LEFT(J6525,2)</f>
        <v/>
      </c>
    </row>
    <row r="6526" ht="12.75" customHeight="1">
      <c r="H6526" s="43" t="n"/>
      <c r="AG6526" s="49">
        <f>IFERROR(__xludf.DUMMYFUNCTION("IFNA(vlookup(H6526,IMPORTRANGE(""1vUGwO1n0QQGx9kKbO0_M5gmuhXZ6-LaxQxgrmJnzgP0"",""'TP# look up'!A:C""),3,0),"""")"),"")</f>
        <v/>
      </c>
      <c r="AH6526" s="49">
        <f>LEFT(J6526,2)</f>
        <v/>
      </c>
    </row>
    <row r="6527" ht="12.75" customHeight="1">
      <c r="H6527" s="43" t="n"/>
      <c r="AG6527" s="49">
        <f>IFERROR(__xludf.DUMMYFUNCTION("IFNA(vlookup(H6527,IMPORTRANGE(""1vUGwO1n0QQGx9kKbO0_M5gmuhXZ6-LaxQxgrmJnzgP0"",""'TP# look up'!A:C""),3,0),"""")"),"")</f>
        <v/>
      </c>
      <c r="AH6527" s="49">
        <f>LEFT(J6527,2)</f>
        <v/>
      </c>
    </row>
    <row r="6528" ht="12.75" customHeight="1">
      <c r="H6528" s="43" t="n"/>
      <c r="AG6528" s="49">
        <f>IFERROR(__xludf.DUMMYFUNCTION("IFNA(vlookup(H6528,IMPORTRANGE(""1vUGwO1n0QQGx9kKbO0_M5gmuhXZ6-LaxQxgrmJnzgP0"",""'TP# look up'!A:C""),3,0),"""")"),"")</f>
        <v/>
      </c>
      <c r="AH6528" s="49">
        <f>LEFT(J6528,2)</f>
        <v/>
      </c>
    </row>
    <row r="6529" ht="12.75" customHeight="1">
      <c r="H6529" s="43" t="n"/>
      <c r="AG6529" s="49">
        <f>IFERROR(__xludf.DUMMYFUNCTION("IFNA(vlookup(H6529,IMPORTRANGE(""1vUGwO1n0QQGx9kKbO0_M5gmuhXZ6-LaxQxgrmJnzgP0"",""'TP# look up'!A:C""),3,0),"""")"),"")</f>
        <v/>
      </c>
      <c r="AH6529" s="49">
        <f>LEFT(J6529,2)</f>
        <v/>
      </c>
    </row>
    <row r="6530" ht="12.75" customHeight="1">
      <c r="H6530" s="43" t="n"/>
      <c r="AG6530" s="49">
        <f>IFERROR(__xludf.DUMMYFUNCTION("IFNA(vlookup(H6530,IMPORTRANGE(""1vUGwO1n0QQGx9kKbO0_M5gmuhXZ6-LaxQxgrmJnzgP0"",""'TP# look up'!A:C""),3,0),"""")"),"")</f>
        <v/>
      </c>
      <c r="AH6530" s="49">
        <f>LEFT(J6530,2)</f>
        <v/>
      </c>
    </row>
    <row r="6531" ht="12.75" customHeight="1">
      <c r="H6531" s="43" t="n"/>
      <c r="AG6531" s="49">
        <f>IFERROR(__xludf.DUMMYFUNCTION("IFNA(vlookup(H6531,IMPORTRANGE(""1vUGwO1n0QQGx9kKbO0_M5gmuhXZ6-LaxQxgrmJnzgP0"",""'TP# look up'!A:C""),3,0),"""")"),"")</f>
        <v/>
      </c>
      <c r="AH6531" s="49">
        <f>LEFT(J6531,2)</f>
        <v/>
      </c>
    </row>
    <row r="6532" ht="12.75" customHeight="1">
      <c r="H6532" s="43" t="n"/>
      <c r="AG6532" s="49">
        <f>IFERROR(__xludf.DUMMYFUNCTION("IFNA(vlookup(H6532,IMPORTRANGE(""1vUGwO1n0QQGx9kKbO0_M5gmuhXZ6-LaxQxgrmJnzgP0"",""'TP# look up'!A:C""),3,0),"""")"),"")</f>
        <v/>
      </c>
      <c r="AH6532" s="49">
        <f>LEFT(J6532,2)</f>
        <v/>
      </c>
    </row>
    <row r="6533" ht="12.75" customHeight="1">
      <c r="H6533" s="43" t="n"/>
      <c r="AG6533" s="49">
        <f>IFERROR(__xludf.DUMMYFUNCTION("IFNA(vlookup(H6533,IMPORTRANGE(""1vUGwO1n0QQGx9kKbO0_M5gmuhXZ6-LaxQxgrmJnzgP0"",""'TP# look up'!A:C""),3,0),"""")"),"")</f>
        <v/>
      </c>
      <c r="AH6533" s="49">
        <f>LEFT(J6533,2)</f>
        <v/>
      </c>
    </row>
    <row r="6534" ht="12.75" customHeight="1">
      <c r="H6534" s="43" t="n"/>
      <c r="AG6534" s="49">
        <f>IFERROR(__xludf.DUMMYFUNCTION("IFNA(vlookup(H6534,IMPORTRANGE(""1vUGwO1n0QQGx9kKbO0_M5gmuhXZ6-LaxQxgrmJnzgP0"",""'TP# look up'!A:C""),3,0),"""")"),"")</f>
        <v/>
      </c>
      <c r="AH6534" s="49">
        <f>LEFT(J6534,2)</f>
        <v/>
      </c>
    </row>
    <row r="6535" ht="12.75" customHeight="1">
      <c r="H6535" s="43" t="n"/>
      <c r="AG6535" s="49">
        <f>IFERROR(__xludf.DUMMYFUNCTION("IFNA(vlookup(H6535,IMPORTRANGE(""1vUGwO1n0QQGx9kKbO0_M5gmuhXZ6-LaxQxgrmJnzgP0"",""'TP# look up'!A:C""),3,0),"""")"),"")</f>
        <v/>
      </c>
      <c r="AH6535" s="49">
        <f>LEFT(J6535,2)</f>
        <v/>
      </c>
    </row>
    <row r="6536" ht="12.75" customHeight="1">
      <c r="H6536" s="43" t="n"/>
      <c r="AG6536" s="49">
        <f>IFERROR(__xludf.DUMMYFUNCTION("IFNA(vlookup(H6536,IMPORTRANGE(""1vUGwO1n0QQGx9kKbO0_M5gmuhXZ6-LaxQxgrmJnzgP0"",""'TP# look up'!A:C""),3,0),"""")"),"")</f>
        <v/>
      </c>
      <c r="AH6536" s="49">
        <f>LEFT(J6536,2)</f>
        <v/>
      </c>
    </row>
    <row r="6537" ht="12.75" customHeight="1">
      <c r="H6537" s="43" t="n"/>
      <c r="AG6537" s="49">
        <f>IFERROR(__xludf.DUMMYFUNCTION("IFNA(vlookup(H6537,IMPORTRANGE(""1vUGwO1n0QQGx9kKbO0_M5gmuhXZ6-LaxQxgrmJnzgP0"",""'TP# look up'!A:C""),3,0),"""")"),"")</f>
        <v/>
      </c>
      <c r="AH6537" s="49">
        <f>LEFT(J6537,2)</f>
        <v/>
      </c>
    </row>
    <row r="6538" ht="12.75" customHeight="1">
      <c r="H6538" s="43" t="n"/>
      <c r="AG6538" s="49">
        <f>IFERROR(__xludf.DUMMYFUNCTION("IFNA(vlookup(H6538,IMPORTRANGE(""1vUGwO1n0QQGx9kKbO0_M5gmuhXZ6-LaxQxgrmJnzgP0"",""'TP# look up'!A:C""),3,0),"""")"),"")</f>
        <v/>
      </c>
      <c r="AH6538" s="49">
        <f>LEFT(J6538,2)</f>
        <v/>
      </c>
    </row>
    <row r="6539" ht="12.75" customHeight="1">
      <c r="H6539" s="43" t="n"/>
      <c r="AG6539" s="49">
        <f>IFERROR(__xludf.DUMMYFUNCTION("IFNA(vlookup(H6539,IMPORTRANGE(""1vUGwO1n0QQGx9kKbO0_M5gmuhXZ6-LaxQxgrmJnzgP0"",""'TP# look up'!A:C""),3,0),"""")"),"")</f>
        <v/>
      </c>
      <c r="AH6539" s="49">
        <f>LEFT(J6539,2)</f>
        <v/>
      </c>
    </row>
    <row r="6540" ht="12.75" customHeight="1">
      <c r="H6540" s="43" t="n"/>
      <c r="AG6540" s="49">
        <f>IFERROR(__xludf.DUMMYFUNCTION("IFNA(vlookup(H6540,IMPORTRANGE(""1vUGwO1n0QQGx9kKbO0_M5gmuhXZ6-LaxQxgrmJnzgP0"",""'TP# look up'!A:C""),3,0),"""")"),"")</f>
        <v/>
      </c>
      <c r="AH6540" s="49">
        <f>LEFT(J6540,2)</f>
        <v/>
      </c>
    </row>
    <row r="6541" ht="12.75" customHeight="1">
      <c r="H6541" s="43" t="n"/>
      <c r="AG6541" s="49">
        <f>IFERROR(__xludf.DUMMYFUNCTION("IFNA(vlookup(H6541,IMPORTRANGE(""1vUGwO1n0QQGx9kKbO0_M5gmuhXZ6-LaxQxgrmJnzgP0"",""'TP# look up'!A:C""),3,0),"""")"),"")</f>
        <v/>
      </c>
      <c r="AH6541" s="49">
        <f>LEFT(J6541,2)</f>
        <v/>
      </c>
    </row>
    <row r="6542" ht="12.75" customHeight="1">
      <c r="H6542" s="43" t="n"/>
      <c r="AG6542" s="49">
        <f>IFERROR(__xludf.DUMMYFUNCTION("IFNA(vlookup(H6542,IMPORTRANGE(""1vUGwO1n0QQGx9kKbO0_M5gmuhXZ6-LaxQxgrmJnzgP0"",""'TP# look up'!A:C""),3,0),"""")"),"")</f>
        <v/>
      </c>
      <c r="AH6542" s="49">
        <f>LEFT(J6542,2)</f>
        <v/>
      </c>
    </row>
    <row r="6543" ht="12.75" customHeight="1">
      <c r="H6543" s="43" t="n"/>
      <c r="AG6543" s="49">
        <f>IFERROR(__xludf.DUMMYFUNCTION("IFNA(vlookup(H6543,IMPORTRANGE(""1vUGwO1n0QQGx9kKbO0_M5gmuhXZ6-LaxQxgrmJnzgP0"",""'TP# look up'!A:C""),3,0),"""")"),"")</f>
        <v/>
      </c>
      <c r="AH6543" s="49">
        <f>LEFT(J6543,2)</f>
        <v/>
      </c>
    </row>
    <row r="6544" ht="12.75" customHeight="1">
      <c r="H6544" s="43" t="n"/>
      <c r="AG6544" s="49">
        <f>IFERROR(__xludf.DUMMYFUNCTION("IFNA(vlookup(H6544,IMPORTRANGE(""1vUGwO1n0QQGx9kKbO0_M5gmuhXZ6-LaxQxgrmJnzgP0"",""'TP# look up'!A:C""),3,0),"""")"),"")</f>
        <v/>
      </c>
      <c r="AH6544" s="49">
        <f>LEFT(J6544,2)</f>
        <v/>
      </c>
    </row>
    <row r="6545" ht="12.75" customHeight="1">
      <c r="H6545" s="43" t="n"/>
      <c r="AG6545" s="49">
        <f>IFERROR(__xludf.DUMMYFUNCTION("IFNA(vlookup(H6545,IMPORTRANGE(""1vUGwO1n0QQGx9kKbO0_M5gmuhXZ6-LaxQxgrmJnzgP0"",""'TP# look up'!A:C""),3,0),"""")"),"")</f>
        <v/>
      </c>
      <c r="AH6545" s="49">
        <f>LEFT(J6545,2)</f>
        <v/>
      </c>
    </row>
    <row r="6546" ht="12.75" customHeight="1">
      <c r="H6546" s="43" t="n"/>
      <c r="AG6546" s="49">
        <f>IFERROR(__xludf.DUMMYFUNCTION("IFNA(vlookup(H6546,IMPORTRANGE(""1vUGwO1n0QQGx9kKbO0_M5gmuhXZ6-LaxQxgrmJnzgP0"",""'TP# look up'!A:C""),3,0),"""")"),"")</f>
        <v/>
      </c>
      <c r="AH6546" s="49">
        <f>LEFT(J6546,2)</f>
        <v/>
      </c>
    </row>
    <row r="6547" ht="12.75" customHeight="1">
      <c r="H6547" s="43" t="n"/>
      <c r="AG6547" s="49">
        <f>IFERROR(__xludf.DUMMYFUNCTION("IFNA(vlookup(H6547,IMPORTRANGE(""1vUGwO1n0QQGx9kKbO0_M5gmuhXZ6-LaxQxgrmJnzgP0"",""'TP# look up'!A:C""),3,0),"""")"),"")</f>
        <v/>
      </c>
      <c r="AH6547" s="49">
        <f>LEFT(J6547,2)</f>
        <v/>
      </c>
    </row>
    <row r="6548" ht="12.75" customHeight="1">
      <c r="H6548" s="43" t="n"/>
      <c r="AG6548" s="49">
        <f>IFERROR(__xludf.DUMMYFUNCTION("IFNA(vlookup(H6548,IMPORTRANGE(""1vUGwO1n0QQGx9kKbO0_M5gmuhXZ6-LaxQxgrmJnzgP0"",""'TP# look up'!A:C""),3,0),"""")"),"")</f>
        <v/>
      </c>
      <c r="AH6548" s="49">
        <f>LEFT(J6548,2)</f>
        <v/>
      </c>
    </row>
    <row r="6549" ht="12.75" customHeight="1">
      <c r="H6549" s="43" t="n"/>
      <c r="AG6549" s="49">
        <f>IFERROR(__xludf.DUMMYFUNCTION("IFNA(vlookup(H6549,IMPORTRANGE(""1vUGwO1n0QQGx9kKbO0_M5gmuhXZ6-LaxQxgrmJnzgP0"",""'TP# look up'!A:C""),3,0),"""")"),"")</f>
        <v/>
      </c>
      <c r="AH6549" s="49">
        <f>LEFT(J6549,2)</f>
        <v/>
      </c>
    </row>
    <row r="6550" ht="12.75" customHeight="1">
      <c r="H6550" s="43" t="n"/>
      <c r="AG6550" s="49">
        <f>IFERROR(__xludf.DUMMYFUNCTION("IFNA(vlookup(H6550,IMPORTRANGE(""1vUGwO1n0QQGx9kKbO0_M5gmuhXZ6-LaxQxgrmJnzgP0"",""'TP# look up'!A:C""),3,0),"""")"),"")</f>
        <v/>
      </c>
      <c r="AH6550" s="49">
        <f>LEFT(J6550,2)</f>
        <v/>
      </c>
    </row>
    <row r="6551" ht="12.75" customHeight="1">
      <c r="H6551" s="43" t="n"/>
      <c r="AG6551" s="49">
        <f>IFERROR(__xludf.DUMMYFUNCTION("IFNA(vlookup(H6551,IMPORTRANGE(""1vUGwO1n0QQGx9kKbO0_M5gmuhXZ6-LaxQxgrmJnzgP0"",""'TP# look up'!A:C""),3,0),"""")"),"")</f>
        <v/>
      </c>
      <c r="AH6551" s="49">
        <f>LEFT(J6551,2)</f>
        <v/>
      </c>
    </row>
    <row r="6552" ht="12.75" customHeight="1">
      <c r="H6552" s="43" t="n"/>
      <c r="AG6552" s="49">
        <f>IFERROR(__xludf.DUMMYFUNCTION("IFNA(vlookup(H6552,IMPORTRANGE(""1vUGwO1n0QQGx9kKbO0_M5gmuhXZ6-LaxQxgrmJnzgP0"",""'TP# look up'!A:C""),3,0),"""")"),"")</f>
        <v/>
      </c>
      <c r="AH6552" s="49">
        <f>LEFT(J6552,2)</f>
        <v/>
      </c>
    </row>
    <row r="6553" ht="12.75" customHeight="1">
      <c r="H6553" s="43" t="n"/>
      <c r="AG6553" s="49">
        <f>IFERROR(__xludf.DUMMYFUNCTION("IFNA(vlookup(H6553,IMPORTRANGE(""1vUGwO1n0QQGx9kKbO0_M5gmuhXZ6-LaxQxgrmJnzgP0"",""'TP# look up'!A:C""),3,0),"""")"),"")</f>
        <v/>
      </c>
      <c r="AH6553" s="49">
        <f>LEFT(J6553,2)</f>
        <v/>
      </c>
    </row>
    <row r="6554" ht="12.75" customHeight="1">
      <c r="H6554" s="43" t="n"/>
      <c r="AG6554" s="49">
        <f>IFERROR(__xludf.DUMMYFUNCTION("IFNA(vlookup(H6554,IMPORTRANGE(""1vUGwO1n0QQGx9kKbO0_M5gmuhXZ6-LaxQxgrmJnzgP0"",""'TP# look up'!A:C""),3,0),"""")"),"")</f>
        <v/>
      </c>
      <c r="AH6554" s="49">
        <f>LEFT(J6554,2)</f>
        <v/>
      </c>
    </row>
    <row r="6555" ht="12.75" customHeight="1">
      <c r="H6555" s="43" t="n"/>
      <c r="AG6555" s="49">
        <f>IFERROR(__xludf.DUMMYFUNCTION("IFNA(vlookup(H6555,IMPORTRANGE(""1vUGwO1n0QQGx9kKbO0_M5gmuhXZ6-LaxQxgrmJnzgP0"",""'TP# look up'!A:C""),3,0),"""")"),"")</f>
        <v/>
      </c>
      <c r="AH6555" s="49">
        <f>LEFT(J6555,2)</f>
        <v/>
      </c>
    </row>
    <row r="6556" ht="12.75" customHeight="1">
      <c r="H6556" s="43" t="n"/>
      <c r="AG6556" s="49">
        <f>IFERROR(__xludf.DUMMYFUNCTION("IFNA(vlookup(H6556,IMPORTRANGE(""1vUGwO1n0QQGx9kKbO0_M5gmuhXZ6-LaxQxgrmJnzgP0"",""'TP# look up'!A:C""),3,0),"""")"),"")</f>
        <v/>
      </c>
      <c r="AH6556" s="49">
        <f>LEFT(J6556,2)</f>
        <v/>
      </c>
    </row>
    <row r="6557" ht="12.75" customHeight="1">
      <c r="H6557" s="43" t="n"/>
      <c r="AG6557" s="49">
        <f>IFERROR(__xludf.DUMMYFUNCTION("IFNA(vlookup(H6557,IMPORTRANGE(""1vUGwO1n0QQGx9kKbO0_M5gmuhXZ6-LaxQxgrmJnzgP0"",""'TP# look up'!A:C""),3,0),"""")"),"")</f>
        <v/>
      </c>
      <c r="AH6557" s="49">
        <f>LEFT(J6557,2)</f>
        <v/>
      </c>
    </row>
    <row r="6558" ht="12.75" customHeight="1">
      <c r="H6558" s="43" t="n"/>
      <c r="AG6558" s="49">
        <f>IFERROR(__xludf.DUMMYFUNCTION("IFNA(vlookup(H6558,IMPORTRANGE(""1vUGwO1n0QQGx9kKbO0_M5gmuhXZ6-LaxQxgrmJnzgP0"",""'TP# look up'!A:C""),3,0),"""")"),"")</f>
        <v/>
      </c>
      <c r="AH6558" s="49">
        <f>LEFT(J6558,2)</f>
        <v/>
      </c>
    </row>
    <row r="6559" ht="12.75" customHeight="1">
      <c r="H6559" s="43" t="n"/>
      <c r="AG6559" s="49">
        <f>IFERROR(__xludf.DUMMYFUNCTION("IFNA(vlookup(H6559,IMPORTRANGE(""1vUGwO1n0QQGx9kKbO0_M5gmuhXZ6-LaxQxgrmJnzgP0"",""'TP# look up'!A:C""),3,0),"""")"),"")</f>
        <v/>
      </c>
      <c r="AH6559" s="49">
        <f>LEFT(J6559,2)</f>
        <v/>
      </c>
    </row>
    <row r="6560" ht="12.75" customHeight="1">
      <c r="H6560" s="43" t="n"/>
      <c r="AG6560" s="49">
        <f>IFERROR(__xludf.DUMMYFUNCTION("IFNA(vlookup(H6560,IMPORTRANGE(""1vUGwO1n0QQGx9kKbO0_M5gmuhXZ6-LaxQxgrmJnzgP0"",""'TP# look up'!A:C""),3,0),"""")"),"")</f>
        <v/>
      </c>
      <c r="AH6560" s="49">
        <f>LEFT(J6560,2)</f>
        <v/>
      </c>
    </row>
    <row r="6561" ht="12.75" customHeight="1">
      <c r="H6561" s="43" t="n"/>
      <c r="AG6561" s="49">
        <f>IFERROR(__xludf.DUMMYFUNCTION("IFNA(vlookup(H6561,IMPORTRANGE(""1vUGwO1n0QQGx9kKbO0_M5gmuhXZ6-LaxQxgrmJnzgP0"",""'TP# look up'!A:C""),3,0),"""")"),"")</f>
        <v/>
      </c>
      <c r="AH6561" s="49">
        <f>LEFT(J6561,2)</f>
        <v/>
      </c>
    </row>
    <row r="6562" ht="12.75" customHeight="1">
      <c r="H6562" s="43" t="n"/>
      <c r="AG6562" s="49">
        <f>IFERROR(__xludf.DUMMYFUNCTION("IFNA(vlookup(H6562,IMPORTRANGE(""1vUGwO1n0QQGx9kKbO0_M5gmuhXZ6-LaxQxgrmJnzgP0"",""'TP# look up'!A:C""),3,0),"""")"),"")</f>
        <v/>
      </c>
      <c r="AH6562" s="49">
        <f>LEFT(J6562,2)</f>
        <v/>
      </c>
    </row>
    <row r="6563" ht="12.75" customHeight="1">
      <c r="H6563" s="43" t="n"/>
      <c r="AG6563" s="49">
        <f>IFERROR(__xludf.DUMMYFUNCTION("IFNA(vlookup(H6563,IMPORTRANGE(""1vUGwO1n0QQGx9kKbO0_M5gmuhXZ6-LaxQxgrmJnzgP0"",""'TP# look up'!A:C""),3,0),"""")"),"")</f>
        <v/>
      </c>
      <c r="AH6563" s="49">
        <f>LEFT(J6563,2)</f>
        <v/>
      </c>
    </row>
    <row r="6564" ht="12.75" customHeight="1">
      <c r="H6564" s="43" t="n"/>
      <c r="AG6564" s="49">
        <f>IFERROR(__xludf.DUMMYFUNCTION("IFNA(vlookup(H6564,IMPORTRANGE(""1vUGwO1n0QQGx9kKbO0_M5gmuhXZ6-LaxQxgrmJnzgP0"",""'TP# look up'!A:C""),3,0),"""")"),"")</f>
        <v/>
      </c>
      <c r="AH6564" s="49">
        <f>LEFT(J6564,2)</f>
        <v/>
      </c>
    </row>
    <row r="6565" ht="12.75" customHeight="1">
      <c r="H6565" s="43" t="n"/>
      <c r="AG6565" s="49">
        <f>IFERROR(__xludf.DUMMYFUNCTION("IFNA(vlookup(H6565,IMPORTRANGE(""1vUGwO1n0QQGx9kKbO0_M5gmuhXZ6-LaxQxgrmJnzgP0"",""'TP# look up'!A:C""),3,0),"""")"),"")</f>
        <v/>
      </c>
      <c r="AH6565" s="49">
        <f>LEFT(J6565,2)</f>
        <v/>
      </c>
    </row>
    <row r="6566" ht="12.75" customHeight="1">
      <c r="H6566" s="43" t="n"/>
      <c r="AG6566" s="49">
        <f>IFERROR(__xludf.DUMMYFUNCTION("IFNA(vlookup(H6566,IMPORTRANGE(""1vUGwO1n0QQGx9kKbO0_M5gmuhXZ6-LaxQxgrmJnzgP0"",""'TP# look up'!A:C""),3,0),"""")"),"")</f>
        <v/>
      </c>
      <c r="AH6566" s="49">
        <f>LEFT(J6566,2)</f>
        <v/>
      </c>
    </row>
    <row r="6567" ht="12.75" customHeight="1">
      <c r="H6567" s="43" t="n"/>
      <c r="AG6567" s="49">
        <f>IFERROR(__xludf.DUMMYFUNCTION("IFNA(vlookup(H6567,IMPORTRANGE(""1vUGwO1n0QQGx9kKbO0_M5gmuhXZ6-LaxQxgrmJnzgP0"",""'TP# look up'!A:C""),3,0),"""")"),"")</f>
        <v/>
      </c>
      <c r="AH6567" s="49">
        <f>LEFT(J6567,2)</f>
        <v/>
      </c>
    </row>
    <row r="6568" ht="12.75" customHeight="1">
      <c r="H6568" s="43" t="n"/>
      <c r="AG6568" s="49">
        <f>IFERROR(__xludf.DUMMYFUNCTION("IFNA(vlookup(H6568,IMPORTRANGE(""1vUGwO1n0QQGx9kKbO0_M5gmuhXZ6-LaxQxgrmJnzgP0"",""'TP# look up'!A:C""),3,0),"""")"),"")</f>
        <v/>
      </c>
      <c r="AH6568" s="49">
        <f>LEFT(J6568,2)</f>
        <v/>
      </c>
    </row>
    <row r="6569" ht="12.75" customHeight="1">
      <c r="H6569" s="43" t="n"/>
      <c r="AG6569" s="49">
        <f>IFERROR(__xludf.DUMMYFUNCTION("IFNA(vlookup(H6569,IMPORTRANGE(""1vUGwO1n0QQGx9kKbO0_M5gmuhXZ6-LaxQxgrmJnzgP0"",""'TP# look up'!A:C""),3,0),"""")"),"")</f>
        <v/>
      </c>
      <c r="AH6569" s="49">
        <f>LEFT(J6569,2)</f>
        <v/>
      </c>
    </row>
    <row r="6570" ht="12.75" customHeight="1">
      <c r="H6570" s="43" t="n"/>
      <c r="AG6570" s="49">
        <f>IFERROR(__xludf.DUMMYFUNCTION("IFNA(vlookup(H6570,IMPORTRANGE(""1vUGwO1n0QQGx9kKbO0_M5gmuhXZ6-LaxQxgrmJnzgP0"",""'TP# look up'!A:C""),3,0),"""")"),"")</f>
        <v/>
      </c>
      <c r="AH6570" s="49">
        <f>LEFT(J6570,2)</f>
        <v/>
      </c>
    </row>
    <row r="6571" ht="12.75" customHeight="1">
      <c r="H6571" s="43" t="n"/>
      <c r="AG6571" s="49">
        <f>IFERROR(__xludf.DUMMYFUNCTION("IFNA(vlookup(H6571,IMPORTRANGE(""1vUGwO1n0QQGx9kKbO0_M5gmuhXZ6-LaxQxgrmJnzgP0"",""'TP# look up'!A:C""),3,0),"""")"),"")</f>
        <v/>
      </c>
      <c r="AH6571" s="49">
        <f>LEFT(J6571,2)</f>
        <v/>
      </c>
    </row>
    <row r="6572" ht="12.75" customHeight="1">
      <c r="H6572" s="43" t="n"/>
      <c r="AG6572" s="49">
        <f>IFERROR(__xludf.DUMMYFUNCTION("IFNA(vlookup(H6572,IMPORTRANGE(""1vUGwO1n0QQGx9kKbO0_M5gmuhXZ6-LaxQxgrmJnzgP0"",""'TP# look up'!A:C""),3,0),"""")"),"")</f>
        <v/>
      </c>
      <c r="AH6572" s="49">
        <f>LEFT(J6572,2)</f>
        <v/>
      </c>
    </row>
    <row r="6573" ht="12.75" customHeight="1">
      <c r="H6573" s="43" t="n"/>
      <c r="AG6573" s="49">
        <f>IFERROR(__xludf.DUMMYFUNCTION("IFNA(vlookup(H6573,IMPORTRANGE(""1vUGwO1n0QQGx9kKbO0_M5gmuhXZ6-LaxQxgrmJnzgP0"",""'TP# look up'!A:C""),3,0),"""")"),"")</f>
        <v/>
      </c>
      <c r="AH6573" s="49">
        <f>LEFT(J6573,2)</f>
        <v/>
      </c>
    </row>
    <row r="6574" ht="12.75" customHeight="1">
      <c r="H6574" s="43" t="n"/>
      <c r="AG6574" s="49">
        <f>IFERROR(__xludf.DUMMYFUNCTION("IFNA(vlookup(H6574,IMPORTRANGE(""1vUGwO1n0QQGx9kKbO0_M5gmuhXZ6-LaxQxgrmJnzgP0"",""'TP# look up'!A:C""),3,0),"""")"),"")</f>
        <v/>
      </c>
      <c r="AH6574" s="49">
        <f>LEFT(J6574,2)</f>
        <v/>
      </c>
    </row>
    <row r="6575" ht="12.75" customHeight="1">
      <c r="H6575" s="43" t="n"/>
      <c r="AG6575" s="49">
        <f>IFERROR(__xludf.DUMMYFUNCTION("IFNA(vlookup(H6575,IMPORTRANGE(""1vUGwO1n0QQGx9kKbO0_M5gmuhXZ6-LaxQxgrmJnzgP0"",""'TP# look up'!A:C""),3,0),"""")"),"")</f>
        <v/>
      </c>
      <c r="AH6575" s="49">
        <f>LEFT(J6575,2)</f>
        <v/>
      </c>
    </row>
    <row r="6576" ht="12.75" customHeight="1">
      <c r="H6576" s="43" t="n"/>
      <c r="AG6576" s="49">
        <f>IFERROR(__xludf.DUMMYFUNCTION("IFNA(vlookup(H6576,IMPORTRANGE(""1vUGwO1n0QQGx9kKbO0_M5gmuhXZ6-LaxQxgrmJnzgP0"",""'TP# look up'!A:C""),3,0),"""")"),"")</f>
        <v/>
      </c>
      <c r="AH6576" s="49">
        <f>LEFT(J6576,2)</f>
        <v/>
      </c>
    </row>
    <row r="6577" ht="12.75" customHeight="1">
      <c r="H6577" s="43" t="n"/>
      <c r="AG6577" s="49">
        <f>IFERROR(__xludf.DUMMYFUNCTION("IFNA(vlookup(H6577,IMPORTRANGE(""1vUGwO1n0QQGx9kKbO0_M5gmuhXZ6-LaxQxgrmJnzgP0"",""'TP# look up'!A:C""),3,0),"""")"),"")</f>
        <v/>
      </c>
      <c r="AH6577" s="49">
        <f>LEFT(J6577,2)</f>
        <v/>
      </c>
    </row>
    <row r="6578" ht="12.75" customHeight="1">
      <c r="H6578" s="43" t="n"/>
      <c r="AG6578" s="49">
        <f>IFERROR(__xludf.DUMMYFUNCTION("IFNA(vlookup(H6578,IMPORTRANGE(""1vUGwO1n0QQGx9kKbO0_M5gmuhXZ6-LaxQxgrmJnzgP0"",""'TP# look up'!A:C""),3,0),"""")"),"")</f>
        <v/>
      </c>
      <c r="AH6578" s="49">
        <f>LEFT(J6578,2)</f>
        <v/>
      </c>
    </row>
    <row r="6579" ht="12.75" customHeight="1">
      <c r="H6579" s="43" t="n"/>
      <c r="AG6579" s="49">
        <f>IFERROR(__xludf.DUMMYFUNCTION("IFNA(vlookup(H6579,IMPORTRANGE(""1vUGwO1n0QQGx9kKbO0_M5gmuhXZ6-LaxQxgrmJnzgP0"",""'TP# look up'!A:C""),3,0),"""")"),"")</f>
        <v/>
      </c>
      <c r="AH6579" s="49">
        <f>LEFT(J6579,2)</f>
        <v/>
      </c>
    </row>
    <row r="6580" ht="12.75" customHeight="1">
      <c r="H6580" s="43" t="n"/>
      <c r="AG6580" s="49">
        <f>IFERROR(__xludf.DUMMYFUNCTION("IFNA(vlookup(H6580,IMPORTRANGE(""1vUGwO1n0QQGx9kKbO0_M5gmuhXZ6-LaxQxgrmJnzgP0"",""'TP# look up'!A:C""),3,0),"""")"),"")</f>
        <v/>
      </c>
      <c r="AH6580" s="49">
        <f>LEFT(J6580,2)</f>
        <v/>
      </c>
    </row>
    <row r="6581" ht="12.75" customHeight="1">
      <c r="H6581" s="43" t="n"/>
      <c r="AG6581" s="49">
        <f>IFERROR(__xludf.DUMMYFUNCTION("IFNA(vlookup(H6581,IMPORTRANGE(""1vUGwO1n0QQGx9kKbO0_M5gmuhXZ6-LaxQxgrmJnzgP0"",""'TP# look up'!A:C""),3,0),"""")"),"")</f>
        <v/>
      </c>
      <c r="AH6581" s="49">
        <f>LEFT(J6581,2)</f>
        <v/>
      </c>
    </row>
    <row r="6582" ht="12.75" customHeight="1">
      <c r="H6582" s="43" t="n"/>
      <c r="AG6582" s="49">
        <f>IFERROR(__xludf.DUMMYFUNCTION("IFNA(vlookup(H6582,IMPORTRANGE(""1vUGwO1n0QQGx9kKbO0_M5gmuhXZ6-LaxQxgrmJnzgP0"",""'TP# look up'!A:C""),3,0),"""")"),"")</f>
        <v/>
      </c>
      <c r="AH6582" s="49">
        <f>LEFT(J6582,2)</f>
        <v/>
      </c>
    </row>
    <row r="6583" ht="12.75" customHeight="1">
      <c r="H6583" s="43" t="n"/>
      <c r="AG6583" s="49">
        <f>IFERROR(__xludf.DUMMYFUNCTION("IFNA(vlookup(H6583,IMPORTRANGE(""1vUGwO1n0QQGx9kKbO0_M5gmuhXZ6-LaxQxgrmJnzgP0"",""'TP# look up'!A:C""),3,0),"""")"),"")</f>
        <v/>
      </c>
      <c r="AH6583" s="49">
        <f>LEFT(J6583,2)</f>
        <v/>
      </c>
    </row>
    <row r="6584" ht="12.75" customHeight="1">
      <c r="H6584" s="43" t="n"/>
      <c r="AG6584" s="49">
        <f>IFERROR(__xludf.DUMMYFUNCTION("IFNA(vlookup(H6584,IMPORTRANGE(""1vUGwO1n0QQGx9kKbO0_M5gmuhXZ6-LaxQxgrmJnzgP0"",""'TP# look up'!A:C""),3,0),"""")"),"")</f>
        <v/>
      </c>
      <c r="AH6584" s="49">
        <f>LEFT(J6584,2)</f>
        <v/>
      </c>
    </row>
    <row r="6585" ht="12.75" customHeight="1">
      <c r="H6585" s="43" t="n"/>
      <c r="AG6585" s="49">
        <f>IFERROR(__xludf.DUMMYFUNCTION("IFNA(vlookup(H6585,IMPORTRANGE(""1vUGwO1n0QQGx9kKbO0_M5gmuhXZ6-LaxQxgrmJnzgP0"",""'TP# look up'!A:C""),3,0),"""")"),"")</f>
        <v/>
      </c>
      <c r="AH6585" s="49">
        <f>LEFT(J6585,2)</f>
        <v/>
      </c>
    </row>
    <row r="6586" ht="12.75" customHeight="1">
      <c r="H6586" s="43" t="n"/>
      <c r="AG6586" s="49">
        <f>IFERROR(__xludf.DUMMYFUNCTION("IFNA(vlookup(H6586,IMPORTRANGE(""1vUGwO1n0QQGx9kKbO0_M5gmuhXZ6-LaxQxgrmJnzgP0"",""'TP# look up'!A:C""),3,0),"""")"),"")</f>
        <v/>
      </c>
      <c r="AH6586" s="49">
        <f>LEFT(J6586,2)</f>
        <v/>
      </c>
    </row>
    <row r="6587" ht="12.75" customHeight="1">
      <c r="H6587" s="43" t="n"/>
      <c r="AG6587" s="49">
        <f>IFERROR(__xludf.DUMMYFUNCTION("IFNA(vlookup(H6587,IMPORTRANGE(""1vUGwO1n0QQGx9kKbO0_M5gmuhXZ6-LaxQxgrmJnzgP0"",""'TP# look up'!A:C""),3,0),"""")"),"")</f>
        <v/>
      </c>
      <c r="AH6587" s="49">
        <f>LEFT(J6587,2)</f>
        <v/>
      </c>
    </row>
    <row r="6588" ht="12.75" customHeight="1">
      <c r="H6588" s="43" t="n"/>
      <c r="AG6588" s="49">
        <f>IFERROR(__xludf.DUMMYFUNCTION("IFNA(vlookup(H6588,IMPORTRANGE(""1vUGwO1n0QQGx9kKbO0_M5gmuhXZ6-LaxQxgrmJnzgP0"",""'TP# look up'!A:C""),3,0),"""")"),"")</f>
        <v/>
      </c>
      <c r="AH6588" s="49">
        <f>LEFT(J6588,2)</f>
        <v/>
      </c>
    </row>
    <row r="6589" ht="12.75" customHeight="1">
      <c r="H6589" s="43" t="n"/>
      <c r="AG6589" s="49">
        <f>IFERROR(__xludf.DUMMYFUNCTION("IFNA(vlookup(H6589,IMPORTRANGE(""1vUGwO1n0QQGx9kKbO0_M5gmuhXZ6-LaxQxgrmJnzgP0"",""'TP# look up'!A:C""),3,0),"""")"),"")</f>
        <v/>
      </c>
      <c r="AH6589" s="49">
        <f>LEFT(J6589,2)</f>
        <v/>
      </c>
    </row>
    <row r="6590" ht="12.75" customHeight="1">
      <c r="H6590" s="43" t="n"/>
      <c r="AG6590" s="49">
        <f>IFERROR(__xludf.DUMMYFUNCTION("IFNA(vlookup(H6590,IMPORTRANGE(""1vUGwO1n0QQGx9kKbO0_M5gmuhXZ6-LaxQxgrmJnzgP0"",""'TP# look up'!A:C""),3,0),"""")"),"")</f>
        <v/>
      </c>
      <c r="AH6590" s="49">
        <f>LEFT(J6590,2)</f>
        <v/>
      </c>
    </row>
    <row r="6591" ht="12.75" customHeight="1">
      <c r="H6591" s="43" t="n"/>
      <c r="AG6591" s="49">
        <f>IFERROR(__xludf.DUMMYFUNCTION("IFNA(vlookup(H6591,IMPORTRANGE(""1vUGwO1n0QQGx9kKbO0_M5gmuhXZ6-LaxQxgrmJnzgP0"",""'TP# look up'!A:C""),3,0),"""")"),"")</f>
        <v/>
      </c>
      <c r="AH6591" s="49">
        <f>LEFT(J6591,2)</f>
        <v/>
      </c>
    </row>
    <row r="6592" ht="12.75" customHeight="1">
      <c r="H6592" s="43" t="n"/>
      <c r="AG6592" s="49">
        <f>IFERROR(__xludf.DUMMYFUNCTION("IFNA(vlookup(H6592,IMPORTRANGE(""1vUGwO1n0QQGx9kKbO0_M5gmuhXZ6-LaxQxgrmJnzgP0"",""'TP# look up'!A:C""),3,0),"""")"),"")</f>
        <v/>
      </c>
      <c r="AH6592" s="49">
        <f>LEFT(J6592,2)</f>
        <v/>
      </c>
    </row>
    <row r="6593" ht="12.75" customHeight="1">
      <c r="H6593" s="43" t="n"/>
      <c r="AG6593" s="49">
        <f>IFERROR(__xludf.DUMMYFUNCTION("IFNA(vlookup(H6593,IMPORTRANGE(""1vUGwO1n0QQGx9kKbO0_M5gmuhXZ6-LaxQxgrmJnzgP0"",""'TP# look up'!A:C""),3,0),"""")"),"")</f>
        <v/>
      </c>
      <c r="AH6593" s="49">
        <f>LEFT(J6593,2)</f>
        <v/>
      </c>
    </row>
    <row r="6594" ht="12.75" customHeight="1">
      <c r="H6594" s="43" t="n"/>
      <c r="AG6594" s="49">
        <f>IFERROR(__xludf.DUMMYFUNCTION("IFNA(vlookup(H6594,IMPORTRANGE(""1vUGwO1n0QQGx9kKbO0_M5gmuhXZ6-LaxQxgrmJnzgP0"",""'TP# look up'!A:C""),3,0),"""")"),"")</f>
        <v/>
      </c>
      <c r="AH6594" s="49">
        <f>LEFT(J6594,2)</f>
        <v/>
      </c>
    </row>
    <row r="6595" ht="12.75" customHeight="1">
      <c r="H6595" s="43" t="n"/>
      <c r="AG6595" s="49">
        <f>IFERROR(__xludf.DUMMYFUNCTION("IFNA(vlookup(H6595,IMPORTRANGE(""1vUGwO1n0QQGx9kKbO0_M5gmuhXZ6-LaxQxgrmJnzgP0"",""'TP# look up'!A:C""),3,0),"""")"),"")</f>
        <v/>
      </c>
      <c r="AH6595" s="49">
        <f>LEFT(J6595,2)</f>
        <v/>
      </c>
    </row>
    <row r="6596" ht="12.75" customHeight="1">
      <c r="H6596" s="43" t="n"/>
      <c r="AG6596" s="49">
        <f>IFERROR(__xludf.DUMMYFUNCTION("IFNA(vlookup(H6596,IMPORTRANGE(""1vUGwO1n0QQGx9kKbO0_M5gmuhXZ6-LaxQxgrmJnzgP0"",""'TP# look up'!A:C""),3,0),"""")"),"")</f>
        <v/>
      </c>
      <c r="AH6596" s="49">
        <f>LEFT(J6596,2)</f>
        <v/>
      </c>
    </row>
    <row r="6597" ht="12.75" customHeight="1">
      <c r="H6597" s="43" t="n"/>
      <c r="AG6597" s="49">
        <f>IFERROR(__xludf.DUMMYFUNCTION("IFNA(vlookup(H6597,IMPORTRANGE(""1vUGwO1n0QQGx9kKbO0_M5gmuhXZ6-LaxQxgrmJnzgP0"",""'TP# look up'!A:C""),3,0),"""")"),"")</f>
        <v/>
      </c>
      <c r="AH6597" s="49">
        <f>LEFT(J6597,2)</f>
        <v/>
      </c>
    </row>
    <row r="6598" ht="12.75" customHeight="1">
      <c r="H6598" s="43" t="n"/>
      <c r="AG6598" s="49">
        <f>IFERROR(__xludf.DUMMYFUNCTION("IFNA(vlookup(H6598,IMPORTRANGE(""1vUGwO1n0QQGx9kKbO0_M5gmuhXZ6-LaxQxgrmJnzgP0"",""'TP# look up'!A:C""),3,0),"""")"),"")</f>
        <v/>
      </c>
      <c r="AH6598" s="49">
        <f>LEFT(J6598,2)</f>
        <v/>
      </c>
    </row>
    <row r="6599" ht="12.75" customHeight="1">
      <c r="H6599" s="43" t="n"/>
      <c r="AG6599" s="49">
        <f>IFERROR(__xludf.DUMMYFUNCTION("IFNA(vlookup(H6599,IMPORTRANGE(""1vUGwO1n0QQGx9kKbO0_M5gmuhXZ6-LaxQxgrmJnzgP0"",""'TP# look up'!A:C""),3,0),"""")"),"")</f>
        <v/>
      </c>
      <c r="AH6599" s="49">
        <f>LEFT(J6599,2)</f>
        <v/>
      </c>
    </row>
    <row r="6600" ht="12.75" customHeight="1">
      <c r="H6600" s="43" t="n"/>
      <c r="AG6600" s="49">
        <f>IFERROR(__xludf.DUMMYFUNCTION("IFNA(vlookup(H6600,IMPORTRANGE(""1vUGwO1n0QQGx9kKbO0_M5gmuhXZ6-LaxQxgrmJnzgP0"",""'TP# look up'!A:C""),3,0),"""")"),"")</f>
        <v/>
      </c>
      <c r="AH6600" s="49">
        <f>LEFT(J6600,2)</f>
        <v/>
      </c>
    </row>
    <row r="6601" ht="12.75" customHeight="1">
      <c r="H6601" s="43" t="n"/>
      <c r="AG6601" s="49">
        <f>IFERROR(__xludf.DUMMYFUNCTION("IFNA(vlookup(H6601,IMPORTRANGE(""1vUGwO1n0QQGx9kKbO0_M5gmuhXZ6-LaxQxgrmJnzgP0"",""'TP# look up'!A:C""),3,0),"""")"),"")</f>
        <v/>
      </c>
      <c r="AH6601" s="49">
        <f>LEFT(J6601,2)</f>
        <v/>
      </c>
    </row>
    <row r="6602" ht="12.75" customHeight="1">
      <c r="H6602" s="43" t="n"/>
      <c r="AG6602" s="49">
        <f>IFERROR(__xludf.DUMMYFUNCTION("IFNA(vlookup(H6602,IMPORTRANGE(""1vUGwO1n0QQGx9kKbO0_M5gmuhXZ6-LaxQxgrmJnzgP0"",""'TP# look up'!A:C""),3,0),"""")"),"")</f>
        <v/>
      </c>
      <c r="AH6602" s="49">
        <f>LEFT(J6602,2)</f>
        <v/>
      </c>
    </row>
    <row r="6603" ht="12.75" customHeight="1">
      <c r="H6603" s="43" t="n"/>
      <c r="AG6603" s="49">
        <f>IFERROR(__xludf.DUMMYFUNCTION("IFNA(vlookup(H6603,IMPORTRANGE(""1vUGwO1n0QQGx9kKbO0_M5gmuhXZ6-LaxQxgrmJnzgP0"",""'TP# look up'!A:C""),3,0),"""")"),"")</f>
        <v/>
      </c>
      <c r="AH6603" s="49">
        <f>LEFT(J6603,2)</f>
        <v/>
      </c>
    </row>
    <row r="6604" ht="12.75" customHeight="1">
      <c r="H6604" s="43" t="n"/>
      <c r="AG6604" s="49">
        <f>IFERROR(__xludf.DUMMYFUNCTION("IFNA(vlookup(H6604,IMPORTRANGE(""1vUGwO1n0QQGx9kKbO0_M5gmuhXZ6-LaxQxgrmJnzgP0"",""'TP# look up'!A:C""),3,0),"""")"),"")</f>
        <v/>
      </c>
      <c r="AH6604" s="49">
        <f>LEFT(J6604,2)</f>
        <v/>
      </c>
    </row>
    <row r="6605" ht="12.75" customHeight="1">
      <c r="H6605" s="43" t="n"/>
      <c r="AG6605" s="49">
        <f>IFERROR(__xludf.DUMMYFUNCTION("IFNA(vlookup(H6605,IMPORTRANGE(""1vUGwO1n0QQGx9kKbO0_M5gmuhXZ6-LaxQxgrmJnzgP0"",""'TP# look up'!A:C""),3,0),"""")"),"")</f>
        <v/>
      </c>
      <c r="AH6605" s="49">
        <f>LEFT(J6605,2)</f>
        <v/>
      </c>
    </row>
    <row r="6606" ht="12.75" customHeight="1">
      <c r="H6606" s="43" t="n"/>
      <c r="AG6606" s="49">
        <f>IFERROR(__xludf.DUMMYFUNCTION("IFNA(vlookup(H6606,IMPORTRANGE(""1vUGwO1n0QQGx9kKbO0_M5gmuhXZ6-LaxQxgrmJnzgP0"",""'TP# look up'!A:C""),3,0),"""")"),"")</f>
        <v/>
      </c>
      <c r="AH6606" s="49">
        <f>LEFT(J6606,2)</f>
        <v/>
      </c>
    </row>
    <row r="6607" ht="12.75" customHeight="1">
      <c r="H6607" s="43" t="n"/>
      <c r="AG6607" s="49">
        <f>IFERROR(__xludf.DUMMYFUNCTION("IFNA(vlookup(H6607,IMPORTRANGE(""1vUGwO1n0QQGx9kKbO0_M5gmuhXZ6-LaxQxgrmJnzgP0"",""'TP# look up'!A:C""),3,0),"""")"),"")</f>
        <v/>
      </c>
      <c r="AH6607" s="49">
        <f>LEFT(J6607,2)</f>
        <v/>
      </c>
    </row>
    <row r="6608" ht="12.75" customHeight="1">
      <c r="H6608" s="43" t="n"/>
      <c r="AG6608" s="49">
        <f>IFERROR(__xludf.DUMMYFUNCTION("IFNA(vlookup(H6608,IMPORTRANGE(""1vUGwO1n0QQGx9kKbO0_M5gmuhXZ6-LaxQxgrmJnzgP0"",""'TP# look up'!A:C""),3,0),"""")"),"")</f>
        <v/>
      </c>
      <c r="AH6608" s="49">
        <f>LEFT(J6608,2)</f>
        <v/>
      </c>
    </row>
    <row r="6609" ht="12.75" customHeight="1">
      <c r="H6609" s="43" t="n"/>
      <c r="AG6609" s="49">
        <f>IFERROR(__xludf.DUMMYFUNCTION("IFNA(vlookup(H6609,IMPORTRANGE(""1vUGwO1n0QQGx9kKbO0_M5gmuhXZ6-LaxQxgrmJnzgP0"",""'TP# look up'!A:C""),3,0),"""")"),"")</f>
        <v/>
      </c>
      <c r="AH6609" s="49">
        <f>LEFT(J6609,2)</f>
        <v/>
      </c>
    </row>
    <row r="6610" ht="12.75" customHeight="1">
      <c r="H6610" s="43" t="n"/>
      <c r="AG6610" s="49">
        <f>IFERROR(__xludf.DUMMYFUNCTION("IFNA(vlookup(H6610,IMPORTRANGE(""1vUGwO1n0QQGx9kKbO0_M5gmuhXZ6-LaxQxgrmJnzgP0"",""'TP# look up'!A:C""),3,0),"""")"),"")</f>
        <v/>
      </c>
      <c r="AH6610" s="49">
        <f>LEFT(J6610,2)</f>
        <v/>
      </c>
    </row>
    <row r="6611" ht="12.75" customHeight="1">
      <c r="H6611" s="43" t="n"/>
      <c r="AG6611" s="49">
        <f>IFERROR(__xludf.DUMMYFUNCTION("IFNA(vlookup(H6611,IMPORTRANGE(""1vUGwO1n0QQGx9kKbO0_M5gmuhXZ6-LaxQxgrmJnzgP0"",""'TP# look up'!A:C""),3,0),"""")"),"")</f>
        <v/>
      </c>
      <c r="AH6611" s="49">
        <f>LEFT(J6611,2)</f>
        <v/>
      </c>
    </row>
    <row r="6612" ht="12.75" customHeight="1">
      <c r="H6612" s="43" t="n"/>
      <c r="AG6612" s="49">
        <f>IFERROR(__xludf.DUMMYFUNCTION("IFNA(vlookup(H6612,IMPORTRANGE(""1vUGwO1n0QQGx9kKbO0_M5gmuhXZ6-LaxQxgrmJnzgP0"",""'TP# look up'!A:C""),3,0),"""")"),"")</f>
        <v/>
      </c>
      <c r="AH6612" s="49">
        <f>LEFT(J6612,2)</f>
        <v/>
      </c>
    </row>
    <row r="6613" ht="12.75" customHeight="1">
      <c r="H6613" s="43" t="n"/>
      <c r="AG6613" s="49">
        <f>IFERROR(__xludf.DUMMYFUNCTION("IFNA(vlookup(H6613,IMPORTRANGE(""1vUGwO1n0QQGx9kKbO0_M5gmuhXZ6-LaxQxgrmJnzgP0"",""'TP# look up'!A:C""),3,0),"""")"),"")</f>
        <v/>
      </c>
      <c r="AH6613" s="49">
        <f>LEFT(J6613,2)</f>
        <v/>
      </c>
    </row>
    <row r="6614" ht="12.75" customHeight="1">
      <c r="H6614" s="43" t="n"/>
      <c r="AG6614" s="49">
        <f>IFERROR(__xludf.DUMMYFUNCTION("IFNA(vlookup(H6614,IMPORTRANGE(""1vUGwO1n0QQGx9kKbO0_M5gmuhXZ6-LaxQxgrmJnzgP0"",""'TP# look up'!A:C""),3,0),"""")"),"")</f>
        <v/>
      </c>
      <c r="AH6614" s="49">
        <f>LEFT(J6614,2)</f>
        <v/>
      </c>
    </row>
    <row r="6615" ht="12.75" customHeight="1">
      <c r="H6615" s="43" t="n"/>
      <c r="AG6615" s="49">
        <f>IFERROR(__xludf.DUMMYFUNCTION("IFNA(vlookup(H6615,IMPORTRANGE(""1vUGwO1n0QQGx9kKbO0_M5gmuhXZ6-LaxQxgrmJnzgP0"",""'TP# look up'!A:C""),3,0),"""")"),"")</f>
        <v/>
      </c>
      <c r="AH6615" s="49">
        <f>LEFT(J6615,2)</f>
        <v/>
      </c>
    </row>
    <row r="6616" ht="12.75" customHeight="1">
      <c r="H6616" s="43" t="n"/>
      <c r="AG6616" s="49">
        <f>IFERROR(__xludf.DUMMYFUNCTION("IFNA(vlookup(H6616,IMPORTRANGE(""1vUGwO1n0QQGx9kKbO0_M5gmuhXZ6-LaxQxgrmJnzgP0"",""'TP# look up'!A:C""),3,0),"""")"),"")</f>
        <v/>
      </c>
      <c r="AH6616" s="49">
        <f>LEFT(J6616,2)</f>
        <v/>
      </c>
    </row>
    <row r="6617" ht="12.75" customHeight="1">
      <c r="H6617" s="43" t="n"/>
      <c r="AG6617" s="49">
        <f>IFERROR(__xludf.DUMMYFUNCTION("IFNA(vlookup(H6617,IMPORTRANGE(""1vUGwO1n0QQGx9kKbO0_M5gmuhXZ6-LaxQxgrmJnzgP0"",""'TP# look up'!A:C""),3,0),"""")"),"")</f>
        <v/>
      </c>
      <c r="AH6617" s="49">
        <f>LEFT(J6617,2)</f>
        <v/>
      </c>
    </row>
    <row r="6618" ht="12.75" customHeight="1">
      <c r="H6618" s="43" t="n"/>
      <c r="AG6618" s="49">
        <f>IFERROR(__xludf.DUMMYFUNCTION("IFNA(vlookup(H6618,IMPORTRANGE(""1vUGwO1n0QQGx9kKbO0_M5gmuhXZ6-LaxQxgrmJnzgP0"",""'TP# look up'!A:C""),3,0),"""")"),"")</f>
        <v/>
      </c>
      <c r="AH6618" s="49">
        <f>LEFT(J6618,2)</f>
        <v/>
      </c>
    </row>
    <row r="6619" ht="12.75" customHeight="1">
      <c r="H6619" s="43" t="n"/>
      <c r="AG6619" s="49">
        <f>IFERROR(__xludf.DUMMYFUNCTION("IFNA(vlookup(H6619,IMPORTRANGE(""1vUGwO1n0QQGx9kKbO0_M5gmuhXZ6-LaxQxgrmJnzgP0"",""'TP# look up'!A:C""),3,0),"""")"),"")</f>
        <v/>
      </c>
      <c r="AH6619" s="49">
        <f>LEFT(J6619,2)</f>
        <v/>
      </c>
    </row>
    <row r="6620" ht="12.75" customHeight="1">
      <c r="H6620" s="43" t="n"/>
      <c r="AG6620" s="49">
        <f>IFERROR(__xludf.DUMMYFUNCTION("IFNA(vlookup(H6620,IMPORTRANGE(""1vUGwO1n0QQGx9kKbO0_M5gmuhXZ6-LaxQxgrmJnzgP0"",""'TP# look up'!A:C""),3,0),"""")"),"")</f>
        <v/>
      </c>
      <c r="AH6620" s="49">
        <f>LEFT(J6620,2)</f>
        <v/>
      </c>
    </row>
    <row r="6621" ht="12.75" customHeight="1">
      <c r="H6621" s="43" t="n"/>
      <c r="AG6621" s="49">
        <f>IFERROR(__xludf.DUMMYFUNCTION("IFNA(vlookup(H6621,IMPORTRANGE(""1vUGwO1n0QQGx9kKbO0_M5gmuhXZ6-LaxQxgrmJnzgP0"",""'TP# look up'!A:C""),3,0),"""")"),"")</f>
        <v/>
      </c>
      <c r="AH6621" s="49">
        <f>LEFT(J6621,2)</f>
        <v/>
      </c>
    </row>
    <row r="6622" ht="12.75" customHeight="1">
      <c r="H6622" s="43" t="n"/>
      <c r="AG6622" s="49">
        <f>IFERROR(__xludf.DUMMYFUNCTION("IFNA(vlookup(H6622,IMPORTRANGE(""1vUGwO1n0QQGx9kKbO0_M5gmuhXZ6-LaxQxgrmJnzgP0"",""'TP# look up'!A:C""),3,0),"""")"),"")</f>
        <v/>
      </c>
      <c r="AH6622" s="49">
        <f>LEFT(J6622,2)</f>
        <v/>
      </c>
    </row>
    <row r="6623" ht="12.75" customHeight="1">
      <c r="H6623" s="43" t="n"/>
      <c r="AG6623" s="49">
        <f>IFERROR(__xludf.DUMMYFUNCTION("IFNA(vlookup(H6623,IMPORTRANGE(""1vUGwO1n0QQGx9kKbO0_M5gmuhXZ6-LaxQxgrmJnzgP0"",""'TP# look up'!A:C""),3,0),"""")"),"")</f>
        <v/>
      </c>
      <c r="AH6623" s="49">
        <f>LEFT(J6623,2)</f>
        <v/>
      </c>
    </row>
    <row r="6624" ht="12.75" customHeight="1">
      <c r="H6624" s="43" t="n"/>
      <c r="AG6624" s="49">
        <f>IFERROR(__xludf.DUMMYFUNCTION("IFNA(vlookup(H6624,IMPORTRANGE(""1vUGwO1n0QQGx9kKbO0_M5gmuhXZ6-LaxQxgrmJnzgP0"",""'TP# look up'!A:C""),3,0),"""")"),"")</f>
        <v/>
      </c>
      <c r="AH6624" s="49">
        <f>LEFT(J6624,2)</f>
        <v/>
      </c>
    </row>
    <row r="6625" ht="12.75" customHeight="1">
      <c r="H6625" s="43" t="n"/>
      <c r="AG6625" s="49">
        <f>IFERROR(__xludf.DUMMYFUNCTION("IFNA(vlookup(H6625,IMPORTRANGE(""1vUGwO1n0QQGx9kKbO0_M5gmuhXZ6-LaxQxgrmJnzgP0"",""'TP# look up'!A:C""),3,0),"""")"),"")</f>
        <v/>
      </c>
      <c r="AH6625" s="49">
        <f>LEFT(J6625,2)</f>
        <v/>
      </c>
    </row>
    <row r="6626" ht="12.75" customHeight="1">
      <c r="H6626" s="43" t="n"/>
      <c r="AG6626" s="49">
        <f>IFERROR(__xludf.DUMMYFUNCTION("IFNA(vlookup(H6626,IMPORTRANGE(""1vUGwO1n0QQGx9kKbO0_M5gmuhXZ6-LaxQxgrmJnzgP0"",""'TP# look up'!A:C""),3,0),"""")"),"")</f>
        <v/>
      </c>
      <c r="AH6626" s="49">
        <f>LEFT(J6626,2)</f>
        <v/>
      </c>
    </row>
    <row r="6627" ht="12.75" customHeight="1">
      <c r="H6627" s="43" t="n"/>
      <c r="AG6627" s="49">
        <f>IFERROR(__xludf.DUMMYFUNCTION("IFNA(vlookup(H6627,IMPORTRANGE(""1vUGwO1n0QQGx9kKbO0_M5gmuhXZ6-LaxQxgrmJnzgP0"",""'TP# look up'!A:C""),3,0),"""")"),"")</f>
        <v/>
      </c>
      <c r="AH6627" s="49">
        <f>LEFT(J6627,2)</f>
        <v/>
      </c>
    </row>
    <row r="6628" ht="12.75" customHeight="1">
      <c r="H6628" s="43" t="n"/>
      <c r="AG6628" s="49">
        <f>IFERROR(__xludf.DUMMYFUNCTION("IFNA(vlookup(H6628,IMPORTRANGE(""1vUGwO1n0QQGx9kKbO0_M5gmuhXZ6-LaxQxgrmJnzgP0"",""'TP# look up'!A:C""),3,0),"""")"),"")</f>
        <v/>
      </c>
      <c r="AH6628" s="49">
        <f>LEFT(J6628,2)</f>
        <v/>
      </c>
    </row>
    <row r="6629" ht="12.75" customHeight="1">
      <c r="H6629" s="43" t="n"/>
      <c r="AG6629" s="49">
        <f>IFERROR(__xludf.DUMMYFUNCTION("IFNA(vlookup(H6629,IMPORTRANGE(""1vUGwO1n0QQGx9kKbO0_M5gmuhXZ6-LaxQxgrmJnzgP0"",""'TP# look up'!A:C""),3,0),"""")"),"")</f>
        <v/>
      </c>
      <c r="AH6629" s="49">
        <f>LEFT(J6629,2)</f>
        <v/>
      </c>
    </row>
    <row r="6630" ht="12.75" customHeight="1">
      <c r="H6630" s="43" t="n"/>
      <c r="AG6630" s="49">
        <f>IFERROR(__xludf.DUMMYFUNCTION("IFNA(vlookup(H6630,IMPORTRANGE(""1vUGwO1n0QQGx9kKbO0_M5gmuhXZ6-LaxQxgrmJnzgP0"",""'TP# look up'!A:C""),3,0),"""")"),"")</f>
        <v/>
      </c>
      <c r="AH6630" s="49">
        <f>LEFT(J6630,2)</f>
        <v/>
      </c>
    </row>
    <row r="6631" ht="12.75" customHeight="1">
      <c r="H6631" s="43" t="n"/>
      <c r="AG6631" s="49">
        <f>IFERROR(__xludf.DUMMYFUNCTION("IFNA(vlookup(H6631,IMPORTRANGE(""1vUGwO1n0QQGx9kKbO0_M5gmuhXZ6-LaxQxgrmJnzgP0"",""'TP# look up'!A:C""),3,0),"""")"),"")</f>
        <v/>
      </c>
      <c r="AH6631" s="49">
        <f>LEFT(J6631,2)</f>
        <v/>
      </c>
    </row>
    <row r="6632" ht="12.75" customHeight="1">
      <c r="H6632" s="43" t="n"/>
      <c r="AG6632" s="49">
        <f>IFERROR(__xludf.DUMMYFUNCTION("IFNA(vlookup(H6632,IMPORTRANGE(""1vUGwO1n0QQGx9kKbO0_M5gmuhXZ6-LaxQxgrmJnzgP0"",""'TP# look up'!A:C""),3,0),"""")"),"")</f>
        <v/>
      </c>
      <c r="AH6632" s="49">
        <f>LEFT(J6632,2)</f>
        <v/>
      </c>
    </row>
    <row r="6633" ht="12.75" customHeight="1">
      <c r="H6633" s="43" t="n"/>
      <c r="AG6633" s="49">
        <f>IFERROR(__xludf.DUMMYFUNCTION("IFNA(vlookup(H6633,IMPORTRANGE(""1vUGwO1n0QQGx9kKbO0_M5gmuhXZ6-LaxQxgrmJnzgP0"",""'TP# look up'!A:C""),3,0),"""")"),"")</f>
        <v/>
      </c>
      <c r="AH6633" s="49">
        <f>LEFT(J6633,2)</f>
        <v/>
      </c>
    </row>
    <row r="6634" ht="12.75" customHeight="1">
      <c r="H6634" s="43" t="n"/>
      <c r="AG6634" s="49">
        <f>IFERROR(__xludf.DUMMYFUNCTION("IFNA(vlookup(H6634,IMPORTRANGE(""1vUGwO1n0QQGx9kKbO0_M5gmuhXZ6-LaxQxgrmJnzgP0"",""'TP# look up'!A:C""),3,0),"""")"),"")</f>
        <v/>
      </c>
      <c r="AH6634" s="49">
        <f>LEFT(J6634,2)</f>
        <v/>
      </c>
    </row>
    <row r="6635" ht="12.75" customHeight="1">
      <c r="H6635" s="43" t="n"/>
      <c r="AG6635" s="49">
        <f>IFERROR(__xludf.DUMMYFUNCTION("IFNA(vlookup(H6635,IMPORTRANGE(""1vUGwO1n0QQGx9kKbO0_M5gmuhXZ6-LaxQxgrmJnzgP0"",""'TP# look up'!A:C""),3,0),"""")"),"")</f>
        <v/>
      </c>
      <c r="AH6635" s="49">
        <f>LEFT(J6635,2)</f>
        <v/>
      </c>
    </row>
    <row r="6636" ht="12.75" customHeight="1">
      <c r="H6636" s="43" t="n"/>
      <c r="AG6636" s="49">
        <f>IFERROR(__xludf.DUMMYFUNCTION("IFNA(vlookup(H6636,IMPORTRANGE(""1vUGwO1n0QQGx9kKbO0_M5gmuhXZ6-LaxQxgrmJnzgP0"",""'TP# look up'!A:C""),3,0),"""")"),"")</f>
        <v/>
      </c>
      <c r="AH6636" s="49">
        <f>LEFT(J6636,2)</f>
        <v/>
      </c>
    </row>
    <row r="6637" ht="12.75" customHeight="1">
      <c r="H6637" s="43" t="n"/>
      <c r="AG6637" s="49">
        <f>IFERROR(__xludf.DUMMYFUNCTION("IFNA(vlookup(H6637,IMPORTRANGE(""1vUGwO1n0QQGx9kKbO0_M5gmuhXZ6-LaxQxgrmJnzgP0"",""'TP# look up'!A:C""),3,0),"""")"),"")</f>
        <v/>
      </c>
      <c r="AH6637" s="49">
        <f>LEFT(J6637,2)</f>
        <v/>
      </c>
    </row>
    <row r="6638" ht="12.75" customHeight="1">
      <c r="H6638" s="43" t="n"/>
      <c r="AG6638" s="49">
        <f>IFERROR(__xludf.DUMMYFUNCTION("IFNA(vlookup(H6638,IMPORTRANGE(""1vUGwO1n0QQGx9kKbO0_M5gmuhXZ6-LaxQxgrmJnzgP0"",""'TP# look up'!A:C""),3,0),"""")"),"")</f>
        <v/>
      </c>
      <c r="AH6638" s="49">
        <f>LEFT(J6638,2)</f>
        <v/>
      </c>
    </row>
    <row r="6639" ht="12.75" customHeight="1">
      <c r="H6639" s="43" t="n"/>
      <c r="AG6639" s="49">
        <f>IFERROR(__xludf.DUMMYFUNCTION("IFNA(vlookup(H6639,IMPORTRANGE(""1vUGwO1n0QQGx9kKbO0_M5gmuhXZ6-LaxQxgrmJnzgP0"",""'TP# look up'!A:C""),3,0),"""")"),"")</f>
        <v/>
      </c>
      <c r="AH6639" s="49">
        <f>LEFT(J6639,2)</f>
        <v/>
      </c>
    </row>
    <row r="6640" ht="12.75" customHeight="1">
      <c r="H6640" s="43" t="n"/>
      <c r="AG6640" s="49">
        <f>IFERROR(__xludf.DUMMYFUNCTION("IFNA(vlookup(H6640,IMPORTRANGE(""1vUGwO1n0QQGx9kKbO0_M5gmuhXZ6-LaxQxgrmJnzgP0"",""'TP# look up'!A:C""),3,0),"""")"),"")</f>
        <v/>
      </c>
      <c r="AH6640" s="49">
        <f>LEFT(J6640,2)</f>
        <v/>
      </c>
    </row>
    <row r="6641" ht="12.75" customHeight="1">
      <c r="H6641" s="43" t="n"/>
      <c r="AG6641" s="49">
        <f>IFERROR(__xludf.DUMMYFUNCTION("IFNA(vlookup(H6641,IMPORTRANGE(""1vUGwO1n0QQGx9kKbO0_M5gmuhXZ6-LaxQxgrmJnzgP0"",""'TP# look up'!A:C""),3,0),"""")"),"")</f>
        <v/>
      </c>
      <c r="AH6641" s="49">
        <f>LEFT(J6641,2)</f>
        <v/>
      </c>
    </row>
    <row r="6642" ht="12.75" customHeight="1">
      <c r="H6642" s="43" t="n"/>
      <c r="AG6642" s="49">
        <f>IFERROR(__xludf.DUMMYFUNCTION("IFNA(vlookup(H6642,IMPORTRANGE(""1vUGwO1n0QQGx9kKbO0_M5gmuhXZ6-LaxQxgrmJnzgP0"",""'TP# look up'!A:C""),3,0),"""")"),"")</f>
        <v/>
      </c>
      <c r="AH6642" s="49">
        <f>LEFT(J6642,2)</f>
        <v/>
      </c>
    </row>
    <row r="6643" ht="12.75" customHeight="1">
      <c r="H6643" s="43" t="n"/>
      <c r="AG6643" s="49">
        <f>IFERROR(__xludf.DUMMYFUNCTION("IFNA(vlookup(H6643,IMPORTRANGE(""1vUGwO1n0QQGx9kKbO0_M5gmuhXZ6-LaxQxgrmJnzgP0"",""'TP# look up'!A:C""),3,0),"""")"),"")</f>
        <v/>
      </c>
      <c r="AH6643" s="49">
        <f>LEFT(J6643,2)</f>
        <v/>
      </c>
    </row>
    <row r="6644" ht="12.75" customHeight="1">
      <c r="H6644" s="43" t="n"/>
      <c r="AG6644" s="49">
        <f>IFERROR(__xludf.DUMMYFUNCTION("IFNA(vlookup(H6644,IMPORTRANGE(""1vUGwO1n0QQGx9kKbO0_M5gmuhXZ6-LaxQxgrmJnzgP0"",""'TP# look up'!A:C""),3,0),"""")"),"")</f>
        <v/>
      </c>
      <c r="AH6644" s="49">
        <f>LEFT(J6644,2)</f>
        <v/>
      </c>
    </row>
    <row r="6645" ht="12.75" customHeight="1">
      <c r="H6645" s="43" t="n"/>
      <c r="AG6645" s="49">
        <f>IFERROR(__xludf.DUMMYFUNCTION("IFNA(vlookup(H6645,IMPORTRANGE(""1vUGwO1n0QQGx9kKbO0_M5gmuhXZ6-LaxQxgrmJnzgP0"",""'TP# look up'!A:C""),3,0),"""")"),"")</f>
        <v/>
      </c>
      <c r="AH6645" s="49">
        <f>LEFT(J6645,2)</f>
        <v/>
      </c>
    </row>
    <row r="6646" ht="12.75" customHeight="1">
      <c r="H6646" s="43" t="n"/>
      <c r="AG6646" s="49">
        <f>IFERROR(__xludf.DUMMYFUNCTION("IFNA(vlookup(H6646,IMPORTRANGE(""1vUGwO1n0QQGx9kKbO0_M5gmuhXZ6-LaxQxgrmJnzgP0"",""'TP# look up'!A:C""),3,0),"""")"),"")</f>
        <v/>
      </c>
      <c r="AH6646" s="49">
        <f>LEFT(J6646,2)</f>
        <v/>
      </c>
    </row>
    <row r="6647" ht="12.75" customHeight="1">
      <c r="H6647" s="43" t="n"/>
      <c r="AG6647" s="49">
        <f>IFERROR(__xludf.DUMMYFUNCTION("IFNA(vlookup(H6647,IMPORTRANGE(""1vUGwO1n0QQGx9kKbO0_M5gmuhXZ6-LaxQxgrmJnzgP0"",""'TP# look up'!A:C""),3,0),"""")"),"")</f>
        <v/>
      </c>
      <c r="AH6647" s="49">
        <f>LEFT(J6647,2)</f>
        <v/>
      </c>
    </row>
    <row r="6648" ht="12.75" customHeight="1">
      <c r="H6648" s="43" t="n"/>
      <c r="AG6648" s="49">
        <f>IFERROR(__xludf.DUMMYFUNCTION("IFNA(vlookup(H6648,IMPORTRANGE(""1vUGwO1n0QQGx9kKbO0_M5gmuhXZ6-LaxQxgrmJnzgP0"",""'TP# look up'!A:C""),3,0),"""")"),"")</f>
        <v/>
      </c>
      <c r="AH6648" s="49">
        <f>LEFT(J6648,2)</f>
        <v/>
      </c>
    </row>
    <row r="6649" ht="12.75" customHeight="1">
      <c r="H6649" s="43" t="n"/>
      <c r="AG6649" s="49">
        <f>IFERROR(__xludf.DUMMYFUNCTION("IFNA(vlookup(H6649,IMPORTRANGE(""1vUGwO1n0QQGx9kKbO0_M5gmuhXZ6-LaxQxgrmJnzgP0"",""'TP# look up'!A:C""),3,0),"""")"),"")</f>
        <v/>
      </c>
      <c r="AH6649" s="49">
        <f>LEFT(J6649,2)</f>
        <v/>
      </c>
    </row>
    <row r="6650" ht="12.75" customHeight="1">
      <c r="H6650" s="43" t="n"/>
      <c r="AG6650" s="49">
        <f>IFERROR(__xludf.DUMMYFUNCTION("IFNA(vlookup(H6650,IMPORTRANGE(""1vUGwO1n0QQGx9kKbO0_M5gmuhXZ6-LaxQxgrmJnzgP0"",""'TP# look up'!A:C""),3,0),"""")"),"")</f>
        <v/>
      </c>
      <c r="AH6650" s="49">
        <f>LEFT(J6650,2)</f>
        <v/>
      </c>
    </row>
    <row r="6651" ht="12.75" customHeight="1">
      <c r="H6651" s="43" t="n"/>
      <c r="AG6651" s="49">
        <f>IFERROR(__xludf.DUMMYFUNCTION("IFNA(vlookup(H6651,IMPORTRANGE(""1vUGwO1n0QQGx9kKbO0_M5gmuhXZ6-LaxQxgrmJnzgP0"",""'TP# look up'!A:C""),3,0),"""")"),"")</f>
        <v/>
      </c>
      <c r="AH6651" s="49">
        <f>LEFT(J6651,2)</f>
        <v/>
      </c>
    </row>
    <row r="6652" ht="12.75" customHeight="1">
      <c r="H6652" s="43" t="n"/>
      <c r="AG6652" s="49">
        <f>IFERROR(__xludf.DUMMYFUNCTION("IFNA(vlookup(H6652,IMPORTRANGE(""1vUGwO1n0QQGx9kKbO0_M5gmuhXZ6-LaxQxgrmJnzgP0"",""'TP# look up'!A:C""),3,0),"""")"),"")</f>
        <v/>
      </c>
      <c r="AH6652" s="49">
        <f>LEFT(J6652,2)</f>
        <v/>
      </c>
    </row>
    <row r="6653" ht="12.75" customHeight="1">
      <c r="H6653" s="43" t="n"/>
      <c r="AG6653" s="49">
        <f>IFERROR(__xludf.DUMMYFUNCTION("IFNA(vlookup(H6653,IMPORTRANGE(""1vUGwO1n0QQGx9kKbO0_M5gmuhXZ6-LaxQxgrmJnzgP0"",""'TP# look up'!A:C""),3,0),"""")"),"")</f>
        <v/>
      </c>
      <c r="AH6653" s="49">
        <f>LEFT(J6653,2)</f>
        <v/>
      </c>
    </row>
    <row r="6654" ht="12.75" customHeight="1">
      <c r="H6654" s="43" t="n"/>
      <c r="AG6654" s="49">
        <f>IFERROR(__xludf.DUMMYFUNCTION("IFNA(vlookup(H6654,IMPORTRANGE(""1vUGwO1n0QQGx9kKbO0_M5gmuhXZ6-LaxQxgrmJnzgP0"",""'TP# look up'!A:C""),3,0),"""")"),"")</f>
        <v/>
      </c>
      <c r="AH6654" s="49">
        <f>LEFT(J6654,2)</f>
        <v/>
      </c>
    </row>
    <row r="6655" ht="12.75" customHeight="1">
      <c r="H6655" s="43" t="n"/>
      <c r="AG6655" s="49">
        <f>IFERROR(__xludf.DUMMYFUNCTION("IFNA(vlookup(H6655,IMPORTRANGE(""1vUGwO1n0QQGx9kKbO0_M5gmuhXZ6-LaxQxgrmJnzgP0"",""'TP# look up'!A:C""),3,0),"""")"),"")</f>
        <v/>
      </c>
      <c r="AH6655" s="49">
        <f>LEFT(J6655,2)</f>
        <v/>
      </c>
    </row>
    <row r="6656" ht="12.75" customHeight="1">
      <c r="H6656" s="43" t="n"/>
      <c r="AG6656" s="49">
        <f>IFERROR(__xludf.DUMMYFUNCTION("IFNA(vlookup(H6656,IMPORTRANGE(""1vUGwO1n0QQGx9kKbO0_M5gmuhXZ6-LaxQxgrmJnzgP0"",""'TP# look up'!A:C""),3,0),"""")"),"")</f>
        <v/>
      </c>
      <c r="AH6656" s="49">
        <f>LEFT(J6656,2)</f>
        <v/>
      </c>
    </row>
    <row r="6657" ht="12.75" customHeight="1">
      <c r="H6657" s="43" t="n"/>
      <c r="AG6657" s="49">
        <f>IFERROR(__xludf.DUMMYFUNCTION("IFNA(vlookup(H6657,IMPORTRANGE(""1vUGwO1n0QQGx9kKbO0_M5gmuhXZ6-LaxQxgrmJnzgP0"",""'TP# look up'!A:C""),3,0),"""")"),"")</f>
        <v/>
      </c>
      <c r="AH6657" s="49">
        <f>LEFT(J6657,2)</f>
        <v/>
      </c>
    </row>
    <row r="6658" ht="12.75" customHeight="1">
      <c r="H6658" s="43" t="n"/>
      <c r="AG6658" s="49">
        <f>IFERROR(__xludf.DUMMYFUNCTION("IFNA(vlookup(H6658,IMPORTRANGE(""1vUGwO1n0QQGx9kKbO0_M5gmuhXZ6-LaxQxgrmJnzgP0"",""'TP# look up'!A:C""),3,0),"""")"),"")</f>
        <v/>
      </c>
      <c r="AH6658" s="49">
        <f>LEFT(J6658,2)</f>
        <v/>
      </c>
    </row>
    <row r="6659" ht="12.75" customHeight="1">
      <c r="H6659" s="43" t="n"/>
      <c r="AG6659" s="49">
        <f>IFERROR(__xludf.DUMMYFUNCTION("IFNA(vlookup(H6659,IMPORTRANGE(""1vUGwO1n0QQGx9kKbO0_M5gmuhXZ6-LaxQxgrmJnzgP0"",""'TP# look up'!A:C""),3,0),"""")"),"")</f>
        <v/>
      </c>
      <c r="AH6659" s="49">
        <f>LEFT(J6659,2)</f>
        <v/>
      </c>
    </row>
    <row r="6660" ht="12.75" customHeight="1">
      <c r="H6660" s="43" t="n"/>
      <c r="AG6660" s="49">
        <f>IFERROR(__xludf.DUMMYFUNCTION("IFNA(vlookup(H6660,IMPORTRANGE(""1vUGwO1n0QQGx9kKbO0_M5gmuhXZ6-LaxQxgrmJnzgP0"",""'TP# look up'!A:C""),3,0),"""")"),"")</f>
        <v/>
      </c>
      <c r="AH6660" s="49">
        <f>LEFT(J6660,2)</f>
        <v/>
      </c>
    </row>
    <row r="6661" ht="12.75" customHeight="1">
      <c r="H6661" s="43" t="n"/>
      <c r="AG6661" s="49">
        <f>IFERROR(__xludf.DUMMYFUNCTION("IFNA(vlookup(H6661,IMPORTRANGE(""1vUGwO1n0QQGx9kKbO0_M5gmuhXZ6-LaxQxgrmJnzgP0"",""'TP# look up'!A:C""),3,0),"""")"),"")</f>
        <v/>
      </c>
      <c r="AH6661" s="49">
        <f>LEFT(J6661,2)</f>
        <v/>
      </c>
    </row>
    <row r="6662" ht="12.75" customHeight="1">
      <c r="H6662" s="43" t="n"/>
      <c r="AG6662" s="49">
        <f>IFERROR(__xludf.DUMMYFUNCTION("IFNA(vlookup(H6662,IMPORTRANGE(""1vUGwO1n0QQGx9kKbO0_M5gmuhXZ6-LaxQxgrmJnzgP0"",""'TP# look up'!A:C""),3,0),"""")"),"")</f>
        <v/>
      </c>
      <c r="AH6662" s="49">
        <f>LEFT(J6662,2)</f>
        <v/>
      </c>
    </row>
    <row r="6663" ht="12.75" customHeight="1">
      <c r="H6663" s="43" t="n"/>
      <c r="AG6663" s="49">
        <f>IFERROR(__xludf.DUMMYFUNCTION("IFNA(vlookup(H6663,IMPORTRANGE(""1vUGwO1n0QQGx9kKbO0_M5gmuhXZ6-LaxQxgrmJnzgP0"",""'TP# look up'!A:C""),3,0),"""")"),"")</f>
        <v/>
      </c>
      <c r="AH6663" s="49">
        <f>LEFT(J6663,2)</f>
        <v/>
      </c>
    </row>
    <row r="6664" ht="12.75" customHeight="1">
      <c r="H6664" s="43" t="n"/>
      <c r="AG6664" s="49">
        <f>IFERROR(__xludf.DUMMYFUNCTION("IFNA(vlookup(H6664,IMPORTRANGE(""1vUGwO1n0QQGx9kKbO0_M5gmuhXZ6-LaxQxgrmJnzgP0"",""'TP# look up'!A:C""),3,0),"""")"),"")</f>
        <v/>
      </c>
      <c r="AH6664" s="49">
        <f>LEFT(J6664,2)</f>
        <v/>
      </c>
    </row>
    <row r="6665" ht="12.75" customHeight="1">
      <c r="H6665" s="43" t="n"/>
      <c r="AG6665" s="49">
        <f>IFERROR(__xludf.DUMMYFUNCTION("IFNA(vlookup(H6665,IMPORTRANGE(""1vUGwO1n0QQGx9kKbO0_M5gmuhXZ6-LaxQxgrmJnzgP0"",""'TP# look up'!A:C""),3,0),"""")"),"")</f>
        <v/>
      </c>
      <c r="AH6665" s="49">
        <f>LEFT(J6665,2)</f>
        <v/>
      </c>
    </row>
    <row r="6666" ht="12.75" customHeight="1">
      <c r="H6666" s="43" t="n"/>
      <c r="AG6666" s="49">
        <f>IFERROR(__xludf.DUMMYFUNCTION("IFNA(vlookup(H6666,IMPORTRANGE(""1vUGwO1n0QQGx9kKbO0_M5gmuhXZ6-LaxQxgrmJnzgP0"",""'TP# look up'!A:C""),3,0),"""")"),"")</f>
        <v/>
      </c>
      <c r="AH6666" s="49">
        <f>LEFT(J6666,2)</f>
        <v/>
      </c>
    </row>
    <row r="6667" ht="12.75" customHeight="1">
      <c r="H6667" s="43" t="n"/>
      <c r="AG6667" s="49">
        <f>IFERROR(__xludf.DUMMYFUNCTION("IFNA(vlookup(H6667,IMPORTRANGE(""1vUGwO1n0QQGx9kKbO0_M5gmuhXZ6-LaxQxgrmJnzgP0"",""'TP# look up'!A:C""),3,0),"""")"),"")</f>
        <v/>
      </c>
      <c r="AH6667" s="49">
        <f>LEFT(J6667,2)</f>
        <v/>
      </c>
    </row>
    <row r="6668" ht="12.75" customHeight="1">
      <c r="H6668" s="43" t="n"/>
      <c r="AG6668" s="49">
        <f>IFERROR(__xludf.DUMMYFUNCTION("IFNA(vlookup(H6668,IMPORTRANGE(""1vUGwO1n0QQGx9kKbO0_M5gmuhXZ6-LaxQxgrmJnzgP0"",""'TP# look up'!A:C""),3,0),"""")"),"")</f>
        <v/>
      </c>
      <c r="AH6668" s="49">
        <f>LEFT(J6668,2)</f>
        <v/>
      </c>
    </row>
    <row r="6669" ht="12.75" customHeight="1">
      <c r="H6669" s="43" t="n"/>
      <c r="AG6669" s="49">
        <f>IFERROR(__xludf.DUMMYFUNCTION("IFNA(vlookup(H6669,IMPORTRANGE(""1vUGwO1n0QQGx9kKbO0_M5gmuhXZ6-LaxQxgrmJnzgP0"",""'TP# look up'!A:C""),3,0),"""")"),"")</f>
        <v/>
      </c>
      <c r="AH6669" s="49">
        <f>LEFT(J6669,2)</f>
        <v/>
      </c>
    </row>
    <row r="6670" ht="12.75" customHeight="1">
      <c r="H6670" s="43" t="n"/>
      <c r="AG6670" s="49">
        <f>IFERROR(__xludf.DUMMYFUNCTION("IFNA(vlookup(H6670,IMPORTRANGE(""1vUGwO1n0QQGx9kKbO0_M5gmuhXZ6-LaxQxgrmJnzgP0"",""'TP# look up'!A:C""),3,0),"""")"),"")</f>
        <v/>
      </c>
      <c r="AH6670" s="49">
        <f>LEFT(J6670,2)</f>
        <v/>
      </c>
    </row>
    <row r="6671" ht="12.75" customHeight="1">
      <c r="H6671" s="43" t="n"/>
      <c r="AG6671" s="49">
        <f>IFERROR(__xludf.DUMMYFUNCTION("IFNA(vlookup(H6671,IMPORTRANGE(""1vUGwO1n0QQGx9kKbO0_M5gmuhXZ6-LaxQxgrmJnzgP0"",""'TP# look up'!A:C""),3,0),"""")"),"")</f>
        <v/>
      </c>
      <c r="AH6671" s="49">
        <f>LEFT(J6671,2)</f>
        <v/>
      </c>
    </row>
    <row r="6672" ht="12.75" customHeight="1">
      <c r="H6672" s="43" t="n"/>
      <c r="AG6672" s="49">
        <f>IFERROR(__xludf.DUMMYFUNCTION("IFNA(vlookup(H6672,IMPORTRANGE(""1vUGwO1n0QQGx9kKbO0_M5gmuhXZ6-LaxQxgrmJnzgP0"",""'TP# look up'!A:C""),3,0),"""")"),"")</f>
        <v/>
      </c>
      <c r="AH6672" s="49">
        <f>LEFT(J6672,2)</f>
        <v/>
      </c>
    </row>
    <row r="6673" ht="12.75" customHeight="1">
      <c r="H6673" s="43" t="n"/>
      <c r="AG6673" s="49">
        <f>IFERROR(__xludf.DUMMYFUNCTION("IFNA(vlookup(H6673,IMPORTRANGE(""1vUGwO1n0QQGx9kKbO0_M5gmuhXZ6-LaxQxgrmJnzgP0"",""'TP# look up'!A:C""),3,0),"""")"),"")</f>
        <v/>
      </c>
      <c r="AH6673" s="49">
        <f>LEFT(J6673,2)</f>
        <v/>
      </c>
    </row>
    <row r="6674" ht="12.75" customHeight="1">
      <c r="H6674" s="43" t="n"/>
      <c r="AG6674" s="49">
        <f>IFERROR(__xludf.DUMMYFUNCTION("IFNA(vlookup(H6674,IMPORTRANGE(""1vUGwO1n0QQGx9kKbO0_M5gmuhXZ6-LaxQxgrmJnzgP0"",""'TP# look up'!A:C""),3,0),"""")"),"")</f>
        <v/>
      </c>
      <c r="AH6674" s="49">
        <f>LEFT(J6674,2)</f>
        <v/>
      </c>
    </row>
    <row r="6675" ht="12.75" customHeight="1">
      <c r="H6675" s="43" t="n"/>
      <c r="AG6675" s="49">
        <f>IFERROR(__xludf.DUMMYFUNCTION("IFNA(vlookup(H6675,IMPORTRANGE(""1vUGwO1n0QQGx9kKbO0_M5gmuhXZ6-LaxQxgrmJnzgP0"",""'TP# look up'!A:C""),3,0),"""")"),"")</f>
        <v/>
      </c>
      <c r="AH6675" s="49">
        <f>LEFT(J6675,2)</f>
        <v/>
      </c>
    </row>
    <row r="6676" ht="12.75" customHeight="1">
      <c r="H6676" s="43" t="n"/>
      <c r="AG6676" s="49">
        <f>IFERROR(__xludf.DUMMYFUNCTION("IFNA(vlookup(H6676,IMPORTRANGE(""1vUGwO1n0QQGx9kKbO0_M5gmuhXZ6-LaxQxgrmJnzgP0"",""'TP# look up'!A:C""),3,0),"""")"),"")</f>
        <v/>
      </c>
      <c r="AH6676" s="49">
        <f>LEFT(J6676,2)</f>
        <v/>
      </c>
    </row>
    <row r="6677" ht="12.75" customHeight="1">
      <c r="H6677" s="43" t="n"/>
      <c r="AG6677" s="49">
        <f>IFERROR(__xludf.DUMMYFUNCTION("IFNA(vlookup(H6677,IMPORTRANGE(""1vUGwO1n0QQGx9kKbO0_M5gmuhXZ6-LaxQxgrmJnzgP0"",""'TP# look up'!A:C""),3,0),"""")"),"")</f>
        <v/>
      </c>
      <c r="AH6677" s="49">
        <f>LEFT(J6677,2)</f>
        <v/>
      </c>
    </row>
    <row r="6678" ht="12.75" customHeight="1">
      <c r="H6678" s="43" t="n"/>
      <c r="AG6678" s="49">
        <f>IFERROR(__xludf.DUMMYFUNCTION("IFNA(vlookup(H6678,IMPORTRANGE(""1vUGwO1n0QQGx9kKbO0_M5gmuhXZ6-LaxQxgrmJnzgP0"",""'TP# look up'!A:C""),3,0),"""")"),"")</f>
        <v/>
      </c>
      <c r="AH6678" s="49">
        <f>LEFT(J6678,2)</f>
        <v/>
      </c>
    </row>
    <row r="6679" ht="12.75" customHeight="1">
      <c r="H6679" s="43" t="n"/>
      <c r="AG6679" s="49">
        <f>IFERROR(__xludf.DUMMYFUNCTION("IFNA(vlookup(H6679,IMPORTRANGE(""1vUGwO1n0QQGx9kKbO0_M5gmuhXZ6-LaxQxgrmJnzgP0"",""'TP# look up'!A:C""),3,0),"""")"),"")</f>
        <v/>
      </c>
      <c r="AH6679" s="49">
        <f>LEFT(J6679,2)</f>
        <v/>
      </c>
    </row>
    <row r="6680" ht="12.75" customHeight="1">
      <c r="H6680" s="43" t="n"/>
      <c r="AG6680" s="49">
        <f>IFERROR(__xludf.DUMMYFUNCTION("IFNA(vlookup(H6680,IMPORTRANGE(""1vUGwO1n0QQGx9kKbO0_M5gmuhXZ6-LaxQxgrmJnzgP0"",""'TP# look up'!A:C""),3,0),"""")"),"")</f>
        <v/>
      </c>
      <c r="AH6680" s="49">
        <f>LEFT(J6680,2)</f>
        <v/>
      </c>
    </row>
    <row r="6681" ht="12.75" customHeight="1">
      <c r="H6681" s="43" t="n"/>
      <c r="AG6681" s="49">
        <f>IFERROR(__xludf.DUMMYFUNCTION("IFNA(vlookup(H6681,IMPORTRANGE(""1vUGwO1n0QQGx9kKbO0_M5gmuhXZ6-LaxQxgrmJnzgP0"",""'TP# look up'!A:C""),3,0),"""")"),"")</f>
        <v/>
      </c>
      <c r="AH6681" s="49">
        <f>LEFT(J6681,2)</f>
        <v/>
      </c>
    </row>
    <row r="6682" ht="12.75" customHeight="1">
      <c r="H6682" s="43" t="n"/>
      <c r="AG6682" s="49">
        <f>IFERROR(__xludf.DUMMYFUNCTION("IFNA(vlookup(H6682,IMPORTRANGE(""1vUGwO1n0QQGx9kKbO0_M5gmuhXZ6-LaxQxgrmJnzgP0"",""'TP# look up'!A:C""),3,0),"""")"),"")</f>
        <v/>
      </c>
      <c r="AH6682" s="49">
        <f>LEFT(J6682,2)</f>
        <v/>
      </c>
    </row>
    <row r="6683" ht="12.75" customHeight="1">
      <c r="H6683" s="43" t="n"/>
      <c r="AG6683" s="49">
        <f>IFERROR(__xludf.DUMMYFUNCTION("IFNA(vlookup(H6683,IMPORTRANGE(""1vUGwO1n0QQGx9kKbO0_M5gmuhXZ6-LaxQxgrmJnzgP0"",""'TP# look up'!A:C""),3,0),"""")"),"")</f>
        <v/>
      </c>
      <c r="AH6683" s="49">
        <f>LEFT(J6683,2)</f>
        <v/>
      </c>
    </row>
    <row r="6684" ht="12.75" customHeight="1">
      <c r="H6684" s="43" t="n"/>
      <c r="AG6684" s="49">
        <f>IFERROR(__xludf.DUMMYFUNCTION("IFNA(vlookup(H6684,IMPORTRANGE(""1vUGwO1n0QQGx9kKbO0_M5gmuhXZ6-LaxQxgrmJnzgP0"",""'TP# look up'!A:C""),3,0),"""")"),"")</f>
        <v/>
      </c>
      <c r="AH6684" s="49">
        <f>LEFT(J6684,2)</f>
        <v/>
      </c>
    </row>
    <row r="6685" ht="12.75" customHeight="1">
      <c r="H6685" s="43" t="n"/>
      <c r="AG6685" s="49">
        <f>IFERROR(__xludf.DUMMYFUNCTION("IFNA(vlookup(H6685,IMPORTRANGE(""1vUGwO1n0QQGx9kKbO0_M5gmuhXZ6-LaxQxgrmJnzgP0"",""'TP# look up'!A:C""),3,0),"""")"),"")</f>
        <v/>
      </c>
      <c r="AH6685" s="49">
        <f>LEFT(J6685,2)</f>
        <v/>
      </c>
    </row>
    <row r="6686" ht="12.75" customHeight="1">
      <c r="H6686" s="43" t="n"/>
      <c r="AG6686" s="49">
        <f>IFERROR(__xludf.DUMMYFUNCTION("IFNA(vlookup(H6686,IMPORTRANGE(""1vUGwO1n0QQGx9kKbO0_M5gmuhXZ6-LaxQxgrmJnzgP0"",""'TP# look up'!A:C""),3,0),"""")"),"")</f>
        <v/>
      </c>
      <c r="AH6686" s="49">
        <f>LEFT(J6686,2)</f>
        <v/>
      </c>
    </row>
    <row r="6687" ht="12.75" customHeight="1">
      <c r="H6687" s="43" t="n"/>
      <c r="AG6687" s="49">
        <f>IFERROR(__xludf.DUMMYFUNCTION("IFNA(vlookup(H6687,IMPORTRANGE(""1vUGwO1n0QQGx9kKbO0_M5gmuhXZ6-LaxQxgrmJnzgP0"",""'TP# look up'!A:C""),3,0),"""")"),"")</f>
        <v/>
      </c>
      <c r="AH6687" s="49">
        <f>LEFT(J6687,2)</f>
        <v/>
      </c>
    </row>
    <row r="6688" ht="12.75" customHeight="1">
      <c r="H6688" s="43" t="n"/>
      <c r="AG6688" s="49">
        <f>IFERROR(__xludf.DUMMYFUNCTION("IFNA(vlookup(H6688,IMPORTRANGE(""1vUGwO1n0QQGx9kKbO0_M5gmuhXZ6-LaxQxgrmJnzgP0"",""'TP# look up'!A:C""),3,0),"""")"),"")</f>
        <v/>
      </c>
      <c r="AH6688" s="49">
        <f>LEFT(J6688,2)</f>
        <v/>
      </c>
    </row>
    <row r="6689" ht="12.75" customHeight="1">
      <c r="H6689" s="43" t="n"/>
      <c r="AG6689" s="49">
        <f>IFERROR(__xludf.DUMMYFUNCTION("IFNA(vlookup(H6689,IMPORTRANGE(""1vUGwO1n0QQGx9kKbO0_M5gmuhXZ6-LaxQxgrmJnzgP0"",""'TP# look up'!A:C""),3,0),"""")"),"")</f>
        <v/>
      </c>
      <c r="AH6689" s="49">
        <f>LEFT(J6689,2)</f>
        <v/>
      </c>
    </row>
    <row r="6690" ht="12.75" customHeight="1">
      <c r="H6690" s="43" t="n"/>
      <c r="AG6690" s="49">
        <f>IFERROR(__xludf.DUMMYFUNCTION("IFNA(vlookup(H6690,IMPORTRANGE(""1vUGwO1n0QQGx9kKbO0_M5gmuhXZ6-LaxQxgrmJnzgP0"",""'TP# look up'!A:C""),3,0),"""")"),"")</f>
        <v/>
      </c>
      <c r="AH6690" s="49">
        <f>LEFT(J6690,2)</f>
        <v/>
      </c>
    </row>
    <row r="6691" ht="12.75" customHeight="1">
      <c r="H6691" s="43" t="n"/>
      <c r="AG6691" s="49">
        <f>IFERROR(__xludf.DUMMYFUNCTION("IFNA(vlookup(H6691,IMPORTRANGE(""1vUGwO1n0QQGx9kKbO0_M5gmuhXZ6-LaxQxgrmJnzgP0"",""'TP# look up'!A:C""),3,0),"""")"),"")</f>
        <v/>
      </c>
      <c r="AH6691" s="49">
        <f>LEFT(J6691,2)</f>
        <v/>
      </c>
    </row>
    <row r="6692" ht="12.75" customHeight="1">
      <c r="H6692" s="43" t="n"/>
      <c r="AG6692" s="49">
        <f>IFERROR(__xludf.DUMMYFUNCTION("IFNA(vlookup(H6692,IMPORTRANGE(""1vUGwO1n0QQGx9kKbO0_M5gmuhXZ6-LaxQxgrmJnzgP0"",""'TP# look up'!A:C""),3,0),"""")"),"")</f>
        <v/>
      </c>
      <c r="AH6692" s="49">
        <f>LEFT(J6692,2)</f>
        <v/>
      </c>
    </row>
    <row r="6693" ht="12.75" customHeight="1">
      <c r="H6693" s="43" t="n"/>
      <c r="AG6693" s="49">
        <f>IFERROR(__xludf.DUMMYFUNCTION("IFNA(vlookup(H6693,IMPORTRANGE(""1vUGwO1n0QQGx9kKbO0_M5gmuhXZ6-LaxQxgrmJnzgP0"",""'TP# look up'!A:C""),3,0),"""")"),"")</f>
        <v/>
      </c>
      <c r="AH6693" s="49">
        <f>LEFT(J6693,2)</f>
        <v/>
      </c>
    </row>
    <row r="6694" ht="12.75" customHeight="1">
      <c r="H6694" s="43" t="n"/>
      <c r="AG6694" s="49">
        <f>IFERROR(__xludf.DUMMYFUNCTION("IFNA(vlookup(H6694,IMPORTRANGE(""1vUGwO1n0QQGx9kKbO0_M5gmuhXZ6-LaxQxgrmJnzgP0"",""'TP# look up'!A:C""),3,0),"""")"),"")</f>
        <v/>
      </c>
      <c r="AH6694" s="49">
        <f>LEFT(J6694,2)</f>
        <v/>
      </c>
    </row>
    <row r="6695" ht="12.75" customHeight="1">
      <c r="H6695" s="43" t="n"/>
      <c r="AG6695" s="49">
        <f>IFERROR(__xludf.DUMMYFUNCTION("IFNA(vlookup(H6695,IMPORTRANGE(""1vUGwO1n0QQGx9kKbO0_M5gmuhXZ6-LaxQxgrmJnzgP0"",""'TP# look up'!A:C""),3,0),"""")"),"")</f>
        <v/>
      </c>
      <c r="AH6695" s="49">
        <f>LEFT(J6695,2)</f>
        <v/>
      </c>
    </row>
    <row r="6696" ht="12.75" customHeight="1">
      <c r="H6696" s="43" t="n"/>
      <c r="AG6696" s="49">
        <f>IFERROR(__xludf.DUMMYFUNCTION("IFNA(vlookup(H6696,IMPORTRANGE(""1vUGwO1n0QQGx9kKbO0_M5gmuhXZ6-LaxQxgrmJnzgP0"",""'TP# look up'!A:C""),3,0),"""")"),"")</f>
        <v/>
      </c>
      <c r="AH6696" s="49">
        <f>LEFT(J6696,2)</f>
        <v/>
      </c>
    </row>
    <row r="6697" ht="12.75" customHeight="1">
      <c r="H6697" s="43" t="n"/>
      <c r="AG6697" s="49">
        <f>IFERROR(__xludf.DUMMYFUNCTION("IFNA(vlookup(H6697,IMPORTRANGE(""1vUGwO1n0QQGx9kKbO0_M5gmuhXZ6-LaxQxgrmJnzgP0"",""'TP# look up'!A:C""),3,0),"""")"),"")</f>
        <v/>
      </c>
      <c r="AH6697" s="49">
        <f>LEFT(J6697,2)</f>
        <v/>
      </c>
    </row>
    <row r="6698" ht="12.75" customHeight="1">
      <c r="H6698" s="43" t="n"/>
      <c r="AG6698" s="49">
        <f>IFERROR(__xludf.DUMMYFUNCTION("IFNA(vlookup(H6698,IMPORTRANGE(""1vUGwO1n0QQGx9kKbO0_M5gmuhXZ6-LaxQxgrmJnzgP0"",""'TP# look up'!A:C""),3,0),"""")"),"")</f>
        <v/>
      </c>
      <c r="AH6698" s="49">
        <f>LEFT(J6698,2)</f>
        <v/>
      </c>
    </row>
    <row r="6699" ht="12.75" customHeight="1">
      <c r="H6699" s="43" t="n"/>
      <c r="AG6699" s="49">
        <f>IFERROR(__xludf.DUMMYFUNCTION("IFNA(vlookup(H6699,IMPORTRANGE(""1vUGwO1n0QQGx9kKbO0_M5gmuhXZ6-LaxQxgrmJnzgP0"",""'TP# look up'!A:C""),3,0),"""")"),"")</f>
        <v/>
      </c>
      <c r="AH6699" s="49">
        <f>LEFT(J6699,2)</f>
        <v/>
      </c>
    </row>
    <row r="6700" ht="12.75" customHeight="1">
      <c r="H6700" s="43" t="n"/>
      <c r="AG6700" s="49">
        <f>IFERROR(__xludf.DUMMYFUNCTION("IFNA(vlookup(H6700,IMPORTRANGE(""1vUGwO1n0QQGx9kKbO0_M5gmuhXZ6-LaxQxgrmJnzgP0"",""'TP# look up'!A:C""),3,0),"""")"),"")</f>
        <v/>
      </c>
      <c r="AH6700" s="49">
        <f>LEFT(J6700,2)</f>
        <v/>
      </c>
    </row>
    <row r="6701" ht="12.75" customHeight="1">
      <c r="H6701" s="43" t="n"/>
      <c r="AG6701" s="49">
        <f>IFERROR(__xludf.DUMMYFUNCTION("IFNA(vlookup(H6701,IMPORTRANGE(""1vUGwO1n0QQGx9kKbO0_M5gmuhXZ6-LaxQxgrmJnzgP0"",""'TP# look up'!A:C""),3,0),"""")"),"")</f>
        <v/>
      </c>
      <c r="AH6701" s="49">
        <f>LEFT(J6701,2)</f>
        <v/>
      </c>
    </row>
    <row r="6702" ht="12.75" customHeight="1">
      <c r="H6702" s="43" t="n"/>
      <c r="AG6702" s="49">
        <f>IFERROR(__xludf.DUMMYFUNCTION("IFNA(vlookup(H6702,IMPORTRANGE(""1vUGwO1n0QQGx9kKbO0_M5gmuhXZ6-LaxQxgrmJnzgP0"",""'TP# look up'!A:C""),3,0),"""")"),"")</f>
        <v/>
      </c>
      <c r="AH6702" s="49">
        <f>LEFT(J6702,2)</f>
        <v/>
      </c>
    </row>
    <row r="6703" ht="12.75" customHeight="1">
      <c r="H6703" s="43" t="n"/>
      <c r="AG6703" s="49">
        <f>IFERROR(__xludf.DUMMYFUNCTION("IFNA(vlookup(H6703,IMPORTRANGE(""1vUGwO1n0QQGx9kKbO0_M5gmuhXZ6-LaxQxgrmJnzgP0"",""'TP# look up'!A:C""),3,0),"""")"),"")</f>
        <v/>
      </c>
      <c r="AH6703" s="49">
        <f>LEFT(J6703,2)</f>
        <v/>
      </c>
    </row>
    <row r="6704" ht="12.75" customHeight="1">
      <c r="H6704" s="43" t="n"/>
      <c r="AG6704" s="49">
        <f>IFERROR(__xludf.DUMMYFUNCTION("IFNA(vlookup(H6704,IMPORTRANGE(""1vUGwO1n0QQGx9kKbO0_M5gmuhXZ6-LaxQxgrmJnzgP0"",""'TP# look up'!A:C""),3,0),"""")"),"")</f>
        <v/>
      </c>
      <c r="AH6704" s="49">
        <f>LEFT(J6704,2)</f>
        <v/>
      </c>
    </row>
    <row r="6705" ht="12.75" customHeight="1">
      <c r="H6705" s="43" t="n"/>
      <c r="AG6705" s="49">
        <f>IFERROR(__xludf.DUMMYFUNCTION("IFNA(vlookup(H6705,IMPORTRANGE(""1vUGwO1n0QQGx9kKbO0_M5gmuhXZ6-LaxQxgrmJnzgP0"",""'TP# look up'!A:C""),3,0),"""")"),"")</f>
        <v/>
      </c>
      <c r="AH6705" s="49">
        <f>LEFT(J6705,2)</f>
        <v/>
      </c>
    </row>
    <row r="6706" ht="12.75" customHeight="1">
      <c r="H6706" s="43" t="n"/>
      <c r="AG6706" s="49">
        <f>IFERROR(__xludf.DUMMYFUNCTION("IFNA(vlookup(H6706,IMPORTRANGE(""1vUGwO1n0QQGx9kKbO0_M5gmuhXZ6-LaxQxgrmJnzgP0"",""'TP# look up'!A:C""),3,0),"""")"),"")</f>
        <v/>
      </c>
      <c r="AH6706" s="49">
        <f>LEFT(J6706,2)</f>
        <v/>
      </c>
    </row>
    <row r="6707" ht="12.75" customHeight="1">
      <c r="H6707" s="43" t="n"/>
      <c r="AG6707" s="49">
        <f>IFERROR(__xludf.DUMMYFUNCTION("IFNA(vlookup(H6707,IMPORTRANGE(""1vUGwO1n0QQGx9kKbO0_M5gmuhXZ6-LaxQxgrmJnzgP0"",""'TP# look up'!A:C""),3,0),"""")"),"")</f>
        <v/>
      </c>
      <c r="AH6707" s="49">
        <f>LEFT(J6707,2)</f>
        <v/>
      </c>
    </row>
    <row r="6708" ht="12.75" customHeight="1">
      <c r="H6708" s="43" t="n"/>
      <c r="AG6708" s="49">
        <f>IFERROR(__xludf.DUMMYFUNCTION("IFNA(vlookup(H6708,IMPORTRANGE(""1vUGwO1n0QQGx9kKbO0_M5gmuhXZ6-LaxQxgrmJnzgP0"",""'TP# look up'!A:C""),3,0),"""")"),"")</f>
        <v/>
      </c>
      <c r="AH6708" s="49">
        <f>LEFT(J6708,2)</f>
        <v/>
      </c>
    </row>
    <row r="6709" ht="12.75" customHeight="1">
      <c r="H6709" s="43" t="n"/>
      <c r="AG6709" s="49">
        <f>IFERROR(__xludf.DUMMYFUNCTION("IFNA(vlookup(H6709,IMPORTRANGE(""1vUGwO1n0QQGx9kKbO0_M5gmuhXZ6-LaxQxgrmJnzgP0"",""'TP# look up'!A:C""),3,0),"""")"),"")</f>
        <v/>
      </c>
      <c r="AH6709" s="49">
        <f>LEFT(J6709,2)</f>
        <v/>
      </c>
    </row>
    <row r="6710" ht="12.75" customHeight="1">
      <c r="H6710" s="43" t="n"/>
      <c r="AG6710" s="49">
        <f>IFERROR(__xludf.DUMMYFUNCTION("IFNA(vlookup(H6710,IMPORTRANGE(""1vUGwO1n0QQGx9kKbO0_M5gmuhXZ6-LaxQxgrmJnzgP0"",""'TP# look up'!A:C""),3,0),"""")"),"")</f>
        <v/>
      </c>
      <c r="AH6710" s="49">
        <f>LEFT(J6710,2)</f>
        <v/>
      </c>
    </row>
    <row r="6711" ht="12.75" customHeight="1">
      <c r="H6711" s="43" t="n"/>
      <c r="AG6711" s="49">
        <f>IFERROR(__xludf.DUMMYFUNCTION("IFNA(vlookup(H6711,IMPORTRANGE(""1vUGwO1n0QQGx9kKbO0_M5gmuhXZ6-LaxQxgrmJnzgP0"",""'TP# look up'!A:C""),3,0),"""")"),"")</f>
        <v/>
      </c>
      <c r="AH6711" s="49">
        <f>LEFT(J6711,2)</f>
        <v/>
      </c>
    </row>
    <row r="6712" ht="12.75" customHeight="1">
      <c r="H6712" s="43" t="n"/>
      <c r="AG6712" s="49">
        <f>IFERROR(__xludf.DUMMYFUNCTION("IFNA(vlookup(H6712,IMPORTRANGE(""1vUGwO1n0QQGx9kKbO0_M5gmuhXZ6-LaxQxgrmJnzgP0"",""'TP# look up'!A:C""),3,0),"""")"),"")</f>
        <v/>
      </c>
      <c r="AH6712" s="49">
        <f>LEFT(J6712,2)</f>
        <v/>
      </c>
    </row>
    <row r="6713" ht="12.75" customHeight="1">
      <c r="H6713" s="43" t="n"/>
      <c r="AG6713" s="49">
        <f>IFERROR(__xludf.DUMMYFUNCTION("IFNA(vlookup(H6713,IMPORTRANGE(""1vUGwO1n0QQGx9kKbO0_M5gmuhXZ6-LaxQxgrmJnzgP0"",""'TP# look up'!A:C""),3,0),"""")"),"")</f>
        <v/>
      </c>
      <c r="AH6713" s="49">
        <f>LEFT(J6713,2)</f>
        <v/>
      </c>
    </row>
    <row r="6714" ht="12.75" customHeight="1">
      <c r="H6714" s="43" t="n"/>
      <c r="AG6714" s="49">
        <f>IFERROR(__xludf.DUMMYFUNCTION("IFNA(vlookup(H6714,IMPORTRANGE(""1vUGwO1n0QQGx9kKbO0_M5gmuhXZ6-LaxQxgrmJnzgP0"",""'TP# look up'!A:C""),3,0),"""")"),"")</f>
        <v/>
      </c>
      <c r="AH6714" s="49">
        <f>LEFT(J6714,2)</f>
        <v/>
      </c>
    </row>
    <row r="6715" ht="12.75" customHeight="1">
      <c r="H6715" s="43" t="n"/>
      <c r="AG6715" s="49">
        <f>IFERROR(__xludf.DUMMYFUNCTION("IFNA(vlookup(H6715,IMPORTRANGE(""1vUGwO1n0QQGx9kKbO0_M5gmuhXZ6-LaxQxgrmJnzgP0"",""'TP# look up'!A:C""),3,0),"""")"),"")</f>
        <v/>
      </c>
      <c r="AH6715" s="49">
        <f>LEFT(J6715,2)</f>
        <v/>
      </c>
    </row>
    <row r="6716" ht="12.75" customHeight="1">
      <c r="H6716" s="43" t="n"/>
      <c r="AG6716" s="49">
        <f>IFERROR(__xludf.DUMMYFUNCTION("IFNA(vlookup(H6716,IMPORTRANGE(""1vUGwO1n0QQGx9kKbO0_M5gmuhXZ6-LaxQxgrmJnzgP0"",""'TP# look up'!A:C""),3,0),"""")"),"")</f>
        <v/>
      </c>
      <c r="AH6716" s="49">
        <f>LEFT(J6716,2)</f>
        <v/>
      </c>
    </row>
    <row r="6717" ht="12.75" customHeight="1">
      <c r="H6717" s="43" t="n"/>
      <c r="AG6717" s="49">
        <f>IFERROR(__xludf.DUMMYFUNCTION("IFNA(vlookup(H6717,IMPORTRANGE(""1vUGwO1n0QQGx9kKbO0_M5gmuhXZ6-LaxQxgrmJnzgP0"",""'TP# look up'!A:C""),3,0),"""")"),"")</f>
        <v/>
      </c>
      <c r="AH6717" s="49">
        <f>LEFT(J6717,2)</f>
        <v/>
      </c>
    </row>
    <row r="6718" ht="12.75" customHeight="1">
      <c r="H6718" s="43" t="n"/>
      <c r="AG6718" s="49">
        <f>IFERROR(__xludf.DUMMYFUNCTION("IFNA(vlookup(H6718,IMPORTRANGE(""1vUGwO1n0QQGx9kKbO0_M5gmuhXZ6-LaxQxgrmJnzgP0"",""'TP# look up'!A:C""),3,0),"""")"),"")</f>
        <v/>
      </c>
      <c r="AH6718" s="49">
        <f>LEFT(J6718,2)</f>
        <v/>
      </c>
    </row>
    <row r="6719" ht="12.75" customHeight="1">
      <c r="H6719" s="43" t="n"/>
      <c r="AG6719" s="49">
        <f>IFERROR(__xludf.DUMMYFUNCTION("IFNA(vlookup(H6719,IMPORTRANGE(""1vUGwO1n0QQGx9kKbO0_M5gmuhXZ6-LaxQxgrmJnzgP0"",""'TP# look up'!A:C""),3,0),"""")"),"")</f>
        <v/>
      </c>
      <c r="AH6719" s="49">
        <f>LEFT(J6719,2)</f>
        <v/>
      </c>
    </row>
    <row r="6720" ht="12.75" customHeight="1">
      <c r="H6720" s="43" t="n"/>
      <c r="AG6720" s="49">
        <f>IFERROR(__xludf.DUMMYFUNCTION("IFNA(vlookup(H6720,IMPORTRANGE(""1vUGwO1n0QQGx9kKbO0_M5gmuhXZ6-LaxQxgrmJnzgP0"",""'TP# look up'!A:C""),3,0),"""")"),"")</f>
        <v/>
      </c>
      <c r="AH6720" s="49">
        <f>LEFT(J6720,2)</f>
        <v/>
      </c>
    </row>
    <row r="6721" ht="12.75" customHeight="1">
      <c r="H6721" s="43" t="n"/>
      <c r="AG6721" s="49">
        <f>IFERROR(__xludf.DUMMYFUNCTION("IFNA(vlookup(H6721,IMPORTRANGE(""1vUGwO1n0QQGx9kKbO0_M5gmuhXZ6-LaxQxgrmJnzgP0"",""'TP# look up'!A:C""),3,0),"""")"),"")</f>
        <v/>
      </c>
      <c r="AH6721" s="49">
        <f>LEFT(J6721,2)</f>
        <v/>
      </c>
    </row>
    <row r="6722" ht="12.75" customHeight="1">
      <c r="H6722" s="43" t="n"/>
      <c r="AG6722" s="49">
        <f>IFERROR(__xludf.DUMMYFUNCTION("IFNA(vlookup(H6722,IMPORTRANGE(""1vUGwO1n0QQGx9kKbO0_M5gmuhXZ6-LaxQxgrmJnzgP0"",""'TP# look up'!A:C""),3,0),"""")"),"")</f>
        <v/>
      </c>
      <c r="AH6722" s="49">
        <f>LEFT(J6722,2)</f>
        <v/>
      </c>
    </row>
    <row r="6723" ht="12.75" customHeight="1">
      <c r="H6723" s="43" t="n"/>
      <c r="AG6723" s="49">
        <f>IFERROR(__xludf.DUMMYFUNCTION("IFNA(vlookup(H6723,IMPORTRANGE(""1vUGwO1n0QQGx9kKbO0_M5gmuhXZ6-LaxQxgrmJnzgP0"",""'TP# look up'!A:C""),3,0),"""")"),"")</f>
        <v/>
      </c>
      <c r="AH6723" s="49">
        <f>LEFT(J6723,2)</f>
        <v/>
      </c>
    </row>
    <row r="6724" ht="12.75" customHeight="1">
      <c r="H6724" s="43" t="n"/>
      <c r="AG6724" s="49">
        <f>IFERROR(__xludf.DUMMYFUNCTION("IFNA(vlookup(H6724,IMPORTRANGE(""1vUGwO1n0QQGx9kKbO0_M5gmuhXZ6-LaxQxgrmJnzgP0"",""'TP# look up'!A:C""),3,0),"""")"),"")</f>
        <v/>
      </c>
      <c r="AH6724" s="49">
        <f>LEFT(J6724,2)</f>
        <v/>
      </c>
    </row>
    <row r="6725" ht="12.75" customHeight="1">
      <c r="H6725" s="43" t="n"/>
      <c r="AG6725" s="49">
        <f>IFERROR(__xludf.DUMMYFUNCTION("IFNA(vlookup(H6725,IMPORTRANGE(""1vUGwO1n0QQGx9kKbO0_M5gmuhXZ6-LaxQxgrmJnzgP0"",""'TP# look up'!A:C""),3,0),"""")"),"")</f>
        <v/>
      </c>
      <c r="AH6725" s="49">
        <f>LEFT(J6725,2)</f>
        <v/>
      </c>
    </row>
    <row r="6726" ht="12.75" customHeight="1">
      <c r="H6726" s="43" t="n"/>
      <c r="AG6726" s="49">
        <f>IFERROR(__xludf.DUMMYFUNCTION("IFNA(vlookup(H6726,IMPORTRANGE(""1vUGwO1n0QQGx9kKbO0_M5gmuhXZ6-LaxQxgrmJnzgP0"",""'TP# look up'!A:C""),3,0),"""")"),"")</f>
        <v/>
      </c>
      <c r="AH6726" s="49">
        <f>LEFT(J6726,2)</f>
        <v/>
      </c>
    </row>
    <row r="6727" ht="12.75" customHeight="1">
      <c r="H6727" s="43" t="n"/>
      <c r="AG6727" s="49">
        <f>IFERROR(__xludf.DUMMYFUNCTION("IFNA(vlookup(H6727,IMPORTRANGE(""1vUGwO1n0QQGx9kKbO0_M5gmuhXZ6-LaxQxgrmJnzgP0"",""'TP# look up'!A:C""),3,0),"""")"),"")</f>
        <v/>
      </c>
      <c r="AH6727" s="49">
        <f>LEFT(J6727,2)</f>
        <v/>
      </c>
    </row>
    <row r="6728" ht="12.75" customHeight="1">
      <c r="H6728" s="43" t="n"/>
      <c r="AG6728" s="49">
        <f>IFERROR(__xludf.DUMMYFUNCTION("IFNA(vlookup(H6728,IMPORTRANGE(""1vUGwO1n0QQGx9kKbO0_M5gmuhXZ6-LaxQxgrmJnzgP0"",""'TP# look up'!A:C""),3,0),"""")"),"")</f>
        <v/>
      </c>
      <c r="AH6728" s="49">
        <f>LEFT(J6728,2)</f>
        <v/>
      </c>
    </row>
    <row r="6729" ht="12.75" customHeight="1">
      <c r="H6729" s="43" t="n"/>
      <c r="AG6729" s="49">
        <f>IFERROR(__xludf.DUMMYFUNCTION("IFNA(vlookup(H6729,IMPORTRANGE(""1vUGwO1n0QQGx9kKbO0_M5gmuhXZ6-LaxQxgrmJnzgP0"",""'TP# look up'!A:C""),3,0),"""")"),"")</f>
        <v/>
      </c>
      <c r="AH6729" s="49">
        <f>LEFT(J6729,2)</f>
        <v/>
      </c>
    </row>
    <row r="6730" ht="12.75" customHeight="1">
      <c r="H6730" s="43" t="n"/>
      <c r="AG6730" s="49">
        <f>IFERROR(__xludf.DUMMYFUNCTION("IFNA(vlookup(H6730,IMPORTRANGE(""1vUGwO1n0QQGx9kKbO0_M5gmuhXZ6-LaxQxgrmJnzgP0"",""'TP# look up'!A:C""),3,0),"""")"),"")</f>
        <v/>
      </c>
      <c r="AH6730" s="49">
        <f>LEFT(J6730,2)</f>
        <v/>
      </c>
    </row>
    <row r="6731" ht="12.75" customHeight="1">
      <c r="H6731" s="43" t="n"/>
      <c r="AG6731" s="49">
        <f>IFERROR(__xludf.DUMMYFUNCTION("IFNA(vlookup(H6731,IMPORTRANGE(""1vUGwO1n0QQGx9kKbO0_M5gmuhXZ6-LaxQxgrmJnzgP0"",""'TP# look up'!A:C""),3,0),"""")"),"")</f>
        <v/>
      </c>
      <c r="AH6731" s="49">
        <f>LEFT(J6731,2)</f>
        <v/>
      </c>
    </row>
    <row r="6732" ht="12.75" customHeight="1">
      <c r="H6732" s="43" t="n"/>
      <c r="AG6732" s="49">
        <f>IFERROR(__xludf.DUMMYFUNCTION("IFNA(vlookup(H6732,IMPORTRANGE(""1vUGwO1n0QQGx9kKbO0_M5gmuhXZ6-LaxQxgrmJnzgP0"",""'TP# look up'!A:C""),3,0),"""")"),"")</f>
        <v/>
      </c>
      <c r="AH6732" s="49">
        <f>LEFT(J6732,2)</f>
        <v/>
      </c>
    </row>
    <row r="6733" ht="12.75" customHeight="1">
      <c r="H6733" s="43" t="n"/>
      <c r="AG6733" s="49">
        <f>IFERROR(__xludf.DUMMYFUNCTION("IFNA(vlookup(H6733,IMPORTRANGE(""1vUGwO1n0QQGx9kKbO0_M5gmuhXZ6-LaxQxgrmJnzgP0"",""'TP# look up'!A:C""),3,0),"""")"),"")</f>
        <v/>
      </c>
      <c r="AH6733" s="49">
        <f>LEFT(J6733,2)</f>
        <v/>
      </c>
    </row>
    <row r="6734" ht="12.75" customHeight="1">
      <c r="H6734" s="43" t="n"/>
      <c r="AG6734" s="49">
        <f>IFERROR(__xludf.DUMMYFUNCTION("IFNA(vlookup(H6734,IMPORTRANGE(""1vUGwO1n0QQGx9kKbO0_M5gmuhXZ6-LaxQxgrmJnzgP0"",""'TP# look up'!A:C""),3,0),"""")"),"")</f>
        <v/>
      </c>
      <c r="AH6734" s="49">
        <f>LEFT(J6734,2)</f>
        <v/>
      </c>
    </row>
    <row r="6735" ht="12.75" customHeight="1">
      <c r="H6735" s="43" t="n"/>
      <c r="AG6735" s="49">
        <f>IFERROR(__xludf.DUMMYFUNCTION("IFNA(vlookup(H6735,IMPORTRANGE(""1vUGwO1n0QQGx9kKbO0_M5gmuhXZ6-LaxQxgrmJnzgP0"",""'TP# look up'!A:C""),3,0),"""")"),"")</f>
        <v/>
      </c>
      <c r="AH6735" s="49">
        <f>LEFT(J6735,2)</f>
        <v/>
      </c>
    </row>
    <row r="6736" ht="12.75" customHeight="1">
      <c r="H6736" s="43" t="n"/>
      <c r="AG6736" s="49">
        <f>IFERROR(__xludf.DUMMYFUNCTION("IFNA(vlookup(H6736,IMPORTRANGE(""1vUGwO1n0QQGx9kKbO0_M5gmuhXZ6-LaxQxgrmJnzgP0"",""'TP# look up'!A:C""),3,0),"""")"),"")</f>
        <v/>
      </c>
      <c r="AH6736" s="49">
        <f>LEFT(J6736,2)</f>
        <v/>
      </c>
    </row>
    <row r="6737" ht="12.75" customHeight="1">
      <c r="H6737" s="43" t="n"/>
      <c r="AG6737" s="49">
        <f>IFERROR(__xludf.DUMMYFUNCTION("IFNA(vlookup(H6737,IMPORTRANGE(""1vUGwO1n0QQGx9kKbO0_M5gmuhXZ6-LaxQxgrmJnzgP0"",""'TP# look up'!A:C""),3,0),"""")"),"")</f>
        <v/>
      </c>
      <c r="AH6737" s="49">
        <f>LEFT(J6737,2)</f>
        <v/>
      </c>
    </row>
    <row r="6738" ht="12.75" customHeight="1">
      <c r="H6738" s="43" t="n"/>
      <c r="AG6738" s="49">
        <f>IFERROR(__xludf.DUMMYFUNCTION("IFNA(vlookup(H6738,IMPORTRANGE(""1vUGwO1n0QQGx9kKbO0_M5gmuhXZ6-LaxQxgrmJnzgP0"",""'TP# look up'!A:C""),3,0),"""")"),"")</f>
        <v/>
      </c>
      <c r="AH6738" s="49">
        <f>LEFT(J6738,2)</f>
        <v/>
      </c>
    </row>
    <row r="6739" ht="12.75" customHeight="1">
      <c r="H6739" s="43" t="n"/>
      <c r="AG6739" s="49">
        <f>IFERROR(__xludf.DUMMYFUNCTION("IFNA(vlookup(H6739,IMPORTRANGE(""1vUGwO1n0QQGx9kKbO0_M5gmuhXZ6-LaxQxgrmJnzgP0"",""'TP# look up'!A:C""),3,0),"""")"),"")</f>
        <v/>
      </c>
      <c r="AH6739" s="49">
        <f>LEFT(J6739,2)</f>
        <v/>
      </c>
    </row>
    <row r="6740" ht="12.75" customHeight="1">
      <c r="H6740" s="43" t="n"/>
      <c r="AG6740" s="49">
        <f>IFERROR(__xludf.DUMMYFUNCTION("IFNA(vlookup(H6740,IMPORTRANGE(""1vUGwO1n0QQGx9kKbO0_M5gmuhXZ6-LaxQxgrmJnzgP0"",""'TP# look up'!A:C""),3,0),"""")"),"")</f>
        <v/>
      </c>
      <c r="AH6740" s="49">
        <f>LEFT(J6740,2)</f>
        <v/>
      </c>
    </row>
    <row r="6741" ht="12.75" customHeight="1">
      <c r="H6741" s="43" t="n"/>
      <c r="AG6741" s="49">
        <f>IFERROR(__xludf.DUMMYFUNCTION("IFNA(vlookup(H6741,IMPORTRANGE(""1vUGwO1n0QQGx9kKbO0_M5gmuhXZ6-LaxQxgrmJnzgP0"",""'TP# look up'!A:C""),3,0),"""")"),"")</f>
        <v/>
      </c>
      <c r="AH6741" s="49">
        <f>LEFT(J6741,2)</f>
        <v/>
      </c>
    </row>
    <row r="6742" ht="12.75" customHeight="1">
      <c r="H6742" s="43" t="n"/>
      <c r="AG6742" s="49">
        <f>IFERROR(__xludf.DUMMYFUNCTION("IFNA(vlookup(H6742,IMPORTRANGE(""1vUGwO1n0QQGx9kKbO0_M5gmuhXZ6-LaxQxgrmJnzgP0"",""'TP# look up'!A:C""),3,0),"""")"),"")</f>
        <v/>
      </c>
      <c r="AH6742" s="49">
        <f>LEFT(J6742,2)</f>
        <v/>
      </c>
    </row>
    <row r="6743" ht="12.75" customHeight="1">
      <c r="H6743" s="43" t="n"/>
      <c r="AG6743" s="49">
        <f>IFERROR(__xludf.DUMMYFUNCTION("IFNA(vlookup(H6743,IMPORTRANGE(""1vUGwO1n0QQGx9kKbO0_M5gmuhXZ6-LaxQxgrmJnzgP0"",""'TP# look up'!A:C""),3,0),"""")"),"")</f>
        <v/>
      </c>
      <c r="AH6743" s="49">
        <f>LEFT(J6743,2)</f>
        <v/>
      </c>
    </row>
    <row r="6744" ht="12.75" customHeight="1">
      <c r="H6744" s="43" t="n"/>
      <c r="AG6744" s="49">
        <f>IFERROR(__xludf.DUMMYFUNCTION("IFNA(vlookup(H6744,IMPORTRANGE(""1vUGwO1n0QQGx9kKbO0_M5gmuhXZ6-LaxQxgrmJnzgP0"",""'TP# look up'!A:C""),3,0),"""")"),"")</f>
        <v/>
      </c>
      <c r="AH6744" s="49">
        <f>LEFT(J6744,2)</f>
        <v/>
      </c>
    </row>
    <row r="6745" ht="12.75" customHeight="1">
      <c r="H6745" s="43" t="n"/>
      <c r="AG6745" s="49">
        <f>IFERROR(__xludf.DUMMYFUNCTION("IFNA(vlookup(H6745,IMPORTRANGE(""1vUGwO1n0QQGx9kKbO0_M5gmuhXZ6-LaxQxgrmJnzgP0"",""'TP# look up'!A:C""),3,0),"""")"),"")</f>
        <v/>
      </c>
      <c r="AH6745" s="49">
        <f>LEFT(J6745,2)</f>
        <v/>
      </c>
    </row>
    <row r="6746" ht="12.75" customHeight="1">
      <c r="H6746" s="43" t="n"/>
      <c r="AG6746" s="49">
        <f>IFERROR(__xludf.DUMMYFUNCTION("IFNA(vlookup(H6746,IMPORTRANGE(""1vUGwO1n0QQGx9kKbO0_M5gmuhXZ6-LaxQxgrmJnzgP0"",""'TP# look up'!A:C""),3,0),"""")"),"")</f>
        <v/>
      </c>
      <c r="AH6746" s="49">
        <f>LEFT(J6746,2)</f>
        <v/>
      </c>
    </row>
    <row r="6747" ht="12.75" customHeight="1">
      <c r="H6747" s="43" t="n"/>
      <c r="AG6747" s="49">
        <f>IFERROR(__xludf.DUMMYFUNCTION("IFNA(vlookup(H6747,IMPORTRANGE(""1vUGwO1n0QQGx9kKbO0_M5gmuhXZ6-LaxQxgrmJnzgP0"",""'TP# look up'!A:C""),3,0),"""")"),"")</f>
        <v/>
      </c>
      <c r="AH6747" s="49">
        <f>LEFT(J6747,2)</f>
        <v/>
      </c>
    </row>
    <row r="6748" ht="12.75" customHeight="1">
      <c r="H6748" s="43" t="n"/>
      <c r="AG6748" s="49">
        <f>IFERROR(__xludf.DUMMYFUNCTION("IFNA(vlookup(H6748,IMPORTRANGE(""1vUGwO1n0QQGx9kKbO0_M5gmuhXZ6-LaxQxgrmJnzgP0"",""'TP# look up'!A:C""),3,0),"""")"),"")</f>
        <v/>
      </c>
      <c r="AH6748" s="49">
        <f>LEFT(J6748,2)</f>
        <v/>
      </c>
    </row>
    <row r="6749" ht="12.75" customHeight="1">
      <c r="H6749" s="43" t="n"/>
      <c r="AG6749" s="49">
        <f>IFERROR(__xludf.DUMMYFUNCTION("IFNA(vlookup(H6749,IMPORTRANGE(""1vUGwO1n0QQGx9kKbO0_M5gmuhXZ6-LaxQxgrmJnzgP0"",""'TP# look up'!A:C""),3,0),"""")"),"")</f>
        <v/>
      </c>
      <c r="AH6749" s="49">
        <f>LEFT(J6749,2)</f>
        <v/>
      </c>
    </row>
    <row r="6750" ht="12.75" customHeight="1">
      <c r="H6750" s="43" t="n"/>
      <c r="AG6750" s="49">
        <f>IFERROR(__xludf.DUMMYFUNCTION("IFNA(vlookup(H6750,IMPORTRANGE(""1vUGwO1n0QQGx9kKbO0_M5gmuhXZ6-LaxQxgrmJnzgP0"",""'TP# look up'!A:C""),3,0),"""")"),"")</f>
        <v/>
      </c>
      <c r="AH6750" s="49">
        <f>LEFT(J6750,2)</f>
        <v/>
      </c>
    </row>
    <row r="6751" ht="12.75" customHeight="1">
      <c r="H6751" s="43" t="n"/>
      <c r="AG6751" s="49">
        <f>IFERROR(__xludf.DUMMYFUNCTION("IFNA(vlookup(H6751,IMPORTRANGE(""1vUGwO1n0QQGx9kKbO0_M5gmuhXZ6-LaxQxgrmJnzgP0"",""'TP# look up'!A:C""),3,0),"""")"),"")</f>
        <v/>
      </c>
      <c r="AH6751" s="49">
        <f>LEFT(J6751,2)</f>
        <v/>
      </c>
    </row>
    <row r="6752" ht="12.75" customHeight="1">
      <c r="H6752" s="43" t="n"/>
      <c r="AG6752" s="49">
        <f>IFERROR(__xludf.DUMMYFUNCTION("IFNA(vlookup(H6752,IMPORTRANGE(""1vUGwO1n0QQGx9kKbO0_M5gmuhXZ6-LaxQxgrmJnzgP0"",""'TP# look up'!A:C""),3,0),"""")"),"")</f>
        <v/>
      </c>
      <c r="AH6752" s="49">
        <f>LEFT(J6752,2)</f>
        <v/>
      </c>
    </row>
    <row r="6753" ht="12.75" customHeight="1">
      <c r="H6753" s="43" t="n"/>
      <c r="AG6753" s="49">
        <f>IFERROR(__xludf.DUMMYFUNCTION("IFNA(vlookup(H6753,IMPORTRANGE(""1vUGwO1n0QQGx9kKbO0_M5gmuhXZ6-LaxQxgrmJnzgP0"",""'TP# look up'!A:C""),3,0),"""")"),"")</f>
        <v/>
      </c>
      <c r="AH6753" s="49">
        <f>LEFT(J6753,2)</f>
        <v/>
      </c>
    </row>
    <row r="6754" ht="12.75" customHeight="1">
      <c r="H6754" s="43" t="n"/>
      <c r="AG6754" s="49">
        <f>IFERROR(__xludf.DUMMYFUNCTION("IFNA(vlookup(H6754,IMPORTRANGE(""1vUGwO1n0QQGx9kKbO0_M5gmuhXZ6-LaxQxgrmJnzgP0"",""'TP# look up'!A:C""),3,0),"""")"),"")</f>
        <v/>
      </c>
      <c r="AH6754" s="49">
        <f>LEFT(J6754,2)</f>
        <v/>
      </c>
    </row>
    <row r="6755" ht="12.75" customHeight="1">
      <c r="H6755" s="43" t="n"/>
      <c r="AG6755" s="49">
        <f>IFERROR(__xludf.DUMMYFUNCTION("IFNA(vlookup(H6755,IMPORTRANGE(""1vUGwO1n0QQGx9kKbO0_M5gmuhXZ6-LaxQxgrmJnzgP0"",""'TP# look up'!A:C""),3,0),"""")"),"")</f>
        <v/>
      </c>
      <c r="AH6755" s="49">
        <f>LEFT(J6755,2)</f>
        <v/>
      </c>
    </row>
    <row r="6756" ht="12.75" customHeight="1">
      <c r="H6756" s="43" t="n"/>
      <c r="AG6756" s="49">
        <f>IFERROR(__xludf.DUMMYFUNCTION("IFNA(vlookup(H6756,IMPORTRANGE(""1vUGwO1n0QQGx9kKbO0_M5gmuhXZ6-LaxQxgrmJnzgP0"",""'TP# look up'!A:C""),3,0),"""")"),"")</f>
        <v/>
      </c>
      <c r="AH6756" s="49">
        <f>LEFT(J6756,2)</f>
        <v/>
      </c>
    </row>
    <row r="6757" ht="12.75" customHeight="1">
      <c r="H6757" s="43" t="n"/>
      <c r="AG6757" s="49">
        <f>IFERROR(__xludf.DUMMYFUNCTION("IFNA(vlookup(H6757,IMPORTRANGE(""1vUGwO1n0QQGx9kKbO0_M5gmuhXZ6-LaxQxgrmJnzgP0"",""'TP# look up'!A:C""),3,0),"""")"),"")</f>
        <v/>
      </c>
      <c r="AH6757" s="49">
        <f>LEFT(J6757,2)</f>
        <v/>
      </c>
    </row>
    <row r="6758" ht="12.75" customHeight="1">
      <c r="H6758" s="43" t="n"/>
      <c r="AG6758" s="49">
        <f>IFERROR(__xludf.DUMMYFUNCTION("IFNA(vlookup(H6758,IMPORTRANGE(""1vUGwO1n0QQGx9kKbO0_M5gmuhXZ6-LaxQxgrmJnzgP0"",""'TP# look up'!A:C""),3,0),"""")"),"")</f>
        <v/>
      </c>
      <c r="AH6758" s="49">
        <f>LEFT(J6758,2)</f>
        <v/>
      </c>
    </row>
    <row r="6759" ht="12.75" customHeight="1">
      <c r="H6759" s="43" t="n"/>
      <c r="AG6759" s="49">
        <f>IFERROR(__xludf.DUMMYFUNCTION("IFNA(vlookup(H6759,IMPORTRANGE(""1vUGwO1n0QQGx9kKbO0_M5gmuhXZ6-LaxQxgrmJnzgP0"",""'TP# look up'!A:C""),3,0),"""")"),"")</f>
        <v/>
      </c>
      <c r="AH6759" s="49">
        <f>LEFT(J6759,2)</f>
        <v/>
      </c>
    </row>
    <row r="6760" ht="12.75" customHeight="1">
      <c r="H6760" s="43" t="n"/>
      <c r="AG6760" s="49">
        <f>IFERROR(__xludf.DUMMYFUNCTION("IFNA(vlookup(H6760,IMPORTRANGE(""1vUGwO1n0QQGx9kKbO0_M5gmuhXZ6-LaxQxgrmJnzgP0"",""'TP# look up'!A:C""),3,0),"""")"),"")</f>
        <v/>
      </c>
      <c r="AH6760" s="49">
        <f>LEFT(J6760,2)</f>
        <v/>
      </c>
    </row>
    <row r="6761" ht="12.75" customHeight="1">
      <c r="H6761" s="43" t="n"/>
      <c r="AG6761" s="49">
        <f>IFERROR(__xludf.DUMMYFUNCTION("IFNA(vlookup(H6761,IMPORTRANGE(""1vUGwO1n0QQGx9kKbO0_M5gmuhXZ6-LaxQxgrmJnzgP0"",""'TP# look up'!A:C""),3,0),"""")"),"")</f>
        <v/>
      </c>
      <c r="AH6761" s="49">
        <f>LEFT(J6761,2)</f>
        <v/>
      </c>
    </row>
    <row r="6762" ht="12.75" customHeight="1">
      <c r="H6762" s="43" t="n"/>
      <c r="AG6762" s="49">
        <f>IFERROR(__xludf.DUMMYFUNCTION("IFNA(vlookup(H6762,IMPORTRANGE(""1vUGwO1n0QQGx9kKbO0_M5gmuhXZ6-LaxQxgrmJnzgP0"",""'TP# look up'!A:C""),3,0),"""")"),"")</f>
        <v/>
      </c>
      <c r="AH6762" s="49">
        <f>LEFT(J6762,2)</f>
        <v/>
      </c>
    </row>
    <row r="6763" ht="12.75" customHeight="1">
      <c r="H6763" s="43" t="n"/>
      <c r="AG6763" s="49">
        <f>IFERROR(__xludf.DUMMYFUNCTION("IFNA(vlookup(H6763,IMPORTRANGE(""1vUGwO1n0QQGx9kKbO0_M5gmuhXZ6-LaxQxgrmJnzgP0"",""'TP# look up'!A:C""),3,0),"""")"),"")</f>
        <v/>
      </c>
      <c r="AH6763" s="49">
        <f>LEFT(J6763,2)</f>
        <v/>
      </c>
    </row>
    <row r="6764" ht="12.75" customHeight="1">
      <c r="H6764" s="43" t="n"/>
      <c r="AG6764" s="49">
        <f>IFERROR(__xludf.DUMMYFUNCTION("IFNA(vlookup(H6764,IMPORTRANGE(""1vUGwO1n0QQGx9kKbO0_M5gmuhXZ6-LaxQxgrmJnzgP0"",""'TP# look up'!A:C""),3,0),"""")"),"")</f>
        <v/>
      </c>
      <c r="AH6764" s="49">
        <f>LEFT(J6764,2)</f>
        <v/>
      </c>
    </row>
    <row r="6765" ht="12.75" customHeight="1">
      <c r="H6765" s="43" t="n"/>
      <c r="AG6765" s="49">
        <f>IFERROR(__xludf.DUMMYFUNCTION("IFNA(vlookup(H6765,IMPORTRANGE(""1vUGwO1n0QQGx9kKbO0_M5gmuhXZ6-LaxQxgrmJnzgP0"",""'TP# look up'!A:C""),3,0),"""")"),"")</f>
        <v/>
      </c>
      <c r="AH6765" s="49">
        <f>LEFT(J6765,2)</f>
        <v/>
      </c>
    </row>
    <row r="6766" ht="12.75" customHeight="1">
      <c r="H6766" s="43" t="n"/>
      <c r="AG6766" s="49">
        <f>IFERROR(__xludf.DUMMYFUNCTION("IFNA(vlookup(H6766,IMPORTRANGE(""1vUGwO1n0QQGx9kKbO0_M5gmuhXZ6-LaxQxgrmJnzgP0"",""'TP# look up'!A:C""),3,0),"""")"),"")</f>
        <v/>
      </c>
      <c r="AH6766" s="49">
        <f>LEFT(J6766,2)</f>
        <v/>
      </c>
    </row>
    <row r="6767" ht="12.75" customHeight="1">
      <c r="H6767" s="43" t="n"/>
      <c r="AG6767" s="49">
        <f>IFERROR(__xludf.DUMMYFUNCTION("IFNA(vlookup(H6767,IMPORTRANGE(""1vUGwO1n0QQGx9kKbO0_M5gmuhXZ6-LaxQxgrmJnzgP0"",""'TP# look up'!A:C""),3,0),"""")"),"")</f>
        <v/>
      </c>
      <c r="AH6767" s="49">
        <f>LEFT(J6767,2)</f>
        <v/>
      </c>
    </row>
    <row r="6768" ht="12.75" customHeight="1">
      <c r="H6768" s="43" t="n"/>
      <c r="AG6768" s="49">
        <f>IFERROR(__xludf.DUMMYFUNCTION("IFNA(vlookup(H6768,IMPORTRANGE(""1vUGwO1n0QQGx9kKbO0_M5gmuhXZ6-LaxQxgrmJnzgP0"",""'TP# look up'!A:C""),3,0),"""")"),"")</f>
        <v/>
      </c>
      <c r="AH6768" s="49">
        <f>LEFT(J6768,2)</f>
        <v/>
      </c>
    </row>
    <row r="6769" ht="12.75" customHeight="1">
      <c r="H6769" s="43" t="n"/>
      <c r="AG6769" s="49">
        <f>IFERROR(__xludf.DUMMYFUNCTION("IFNA(vlookup(H6769,IMPORTRANGE(""1vUGwO1n0QQGx9kKbO0_M5gmuhXZ6-LaxQxgrmJnzgP0"",""'TP# look up'!A:C""),3,0),"""")"),"")</f>
        <v/>
      </c>
      <c r="AH6769" s="49">
        <f>LEFT(J6769,2)</f>
        <v/>
      </c>
    </row>
    <row r="6770" ht="12.75" customHeight="1">
      <c r="H6770" s="43" t="n"/>
      <c r="AG6770" s="49">
        <f>IFERROR(__xludf.DUMMYFUNCTION("IFNA(vlookup(H6770,IMPORTRANGE(""1vUGwO1n0QQGx9kKbO0_M5gmuhXZ6-LaxQxgrmJnzgP0"",""'TP# look up'!A:C""),3,0),"""")"),"")</f>
        <v/>
      </c>
      <c r="AH6770" s="49">
        <f>LEFT(J6770,2)</f>
        <v/>
      </c>
    </row>
    <row r="6771" ht="12.75" customHeight="1">
      <c r="H6771" s="43" t="n"/>
      <c r="AG6771" s="49">
        <f>IFERROR(__xludf.DUMMYFUNCTION("IFNA(vlookup(H6771,IMPORTRANGE(""1vUGwO1n0QQGx9kKbO0_M5gmuhXZ6-LaxQxgrmJnzgP0"",""'TP# look up'!A:C""),3,0),"""")"),"")</f>
        <v/>
      </c>
      <c r="AH6771" s="49">
        <f>LEFT(J6771,2)</f>
        <v/>
      </c>
    </row>
    <row r="6772" ht="12.75" customHeight="1">
      <c r="H6772" s="43" t="n"/>
      <c r="AG6772" s="49">
        <f>IFERROR(__xludf.DUMMYFUNCTION("IFNA(vlookup(H6772,IMPORTRANGE(""1vUGwO1n0QQGx9kKbO0_M5gmuhXZ6-LaxQxgrmJnzgP0"",""'TP# look up'!A:C""),3,0),"""")"),"")</f>
        <v/>
      </c>
      <c r="AH6772" s="49">
        <f>LEFT(J6772,2)</f>
        <v/>
      </c>
    </row>
    <row r="6773" ht="12.75" customHeight="1">
      <c r="H6773" s="43" t="n"/>
      <c r="AG6773" s="49">
        <f>IFERROR(__xludf.DUMMYFUNCTION("IFNA(vlookup(H6773,IMPORTRANGE(""1vUGwO1n0QQGx9kKbO0_M5gmuhXZ6-LaxQxgrmJnzgP0"",""'TP# look up'!A:C""),3,0),"""")"),"")</f>
        <v/>
      </c>
      <c r="AH6773" s="49">
        <f>LEFT(J6773,2)</f>
        <v/>
      </c>
    </row>
    <row r="6774" ht="12.75" customHeight="1">
      <c r="H6774" s="43" t="n"/>
      <c r="AG6774" s="49">
        <f>IFERROR(__xludf.DUMMYFUNCTION("IFNA(vlookup(H6774,IMPORTRANGE(""1vUGwO1n0QQGx9kKbO0_M5gmuhXZ6-LaxQxgrmJnzgP0"",""'TP# look up'!A:C""),3,0),"""")"),"")</f>
        <v/>
      </c>
      <c r="AH6774" s="49">
        <f>LEFT(J6774,2)</f>
        <v/>
      </c>
    </row>
    <row r="6775" ht="12.75" customHeight="1">
      <c r="H6775" s="43" t="n"/>
      <c r="AG6775" s="49">
        <f>IFERROR(__xludf.DUMMYFUNCTION("IFNA(vlookup(H6775,IMPORTRANGE(""1vUGwO1n0QQGx9kKbO0_M5gmuhXZ6-LaxQxgrmJnzgP0"",""'TP# look up'!A:C""),3,0),"""")"),"")</f>
        <v/>
      </c>
      <c r="AH6775" s="49">
        <f>LEFT(J6775,2)</f>
        <v/>
      </c>
    </row>
    <row r="6776" ht="12.75" customHeight="1">
      <c r="H6776" s="43" t="n"/>
      <c r="AG6776" s="49">
        <f>IFERROR(__xludf.DUMMYFUNCTION("IFNA(vlookup(H6776,IMPORTRANGE(""1vUGwO1n0QQGx9kKbO0_M5gmuhXZ6-LaxQxgrmJnzgP0"",""'TP# look up'!A:C""),3,0),"""")"),"")</f>
        <v/>
      </c>
      <c r="AH6776" s="49">
        <f>LEFT(J6776,2)</f>
        <v/>
      </c>
    </row>
    <row r="6777" ht="12.75" customHeight="1">
      <c r="H6777" s="43" t="n"/>
      <c r="AG6777" s="49">
        <f>IFERROR(__xludf.DUMMYFUNCTION("IFNA(vlookup(H6777,IMPORTRANGE(""1vUGwO1n0QQGx9kKbO0_M5gmuhXZ6-LaxQxgrmJnzgP0"",""'TP# look up'!A:C""),3,0),"""")"),"")</f>
        <v/>
      </c>
      <c r="AH6777" s="49">
        <f>LEFT(J6777,2)</f>
        <v/>
      </c>
    </row>
    <row r="6778" ht="12.75" customHeight="1">
      <c r="H6778" s="43" t="n"/>
      <c r="AG6778" s="49">
        <f>IFERROR(__xludf.DUMMYFUNCTION("IFNA(vlookup(H6778,IMPORTRANGE(""1vUGwO1n0QQGx9kKbO0_M5gmuhXZ6-LaxQxgrmJnzgP0"",""'TP# look up'!A:C""),3,0),"""")"),"")</f>
        <v/>
      </c>
      <c r="AH6778" s="49">
        <f>LEFT(J6778,2)</f>
        <v/>
      </c>
    </row>
    <row r="6779" ht="12.75" customHeight="1">
      <c r="H6779" s="43" t="n"/>
      <c r="AG6779" s="49">
        <f>IFERROR(__xludf.DUMMYFUNCTION("IFNA(vlookup(H6779,IMPORTRANGE(""1vUGwO1n0QQGx9kKbO0_M5gmuhXZ6-LaxQxgrmJnzgP0"",""'TP# look up'!A:C""),3,0),"""")"),"")</f>
        <v/>
      </c>
      <c r="AH6779" s="49">
        <f>LEFT(J6779,2)</f>
        <v/>
      </c>
    </row>
    <row r="6780" ht="12.75" customHeight="1">
      <c r="H6780" s="43" t="n"/>
      <c r="AG6780" s="49">
        <f>IFERROR(__xludf.DUMMYFUNCTION("IFNA(vlookup(H6780,IMPORTRANGE(""1vUGwO1n0QQGx9kKbO0_M5gmuhXZ6-LaxQxgrmJnzgP0"",""'TP# look up'!A:C""),3,0),"""")"),"")</f>
        <v/>
      </c>
      <c r="AH6780" s="49">
        <f>LEFT(J6780,2)</f>
        <v/>
      </c>
    </row>
    <row r="6781" ht="12.75" customHeight="1">
      <c r="H6781" s="43" t="n"/>
      <c r="AG6781" s="49">
        <f>IFERROR(__xludf.DUMMYFUNCTION("IFNA(vlookup(H6781,IMPORTRANGE(""1vUGwO1n0QQGx9kKbO0_M5gmuhXZ6-LaxQxgrmJnzgP0"",""'TP# look up'!A:C""),3,0),"""")"),"")</f>
        <v/>
      </c>
      <c r="AH6781" s="49">
        <f>LEFT(J6781,2)</f>
        <v/>
      </c>
    </row>
    <row r="6782" ht="12.75" customHeight="1">
      <c r="H6782" s="43" t="n"/>
      <c r="AG6782" s="49">
        <f>IFERROR(__xludf.DUMMYFUNCTION("IFNA(vlookup(H6782,IMPORTRANGE(""1vUGwO1n0QQGx9kKbO0_M5gmuhXZ6-LaxQxgrmJnzgP0"",""'TP# look up'!A:C""),3,0),"""")"),"")</f>
        <v/>
      </c>
      <c r="AH6782" s="49">
        <f>LEFT(J6782,2)</f>
        <v/>
      </c>
    </row>
    <row r="6783" ht="12.75" customHeight="1">
      <c r="H6783" s="43" t="n"/>
      <c r="AG6783" s="49">
        <f>IFERROR(__xludf.DUMMYFUNCTION("IFNA(vlookup(H6783,IMPORTRANGE(""1vUGwO1n0QQGx9kKbO0_M5gmuhXZ6-LaxQxgrmJnzgP0"",""'TP# look up'!A:C""),3,0),"""")"),"")</f>
        <v/>
      </c>
      <c r="AH6783" s="49">
        <f>LEFT(J6783,2)</f>
        <v/>
      </c>
    </row>
    <row r="6784" ht="12.75" customHeight="1">
      <c r="H6784" s="43" t="n"/>
      <c r="AG6784" s="49">
        <f>IFERROR(__xludf.DUMMYFUNCTION("IFNA(vlookup(H6784,IMPORTRANGE(""1vUGwO1n0QQGx9kKbO0_M5gmuhXZ6-LaxQxgrmJnzgP0"",""'TP# look up'!A:C""),3,0),"""")"),"")</f>
        <v/>
      </c>
      <c r="AH6784" s="49">
        <f>LEFT(J6784,2)</f>
        <v/>
      </c>
    </row>
    <row r="6785" ht="12.75" customHeight="1">
      <c r="H6785" s="43" t="n"/>
      <c r="AG6785" s="49">
        <f>IFERROR(__xludf.DUMMYFUNCTION("IFNA(vlookup(H6785,IMPORTRANGE(""1vUGwO1n0QQGx9kKbO0_M5gmuhXZ6-LaxQxgrmJnzgP0"",""'TP# look up'!A:C""),3,0),"""")"),"")</f>
        <v/>
      </c>
      <c r="AH6785" s="49">
        <f>LEFT(J6785,2)</f>
        <v/>
      </c>
    </row>
    <row r="6786" ht="12.75" customHeight="1">
      <c r="H6786" s="43" t="n"/>
      <c r="AG6786" s="49">
        <f>IFERROR(__xludf.DUMMYFUNCTION("IFNA(vlookup(H6786,IMPORTRANGE(""1vUGwO1n0QQGx9kKbO0_M5gmuhXZ6-LaxQxgrmJnzgP0"",""'TP# look up'!A:C""),3,0),"""")"),"")</f>
        <v/>
      </c>
      <c r="AH6786" s="49">
        <f>LEFT(J6786,2)</f>
        <v/>
      </c>
    </row>
    <row r="6787" ht="12.75" customHeight="1">
      <c r="H6787" s="43" t="n"/>
      <c r="AG6787" s="49">
        <f>IFERROR(__xludf.DUMMYFUNCTION("IFNA(vlookup(H6787,IMPORTRANGE(""1vUGwO1n0QQGx9kKbO0_M5gmuhXZ6-LaxQxgrmJnzgP0"",""'TP# look up'!A:C""),3,0),"""")"),"")</f>
        <v/>
      </c>
      <c r="AH6787" s="49">
        <f>LEFT(J6787,2)</f>
        <v/>
      </c>
    </row>
    <row r="6788" ht="12.75" customHeight="1">
      <c r="H6788" s="43" t="n"/>
      <c r="AG6788" s="49">
        <f>IFERROR(__xludf.DUMMYFUNCTION("IFNA(vlookup(H6788,IMPORTRANGE(""1vUGwO1n0QQGx9kKbO0_M5gmuhXZ6-LaxQxgrmJnzgP0"",""'TP# look up'!A:C""),3,0),"""")"),"")</f>
        <v/>
      </c>
      <c r="AH6788" s="49">
        <f>LEFT(J6788,2)</f>
        <v/>
      </c>
    </row>
    <row r="6789" ht="12.75" customHeight="1">
      <c r="H6789" s="43" t="n"/>
      <c r="AG6789" s="49">
        <f>IFERROR(__xludf.DUMMYFUNCTION("IFNA(vlookup(H6789,IMPORTRANGE(""1vUGwO1n0QQGx9kKbO0_M5gmuhXZ6-LaxQxgrmJnzgP0"",""'TP# look up'!A:C""),3,0),"""")"),"")</f>
        <v/>
      </c>
      <c r="AH6789" s="49">
        <f>LEFT(J6789,2)</f>
        <v/>
      </c>
    </row>
    <row r="6790" ht="12.75" customHeight="1">
      <c r="H6790" s="43" t="n"/>
      <c r="AG6790" s="49">
        <f>IFERROR(__xludf.DUMMYFUNCTION("IFNA(vlookup(H6790,IMPORTRANGE(""1vUGwO1n0QQGx9kKbO0_M5gmuhXZ6-LaxQxgrmJnzgP0"",""'TP# look up'!A:C""),3,0),"""")"),"")</f>
        <v/>
      </c>
      <c r="AH6790" s="49">
        <f>LEFT(J6790,2)</f>
        <v/>
      </c>
    </row>
    <row r="6791" ht="12.75" customHeight="1">
      <c r="H6791" s="43" t="n"/>
      <c r="AG6791" s="49">
        <f>IFERROR(__xludf.DUMMYFUNCTION("IFNA(vlookup(H6791,IMPORTRANGE(""1vUGwO1n0QQGx9kKbO0_M5gmuhXZ6-LaxQxgrmJnzgP0"",""'TP# look up'!A:C""),3,0),"""")"),"")</f>
        <v/>
      </c>
      <c r="AH6791" s="49">
        <f>LEFT(J6791,2)</f>
        <v/>
      </c>
    </row>
    <row r="6792" ht="12.75" customHeight="1">
      <c r="H6792" s="43" t="n"/>
      <c r="AG6792" s="49">
        <f>IFERROR(__xludf.DUMMYFUNCTION("IFNA(vlookup(H6792,IMPORTRANGE(""1vUGwO1n0QQGx9kKbO0_M5gmuhXZ6-LaxQxgrmJnzgP0"",""'TP# look up'!A:C""),3,0),"""")"),"")</f>
        <v/>
      </c>
      <c r="AH6792" s="49">
        <f>LEFT(J6792,2)</f>
        <v/>
      </c>
    </row>
    <row r="6793" ht="12.75" customHeight="1">
      <c r="H6793" s="43" t="n"/>
      <c r="AG6793" s="49">
        <f>IFERROR(__xludf.DUMMYFUNCTION("IFNA(vlookup(H6793,IMPORTRANGE(""1vUGwO1n0QQGx9kKbO0_M5gmuhXZ6-LaxQxgrmJnzgP0"",""'TP# look up'!A:C""),3,0),"""")"),"")</f>
        <v/>
      </c>
      <c r="AH6793" s="49">
        <f>LEFT(J6793,2)</f>
        <v/>
      </c>
    </row>
    <row r="6794" ht="12.75" customHeight="1">
      <c r="H6794" s="43" t="n"/>
      <c r="AG6794" s="49">
        <f>IFERROR(__xludf.DUMMYFUNCTION("IFNA(vlookup(H6794,IMPORTRANGE(""1vUGwO1n0QQGx9kKbO0_M5gmuhXZ6-LaxQxgrmJnzgP0"",""'TP# look up'!A:C""),3,0),"""")"),"")</f>
        <v/>
      </c>
      <c r="AH6794" s="49">
        <f>LEFT(J6794,2)</f>
        <v/>
      </c>
    </row>
    <row r="6795" ht="12.75" customHeight="1">
      <c r="H6795" s="43" t="n"/>
      <c r="AG6795" s="49">
        <f>IFERROR(__xludf.DUMMYFUNCTION("IFNA(vlookup(H6795,IMPORTRANGE(""1vUGwO1n0QQGx9kKbO0_M5gmuhXZ6-LaxQxgrmJnzgP0"",""'TP# look up'!A:C""),3,0),"""")"),"")</f>
        <v/>
      </c>
      <c r="AH6795" s="49">
        <f>LEFT(J6795,2)</f>
        <v/>
      </c>
    </row>
    <row r="6796" ht="12.75" customHeight="1">
      <c r="H6796" s="43" t="n"/>
      <c r="AG6796" s="49">
        <f>IFERROR(__xludf.DUMMYFUNCTION("IFNA(vlookup(H6796,IMPORTRANGE(""1vUGwO1n0QQGx9kKbO0_M5gmuhXZ6-LaxQxgrmJnzgP0"",""'TP# look up'!A:C""),3,0),"""")"),"")</f>
        <v/>
      </c>
      <c r="AH6796" s="49">
        <f>LEFT(J6796,2)</f>
        <v/>
      </c>
    </row>
    <row r="6797" ht="12.75" customHeight="1">
      <c r="H6797" s="43" t="n"/>
      <c r="AG6797" s="49">
        <f>IFERROR(__xludf.DUMMYFUNCTION("IFNA(vlookup(H6797,IMPORTRANGE(""1vUGwO1n0QQGx9kKbO0_M5gmuhXZ6-LaxQxgrmJnzgP0"",""'TP# look up'!A:C""),3,0),"""")"),"")</f>
        <v/>
      </c>
      <c r="AH6797" s="49">
        <f>LEFT(J6797,2)</f>
        <v/>
      </c>
    </row>
    <row r="6798" ht="12.75" customHeight="1">
      <c r="H6798" s="43" t="n"/>
      <c r="AG6798" s="49">
        <f>IFERROR(__xludf.DUMMYFUNCTION("IFNA(vlookup(H6798,IMPORTRANGE(""1vUGwO1n0QQGx9kKbO0_M5gmuhXZ6-LaxQxgrmJnzgP0"",""'TP# look up'!A:C""),3,0),"""")"),"")</f>
        <v/>
      </c>
      <c r="AH6798" s="49">
        <f>LEFT(J6798,2)</f>
        <v/>
      </c>
    </row>
    <row r="6799" ht="12.75" customHeight="1">
      <c r="H6799" s="43" t="n"/>
      <c r="AG6799" s="49">
        <f>IFERROR(__xludf.DUMMYFUNCTION("IFNA(vlookup(H6799,IMPORTRANGE(""1vUGwO1n0QQGx9kKbO0_M5gmuhXZ6-LaxQxgrmJnzgP0"",""'TP# look up'!A:C""),3,0),"""")"),"")</f>
        <v/>
      </c>
      <c r="AH6799" s="49">
        <f>LEFT(J6799,2)</f>
        <v/>
      </c>
    </row>
    <row r="6800" ht="12.75" customHeight="1">
      <c r="H6800" s="43" t="n"/>
      <c r="AG6800" s="49">
        <f>IFERROR(__xludf.DUMMYFUNCTION("IFNA(vlookup(H6800,IMPORTRANGE(""1vUGwO1n0QQGx9kKbO0_M5gmuhXZ6-LaxQxgrmJnzgP0"",""'TP# look up'!A:C""),3,0),"""")"),"")</f>
        <v/>
      </c>
      <c r="AH6800" s="49">
        <f>LEFT(J6800,2)</f>
        <v/>
      </c>
    </row>
    <row r="6801" ht="12.75" customHeight="1">
      <c r="H6801" s="43" t="n"/>
      <c r="AG6801" s="49">
        <f>IFERROR(__xludf.DUMMYFUNCTION("IFNA(vlookup(H6801,IMPORTRANGE(""1vUGwO1n0QQGx9kKbO0_M5gmuhXZ6-LaxQxgrmJnzgP0"",""'TP# look up'!A:C""),3,0),"""")"),"")</f>
        <v/>
      </c>
      <c r="AH6801" s="49">
        <f>LEFT(J6801,2)</f>
        <v/>
      </c>
    </row>
    <row r="6802" ht="12.75" customHeight="1">
      <c r="H6802" s="43" t="n"/>
      <c r="AG6802" s="49">
        <f>IFERROR(__xludf.DUMMYFUNCTION("IFNA(vlookup(H6802,IMPORTRANGE(""1vUGwO1n0QQGx9kKbO0_M5gmuhXZ6-LaxQxgrmJnzgP0"",""'TP# look up'!A:C""),3,0),"""")"),"")</f>
        <v/>
      </c>
      <c r="AH6802" s="49">
        <f>LEFT(J6802,2)</f>
        <v/>
      </c>
    </row>
    <row r="6803" ht="12.75" customHeight="1">
      <c r="H6803" s="43" t="n"/>
      <c r="AG6803" s="49">
        <f>IFERROR(__xludf.DUMMYFUNCTION("IFNA(vlookup(H6803,IMPORTRANGE(""1vUGwO1n0QQGx9kKbO0_M5gmuhXZ6-LaxQxgrmJnzgP0"",""'TP# look up'!A:C""),3,0),"""")"),"")</f>
        <v/>
      </c>
      <c r="AH6803" s="49">
        <f>LEFT(J6803,2)</f>
        <v/>
      </c>
    </row>
    <row r="6804" ht="12.75" customHeight="1">
      <c r="H6804" s="43" t="n"/>
      <c r="AG6804" s="49">
        <f>IFERROR(__xludf.DUMMYFUNCTION("IFNA(vlookup(H6804,IMPORTRANGE(""1vUGwO1n0QQGx9kKbO0_M5gmuhXZ6-LaxQxgrmJnzgP0"",""'TP# look up'!A:C""),3,0),"""")"),"")</f>
        <v/>
      </c>
      <c r="AH6804" s="49">
        <f>LEFT(J6804,2)</f>
        <v/>
      </c>
    </row>
    <row r="6805" ht="12.75" customHeight="1">
      <c r="H6805" s="43" t="n"/>
      <c r="AG6805" s="49">
        <f>IFERROR(__xludf.DUMMYFUNCTION("IFNA(vlookup(H6805,IMPORTRANGE(""1vUGwO1n0QQGx9kKbO0_M5gmuhXZ6-LaxQxgrmJnzgP0"",""'TP# look up'!A:C""),3,0),"""")"),"")</f>
        <v/>
      </c>
      <c r="AH6805" s="49">
        <f>LEFT(J6805,2)</f>
        <v/>
      </c>
    </row>
    <row r="6806" ht="12.75" customHeight="1">
      <c r="H6806" s="43" t="n"/>
      <c r="AG6806" s="49">
        <f>IFERROR(__xludf.DUMMYFUNCTION("IFNA(vlookup(H6806,IMPORTRANGE(""1vUGwO1n0QQGx9kKbO0_M5gmuhXZ6-LaxQxgrmJnzgP0"",""'TP# look up'!A:C""),3,0),"""")"),"")</f>
        <v/>
      </c>
      <c r="AH6806" s="49">
        <f>LEFT(J6806,2)</f>
        <v/>
      </c>
    </row>
    <row r="6807" ht="12.75" customHeight="1">
      <c r="H6807" s="43" t="n"/>
      <c r="AG6807" s="49">
        <f>IFERROR(__xludf.DUMMYFUNCTION("IFNA(vlookup(H6807,IMPORTRANGE(""1vUGwO1n0QQGx9kKbO0_M5gmuhXZ6-LaxQxgrmJnzgP0"",""'TP# look up'!A:C""),3,0),"""")"),"")</f>
        <v/>
      </c>
      <c r="AH6807" s="49">
        <f>LEFT(J6807,2)</f>
        <v/>
      </c>
    </row>
    <row r="6808" ht="12.75" customHeight="1">
      <c r="H6808" s="43" t="n"/>
      <c r="AG6808" s="49">
        <f>IFERROR(__xludf.DUMMYFUNCTION("IFNA(vlookup(H6808,IMPORTRANGE(""1vUGwO1n0QQGx9kKbO0_M5gmuhXZ6-LaxQxgrmJnzgP0"",""'TP# look up'!A:C""),3,0),"""")"),"")</f>
        <v/>
      </c>
      <c r="AH6808" s="49">
        <f>LEFT(J6808,2)</f>
        <v/>
      </c>
    </row>
    <row r="6809" ht="12.75" customHeight="1">
      <c r="H6809" s="43" t="n"/>
      <c r="AG6809" s="49">
        <f>IFERROR(__xludf.DUMMYFUNCTION("IFNA(vlookup(H6809,IMPORTRANGE(""1vUGwO1n0QQGx9kKbO0_M5gmuhXZ6-LaxQxgrmJnzgP0"",""'TP# look up'!A:C""),3,0),"""")"),"")</f>
        <v/>
      </c>
      <c r="AH6809" s="49">
        <f>LEFT(J6809,2)</f>
        <v/>
      </c>
    </row>
    <row r="6810" ht="12.75" customHeight="1">
      <c r="H6810" s="43" t="n"/>
      <c r="AG6810" s="49">
        <f>IFERROR(__xludf.DUMMYFUNCTION("IFNA(vlookup(H6810,IMPORTRANGE(""1vUGwO1n0QQGx9kKbO0_M5gmuhXZ6-LaxQxgrmJnzgP0"",""'TP# look up'!A:C""),3,0),"""")"),"")</f>
        <v/>
      </c>
      <c r="AH6810" s="49">
        <f>LEFT(J6810,2)</f>
        <v/>
      </c>
    </row>
    <row r="6811" ht="12.75" customHeight="1">
      <c r="H6811" s="43" t="n"/>
      <c r="AG6811" s="49">
        <f>IFERROR(__xludf.DUMMYFUNCTION("IFNA(vlookup(H6811,IMPORTRANGE(""1vUGwO1n0QQGx9kKbO0_M5gmuhXZ6-LaxQxgrmJnzgP0"",""'TP# look up'!A:C""),3,0),"""")"),"")</f>
        <v/>
      </c>
      <c r="AH6811" s="49">
        <f>LEFT(J6811,2)</f>
        <v/>
      </c>
    </row>
    <row r="6812" ht="12.75" customHeight="1">
      <c r="H6812" s="43" t="n"/>
      <c r="AG6812" s="49">
        <f>IFERROR(__xludf.DUMMYFUNCTION("IFNA(vlookup(H6812,IMPORTRANGE(""1vUGwO1n0QQGx9kKbO0_M5gmuhXZ6-LaxQxgrmJnzgP0"",""'TP# look up'!A:C""),3,0),"""")"),"")</f>
        <v/>
      </c>
      <c r="AH6812" s="49">
        <f>LEFT(J6812,2)</f>
        <v/>
      </c>
    </row>
    <row r="6813" ht="12.75" customHeight="1">
      <c r="H6813" s="43" t="n"/>
      <c r="AG6813" s="49">
        <f>IFERROR(__xludf.DUMMYFUNCTION("IFNA(vlookup(H6813,IMPORTRANGE(""1vUGwO1n0QQGx9kKbO0_M5gmuhXZ6-LaxQxgrmJnzgP0"",""'TP# look up'!A:C""),3,0),"""")"),"")</f>
        <v/>
      </c>
      <c r="AH6813" s="49">
        <f>LEFT(J6813,2)</f>
        <v/>
      </c>
    </row>
    <row r="6814" ht="12.75" customHeight="1">
      <c r="H6814" s="43" t="n"/>
      <c r="AG6814" s="49">
        <f>IFERROR(__xludf.DUMMYFUNCTION("IFNA(vlookup(H6814,IMPORTRANGE(""1vUGwO1n0QQGx9kKbO0_M5gmuhXZ6-LaxQxgrmJnzgP0"",""'TP# look up'!A:C""),3,0),"""")"),"")</f>
        <v/>
      </c>
      <c r="AH6814" s="49">
        <f>LEFT(J6814,2)</f>
        <v/>
      </c>
    </row>
    <row r="6815" ht="12.75" customHeight="1">
      <c r="H6815" s="43" t="n"/>
      <c r="AG6815" s="49">
        <f>IFERROR(__xludf.DUMMYFUNCTION("IFNA(vlookup(H6815,IMPORTRANGE(""1vUGwO1n0QQGx9kKbO0_M5gmuhXZ6-LaxQxgrmJnzgP0"",""'TP# look up'!A:C""),3,0),"""")"),"")</f>
        <v/>
      </c>
      <c r="AH6815" s="49">
        <f>LEFT(J6815,2)</f>
        <v/>
      </c>
    </row>
    <row r="6816" ht="12.75" customHeight="1">
      <c r="H6816" s="43" t="n"/>
      <c r="AG6816" s="49">
        <f>IFERROR(__xludf.DUMMYFUNCTION("IFNA(vlookup(H6816,IMPORTRANGE(""1vUGwO1n0QQGx9kKbO0_M5gmuhXZ6-LaxQxgrmJnzgP0"",""'TP# look up'!A:C""),3,0),"""")"),"")</f>
        <v/>
      </c>
      <c r="AH6816" s="49">
        <f>LEFT(J6816,2)</f>
        <v/>
      </c>
    </row>
    <row r="6817" ht="12.75" customHeight="1">
      <c r="H6817" s="43" t="n"/>
      <c r="AG6817" s="49">
        <f>IFERROR(__xludf.DUMMYFUNCTION("IFNA(vlookup(H6817,IMPORTRANGE(""1vUGwO1n0QQGx9kKbO0_M5gmuhXZ6-LaxQxgrmJnzgP0"",""'TP# look up'!A:C""),3,0),"""")"),"")</f>
        <v/>
      </c>
      <c r="AH6817" s="49">
        <f>LEFT(J6817,2)</f>
        <v/>
      </c>
    </row>
    <row r="6818" ht="12.75" customHeight="1">
      <c r="H6818" s="43" t="n"/>
      <c r="AG6818" s="49">
        <f>IFERROR(__xludf.DUMMYFUNCTION("IFNA(vlookup(H6818,IMPORTRANGE(""1vUGwO1n0QQGx9kKbO0_M5gmuhXZ6-LaxQxgrmJnzgP0"",""'TP# look up'!A:C""),3,0),"""")"),"")</f>
        <v/>
      </c>
      <c r="AH6818" s="49">
        <f>LEFT(J6818,2)</f>
        <v/>
      </c>
    </row>
    <row r="6819" ht="12.75" customHeight="1">
      <c r="H6819" s="43" t="n"/>
      <c r="AG6819" s="49">
        <f>IFERROR(__xludf.DUMMYFUNCTION("IFNA(vlookup(H6819,IMPORTRANGE(""1vUGwO1n0QQGx9kKbO0_M5gmuhXZ6-LaxQxgrmJnzgP0"",""'TP# look up'!A:C""),3,0),"""")"),"")</f>
        <v/>
      </c>
      <c r="AH6819" s="49">
        <f>LEFT(J6819,2)</f>
        <v/>
      </c>
    </row>
    <row r="6820" ht="12.75" customHeight="1">
      <c r="H6820" s="43" t="n"/>
      <c r="AG6820" s="49">
        <f>IFERROR(__xludf.DUMMYFUNCTION("IFNA(vlookup(H6820,IMPORTRANGE(""1vUGwO1n0QQGx9kKbO0_M5gmuhXZ6-LaxQxgrmJnzgP0"",""'TP# look up'!A:C""),3,0),"""")"),"")</f>
        <v/>
      </c>
      <c r="AH6820" s="49">
        <f>LEFT(J6820,2)</f>
        <v/>
      </c>
    </row>
    <row r="6821" ht="12.75" customHeight="1">
      <c r="H6821" s="43" t="n"/>
      <c r="AG6821" s="49">
        <f>IFERROR(__xludf.DUMMYFUNCTION("IFNA(vlookup(H6821,IMPORTRANGE(""1vUGwO1n0QQGx9kKbO0_M5gmuhXZ6-LaxQxgrmJnzgP0"",""'TP# look up'!A:C""),3,0),"""")"),"")</f>
        <v/>
      </c>
      <c r="AH6821" s="49">
        <f>LEFT(J6821,2)</f>
        <v/>
      </c>
    </row>
    <row r="6822" ht="12.75" customHeight="1">
      <c r="H6822" s="43" t="n"/>
      <c r="AG6822" s="49">
        <f>IFERROR(__xludf.DUMMYFUNCTION("IFNA(vlookup(H6822,IMPORTRANGE(""1vUGwO1n0QQGx9kKbO0_M5gmuhXZ6-LaxQxgrmJnzgP0"",""'TP# look up'!A:C""),3,0),"""")"),"")</f>
        <v/>
      </c>
      <c r="AH6822" s="49">
        <f>LEFT(J6822,2)</f>
        <v/>
      </c>
    </row>
    <row r="6823" ht="12.75" customHeight="1">
      <c r="H6823" s="43" t="n"/>
      <c r="AG6823" s="49">
        <f>IFERROR(__xludf.DUMMYFUNCTION("IFNA(vlookup(H6823,IMPORTRANGE(""1vUGwO1n0QQGx9kKbO0_M5gmuhXZ6-LaxQxgrmJnzgP0"",""'TP# look up'!A:C""),3,0),"""")"),"")</f>
        <v/>
      </c>
      <c r="AH6823" s="49">
        <f>LEFT(J6823,2)</f>
        <v/>
      </c>
    </row>
    <row r="6824" ht="12.75" customHeight="1">
      <c r="H6824" s="43" t="n"/>
      <c r="AG6824" s="49">
        <f>IFERROR(__xludf.DUMMYFUNCTION("IFNA(vlookup(H6824,IMPORTRANGE(""1vUGwO1n0QQGx9kKbO0_M5gmuhXZ6-LaxQxgrmJnzgP0"",""'TP# look up'!A:C""),3,0),"""")"),"")</f>
        <v/>
      </c>
      <c r="AH6824" s="49">
        <f>LEFT(J6824,2)</f>
        <v/>
      </c>
    </row>
    <row r="6825" ht="12.75" customHeight="1">
      <c r="H6825" s="43" t="n"/>
      <c r="AG6825" s="49">
        <f>IFERROR(__xludf.DUMMYFUNCTION("IFNA(vlookup(H6825,IMPORTRANGE(""1vUGwO1n0QQGx9kKbO0_M5gmuhXZ6-LaxQxgrmJnzgP0"",""'TP# look up'!A:C""),3,0),"""")"),"")</f>
        <v/>
      </c>
      <c r="AH6825" s="49">
        <f>LEFT(J6825,2)</f>
        <v/>
      </c>
    </row>
    <row r="6826" ht="12.75" customHeight="1">
      <c r="H6826" s="43" t="n"/>
      <c r="AG6826" s="49">
        <f>IFERROR(__xludf.DUMMYFUNCTION("IFNA(vlookup(H6826,IMPORTRANGE(""1vUGwO1n0QQGx9kKbO0_M5gmuhXZ6-LaxQxgrmJnzgP0"",""'TP# look up'!A:C""),3,0),"""")"),"")</f>
        <v/>
      </c>
      <c r="AH6826" s="49">
        <f>LEFT(J6826,2)</f>
        <v/>
      </c>
    </row>
    <row r="6827" ht="12.75" customHeight="1">
      <c r="H6827" s="43" t="n"/>
      <c r="AG6827" s="49">
        <f>IFERROR(__xludf.DUMMYFUNCTION("IFNA(vlookup(H6827,IMPORTRANGE(""1vUGwO1n0QQGx9kKbO0_M5gmuhXZ6-LaxQxgrmJnzgP0"",""'TP# look up'!A:C""),3,0),"""")"),"")</f>
        <v/>
      </c>
      <c r="AH6827" s="49">
        <f>LEFT(J6827,2)</f>
        <v/>
      </c>
    </row>
    <row r="6828" ht="12.75" customHeight="1">
      <c r="H6828" s="43" t="n"/>
      <c r="AG6828" s="49">
        <f>IFERROR(__xludf.DUMMYFUNCTION("IFNA(vlookup(H6828,IMPORTRANGE(""1vUGwO1n0QQGx9kKbO0_M5gmuhXZ6-LaxQxgrmJnzgP0"",""'TP# look up'!A:C""),3,0),"""")"),"")</f>
        <v/>
      </c>
      <c r="AH6828" s="49">
        <f>LEFT(J6828,2)</f>
        <v/>
      </c>
    </row>
    <row r="6829" ht="12.75" customHeight="1">
      <c r="H6829" s="43" t="n"/>
      <c r="AG6829" s="49">
        <f>IFERROR(__xludf.DUMMYFUNCTION("IFNA(vlookup(H6829,IMPORTRANGE(""1vUGwO1n0QQGx9kKbO0_M5gmuhXZ6-LaxQxgrmJnzgP0"",""'TP# look up'!A:C""),3,0),"""")"),"")</f>
        <v/>
      </c>
      <c r="AH6829" s="49">
        <f>LEFT(J6829,2)</f>
        <v/>
      </c>
    </row>
    <row r="6830" ht="12.75" customHeight="1">
      <c r="H6830" s="43" t="n"/>
      <c r="AG6830" s="49">
        <f>IFERROR(__xludf.DUMMYFUNCTION("IFNA(vlookup(H6830,IMPORTRANGE(""1vUGwO1n0QQGx9kKbO0_M5gmuhXZ6-LaxQxgrmJnzgP0"",""'TP# look up'!A:C""),3,0),"""")"),"")</f>
        <v/>
      </c>
      <c r="AH6830" s="49">
        <f>LEFT(J6830,2)</f>
        <v/>
      </c>
    </row>
    <row r="6831" ht="12.75" customHeight="1">
      <c r="H6831" s="43" t="n"/>
      <c r="AG6831" s="49">
        <f>IFERROR(__xludf.DUMMYFUNCTION("IFNA(vlookup(H6831,IMPORTRANGE(""1vUGwO1n0QQGx9kKbO0_M5gmuhXZ6-LaxQxgrmJnzgP0"",""'TP# look up'!A:C""),3,0),"""")"),"")</f>
        <v/>
      </c>
      <c r="AH6831" s="49">
        <f>LEFT(J6831,2)</f>
        <v/>
      </c>
    </row>
    <row r="6832" ht="12.75" customHeight="1">
      <c r="H6832" s="43" t="n"/>
      <c r="AG6832" s="49">
        <f>IFERROR(__xludf.DUMMYFUNCTION("IFNA(vlookup(H6832,IMPORTRANGE(""1vUGwO1n0QQGx9kKbO0_M5gmuhXZ6-LaxQxgrmJnzgP0"",""'TP# look up'!A:C""),3,0),"""")"),"")</f>
        <v/>
      </c>
      <c r="AH6832" s="49">
        <f>LEFT(J6832,2)</f>
        <v/>
      </c>
    </row>
    <row r="6833" ht="12.75" customHeight="1">
      <c r="H6833" s="43" t="n"/>
      <c r="AG6833" s="49">
        <f>IFERROR(__xludf.DUMMYFUNCTION("IFNA(vlookup(H6833,IMPORTRANGE(""1vUGwO1n0QQGx9kKbO0_M5gmuhXZ6-LaxQxgrmJnzgP0"",""'TP# look up'!A:C""),3,0),"""")"),"")</f>
        <v/>
      </c>
      <c r="AH6833" s="49">
        <f>LEFT(J6833,2)</f>
        <v/>
      </c>
    </row>
    <row r="6834" ht="12.75" customHeight="1">
      <c r="H6834" s="43" t="n"/>
      <c r="AG6834" s="49">
        <f>IFERROR(__xludf.DUMMYFUNCTION("IFNA(vlookup(H6834,IMPORTRANGE(""1vUGwO1n0QQGx9kKbO0_M5gmuhXZ6-LaxQxgrmJnzgP0"",""'TP# look up'!A:C""),3,0),"""")"),"")</f>
        <v/>
      </c>
      <c r="AH6834" s="49">
        <f>LEFT(J6834,2)</f>
        <v/>
      </c>
    </row>
    <row r="6835" ht="12.75" customHeight="1">
      <c r="H6835" s="43" t="n"/>
      <c r="AG6835" s="49">
        <f>IFERROR(__xludf.DUMMYFUNCTION("IFNA(vlookup(H6835,IMPORTRANGE(""1vUGwO1n0QQGx9kKbO0_M5gmuhXZ6-LaxQxgrmJnzgP0"",""'TP# look up'!A:C""),3,0),"""")"),"")</f>
        <v/>
      </c>
      <c r="AH6835" s="49">
        <f>LEFT(J6835,2)</f>
        <v/>
      </c>
    </row>
    <row r="6836" ht="12.75" customHeight="1">
      <c r="H6836" s="43" t="n"/>
      <c r="AG6836" s="49">
        <f>IFERROR(__xludf.DUMMYFUNCTION("IFNA(vlookup(H6836,IMPORTRANGE(""1vUGwO1n0QQGx9kKbO0_M5gmuhXZ6-LaxQxgrmJnzgP0"",""'TP# look up'!A:C""),3,0),"""")"),"")</f>
        <v/>
      </c>
      <c r="AH6836" s="49">
        <f>LEFT(J6836,2)</f>
        <v/>
      </c>
    </row>
    <row r="6837" ht="12.75" customHeight="1">
      <c r="H6837" s="43" t="n"/>
      <c r="AG6837" s="49">
        <f>IFERROR(__xludf.DUMMYFUNCTION("IFNA(vlookup(H6837,IMPORTRANGE(""1vUGwO1n0QQGx9kKbO0_M5gmuhXZ6-LaxQxgrmJnzgP0"",""'TP# look up'!A:C""),3,0),"""")"),"")</f>
        <v/>
      </c>
      <c r="AH6837" s="49">
        <f>LEFT(J6837,2)</f>
        <v/>
      </c>
    </row>
    <row r="6838" ht="12.75" customHeight="1">
      <c r="H6838" s="43" t="n"/>
      <c r="AG6838" s="49">
        <f>IFERROR(__xludf.DUMMYFUNCTION("IFNA(vlookup(H6838,IMPORTRANGE(""1vUGwO1n0QQGx9kKbO0_M5gmuhXZ6-LaxQxgrmJnzgP0"",""'TP# look up'!A:C""),3,0),"""")"),"")</f>
        <v/>
      </c>
      <c r="AH6838" s="49">
        <f>LEFT(J6838,2)</f>
        <v/>
      </c>
    </row>
    <row r="6839" ht="12.75" customHeight="1">
      <c r="H6839" s="43" t="n"/>
      <c r="AG6839" s="49">
        <f>IFERROR(__xludf.DUMMYFUNCTION("IFNA(vlookup(H6839,IMPORTRANGE(""1vUGwO1n0QQGx9kKbO0_M5gmuhXZ6-LaxQxgrmJnzgP0"",""'TP# look up'!A:C""),3,0),"""")"),"")</f>
        <v/>
      </c>
      <c r="AH6839" s="49">
        <f>LEFT(J6839,2)</f>
        <v/>
      </c>
    </row>
    <row r="6840" ht="12.75" customHeight="1">
      <c r="H6840" s="43" t="n"/>
      <c r="AG6840" s="49">
        <f>IFERROR(__xludf.DUMMYFUNCTION("IFNA(vlookup(H6840,IMPORTRANGE(""1vUGwO1n0QQGx9kKbO0_M5gmuhXZ6-LaxQxgrmJnzgP0"",""'TP# look up'!A:C""),3,0),"""")"),"")</f>
        <v/>
      </c>
      <c r="AH6840" s="49">
        <f>LEFT(J6840,2)</f>
        <v/>
      </c>
    </row>
    <row r="6841" ht="12.75" customHeight="1">
      <c r="H6841" s="43" t="n"/>
      <c r="AG6841" s="49">
        <f>IFERROR(__xludf.DUMMYFUNCTION("IFNA(vlookup(H6841,IMPORTRANGE(""1vUGwO1n0QQGx9kKbO0_M5gmuhXZ6-LaxQxgrmJnzgP0"",""'TP# look up'!A:C""),3,0),"""")"),"")</f>
        <v/>
      </c>
      <c r="AH6841" s="49">
        <f>LEFT(J6841,2)</f>
        <v/>
      </c>
    </row>
    <row r="6842" ht="12.75" customHeight="1">
      <c r="H6842" s="43" t="n"/>
      <c r="AG6842" s="49">
        <f>IFERROR(__xludf.DUMMYFUNCTION("IFNA(vlookup(H6842,IMPORTRANGE(""1vUGwO1n0QQGx9kKbO0_M5gmuhXZ6-LaxQxgrmJnzgP0"",""'TP# look up'!A:C""),3,0),"""")"),"")</f>
        <v/>
      </c>
      <c r="AH6842" s="49">
        <f>LEFT(J6842,2)</f>
        <v/>
      </c>
    </row>
    <row r="6843" ht="12.75" customHeight="1">
      <c r="H6843" s="43" t="n"/>
      <c r="AG6843" s="49">
        <f>IFERROR(__xludf.DUMMYFUNCTION("IFNA(vlookup(H6843,IMPORTRANGE(""1vUGwO1n0QQGx9kKbO0_M5gmuhXZ6-LaxQxgrmJnzgP0"",""'TP# look up'!A:C""),3,0),"""")"),"")</f>
        <v/>
      </c>
      <c r="AH6843" s="49">
        <f>LEFT(J6843,2)</f>
        <v/>
      </c>
    </row>
    <row r="6844" ht="12.75" customHeight="1">
      <c r="H6844" s="43" t="n"/>
      <c r="AG6844" s="49">
        <f>IFERROR(__xludf.DUMMYFUNCTION("IFNA(vlookup(H6844,IMPORTRANGE(""1vUGwO1n0QQGx9kKbO0_M5gmuhXZ6-LaxQxgrmJnzgP0"",""'TP# look up'!A:C""),3,0),"""")"),"")</f>
        <v/>
      </c>
      <c r="AH6844" s="49">
        <f>LEFT(J6844,2)</f>
        <v/>
      </c>
    </row>
    <row r="6845" ht="12.75" customHeight="1">
      <c r="H6845" s="43" t="n"/>
      <c r="AG6845" s="49">
        <f>IFERROR(__xludf.DUMMYFUNCTION("IFNA(vlookup(H6845,IMPORTRANGE(""1vUGwO1n0QQGx9kKbO0_M5gmuhXZ6-LaxQxgrmJnzgP0"",""'TP# look up'!A:C""),3,0),"""")"),"")</f>
        <v/>
      </c>
      <c r="AH6845" s="49">
        <f>LEFT(J6845,2)</f>
        <v/>
      </c>
    </row>
    <row r="6846" ht="12.75" customHeight="1">
      <c r="H6846" s="43" t="n"/>
      <c r="AG6846" s="49">
        <f>IFERROR(__xludf.DUMMYFUNCTION("IFNA(vlookup(H6846,IMPORTRANGE(""1vUGwO1n0QQGx9kKbO0_M5gmuhXZ6-LaxQxgrmJnzgP0"",""'TP# look up'!A:C""),3,0),"""")"),"")</f>
        <v/>
      </c>
      <c r="AH6846" s="49">
        <f>LEFT(J6846,2)</f>
        <v/>
      </c>
    </row>
    <row r="6847" ht="12.75" customHeight="1">
      <c r="H6847" s="43" t="n"/>
      <c r="AG6847" s="49">
        <f>IFERROR(__xludf.DUMMYFUNCTION("IFNA(vlookup(H6847,IMPORTRANGE(""1vUGwO1n0QQGx9kKbO0_M5gmuhXZ6-LaxQxgrmJnzgP0"",""'TP# look up'!A:C""),3,0),"""")"),"")</f>
        <v/>
      </c>
      <c r="AH6847" s="49">
        <f>LEFT(J6847,2)</f>
        <v/>
      </c>
    </row>
    <row r="6848" ht="12.75" customHeight="1">
      <c r="H6848" s="43" t="n"/>
      <c r="AG6848" s="49">
        <f>IFERROR(__xludf.DUMMYFUNCTION("IFNA(vlookup(H6848,IMPORTRANGE(""1vUGwO1n0QQGx9kKbO0_M5gmuhXZ6-LaxQxgrmJnzgP0"",""'TP# look up'!A:C""),3,0),"""")"),"")</f>
        <v/>
      </c>
      <c r="AH6848" s="49">
        <f>LEFT(J6848,2)</f>
        <v/>
      </c>
    </row>
    <row r="6849" ht="12.75" customHeight="1">
      <c r="H6849" s="43" t="n"/>
      <c r="AG6849" s="49">
        <f>IFERROR(__xludf.DUMMYFUNCTION("IFNA(vlookup(H6849,IMPORTRANGE(""1vUGwO1n0QQGx9kKbO0_M5gmuhXZ6-LaxQxgrmJnzgP0"",""'TP# look up'!A:C""),3,0),"""")"),"")</f>
        <v/>
      </c>
      <c r="AH6849" s="49">
        <f>LEFT(J6849,2)</f>
        <v/>
      </c>
    </row>
    <row r="6850" ht="12.75" customHeight="1">
      <c r="H6850" s="43" t="n"/>
      <c r="AG6850" s="49">
        <f>IFERROR(__xludf.DUMMYFUNCTION("IFNA(vlookup(H6850,IMPORTRANGE(""1vUGwO1n0QQGx9kKbO0_M5gmuhXZ6-LaxQxgrmJnzgP0"",""'TP# look up'!A:C""),3,0),"""")"),"")</f>
        <v/>
      </c>
      <c r="AH6850" s="49">
        <f>LEFT(J6850,2)</f>
        <v/>
      </c>
    </row>
    <row r="6851" ht="12.75" customHeight="1">
      <c r="H6851" s="43" t="n"/>
      <c r="AG6851" s="49">
        <f>IFERROR(__xludf.DUMMYFUNCTION("IFNA(vlookup(H6851,IMPORTRANGE(""1vUGwO1n0QQGx9kKbO0_M5gmuhXZ6-LaxQxgrmJnzgP0"",""'TP# look up'!A:C""),3,0),"""")"),"")</f>
        <v/>
      </c>
      <c r="AH6851" s="49">
        <f>LEFT(J6851,2)</f>
        <v/>
      </c>
    </row>
    <row r="6852" ht="12.75" customHeight="1">
      <c r="H6852" s="43" t="n"/>
      <c r="AG6852" s="49">
        <f>IFERROR(__xludf.DUMMYFUNCTION("IFNA(vlookup(H6852,IMPORTRANGE(""1vUGwO1n0QQGx9kKbO0_M5gmuhXZ6-LaxQxgrmJnzgP0"",""'TP# look up'!A:C""),3,0),"""")"),"")</f>
        <v/>
      </c>
      <c r="AH6852" s="49">
        <f>LEFT(J6852,2)</f>
        <v/>
      </c>
    </row>
    <row r="6853" ht="12.75" customHeight="1">
      <c r="H6853" s="43" t="n"/>
      <c r="AG6853" s="49">
        <f>IFERROR(__xludf.DUMMYFUNCTION("IFNA(vlookup(H6853,IMPORTRANGE(""1vUGwO1n0QQGx9kKbO0_M5gmuhXZ6-LaxQxgrmJnzgP0"",""'TP# look up'!A:C""),3,0),"""")"),"")</f>
        <v/>
      </c>
      <c r="AH6853" s="49">
        <f>LEFT(J6853,2)</f>
        <v/>
      </c>
    </row>
    <row r="6854" ht="12.75" customHeight="1">
      <c r="H6854" s="43" t="n"/>
      <c r="AG6854" s="49">
        <f>IFERROR(__xludf.DUMMYFUNCTION("IFNA(vlookup(H6854,IMPORTRANGE(""1vUGwO1n0QQGx9kKbO0_M5gmuhXZ6-LaxQxgrmJnzgP0"",""'TP# look up'!A:C""),3,0),"""")"),"")</f>
        <v/>
      </c>
      <c r="AH6854" s="49">
        <f>LEFT(J6854,2)</f>
        <v/>
      </c>
    </row>
    <row r="6855" ht="12.75" customHeight="1">
      <c r="H6855" s="43" t="n"/>
      <c r="AG6855" s="49">
        <f>IFERROR(__xludf.DUMMYFUNCTION("IFNA(vlookup(H6855,IMPORTRANGE(""1vUGwO1n0QQGx9kKbO0_M5gmuhXZ6-LaxQxgrmJnzgP0"",""'TP# look up'!A:C""),3,0),"""")"),"")</f>
        <v/>
      </c>
      <c r="AH6855" s="49">
        <f>LEFT(J6855,2)</f>
        <v/>
      </c>
    </row>
    <row r="6856" ht="12.75" customHeight="1">
      <c r="H6856" s="43" t="n"/>
      <c r="AG6856" s="49">
        <f>IFERROR(__xludf.DUMMYFUNCTION("IFNA(vlookup(H6856,IMPORTRANGE(""1vUGwO1n0QQGx9kKbO0_M5gmuhXZ6-LaxQxgrmJnzgP0"",""'TP# look up'!A:C""),3,0),"""")"),"")</f>
        <v/>
      </c>
      <c r="AH6856" s="49">
        <f>LEFT(J6856,2)</f>
        <v/>
      </c>
    </row>
    <row r="6857" ht="12.75" customHeight="1">
      <c r="H6857" s="43" t="n"/>
      <c r="AG6857" s="49">
        <f>IFERROR(__xludf.DUMMYFUNCTION("IFNA(vlookup(H6857,IMPORTRANGE(""1vUGwO1n0QQGx9kKbO0_M5gmuhXZ6-LaxQxgrmJnzgP0"",""'TP# look up'!A:C""),3,0),"""")"),"")</f>
        <v/>
      </c>
      <c r="AH6857" s="49">
        <f>LEFT(J6857,2)</f>
        <v/>
      </c>
    </row>
    <row r="6858" ht="12.75" customHeight="1">
      <c r="H6858" s="43" t="n"/>
      <c r="AG6858" s="49">
        <f>IFERROR(__xludf.DUMMYFUNCTION("IFNA(vlookup(H6858,IMPORTRANGE(""1vUGwO1n0QQGx9kKbO0_M5gmuhXZ6-LaxQxgrmJnzgP0"",""'TP# look up'!A:C""),3,0),"""")"),"")</f>
        <v/>
      </c>
      <c r="AH6858" s="49">
        <f>LEFT(J6858,2)</f>
        <v/>
      </c>
    </row>
    <row r="6859" ht="12.75" customHeight="1">
      <c r="H6859" s="43" t="n"/>
      <c r="AG6859" s="49">
        <f>IFERROR(__xludf.DUMMYFUNCTION("IFNA(vlookup(H6859,IMPORTRANGE(""1vUGwO1n0QQGx9kKbO0_M5gmuhXZ6-LaxQxgrmJnzgP0"",""'TP# look up'!A:C""),3,0),"""")"),"")</f>
        <v/>
      </c>
      <c r="AH6859" s="49">
        <f>LEFT(J6859,2)</f>
        <v/>
      </c>
    </row>
    <row r="6860" ht="12.75" customHeight="1">
      <c r="H6860" s="43" t="n"/>
      <c r="AG6860" s="49">
        <f>IFERROR(__xludf.DUMMYFUNCTION("IFNA(vlookup(H6860,IMPORTRANGE(""1vUGwO1n0QQGx9kKbO0_M5gmuhXZ6-LaxQxgrmJnzgP0"",""'TP# look up'!A:C""),3,0),"""")"),"")</f>
        <v/>
      </c>
      <c r="AH6860" s="49">
        <f>LEFT(J6860,2)</f>
        <v/>
      </c>
    </row>
    <row r="6861" ht="12.75" customHeight="1">
      <c r="H6861" s="43" t="n"/>
      <c r="AG6861" s="49">
        <f>IFERROR(__xludf.DUMMYFUNCTION("IFNA(vlookup(H6861,IMPORTRANGE(""1vUGwO1n0QQGx9kKbO0_M5gmuhXZ6-LaxQxgrmJnzgP0"",""'TP# look up'!A:C""),3,0),"""")"),"")</f>
        <v/>
      </c>
      <c r="AH6861" s="49">
        <f>LEFT(J6861,2)</f>
        <v/>
      </c>
    </row>
    <row r="6862" ht="12.75" customHeight="1">
      <c r="H6862" s="43" t="n"/>
      <c r="AG6862" s="49">
        <f>IFERROR(__xludf.DUMMYFUNCTION("IFNA(vlookup(H6862,IMPORTRANGE(""1vUGwO1n0QQGx9kKbO0_M5gmuhXZ6-LaxQxgrmJnzgP0"",""'TP# look up'!A:C""),3,0),"""")"),"")</f>
        <v/>
      </c>
      <c r="AH6862" s="49">
        <f>LEFT(J6862,2)</f>
        <v/>
      </c>
    </row>
    <row r="6863" ht="12.75" customHeight="1">
      <c r="H6863" s="43" t="n"/>
      <c r="AG6863" s="49">
        <f>IFERROR(__xludf.DUMMYFUNCTION("IFNA(vlookup(H6863,IMPORTRANGE(""1vUGwO1n0QQGx9kKbO0_M5gmuhXZ6-LaxQxgrmJnzgP0"",""'TP# look up'!A:C""),3,0),"""")"),"")</f>
        <v/>
      </c>
      <c r="AH6863" s="49">
        <f>LEFT(J6863,2)</f>
        <v/>
      </c>
    </row>
    <row r="6864" ht="12.75" customHeight="1">
      <c r="H6864" s="43" t="n"/>
      <c r="AG6864" s="49">
        <f>IFERROR(__xludf.DUMMYFUNCTION("IFNA(vlookup(H6864,IMPORTRANGE(""1vUGwO1n0QQGx9kKbO0_M5gmuhXZ6-LaxQxgrmJnzgP0"",""'TP# look up'!A:C""),3,0),"""")"),"")</f>
        <v/>
      </c>
      <c r="AH6864" s="49">
        <f>LEFT(J6864,2)</f>
        <v/>
      </c>
    </row>
    <row r="6865" ht="12.75" customHeight="1">
      <c r="H6865" s="43" t="n"/>
      <c r="AG6865" s="49">
        <f>IFERROR(__xludf.DUMMYFUNCTION("IFNA(vlookup(H6865,IMPORTRANGE(""1vUGwO1n0QQGx9kKbO0_M5gmuhXZ6-LaxQxgrmJnzgP0"",""'TP# look up'!A:C""),3,0),"""")"),"")</f>
        <v/>
      </c>
      <c r="AH6865" s="49">
        <f>LEFT(J6865,2)</f>
        <v/>
      </c>
    </row>
    <row r="6866" ht="12.75" customHeight="1">
      <c r="H6866" s="43" t="n"/>
      <c r="AG6866" s="49">
        <f>IFERROR(__xludf.DUMMYFUNCTION("IFNA(vlookup(H6866,IMPORTRANGE(""1vUGwO1n0QQGx9kKbO0_M5gmuhXZ6-LaxQxgrmJnzgP0"",""'TP# look up'!A:C""),3,0),"""")"),"")</f>
        <v/>
      </c>
      <c r="AH6866" s="49">
        <f>LEFT(J6866,2)</f>
        <v/>
      </c>
    </row>
    <row r="6867" ht="12.75" customHeight="1">
      <c r="H6867" s="43" t="n"/>
      <c r="AG6867" s="49">
        <f>IFERROR(__xludf.DUMMYFUNCTION("IFNA(vlookup(H6867,IMPORTRANGE(""1vUGwO1n0QQGx9kKbO0_M5gmuhXZ6-LaxQxgrmJnzgP0"",""'TP# look up'!A:C""),3,0),"""")"),"")</f>
        <v/>
      </c>
      <c r="AH6867" s="49">
        <f>LEFT(J6867,2)</f>
        <v/>
      </c>
    </row>
    <row r="6868" ht="12.75" customHeight="1">
      <c r="H6868" s="43" t="n"/>
      <c r="AG6868" s="49">
        <f>IFERROR(__xludf.DUMMYFUNCTION("IFNA(vlookup(H6868,IMPORTRANGE(""1vUGwO1n0QQGx9kKbO0_M5gmuhXZ6-LaxQxgrmJnzgP0"",""'TP# look up'!A:C""),3,0),"""")"),"")</f>
        <v/>
      </c>
      <c r="AH6868" s="49">
        <f>LEFT(J6868,2)</f>
        <v/>
      </c>
    </row>
    <row r="6869" ht="12.75" customHeight="1">
      <c r="H6869" s="43" t="n"/>
      <c r="AG6869" s="49">
        <f>IFERROR(__xludf.DUMMYFUNCTION("IFNA(vlookup(H6869,IMPORTRANGE(""1vUGwO1n0QQGx9kKbO0_M5gmuhXZ6-LaxQxgrmJnzgP0"",""'TP# look up'!A:C""),3,0),"""")"),"")</f>
        <v/>
      </c>
      <c r="AH6869" s="49">
        <f>LEFT(J6869,2)</f>
        <v/>
      </c>
    </row>
    <row r="6870" ht="12.75" customHeight="1">
      <c r="H6870" s="43" t="n"/>
      <c r="AG6870" s="49">
        <f>IFERROR(__xludf.DUMMYFUNCTION("IFNA(vlookup(H6870,IMPORTRANGE(""1vUGwO1n0QQGx9kKbO0_M5gmuhXZ6-LaxQxgrmJnzgP0"",""'TP# look up'!A:C""),3,0),"""")"),"")</f>
        <v/>
      </c>
      <c r="AH6870" s="49">
        <f>LEFT(J6870,2)</f>
        <v/>
      </c>
    </row>
    <row r="6871" ht="12.75" customHeight="1">
      <c r="H6871" s="43" t="n"/>
      <c r="AG6871" s="49">
        <f>IFERROR(__xludf.DUMMYFUNCTION("IFNA(vlookup(H6871,IMPORTRANGE(""1vUGwO1n0QQGx9kKbO0_M5gmuhXZ6-LaxQxgrmJnzgP0"",""'TP# look up'!A:C""),3,0),"""")"),"")</f>
        <v/>
      </c>
      <c r="AH6871" s="49">
        <f>LEFT(J6871,2)</f>
        <v/>
      </c>
    </row>
    <row r="6872" ht="12.75" customHeight="1">
      <c r="H6872" s="43" t="n"/>
      <c r="AG6872" s="49">
        <f>IFERROR(__xludf.DUMMYFUNCTION("IFNA(vlookup(H6872,IMPORTRANGE(""1vUGwO1n0QQGx9kKbO0_M5gmuhXZ6-LaxQxgrmJnzgP0"",""'TP# look up'!A:C""),3,0),"""")"),"")</f>
        <v/>
      </c>
      <c r="AH6872" s="49">
        <f>LEFT(J6872,2)</f>
        <v/>
      </c>
    </row>
    <row r="6873" ht="12.75" customHeight="1">
      <c r="H6873" s="43" t="n"/>
      <c r="AG6873" s="49">
        <f>IFERROR(__xludf.DUMMYFUNCTION("IFNA(vlookup(H6873,IMPORTRANGE(""1vUGwO1n0QQGx9kKbO0_M5gmuhXZ6-LaxQxgrmJnzgP0"",""'TP# look up'!A:C""),3,0),"""")"),"")</f>
        <v/>
      </c>
      <c r="AH6873" s="49">
        <f>LEFT(J6873,2)</f>
        <v/>
      </c>
    </row>
    <row r="6874" ht="12.75" customHeight="1">
      <c r="H6874" s="43" t="n"/>
      <c r="AG6874" s="49">
        <f>IFERROR(__xludf.DUMMYFUNCTION("IFNA(vlookup(H6874,IMPORTRANGE(""1vUGwO1n0QQGx9kKbO0_M5gmuhXZ6-LaxQxgrmJnzgP0"",""'TP# look up'!A:C""),3,0),"""")"),"")</f>
        <v/>
      </c>
      <c r="AH6874" s="49">
        <f>LEFT(J6874,2)</f>
        <v/>
      </c>
    </row>
    <row r="6875" ht="12.75" customHeight="1">
      <c r="H6875" s="43" t="n"/>
      <c r="AG6875" s="49">
        <f>IFERROR(__xludf.DUMMYFUNCTION("IFNA(vlookup(H6875,IMPORTRANGE(""1vUGwO1n0QQGx9kKbO0_M5gmuhXZ6-LaxQxgrmJnzgP0"",""'TP# look up'!A:C""),3,0),"""")"),"")</f>
        <v/>
      </c>
      <c r="AH6875" s="49">
        <f>LEFT(J6875,2)</f>
        <v/>
      </c>
    </row>
    <row r="6876" ht="12.75" customHeight="1">
      <c r="H6876" s="43" t="n"/>
      <c r="AG6876" s="49">
        <f>IFERROR(__xludf.DUMMYFUNCTION("IFNA(vlookup(H6876,IMPORTRANGE(""1vUGwO1n0QQGx9kKbO0_M5gmuhXZ6-LaxQxgrmJnzgP0"",""'TP# look up'!A:C""),3,0),"""")"),"")</f>
        <v/>
      </c>
      <c r="AH6876" s="49">
        <f>LEFT(J6876,2)</f>
        <v/>
      </c>
    </row>
    <row r="6877" ht="12.75" customHeight="1">
      <c r="H6877" s="43" t="n"/>
      <c r="AG6877" s="49">
        <f>IFERROR(__xludf.DUMMYFUNCTION("IFNA(vlookup(H6877,IMPORTRANGE(""1vUGwO1n0QQGx9kKbO0_M5gmuhXZ6-LaxQxgrmJnzgP0"",""'TP# look up'!A:C""),3,0),"""")"),"")</f>
        <v/>
      </c>
      <c r="AH6877" s="49">
        <f>LEFT(J6877,2)</f>
        <v/>
      </c>
    </row>
    <row r="6878" ht="12.75" customHeight="1">
      <c r="H6878" s="43" t="n"/>
      <c r="AG6878" s="49">
        <f>IFERROR(__xludf.DUMMYFUNCTION("IFNA(vlookup(H6878,IMPORTRANGE(""1vUGwO1n0QQGx9kKbO0_M5gmuhXZ6-LaxQxgrmJnzgP0"",""'TP# look up'!A:C""),3,0),"""")"),"")</f>
        <v/>
      </c>
      <c r="AH6878" s="49">
        <f>LEFT(J6878,2)</f>
        <v/>
      </c>
    </row>
    <row r="6879" ht="12.75" customHeight="1">
      <c r="H6879" s="43" t="n"/>
      <c r="AG6879" s="49">
        <f>IFERROR(__xludf.DUMMYFUNCTION("IFNA(vlookup(H6879,IMPORTRANGE(""1vUGwO1n0QQGx9kKbO0_M5gmuhXZ6-LaxQxgrmJnzgP0"",""'TP# look up'!A:C""),3,0),"""")"),"")</f>
        <v/>
      </c>
      <c r="AH6879" s="49">
        <f>LEFT(J6879,2)</f>
        <v/>
      </c>
    </row>
    <row r="6880" ht="12.75" customHeight="1">
      <c r="H6880" s="43" t="n"/>
      <c r="AG6880" s="49">
        <f>IFERROR(__xludf.DUMMYFUNCTION("IFNA(vlookup(H6880,IMPORTRANGE(""1vUGwO1n0QQGx9kKbO0_M5gmuhXZ6-LaxQxgrmJnzgP0"",""'TP# look up'!A:C""),3,0),"""")"),"")</f>
        <v/>
      </c>
      <c r="AH6880" s="49">
        <f>LEFT(J6880,2)</f>
        <v/>
      </c>
    </row>
    <row r="6881" ht="12.75" customHeight="1">
      <c r="H6881" s="43" t="n"/>
      <c r="AG6881" s="49">
        <f>IFERROR(__xludf.DUMMYFUNCTION("IFNA(vlookup(H6881,IMPORTRANGE(""1vUGwO1n0QQGx9kKbO0_M5gmuhXZ6-LaxQxgrmJnzgP0"",""'TP# look up'!A:C""),3,0),"""")"),"")</f>
        <v/>
      </c>
      <c r="AH6881" s="49">
        <f>LEFT(J6881,2)</f>
        <v/>
      </c>
    </row>
    <row r="6882" ht="12.75" customHeight="1">
      <c r="H6882" s="43" t="n"/>
      <c r="AG6882" s="49">
        <f>IFERROR(__xludf.DUMMYFUNCTION("IFNA(vlookup(H6882,IMPORTRANGE(""1vUGwO1n0QQGx9kKbO0_M5gmuhXZ6-LaxQxgrmJnzgP0"",""'TP# look up'!A:C""),3,0),"""")"),"")</f>
        <v/>
      </c>
      <c r="AH6882" s="49">
        <f>LEFT(J6882,2)</f>
        <v/>
      </c>
    </row>
    <row r="6883" ht="12.75" customHeight="1">
      <c r="H6883" s="43" t="n"/>
      <c r="AG6883" s="49">
        <f>IFERROR(__xludf.DUMMYFUNCTION("IFNA(vlookup(H6883,IMPORTRANGE(""1vUGwO1n0QQGx9kKbO0_M5gmuhXZ6-LaxQxgrmJnzgP0"",""'TP# look up'!A:C""),3,0),"""")"),"")</f>
        <v/>
      </c>
      <c r="AH6883" s="49">
        <f>LEFT(J6883,2)</f>
        <v/>
      </c>
    </row>
    <row r="6884" ht="12.75" customHeight="1">
      <c r="H6884" s="43" t="n"/>
      <c r="AG6884" s="49">
        <f>IFERROR(__xludf.DUMMYFUNCTION("IFNA(vlookup(H6884,IMPORTRANGE(""1vUGwO1n0QQGx9kKbO0_M5gmuhXZ6-LaxQxgrmJnzgP0"",""'TP# look up'!A:C""),3,0),"""")"),"")</f>
        <v/>
      </c>
      <c r="AH6884" s="49">
        <f>LEFT(J6884,2)</f>
        <v/>
      </c>
    </row>
    <row r="6885" ht="12.75" customHeight="1">
      <c r="H6885" s="43" t="n"/>
      <c r="AG6885" s="49">
        <f>IFERROR(__xludf.DUMMYFUNCTION("IFNA(vlookup(H6885,IMPORTRANGE(""1vUGwO1n0QQGx9kKbO0_M5gmuhXZ6-LaxQxgrmJnzgP0"",""'TP# look up'!A:C""),3,0),"""")"),"")</f>
        <v/>
      </c>
      <c r="AH6885" s="49">
        <f>LEFT(J6885,2)</f>
        <v/>
      </c>
    </row>
    <row r="6886" ht="12.75" customHeight="1">
      <c r="H6886" s="43" t="n"/>
      <c r="AG6886" s="49">
        <f>IFERROR(__xludf.DUMMYFUNCTION("IFNA(vlookup(H6886,IMPORTRANGE(""1vUGwO1n0QQGx9kKbO0_M5gmuhXZ6-LaxQxgrmJnzgP0"",""'TP# look up'!A:C""),3,0),"""")"),"")</f>
        <v/>
      </c>
      <c r="AH6886" s="49">
        <f>LEFT(J6886,2)</f>
        <v/>
      </c>
    </row>
    <row r="6887" ht="12.75" customHeight="1">
      <c r="H6887" s="43" t="n"/>
      <c r="AG6887" s="49">
        <f>IFERROR(__xludf.DUMMYFUNCTION("IFNA(vlookup(H6887,IMPORTRANGE(""1vUGwO1n0QQGx9kKbO0_M5gmuhXZ6-LaxQxgrmJnzgP0"",""'TP# look up'!A:C""),3,0),"""")"),"")</f>
        <v/>
      </c>
      <c r="AH6887" s="49">
        <f>LEFT(J6887,2)</f>
        <v/>
      </c>
    </row>
    <row r="6888" ht="12.75" customHeight="1">
      <c r="H6888" s="43" t="n"/>
      <c r="AG6888" s="49">
        <f>IFERROR(__xludf.DUMMYFUNCTION("IFNA(vlookup(H6888,IMPORTRANGE(""1vUGwO1n0QQGx9kKbO0_M5gmuhXZ6-LaxQxgrmJnzgP0"",""'TP# look up'!A:C""),3,0),"""")"),"")</f>
        <v/>
      </c>
      <c r="AH6888" s="49">
        <f>LEFT(J6888,2)</f>
        <v/>
      </c>
    </row>
    <row r="6889" ht="12.75" customHeight="1">
      <c r="H6889" s="43" t="n"/>
      <c r="AG6889" s="49">
        <f>IFERROR(__xludf.DUMMYFUNCTION("IFNA(vlookup(H6889,IMPORTRANGE(""1vUGwO1n0QQGx9kKbO0_M5gmuhXZ6-LaxQxgrmJnzgP0"",""'TP# look up'!A:C""),3,0),"""")"),"")</f>
        <v/>
      </c>
      <c r="AH6889" s="49">
        <f>LEFT(J6889,2)</f>
        <v/>
      </c>
    </row>
    <row r="6890" ht="12.75" customHeight="1">
      <c r="H6890" s="43" t="n"/>
      <c r="AG6890" s="49">
        <f>IFERROR(__xludf.DUMMYFUNCTION("IFNA(vlookup(H6890,IMPORTRANGE(""1vUGwO1n0QQGx9kKbO0_M5gmuhXZ6-LaxQxgrmJnzgP0"",""'TP# look up'!A:C""),3,0),"""")"),"")</f>
        <v/>
      </c>
      <c r="AH6890" s="49">
        <f>LEFT(J6890,2)</f>
        <v/>
      </c>
    </row>
    <row r="6891" ht="12.75" customHeight="1">
      <c r="H6891" s="43" t="n"/>
      <c r="AG6891" s="49">
        <f>IFERROR(__xludf.DUMMYFUNCTION("IFNA(vlookup(H6891,IMPORTRANGE(""1vUGwO1n0QQGx9kKbO0_M5gmuhXZ6-LaxQxgrmJnzgP0"",""'TP# look up'!A:C""),3,0),"""")"),"")</f>
        <v/>
      </c>
      <c r="AH6891" s="49">
        <f>LEFT(J6891,2)</f>
        <v/>
      </c>
    </row>
    <row r="6892" ht="12.75" customHeight="1">
      <c r="H6892" s="43" t="n"/>
      <c r="AG6892" s="49">
        <f>IFERROR(__xludf.DUMMYFUNCTION("IFNA(vlookup(H6892,IMPORTRANGE(""1vUGwO1n0QQGx9kKbO0_M5gmuhXZ6-LaxQxgrmJnzgP0"",""'TP# look up'!A:C""),3,0),"""")"),"")</f>
        <v/>
      </c>
      <c r="AH6892" s="49">
        <f>LEFT(J6892,2)</f>
        <v/>
      </c>
    </row>
    <row r="6893" ht="12.75" customHeight="1">
      <c r="H6893" s="43" t="n"/>
      <c r="AG6893" s="49">
        <f>IFERROR(__xludf.DUMMYFUNCTION("IFNA(vlookup(H6893,IMPORTRANGE(""1vUGwO1n0QQGx9kKbO0_M5gmuhXZ6-LaxQxgrmJnzgP0"",""'TP# look up'!A:C""),3,0),"""")"),"")</f>
        <v/>
      </c>
      <c r="AH6893" s="49">
        <f>LEFT(J6893,2)</f>
        <v/>
      </c>
    </row>
    <row r="6894" ht="12.75" customHeight="1">
      <c r="H6894" s="43" t="n"/>
      <c r="AG6894" s="49">
        <f>IFERROR(__xludf.DUMMYFUNCTION("IFNA(vlookup(H6894,IMPORTRANGE(""1vUGwO1n0QQGx9kKbO0_M5gmuhXZ6-LaxQxgrmJnzgP0"",""'TP# look up'!A:C""),3,0),"""")"),"")</f>
        <v/>
      </c>
      <c r="AH6894" s="49">
        <f>LEFT(J6894,2)</f>
        <v/>
      </c>
    </row>
    <row r="6895" ht="12.75" customHeight="1">
      <c r="H6895" s="43" t="n"/>
      <c r="AG6895" s="49">
        <f>IFERROR(__xludf.DUMMYFUNCTION("IFNA(vlookup(H6895,IMPORTRANGE(""1vUGwO1n0QQGx9kKbO0_M5gmuhXZ6-LaxQxgrmJnzgP0"",""'TP# look up'!A:C""),3,0),"""")"),"")</f>
        <v/>
      </c>
      <c r="AH6895" s="49">
        <f>LEFT(J6895,2)</f>
        <v/>
      </c>
    </row>
    <row r="6896" ht="12.75" customHeight="1">
      <c r="H6896" s="43" t="n"/>
      <c r="AG6896" s="49">
        <f>IFERROR(__xludf.DUMMYFUNCTION("IFNA(vlookup(H6896,IMPORTRANGE(""1vUGwO1n0QQGx9kKbO0_M5gmuhXZ6-LaxQxgrmJnzgP0"",""'TP# look up'!A:C""),3,0),"""")"),"")</f>
        <v/>
      </c>
      <c r="AH6896" s="49">
        <f>LEFT(J6896,2)</f>
        <v/>
      </c>
    </row>
    <row r="6897" ht="12.75" customHeight="1">
      <c r="H6897" s="43" t="n"/>
      <c r="AG6897" s="49">
        <f>IFERROR(__xludf.DUMMYFUNCTION("IFNA(vlookup(H6897,IMPORTRANGE(""1vUGwO1n0QQGx9kKbO0_M5gmuhXZ6-LaxQxgrmJnzgP0"",""'TP# look up'!A:C""),3,0),"""")"),"")</f>
        <v/>
      </c>
      <c r="AH6897" s="49">
        <f>LEFT(J6897,2)</f>
        <v/>
      </c>
    </row>
    <row r="6898" ht="12.75" customHeight="1">
      <c r="H6898" s="43" t="n"/>
      <c r="AG6898" s="49">
        <f>IFERROR(__xludf.DUMMYFUNCTION("IFNA(vlookup(H6898,IMPORTRANGE(""1vUGwO1n0QQGx9kKbO0_M5gmuhXZ6-LaxQxgrmJnzgP0"",""'TP# look up'!A:C""),3,0),"""")"),"")</f>
        <v/>
      </c>
      <c r="AH6898" s="49">
        <f>LEFT(J6898,2)</f>
        <v/>
      </c>
    </row>
    <row r="6899" ht="12.75" customHeight="1">
      <c r="H6899" s="43" t="n"/>
      <c r="AG6899" s="49">
        <f>IFERROR(__xludf.DUMMYFUNCTION("IFNA(vlookup(H6899,IMPORTRANGE(""1vUGwO1n0QQGx9kKbO0_M5gmuhXZ6-LaxQxgrmJnzgP0"",""'TP# look up'!A:C""),3,0),"""")"),"")</f>
        <v/>
      </c>
      <c r="AH6899" s="49">
        <f>LEFT(J6899,2)</f>
        <v/>
      </c>
    </row>
    <row r="6900" ht="12.75" customHeight="1">
      <c r="H6900" s="43" t="n"/>
      <c r="AG6900" s="49">
        <f>IFERROR(__xludf.DUMMYFUNCTION("IFNA(vlookup(H6900,IMPORTRANGE(""1vUGwO1n0QQGx9kKbO0_M5gmuhXZ6-LaxQxgrmJnzgP0"",""'TP# look up'!A:C""),3,0),"""")"),"")</f>
        <v/>
      </c>
      <c r="AH6900" s="49">
        <f>LEFT(J6900,2)</f>
        <v/>
      </c>
    </row>
    <row r="6901" ht="12.75" customHeight="1">
      <c r="H6901" s="43" t="n"/>
      <c r="AG6901" s="49">
        <f>IFERROR(__xludf.DUMMYFUNCTION("IFNA(vlookup(H6901,IMPORTRANGE(""1vUGwO1n0QQGx9kKbO0_M5gmuhXZ6-LaxQxgrmJnzgP0"",""'TP# look up'!A:C""),3,0),"""")"),"")</f>
        <v/>
      </c>
      <c r="AH6901" s="49">
        <f>LEFT(J6901,2)</f>
        <v/>
      </c>
    </row>
    <row r="6902" ht="12.75" customHeight="1">
      <c r="H6902" s="43" t="n"/>
      <c r="AG6902" s="49">
        <f>IFERROR(__xludf.DUMMYFUNCTION("IFNA(vlookup(H6902,IMPORTRANGE(""1vUGwO1n0QQGx9kKbO0_M5gmuhXZ6-LaxQxgrmJnzgP0"",""'TP# look up'!A:C""),3,0),"""")"),"")</f>
        <v/>
      </c>
      <c r="AH6902" s="49">
        <f>LEFT(J6902,2)</f>
        <v/>
      </c>
    </row>
    <row r="6903" ht="12.75" customHeight="1">
      <c r="H6903" s="43" t="n"/>
      <c r="AG6903" s="49">
        <f>IFERROR(__xludf.DUMMYFUNCTION("IFNA(vlookup(H6903,IMPORTRANGE(""1vUGwO1n0QQGx9kKbO0_M5gmuhXZ6-LaxQxgrmJnzgP0"",""'TP# look up'!A:C""),3,0),"""")"),"")</f>
        <v/>
      </c>
      <c r="AH6903" s="49">
        <f>LEFT(J6903,2)</f>
        <v/>
      </c>
    </row>
    <row r="6904" ht="12.75" customHeight="1">
      <c r="H6904" s="43" t="n"/>
      <c r="AG6904" s="49">
        <f>IFERROR(__xludf.DUMMYFUNCTION("IFNA(vlookup(H6904,IMPORTRANGE(""1vUGwO1n0QQGx9kKbO0_M5gmuhXZ6-LaxQxgrmJnzgP0"",""'TP# look up'!A:C""),3,0),"""")"),"")</f>
        <v/>
      </c>
      <c r="AH6904" s="49">
        <f>LEFT(J6904,2)</f>
        <v/>
      </c>
    </row>
    <row r="6905" ht="12.75" customHeight="1">
      <c r="H6905" s="43" t="n"/>
      <c r="AG6905" s="49">
        <f>IFERROR(__xludf.DUMMYFUNCTION("IFNA(vlookup(H6905,IMPORTRANGE(""1vUGwO1n0QQGx9kKbO0_M5gmuhXZ6-LaxQxgrmJnzgP0"",""'TP# look up'!A:C""),3,0),"""")"),"")</f>
        <v/>
      </c>
      <c r="AH6905" s="49">
        <f>LEFT(J6905,2)</f>
        <v/>
      </c>
    </row>
    <row r="6906" ht="12.75" customHeight="1">
      <c r="H6906" s="43" t="n"/>
      <c r="AG6906" s="49">
        <f>IFERROR(__xludf.DUMMYFUNCTION("IFNA(vlookup(H6906,IMPORTRANGE(""1vUGwO1n0QQGx9kKbO0_M5gmuhXZ6-LaxQxgrmJnzgP0"",""'TP# look up'!A:C""),3,0),"""")"),"")</f>
        <v/>
      </c>
      <c r="AH6906" s="49">
        <f>LEFT(J6906,2)</f>
        <v/>
      </c>
    </row>
    <row r="6907" ht="12.75" customHeight="1">
      <c r="H6907" s="43" t="n"/>
      <c r="AG6907" s="49">
        <f>IFERROR(__xludf.DUMMYFUNCTION("IFNA(vlookup(H6907,IMPORTRANGE(""1vUGwO1n0QQGx9kKbO0_M5gmuhXZ6-LaxQxgrmJnzgP0"",""'TP# look up'!A:C""),3,0),"""")"),"")</f>
        <v/>
      </c>
      <c r="AH6907" s="49">
        <f>LEFT(J6907,2)</f>
        <v/>
      </c>
    </row>
    <row r="6908" ht="12.75" customHeight="1">
      <c r="H6908" s="43" t="n"/>
      <c r="AG6908" s="49">
        <f>IFERROR(__xludf.DUMMYFUNCTION("IFNA(vlookup(H6908,IMPORTRANGE(""1vUGwO1n0QQGx9kKbO0_M5gmuhXZ6-LaxQxgrmJnzgP0"",""'TP# look up'!A:C""),3,0),"""")"),"")</f>
        <v/>
      </c>
      <c r="AH6908" s="49">
        <f>LEFT(J6908,2)</f>
        <v/>
      </c>
    </row>
    <row r="6909" ht="12.75" customHeight="1">
      <c r="H6909" s="43" t="n"/>
      <c r="AG6909" s="49">
        <f>IFERROR(__xludf.DUMMYFUNCTION("IFNA(vlookup(H6909,IMPORTRANGE(""1vUGwO1n0QQGx9kKbO0_M5gmuhXZ6-LaxQxgrmJnzgP0"",""'TP# look up'!A:C""),3,0),"""")"),"")</f>
        <v/>
      </c>
      <c r="AH6909" s="49">
        <f>LEFT(J6909,2)</f>
        <v/>
      </c>
    </row>
    <row r="6910" ht="12.75" customHeight="1">
      <c r="H6910" s="43" t="n"/>
      <c r="AG6910" s="49">
        <f>IFERROR(__xludf.DUMMYFUNCTION("IFNA(vlookup(H6910,IMPORTRANGE(""1vUGwO1n0QQGx9kKbO0_M5gmuhXZ6-LaxQxgrmJnzgP0"",""'TP# look up'!A:C""),3,0),"""")"),"")</f>
        <v/>
      </c>
      <c r="AH6910" s="49">
        <f>LEFT(J6910,2)</f>
        <v/>
      </c>
    </row>
    <row r="6911" ht="12.75" customHeight="1">
      <c r="H6911" s="43" t="n"/>
      <c r="AG6911" s="49">
        <f>IFERROR(__xludf.DUMMYFUNCTION("IFNA(vlookup(H6911,IMPORTRANGE(""1vUGwO1n0QQGx9kKbO0_M5gmuhXZ6-LaxQxgrmJnzgP0"",""'TP# look up'!A:C""),3,0),"""")"),"")</f>
        <v/>
      </c>
      <c r="AH6911" s="49">
        <f>LEFT(J6911,2)</f>
        <v/>
      </c>
    </row>
    <row r="6912" ht="12.75" customHeight="1">
      <c r="H6912" s="43" t="n"/>
      <c r="AG6912" s="49">
        <f>IFERROR(__xludf.DUMMYFUNCTION("IFNA(vlookup(H6912,IMPORTRANGE(""1vUGwO1n0QQGx9kKbO0_M5gmuhXZ6-LaxQxgrmJnzgP0"",""'TP# look up'!A:C""),3,0),"""")"),"")</f>
        <v/>
      </c>
      <c r="AH6912" s="49">
        <f>LEFT(J6912,2)</f>
        <v/>
      </c>
    </row>
    <row r="6913" ht="12.75" customHeight="1">
      <c r="H6913" s="43" t="n"/>
      <c r="AG6913" s="49">
        <f>IFERROR(__xludf.DUMMYFUNCTION("IFNA(vlookup(H6913,IMPORTRANGE(""1vUGwO1n0QQGx9kKbO0_M5gmuhXZ6-LaxQxgrmJnzgP0"",""'TP# look up'!A:C""),3,0),"""")"),"")</f>
        <v/>
      </c>
      <c r="AH6913" s="49">
        <f>LEFT(J6913,2)</f>
        <v/>
      </c>
    </row>
    <row r="6914" ht="12.75" customHeight="1">
      <c r="H6914" s="43" t="n"/>
      <c r="AG6914" s="49">
        <f>IFERROR(__xludf.DUMMYFUNCTION("IFNA(vlookup(H6914,IMPORTRANGE(""1vUGwO1n0QQGx9kKbO0_M5gmuhXZ6-LaxQxgrmJnzgP0"",""'TP# look up'!A:C""),3,0),"""")"),"")</f>
        <v/>
      </c>
      <c r="AH6914" s="49">
        <f>LEFT(J6914,2)</f>
        <v/>
      </c>
    </row>
    <row r="6915" ht="12.75" customHeight="1">
      <c r="H6915" s="43" t="n"/>
      <c r="AG6915" s="49">
        <f>IFERROR(__xludf.DUMMYFUNCTION("IFNA(vlookup(H6915,IMPORTRANGE(""1vUGwO1n0QQGx9kKbO0_M5gmuhXZ6-LaxQxgrmJnzgP0"",""'TP# look up'!A:C""),3,0),"""")"),"")</f>
        <v/>
      </c>
      <c r="AH6915" s="49">
        <f>LEFT(J6915,2)</f>
        <v/>
      </c>
    </row>
    <row r="6916" ht="12.75" customHeight="1">
      <c r="H6916" s="43" t="n"/>
      <c r="AG6916" s="49">
        <f>IFERROR(__xludf.DUMMYFUNCTION("IFNA(vlookup(H6916,IMPORTRANGE(""1vUGwO1n0QQGx9kKbO0_M5gmuhXZ6-LaxQxgrmJnzgP0"",""'TP# look up'!A:C""),3,0),"""")"),"")</f>
        <v/>
      </c>
      <c r="AH6916" s="49">
        <f>LEFT(J6916,2)</f>
        <v/>
      </c>
    </row>
    <row r="6917" ht="12.75" customHeight="1">
      <c r="H6917" s="43" t="n"/>
      <c r="AG6917" s="49">
        <f>IFERROR(__xludf.DUMMYFUNCTION("IFNA(vlookup(H6917,IMPORTRANGE(""1vUGwO1n0QQGx9kKbO0_M5gmuhXZ6-LaxQxgrmJnzgP0"",""'TP# look up'!A:C""),3,0),"""")"),"")</f>
        <v/>
      </c>
      <c r="AH6917" s="49">
        <f>LEFT(J6917,2)</f>
        <v/>
      </c>
    </row>
    <row r="6918" ht="12.75" customHeight="1">
      <c r="H6918" s="43" t="n"/>
      <c r="AG6918" s="49">
        <f>IFERROR(__xludf.DUMMYFUNCTION("IFNA(vlookup(H6918,IMPORTRANGE(""1vUGwO1n0QQGx9kKbO0_M5gmuhXZ6-LaxQxgrmJnzgP0"",""'TP# look up'!A:C""),3,0),"""")"),"")</f>
        <v/>
      </c>
      <c r="AH6918" s="49">
        <f>LEFT(J6918,2)</f>
        <v/>
      </c>
    </row>
    <row r="6919" ht="12.75" customHeight="1">
      <c r="H6919" s="43" t="n"/>
      <c r="AG6919" s="49">
        <f>IFERROR(__xludf.DUMMYFUNCTION("IFNA(vlookup(H6919,IMPORTRANGE(""1vUGwO1n0QQGx9kKbO0_M5gmuhXZ6-LaxQxgrmJnzgP0"",""'TP# look up'!A:C""),3,0),"""")"),"")</f>
        <v/>
      </c>
      <c r="AH6919" s="49">
        <f>LEFT(J6919,2)</f>
        <v/>
      </c>
    </row>
    <row r="6920" ht="12.75" customHeight="1">
      <c r="H6920" s="43" t="n"/>
      <c r="AG6920" s="49">
        <f>IFERROR(__xludf.DUMMYFUNCTION("IFNA(vlookup(H6920,IMPORTRANGE(""1vUGwO1n0QQGx9kKbO0_M5gmuhXZ6-LaxQxgrmJnzgP0"",""'TP# look up'!A:C""),3,0),"""")"),"")</f>
        <v/>
      </c>
      <c r="AH6920" s="49">
        <f>LEFT(J6920,2)</f>
        <v/>
      </c>
    </row>
    <row r="6921" ht="12.75" customHeight="1">
      <c r="H6921" s="43" t="n"/>
      <c r="AG6921" s="49">
        <f>IFERROR(__xludf.DUMMYFUNCTION("IFNA(vlookup(H6921,IMPORTRANGE(""1vUGwO1n0QQGx9kKbO0_M5gmuhXZ6-LaxQxgrmJnzgP0"",""'TP# look up'!A:C""),3,0),"""")"),"")</f>
        <v/>
      </c>
      <c r="AH6921" s="49">
        <f>LEFT(J6921,2)</f>
        <v/>
      </c>
    </row>
    <row r="6922" ht="12.75" customHeight="1">
      <c r="H6922" s="43" t="n"/>
      <c r="AG6922" s="49">
        <f>IFERROR(__xludf.DUMMYFUNCTION("IFNA(vlookup(H6922,IMPORTRANGE(""1vUGwO1n0QQGx9kKbO0_M5gmuhXZ6-LaxQxgrmJnzgP0"",""'TP# look up'!A:C""),3,0),"""")"),"")</f>
        <v/>
      </c>
      <c r="AH6922" s="49">
        <f>LEFT(J6922,2)</f>
        <v/>
      </c>
    </row>
    <row r="6923" ht="12.75" customHeight="1">
      <c r="H6923" s="43" t="n"/>
      <c r="AG6923" s="49">
        <f>IFERROR(__xludf.DUMMYFUNCTION("IFNA(vlookup(H6923,IMPORTRANGE(""1vUGwO1n0QQGx9kKbO0_M5gmuhXZ6-LaxQxgrmJnzgP0"",""'TP# look up'!A:C""),3,0),"""")"),"")</f>
        <v/>
      </c>
      <c r="AH6923" s="49">
        <f>LEFT(J6923,2)</f>
        <v/>
      </c>
    </row>
    <row r="6924" ht="12.75" customHeight="1">
      <c r="H6924" s="43" t="n"/>
      <c r="AG6924" s="49">
        <f>IFERROR(__xludf.DUMMYFUNCTION("IFNA(vlookup(H6924,IMPORTRANGE(""1vUGwO1n0QQGx9kKbO0_M5gmuhXZ6-LaxQxgrmJnzgP0"",""'TP# look up'!A:C""),3,0),"""")"),"")</f>
        <v/>
      </c>
      <c r="AH6924" s="49">
        <f>LEFT(J6924,2)</f>
        <v/>
      </c>
    </row>
    <row r="6925" ht="12.75" customHeight="1">
      <c r="H6925" s="43" t="n"/>
      <c r="AG6925" s="49">
        <f>IFERROR(__xludf.DUMMYFUNCTION("IFNA(vlookup(H6925,IMPORTRANGE(""1vUGwO1n0QQGx9kKbO0_M5gmuhXZ6-LaxQxgrmJnzgP0"",""'TP# look up'!A:C""),3,0),"""")"),"")</f>
        <v/>
      </c>
      <c r="AH6925" s="49">
        <f>LEFT(J6925,2)</f>
        <v/>
      </c>
    </row>
    <row r="6926" ht="12.75" customHeight="1">
      <c r="H6926" s="43" t="n"/>
      <c r="AG6926" s="49">
        <f>IFERROR(__xludf.DUMMYFUNCTION("IFNA(vlookup(H6926,IMPORTRANGE(""1vUGwO1n0QQGx9kKbO0_M5gmuhXZ6-LaxQxgrmJnzgP0"",""'TP# look up'!A:C""),3,0),"""")"),"")</f>
        <v/>
      </c>
      <c r="AH6926" s="49">
        <f>LEFT(J6926,2)</f>
        <v/>
      </c>
    </row>
    <row r="6927" ht="12.75" customHeight="1">
      <c r="H6927" s="43" t="n"/>
      <c r="AG6927" s="49">
        <f>IFERROR(__xludf.DUMMYFUNCTION("IFNA(vlookup(H6927,IMPORTRANGE(""1vUGwO1n0QQGx9kKbO0_M5gmuhXZ6-LaxQxgrmJnzgP0"",""'TP# look up'!A:C""),3,0),"""")"),"")</f>
        <v/>
      </c>
      <c r="AH6927" s="49">
        <f>LEFT(J6927,2)</f>
        <v/>
      </c>
    </row>
    <row r="6928" ht="12.75" customHeight="1">
      <c r="H6928" s="43" t="n"/>
      <c r="AG6928" s="49">
        <f>IFERROR(__xludf.DUMMYFUNCTION("IFNA(vlookup(H6928,IMPORTRANGE(""1vUGwO1n0QQGx9kKbO0_M5gmuhXZ6-LaxQxgrmJnzgP0"",""'TP# look up'!A:C""),3,0),"""")"),"")</f>
        <v/>
      </c>
      <c r="AH6928" s="49">
        <f>LEFT(J6928,2)</f>
        <v/>
      </c>
    </row>
    <row r="6929" ht="12.75" customHeight="1">
      <c r="H6929" s="43" t="n"/>
      <c r="AG6929" s="49">
        <f>IFERROR(__xludf.DUMMYFUNCTION("IFNA(vlookup(H6929,IMPORTRANGE(""1vUGwO1n0QQGx9kKbO0_M5gmuhXZ6-LaxQxgrmJnzgP0"",""'TP# look up'!A:C""),3,0),"""")"),"")</f>
        <v/>
      </c>
      <c r="AH6929" s="49">
        <f>LEFT(J6929,2)</f>
        <v/>
      </c>
    </row>
    <row r="6930" ht="12.75" customHeight="1">
      <c r="H6930" s="43" t="n"/>
      <c r="AG6930" s="49">
        <f>IFERROR(__xludf.DUMMYFUNCTION("IFNA(vlookup(H6930,IMPORTRANGE(""1vUGwO1n0QQGx9kKbO0_M5gmuhXZ6-LaxQxgrmJnzgP0"",""'TP# look up'!A:C""),3,0),"""")"),"")</f>
        <v/>
      </c>
      <c r="AH6930" s="49">
        <f>LEFT(J6930,2)</f>
        <v/>
      </c>
    </row>
    <row r="6931" ht="12.75" customHeight="1">
      <c r="H6931" s="43" t="n"/>
      <c r="AG6931" s="49">
        <f>IFERROR(__xludf.DUMMYFUNCTION("IFNA(vlookup(H6931,IMPORTRANGE(""1vUGwO1n0QQGx9kKbO0_M5gmuhXZ6-LaxQxgrmJnzgP0"",""'TP# look up'!A:C""),3,0),"""")"),"")</f>
        <v/>
      </c>
      <c r="AH6931" s="49">
        <f>LEFT(J6931,2)</f>
        <v/>
      </c>
    </row>
    <row r="6932" ht="12.75" customHeight="1">
      <c r="H6932" s="43" t="n"/>
      <c r="AG6932" s="49">
        <f>IFERROR(__xludf.DUMMYFUNCTION("IFNA(vlookup(H6932,IMPORTRANGE(""1vUGwO1n0QQGx9kKbO0_M5gmuhXZ6-LaxQxgrmJnzgP0"",""'TP# look up'!A:C""),3,0),"""")"),"")</f>
        <v/>
      </c>
      <c r="AH6932" s="49">
        <f>LEFT(J6932,2)</f>
        <v/>
      </c>
    </row>
    <row r="6933" ht="12.75" customHeight="1">
      <c r="H6933" s="43" t="n"/>
      <c r="AG6933" s="49">
        <f>IFERROR(__xludf.DUMMYFUNCTION("IFNA(vlookup(H6933,IMPORTRANGE(""1vUGwO1n0QQGx9kKbO0_M5gmuhXZ6-LaxQxgrmJnzgP0"",""'TP# look up'!A:C""),3,0),"""")"),"")</f>
        <v/>
      </c>
      <c r="AH6933" s="49">
        <f>LEFT(J6933,2)</f>
        <v/>
      </c>
    </row>
    <row r="6934" ht="12.75" customHeight="1">
      <c r="H6934" s="43" t="n"/>
      <c r="AG6934" s="49">
        <f>IFERROR(__xludf.DUMMYFUNCTION("IFNA(vlookup(H6934,IMPORTRANGE(""1vUGwO1n0QQGx9kKbO0_M5gmuhXZ6-LaxQxgrmJnzgP0"",""'TP# look up'!A:C""),3,0),"""")"),"")</f>
        <v/>
      </c>
      <c r="AH6934" s="49">
        <f>LEFT(J6934,2)</f>
        <v/>
      </c>
    </row>
    <row r="6935" ht="12.75" customHeight="1">
      <c r="H6935" s="43" t="n"/>
      <c r="AG6935" s="49">
        <f>IFERROR(__xludf.DUMMYFUNCTION("IFNA(vlookup(H6935,IMPORTRANGE(""1vUGwO1n0QQGx9kKbO0_M5gmuhXZ6-LaxQxgrmJnzgP0"",""'TP# look up'!A:C""),3,0),"""")"),"")</f>
        <v/>
      </c>
      <c r="AH6935" s="49">
        <f>LEFT(J6935,2)</f>
        <v/>
      </c>
    </row>
    <row r="6936" ht="12.75" customHeight="1">
      <c r="H6936" s="43" t="n"/>
      <c r="AG6936" s="49">
        <f>IFERROR(__xludf.DUMMYFUNCTION("IFNA(vlookup(H6936,IMPORTRANGE(""1vUGwO1n0QQGx9kKbO0_M5gmuhXZ6-LaxQxgrmJnzgP0"",""'TP# look up'!A:C""),3,0),"""")"),"")</f>
        <v/>
      </c>
      <c r="AH6936" s="49">
        <f>LEFT(J6936,2)</f>
        <v/>
      </c>
    </row>
    <row r="6937" ht="12.75" customHeight="1">
      <c r="H6937" s="43" t="n"/>
      <c r="AG6937" s="49">
        <f>IFERROR(__xludf.DUMMYFUNCTION("IFNA(vlookup(H6937,IMPORTRANGE(""1vUGwO1n0QQGx9kKbO0_M5gmuhXZ6-LaxQxgrmJnzgP0"",""'TP# look up'!A:C""),3,0),"""")"),"")</f>
        <v/>
      </c>
      <c r="AH6937" s="49">
        <f>LEFT(J6937,2)</f>
        <v/>
      </c>
    </row>
    <row r="6938" ht="12.75" customHeight="1">
      <c r="H6938" s="43" t="n"/>
      <c r="AG6938" s="49">
        <f>IFERROR(__xludf.DUMMYFUNCTION("IFNA(vlookup(H6938,IMPORTRANGE(""1vUGwO1n0QQGx9kKbO0_M5gmuhXZ6-LaxQxgrmJnzgP0"",""'TP# look up'!A:C""),3,0),"""")"),"")</f>
        <v/>
      </c>
      <c r="AH6938" s="49">
        <f>LEFT(J6938,2)</f>
        <v/>
      </c>
    </row>
    <row r="6939" ht="12.75" customHeight="1">
      <c r="H6939" s="43" t="n"/>
      <c r="AG6939" s="49">
        <f>IFERROR(__xludf.DUMMYFUNCTION("IFNA(vlookup(H6939,IMPORTRANGE(""1vUGwO1n0QQGx9kKbO0_M5gmuhXZ6-LaxQxgrmJnzgP0"",""'TP# look up'!A:C""),3,0),"""")"),"")</f>
        <v/>
      </c>
      <c r="AH6939" s="49">
        <f>LEFT(J6939,2)</f>
        <v/>
      </c>
    </row>
    <row r="6940" ht="12.75" customHeight="1">
      <c r="H6940" s="43" t="n"/>
      <c r="AG6940" s="49">
        <f>IFERROR(__xludf.DUMMYFUNCTION("IFNA(vlookup(H6940,IMPORTRANGE(""1vUGwO1n0QQGx9kKbO0_M5gmuhXZ6-LaxQxgrmJnzgP0"",""'TP# look up'!A:C""),3,0),"""")"),"")</f>
        <v/>
      </c>
      <c r="AH6940" s="49">
        <f>LEFT(J6940,2)</f>
        <v/>
      </c>
    </row>
    <row r="6941" ht="12.75" customHeight="1">
      <c r="H6941" s="43" t="n"/>
      <c r="AG6941" s="49">
        <f>IFERROR(__xludf.DUMMYFUNCTION("IFNA(vlookup(H6941,IMPORTRANGE(""1vUGwO1n0QQGx9kKbO0_M5gmuhXZ6-LaxQxgrmJnzgP0"",""'TP# look up'!A:C""),3,0),"""")"),"")</f>
        <v/>
      </c>
      <c r="AH6941" s="49">
        <f>LEFT(J6941,2)</f>
        <v/>
      </c>
    </row>
    <row r="6942" ht="12.75" customHeight="1">
      <c r="H6942" s="43" t="n"/>
      <c r="AG6942" s="49">
        <f>IFERROR(__xludf.DUMMYFUNCTION("IFNA(vlookup(H6942,IMPORTRANGE(""1vUGwO1n0QQGx9kKbO0_M5gmuhXZ6-LaxQxgrmJnzgP0"",""'TP# look up'!A:C""),3,0),"""")"),"")</f>
        <v/>
      </c>
      <c r="AH6942" s="49">
        <f>LEFT(J6942,2)</f>
        <v/>
      </c>
    </row>
    <row r="6943" ht="12.75" customHeight="1">
      <c r="H6943" s="43" t="n"/>
      <c r="AG6943" s="49">
        <f>IFERROR(__xludf.DUMMYFUNCTION("IFNA(vlookup(H6943,IMPORTRANGE(""1vUGwO1n0QQGx9kKbO0_M5gmuhXZ6-LaxQxgrmJnzgP0"",""'TP# look up'!A:C""),3,0),"""")"),"")</f>
        <v/>
      </c>
      <c r="AH6943" s="49">
        <f>LEFT(J6943,2)</f>
        <v/>
      </c>
    </row>
    <row r="6944" ht="12.75" customHeight="1">
      <c r="H6944" s="43" t="n"/>
      <c r="AG6944" s="49">
        <f>IFERROR(__xludf.DUMMYFUNCTION("IFNA(vlookup(H6944,IMPORTRANGE(""1vUGwO1n0QQGx9kKbO0_M5gmuhXZ6-LaxQxgrmJnzgP0"",""'TP# look up'!A:C""),3,0),"""")"),"")</f>
        <v/>
      </c>
      <c r="AH6944" s="49">
        <f>LEFT(J6944,2)</f>
        <v/>
      </c>
    </row>
    <row r="6945" ht="12.75" customHeight="1">
      <c r="H6945" s="43" t="n"/>
      <c r="AG6945" s="49">
        <f>IFERROR(__xludf.DUMMYFUNCTION("IFNA(vlookup(H6945,IMPORTRANGE(""1vUGwO1n0QQGx9kKbO0_M5gmuhXZ6-LaxQxgrmJnzgP0"",""'TP# look up'!A:C""),3,0),"""")"),"")</f>
        <v/>
      </c>
      <c r="AH6945" s="49">
        <f>LEFT(J6945,2)</f>
        <v/>
      </c>
    </row>
    <row r="6946" ht="12.75" customHeight="1">
      <c r="H6946" s="43" t="n"/>
      <c r="AG6946" s="49">
        <f>IFERROR(__xludf.DUMMYFUNCTION("IFNA(vlookup(H6946,IMPORTRANGE(""1vUGwO1n0QQGx9kKbO0_M5gmuhXZ6-LaxQxgrmJnzgP0"",""'TP# look up'!A:C""),3,0),"""")"),"")</f>
        <v/>
      </c>
      <c r="AH6946" s="49">
        <f>LEFT(J6946,2)</f>
        <v/>
      </c>
    </row>
    <row r="6947" ht="12.75" customHeight="1">
      <c r="H6947" s="43" t="n"/>
      <c r="AG6947" s="49">
        <f>IFERROR(__xludf.DUMMYFUNCTION("IFNA(vlookup(H6947,IMPORTRANGE(""1vUGwO1n0QQGx9kKbO0_M5gmuhXZ6-LaxQxgrmJnzgP0"",""'TP# look up'!A:C""),3,0),"""")"),"")</f>
        <v/>
      </c>
      <c r="AH6947" s="49">
        <f>LEFT(J6947,2)</f>
        <v/>
      </c>
    </row>
    <row r="6948" ht="12.75" customHeight="1">
      <c r="H6948" s="43" t="n"/>
      <c r="AG6948" s="49">
        <f>IFERROR(__xludf.DUMMYFUNCTION("IFNA(vlookup(H6948,IMPORTRANGE(""1vUGwO1n0QQGx9kKbO0_M5gmuhXZ6-LaxQxgrmJnzgP0"",""'TP# look up'!A:C""),3,0),"""")"),"")</f>
        <v/>
      </c>
      <c r="AH6948" s="49">
        <f>LEFT(J6948,2)</f>
        <v/>
      </c>
    </row>
    <row r="6949" ht="12.75" customHeight="1">
      <c r="H6949" s="43" t="n"/>
      <c r="AG6949" s="49">
        <f>IFERROR(__xludf.DUMMYFUNCTION("IFNA(vlookup(H6949,IMPORTRANGE(""1vUGwO1n0QQGx9kKbO0_M5gmuhXZ6-LaxQxgrmJnzgP0"",""'TP# look up'!A:C""),3,0),"""")"),"")</f>
        <v/>
      </c>
      <c r="AH6949" s="49">
        <f>LEFT(J6949,2)</f>
        <v/>
      </c>
    </row>
    <row r="6950" ht="12.75" customHeight="1">
      <c r="H6950" s="43" t="n"/>
      <c r="AG6950" s="49">
        <f>IFERROR(__xludf.DUMMYFUNCTION("IFNA(vlookup(H6950,IMPORTRANGE(""1vUGwO1n0QQGx9kKbO0_M5gmuhXZ6-LaxQxgrmJnzgP0"",""'TP# look up'!A:C""),3,0),"""")"),"")</f>
        <v/>
      </c>
      <c r="AH6950" s="49">
        <f>LEFT(J6950,2)</f>
        <v/>
      </c>
    </row>
    <row r="6951" ht="12.75" customHeight="1">
      <c r="H6951" s="43" t="n"/>
      <c r="AG6951" s="49">
        <f>IFERROR(__xludf.DUMMYFUNCTION("IFNA(vlookup(H6951,IMPORTRANGE(""1vUGwO1n0QQGx9kKbO0_M5gmuhXZ6-LaxQxgrmJnzgP0"",""'TP# look up'!A:C""),3,0),"""")"),"")</f>
        <v/>
      </c>
      <c r="AH6951" s="49">
        <f>LEFT(J6951,2)</f>
        <v/>
      </c>
    </row>
    <row r="6952" ht="12.75" customHeight="1">
      <c r="H6952" s="43" t="n"/>
      <c r="AG6952" s="49">
        <f>IFERROR(__xludf.DUMMYFUNCTION("IFNA(vlookup(H6952,IMPORTRANGE(""1vUGwO1n0QQGx9kKbO0_M5gmuhXZ6-LaxQxgrmJnzgP0"",""'TP# look up'!A:C""),3,0),"""")"),"")</f>
        <v/>
      </c>
      <c r="AH6952" s="49">
        <f>LEFT(J6952,2)</f>
        <v/>
      </c>
    </row>
    <row r="6953" ht="12.75" customHeight="1">
      <c r="H6953" s="43" t="n"/>
      <c r="AG6953" s="49">
        <f>IFERROR(__xludf.DUMMYFUNCTION("IFNA(vlookup(H6953,IMPORTRANGE(""1vUGwO1n0QQGx9kKbO0_M5gmuhXZ6-LaxQxgrmJnzgP0"",""'TP# look up'!A:C""),3,0),"""")"),"")</f>
        <v/>
      </c>
      <c r="AH6953" s="49">
        <f>LEFT(J6953,2)</f>
        <v/>
      </c>
    </row>
    <row r="6954" ht="12.75" customHeight="1">
      <c r="H6954" s="43" t="n"/>
      <c r="AG6954" s="49">
        <f>IFERROR(__xludf.DUMMYFUNCTION("IFNA(vlookup(H6954,IMPORTRANGE(""1vUGwO1n0QQGx9kKbO0_M5gmuhXZ6-LaxQxgrmJnzgP0"",""'TP# look up'!A:C""),3,0),"""")"),"")</f>
        <v/>
      </c>
      <c r="AH6954" s="49">
        <f>LEFT(J6954,2)</f>
        <v/>
      </c>
    </row>
    <row r="6955" ht="12.75" customHeight="1">
      <c r="H6955" s="43" t="n"/>
      <c r="AG6955" s="49">
        <f>IFERROR(__xludf.DUMMYFUNCTION("IFNA(vlookup(H6955,IMPORTRANGE(""1vUGwO1n0QQGx9kKbO0_M5gmuhXZ6-LaxQxgrmJnzgP0"",""'TP# look up'!A:C""),3,0),"""")"),"")</f>
        <v/>
      </c>
      <c r="AH6955" s="49">
        <f>LEFT(J6955,2)</f>
        <v/>
      </c>
    </row>
    <row r="6956" ht="12.75" customHeight="1">
      <c r="H6956" s="43" t="n"/>
      <c r="AG6956" s="49">
        <f>IFERROR(__xludf.DUMMYFUNCTION("IFNA(vlookup(H6956,IMPORTRANGE(""1vUGwO1n0QQGx9kKbO0_M5gmuhXZ6-LaxQxgrmJnzgP0"",""'TP# look up'!A:C""),3,0),"""")"),"")</f>
        <v/>
      </c>
      <c r="AH6956" s="49">
        <f>LEFT(J6956,2)</f>
        <v/>
      </c>
    </row>
    <row r="6957" ht="12.75" customHeight="1">
      <c r="H6957" s="43" t="n"/>
      <c r="AG6957" s="49">
        <f>IFERROR(__xludf.DUMMYFUNCTION("IFNA(vlookup(H6957,IMPORTRANGE(""1vUGwO1n0QQGx9kKbO0_M5gmuhXZ6-LaxQxgrmJnzgP0"",""'TP# look up'!A:C""),3,0),"""")"),"")</f>
        <v/>
      </c>
      <c r="AH6957" s="49">
        <f>LEFT(J6957,2)</f>
        <v/>
      </c>
    </row>
    <row r="6958" ht="12.75" customHeight="1">
      <c r="H6958" s="43" t="n"/>
      <c r="AG6958" s="49">
        <f>IFERROR(__xludf.DUMMYFUNCTION("IFNA(vlookup(H6958,IMPORTRANGE(""1vUGwO1n0QQGx9kKbO0_M5gmuhXZ6-LaxQxgrmJnzgP0"",""'TP# look up'!A:C""),3,0),"""")"),"")</f>
        <v/>
      </c>
      <c r="AH6958" s="49">
        <f>LEFT(J6958,2)</f>
        <v/>
      </c>
    </row>
    <row r="6959" ht="12.75" customHeight="1">
      <c r="H6959" s="43" t="n"/>
      <c r="AG6959" s="49">
        <f>IFERROR(__xludf.DUMMYFUNCTION("IFNA(vlookup(H6959,IMPORTRANGE(""1vUGwO1n0QQGx9kKbO0_M5gmuhXZ6-LaxQxgrmJnzgP0"",""'TP# look up'!A:C""),3,0),"""")"),"")</f>
        <v/>
      </c>
      <c r="AH6959" s="49">
        <f>LEFT(J6959,2)</f>
        <v/>
      </c>
    </row>
    <row r="6960" ht="12.75" customHeight="1">
      <c r="H6960" s="43" t="n"/>
      <c r="AG6960" s="49">
        <f>IFERROR(__xludf.DUMMYFUNCTION("IFNA(vlookup(H6960,IMPORTRANGE(""1vUGwO1n0QQGx9kKbO0_M5gmuhXZ6-LaxQxgrmJnzgP0"",""'TP# look up'!A:C""),3,0),"""")"),"")</f>
        <v/>
      </c>
      <c r="AH6960" s="49">
        <f>LEFT(J6960,2)</f>
        <v/>
      </c>
    </row>
    <row r="6961" ht="12.75" customHeight="1">
      <c r="H6961" s="43" t="n"/>
      <c r="AG6961" s="49">
        <f>IFERROR(__xludf.DUMMYFUNCTION("IFNA(vlookup(H6961,IMPORTRANGE(""1vUGwO1n0QQGx9kKbO0_M5gmuhXZ6-LaxQxgrmJnzgP0"",""'TP# look up'!A:C""),3,0),"""")"),"")</f>
        <v/>
      </c>
      <c r="AH6961" s="49">
        <f>LEFT(J6961,2)</f>
        <v/>
      </c>
    </row>
    <row r="6962" ht="12.75" customHeight="1">
      <c r="H6962" s="43" t="n"/>
      <c r="AG6962" s="49">
        <f>IFERROR(__xludf.DUMMYFUNCTION("IFNA(vlookup(H6962,IMPORTRANGE(""1vUGwO1n0QQGx9kKbO0_M5gmuhXZ6-LaxQxgrmJnzgP0"",""'TP# look up'!A:C""),3,0),"""")"),"")</f>
        <v/>
      </c>
      <c r="AH6962" s="49">
        <f>LEFT(J6962,2)</f>
        <v/>
      </c>
    </row>
    <row r="6963" ht="12.75" customHeight="1">
      <c r="H6963" s="43" t="n"/>
      <c r="AG6963" s="49">
        <f>IFERROR(__xludf.DUMMYFUNCTION("IFNA(vlookup(H6963,IMPORTRANGE(""1vUGwO1n0QQGx9kKbO0_M5gmuhXZ6-LaxQxgrmJnzgP0"",""'TP# look up'!A:C""),3,0),"""")"),"")</f>
        <v/>
      </c>
      <c r="AH6963" s="49">
        <f>LEFT(J6963,2)</f>
        <v/>
      </c>
    </row>
    <row r="6964" ht="12.75" customHeight="1">
      <c r="H6964" s="43" t="n"/>
      <c r="AG6964" s="49">
        <f>IFERROR(__xludf.DUMMYFUNCTION("IFNA(vlookup(H6964,IMPORTRANGE(""1vUGwO1n0QQGx9kKbO0_M5gmuhXZ6-LaxQxgrmJnzgP0"",""'TP# look up'!A:C""),3,0),"""")"),"")</f>
        <v/>
      </c>
      <c r="AH6964" s="49">
        <f>LEFT(J6964,2)</f>
        <v/>
      </c>
    </row>
    <row r="6965" ht="12.75" customHeight="1">
      <c r="H6965" s="43" t="n"/>
      <c r="AG6965" s="49">
        <f>IFERROR(__xludf.DUMMYFUNCTION("IFNA(vlookup(H6965,IMPORTRANGE(""1vUGwO1n0QQGx9kKbO0_M5gmuhXZ6-LaxQxgrmJnzgP0"",""'TP# look up'!A:C""),3,0),"""")"),"")</f>
        <v/>
      </c>
      <c r="AH6965" s="49">
        <f>LEFT(J6965,2)</f>
        <v/>
      </c>
    </row>
    <row r="6966" ht="12.75" customHeight="1">
      <c r="H6966" s="43" t="n"/>
      <c r="AG6966" s="49">
        <f>IFERROR(__xludf.DUMMYFUNCTION("IFNA(vlookup(H6966,IMPORTRANGE(""1vUGwO1n0QQGx9kKbO0_M5gmuhXZ6-LaxQxgrmJnzgP0"",""'TP# look up'!A:C""),3,0),"""")"),"")</f>
        <v/>
      </c>
      <c r="AH6966" s="49">
        <f>LEFT(J6966,2)</f>
        <v/>
      </c>
    </row>
    <row r="6967" ht="12.75" customHeight="1">
      <c r="H6967" s="43" t="n"/>
      <c r="AG6967" s="49">
        <f>IFERROR(__xludf.DUMMYFUNCTION("IFNA(vlookup(H6967,IMPORTRANGE(""1vUGwO1n0QQGx9kKbO0_M5gmuhXZ6-LaxQxgrmJnzgP0"",""'TP# look up'!A:C""),3,0),"""")"),"")</f>
        <v/>
      </c>
      <c r="AH6967" s="49">
        <f>LEFT(J6967,2)</f>
        <v/>
      </c>
    </row>
    <row r="6968" ht="12.75" customHeight="1">
      <c r="H6968" s="43" t="n"/>
      <c r="AG6968" s="49">
        <f>IFERROR(__xludf.DUMMYFUNCTION("IFNA(vlookup(H6968,IMPORTRANGE(""1vUGwO1n0QQGx9kKbO0_M5gmuhXZ6-LaxQxgrmJnzgP0"",""'TP# look up'!A:C""),3,0),"""")"),"")</f>
        <v/>
      </c>
      <c r="AH6968" s="49">
        <f>LEFT(J6968,2)</f>
        <v/>
      </c>
    </row>
    <row r="6969" ht="12.75" customHeight="1">
      <c r="H6969" s="43" t="n"/>
      <c r="AG6969" s="49">
        <f>IFERROR(__xludf.DUMMYFUNCTION("IFNA(vlookup(H6969,IMPORTRANGE(""1vUGwO1n0QQGx9kKbO0_M5gmuhXZ6-LaxQxgrmJnzgP0"",""'TP# look up'!A:C""),3,0),"""")"),"")</f>
        <v/>
      </c>
      <c r="AH6969" s="49">
        <f>LEFT(J6969,2)</f>
        <v/>
      </c>
    </row>
    <row r="6970" ht="12.75" customHeight="1">
      <c r="H6970" s="43" t="n"/>
      <c r="AG6970" s="49">
        <f>IFERROR(__xludf.DUMMYFUNCTION("IFNA(vlookup(H6970,IMPORTRANGE(""1vUGwO1n0QQGx9kKbO0_M5gmuhXZ6-LaxQxgrmJnzgP0"",""'TP# look up'!A:C""),3,0),"""")"),"")</f>
        <v/>
      </c>
      <c r="AH6970" s="49">
        <f>LEFT(J6970,2)</f>
        <v/>
      </c>
    </row>
    <row r="6971" ht="12.75" customHeight="1">
      <c r="H6971" s="43" t="n"/>
      <c r="AG6971" s="49">
        <f>IFERROR(__xludf.DUMMYFUNCTION("IFNA(vlookup(H6971,IMPORTRANGE(""1vUGwO1n0QQGx9kKbO0_M5gmuhXZ6-LaxQxgrmJnzgP0"",""'TP# look up'!A:C""),3,0),"""")"),"")</f>
        <v/>
      </c>
      <c r="AH6971" s="49">
        <f>LEFT(J6971,2)</f>
        <v/>
      </c>
    </row>
    <row r="6972" ht="12.75" customHeight="1">
      <c r="H6972" s="43" t="n"/>
      <c r="AG6972" s="49">
        <f>IFERROR(__xludf.DUMMYFUNCTION("IFNA(vlookup(H6972,IMPORTRANGE(""1vUGwO1n0QQGx9kKbO0_M5gmuhXZ6-LaxQxgrmJnzgP0"",""'TP# look up'!A:C""),3,0),"""")"),"")</f>
        <v/>
      </c>
      <c r="AH6972" s="49">
        <f>LEFT(J6972,2)</f>
        <v/>
      </c>
    </row>
    <row r="6973" ht="12.75" customHeight="1">
      <c r="H6973" s="43" t="n"/>
      <c r="AG6973" s="49">
        <f>IFERROR(__xludf.DUMMYFUNCTION("IFNA(vlookup(H6973,IMPORTRANGE(""1vUGwO1n0QQGx9kKbO0_M5gmuhXZ6-LaxQxgrmJnzgP0"",""'TP# look up'!A:C""),3,0),"""")"),"")</f>
        <v/>
      </c>
      <c r="AH6973" s="49">
        <f>LEFT(J6973,2)</f>
        <v/>
      </c>
    </row>
    <row r="6974" ht="12.75" customHeight="1">
      <c r="H6974" s="43" t="n"/>
      <c r="AG6974" s="49">
        <f>IFERROR(__xludf.DUMMYFUNCTION("IFNA(vlookup(H6974,IMPORTRANGE(""1vUGwO1n0QQGx9kKbO0_M5gmuhXZ6-LaxQxgrmJnzgP0"",""'TP# look up'!A:C""),3,0),"""")"),"")</f>
        <v/>
      </c>
      <c r="AH6974" s="49">
        <f>LEFT(J6974,2)</f>
        <v/>
      </c>
    </row>
    <row r="6975" ht="12.75" customHeight="1">
      <c r="H6975" s="43" t="n"/>
      <c r="AG6975" s="49">
        <f>IFERROR(__xludf.DUMMYFUNCTION("IFNA(vlookup(H6975,IMPORTRANGE(""1vUGwO1n0QQGx9kKbO0_M5gmuhXZ6-LaxQxgrmJnzgP0"",""'TP# look up'!A:C""),3,0),"""")"),"")</f>
        <v/>
      </c>
      <c r="AH6975" s="49">
        <f>LEFT(J6975,2)</f>
        <v/>
      </c>
    </row>
    <row r="6976" ht="12.75" customHeight="1">
      <c r="H6976" s="43" t="n"/>
      <c r="AG6976" s="49">
        <f>IFERROR(__xludf.DUMMYFUNCTION("IFNA(vlookup(H6976,IMPORTRANGE(""1vUGwO1n0QQGx9kKbO0_M5gmuhXZ6-LaxQxgrmJnzgP0"",""'TP# look up'!A:C""),3,0),"""")"),"")</f>
        <v/>
      </c>
      <c r="AH6976" s="49">
        <f>LEFT(J6976,2)</f>
        <v/>
      </c>
    </row>
    <row r="6977" ht="12.75" customHeight="1">
      <c r="H6977" s="43" t="n"/>
      <c r="AG6977" s="49">
        <f>IFERROR(__xludf.DUMMYFUNCTION("IFNA(vlookup(H6977,IMPORTRANGE(""1vUGwO1n0QQGx9kKbO0_M5gmuhXZ6-LaxQxgrmJnzgP0"",""'TP# look up'!A:C""),3,0),"""")"),"")</f>
        <v/>
      </c>
      <c r="AH6977" s="49">
        <f>LEFT(J6977,2)</f>
        <v/>
      </c>
    </row>
    <row r="6978" ht="12.75" customHeight="1">
      <c r="H6978" s="43" t="n"/>
      <c r="AG6978" s="49">
        <f>IFERROR(__xludf.DUMMYFUNCTION("IFNA(vlookup(H6978,IMPORTRANGE(""1vUGwO1n0QQGx9kKbO0_M5gmuhXZ6-LaxQxgrmJnzgP0"",""'TP# look up'!A:C""),3,0),"""")"),"")</f>
        <v/>
      </c>
      <c r="AH6978" s="49">
        <f>LEFT(J6978,2)</f>
        <v/>
      </c>
    </row>
    <row r="6979" ht="12.75" customHeight="1">
      <c r="H6979" s="43" t="n"/>
      <c r="AG6979" s="49">
        <f>IFERROR(__xludf.DUMMYFUNCTION("IFNA(vlookup(H6979,IMPORTRANGE(""1vUGwO1n0QQGx9kKbO0_M5gmuhXZ6-LaxQxgrmJnzgP0"",""'TP# look up'!A:C""),3,0),"""")"),"")</f>
        <v/>
      </c>
      <c r="AH6979" s="49">
        <f>LEFT(J6979,2)</f>
        <v/>
      </c>
    </row>
    <row r="6980" ht="12.75" customHeight="1">
      <c r="H6980" s="43" t="n"/>
      <c r="AG6980" s="49">
        <f>IFERROR(__xludf.DUMMYFUNCTION("IFNA(vlookup(H6980,IMPORTRANGE(""1vUGwO1n0QQGx9kKbO0_M5gmuhXZ6-LaxQxgrmJnzgP0"",""'TP# look up'!A:C""),3,0),"""")"),"")</f>
        <v/>
      </c>
      <c r="AH6980" s="49">
        <f>LEFT(J6980,2)</f>
        <v/>
      </c>
    </row>
    <row r="6981" ht="12.75" customHeight="1">
      <c r="H6981" s="43" t="n"/>
      <c r="AG6981" s="49">
        <f>IFERROR(__xludf.DUMMYFUNCTION("IFNA(vlookup(H6981,IMPORTRANGE(""1vUGwO1n0QQGx9kKbO0_M5gmuhXZ6-LaxQxgrmJnzgP0"",""'TP# look up'!A:C""),3,0),"""")"),"")</f>
        <v/>
      </c>
      <c r="AH6981" s="49">
        <f>LEFT(J6981,2)</f>
        <v/>
      </c>
    </row>
    <row r="6982" ht="12.75" customHeight="1">
      <c r="H6982" s="43" t="n"/>
      <c r="AG6982" s="49">
        <f>IFERROR(__xludf.DUMMYFUNCTION("IFNA(vlookup(H6982,IMPORTRANGE(""1vUGwO1n0QQGx9kKbO0_M5gmuhXZ6-LaxQxgrmJnzgP0"",""'TP# look up'!A:C""),3,0),"""")"),"")</f>
        <v/>
      </c>
      <c r="AH6982" s="49">
        <f>LEFT(J6982,2)</f>
        <v/>
      </c>
    </row>
    <row r="6983" ht="12.75" customHeight="1">
      <c r="H6983" s="43" t="n"/>
      <c r="AG6983" s="49">
        <f>IFERROR(__xludf.DUMMYFUNCTION("IFNA(vlookup(H6983,IMPORTRANGE(""1vUGwO1n0QQGx9kKbO0_M5gmuhXZ6-LaxQxgrmJnzgP0"",""'TP# look up'!A:C""),3,0),"""")"),"")</f>
        <v/>
      </c>
      <c r="AH6983" s="49">
        <f>LEFT(J6983,2)</f>
        <v/>
      </c>
    </row>
    <row r="6984" ht="12.75" customHeight="1">
      <c r="H6984" s="43" t="n"/>
      <c r="AG6984" s="49">
        <f>IFERROR(__xludf.DUMMYFUNCTION("IFNA(vlookup(H6984,IMPORTRANGE(""1vUGwO1n0QQGx9kKbO0_M5gmuhXZ6-LaxQxgrmJnzgP0"",""'TP# look up'!A:C""),3,0),"""")"),"")</f>
        <v/>
      </c>
      <c r="AH6984" s="49">
        <f>LEFT(J6984,2)</f>
        <v/>
      </c>
    </row>
    <row r="6985" ht="12.75" customHeight="1">
      <c r="H6985" s="43" t="n"/>
      <c r="AG6985" s="49">
        <f>IFERROR(__xludf.DUMMYFUNCTION("IFNA(vlookup(H6985,IMPORTRANGE(""1vUGwO1n0QQGx9kKbO0_M5gmuhXZ6-LaxQxgrmJnzgP0"",""'TP# look up'!A:C""),3,0),"""")"),"")</f>
        <v/>
      </c>
      <c r="AH6985" s="49">
        <f>LEFT(J6985,2)</f>
        <v/>
      </c>
    </row>
    <row r="6986" ht="12.75" customHeight="1">
      <c r="H6986" s="43" t="n"/>
      <c r="AG6986" s="49">
        <f>IFERROR(__xludf.DUMMYFUNCTION("IFNA(vlookup(H6986,IMPORTRANGE(""1vUGwO1n0QQGx9kKbO0_M5gmuhXZ6-LaxQxgrmJnzgP0"",""'TP# look up'!A:C""),3,0),"""")"),"")</f>
        <v/>
      </c>
      <c r="AH6986" s="49">
        <f>LEFT(J6986,2)</f>
        <v/>
      </c>
    </row>
    <row r="6987" ht="12.75" customHeight="1">
      <c r="H6987" s="43" t="n"/>
      <c r="AG6987" s="49">
        <f>IFERROR(__xludf.DUMMYFUNCTION("IFNA(vlookup(H6987,IMPORTRANGE(""1vUGwO1n0QQGx9kKbO0_M5gmuhXZ6-LaxQxgrmJnzgP0"",""'TP# look up'!A:C""),3,0),"""")"),"")</f>
        <v/>
      </c>
      <c r="AH6987" s="49">
        <f>LEFT(J6987,2)</f>
        <v/>
      </c>
    </row>
    <row r="6988" ht="12.75" customHeight="1">
      <c r="H6988" s="43" t="n"/>
      <c r="AG6988" s="49">
        <f>IFERROR(__xludf.DUMMYFUNCTION("IFNA(vlookup(H6988,IMPORTRANGE(""1vUGwO1n0QQGx9kKbO0_M5gmuhXZ6-LaxQxgrmJnzgP0"",""'TP# look up'!A:C""),3,0),"""")"),"")</f>
        <v/>
      </c>
      <c r="AH6988" s="49">
        <f>LEFT(J6988,2)</f>
        <v/>
      </c>
    </row>
    <row r="6989" ht="12.75" customHeight="1">
      <c r="H6989" s="43" t="n"/>
      <c r="AG6989" s="49">
        <f>IFERROR(__xludf.DUMMYFUNCTION("IFNA(vlookup(H6989,IMPORTRANGE(""1vUGwO1n0QQGx9kKbO0_M5gmuhXZ6-LaxQxgrmJnzgP0"",""'TP# look up'!A:C""),3,0),"""")"),"")</f>
        <v/>
      </c>
      <c r="AH6989" s="49">
        <f>LEFT(J6989,2)</f>
        <v/>
      </c>
    </row>
    <row r="6990" ht="12.75" customHeight="1">
      <c r="H6990" s="43" t="n"/>
      <c r="AG6990" s="49">
        <f>IFERROR(__xludf.DUMMYFUNCTION("IFNA(vlookup(H6990,IMPORTRANGE(""1vUGwO1n0QQGx9kKbO0_M5gmuhXZ6-LaxQxgrmJnzgP0"",""'TP# look up'!A:C""),3,0),"""")"),"")</f>
        <v/>
      </c>
      <c r="AH6990" s="49">
        <f>LEFT(J6990,2)</f>
        <v/>
      </c>
    </row>
    <row r="6991" ht="12.75" customHeight="1">
      <c r="H6991" s="43" t="n"/>
      <c r="AG6991" s="49">
        <f>IFERROR(__xludf.DUMMYFUNCTION("IFNA(vlookup(H6991,IMPORTRANGE(""1vUGwO1n0QQGx9kKbO0_M5gmuhXZ6-LaxQxgrmJnzgP0"",""'TP# look up'!A:C""),3,0),"""")"),"")</f>
        <v/>
      </c>
      <c r="AH6991" s="49">
        <f>LEFT(J6991,2)</f>
        <v/>
      </c>
    </row>
    <row r="6992" ht="12.75" customHeight="1">
      <c r="H6992" s="43" t="n"/>
      <c r="AG6992" s="49">
        <f>IFERROR(__xludf.DUMMYFUNCTION("IFNA(vlookup(H6992,IMPORTRANGE(""1vUGwO1n0QQGx9kKbO0_M5gmuhXZ6-LaxQxgrmJnzgP0"",""'TP# look up'!A:C""),3,0),"""")"),"")</f>
        <v/>
      </c>
      <c r="AH6992" s="49">
        <f>LEFT(J6992,2)</f>
        <v/>
      </c>
    </row>
    <row r="6993" ht="12.75" customHeight="1">
      <c r="H6993" s="43" t="n"/>
      <c r="AG6993" s="49">
        <f>IFERROR(__xludf.DUMMYFUNCTION("IFNA(vlookup(H6993,IMPORTRANGE(""1vUGwO1n0QQGx9kKbO0_M5gmuhXZ6-LaxQxgrmJnzgP0"",""'TP# look up'!A:C""),3,0),"""")"),"")</f>
        <v/>
      </c>
      <c r="AH6993" s="49">
        <f>LEFT(J6993,2)</f>
        <v/>
      </c>
    </row>
    <row r="6994" ht="12.75" customHeight="1">
      <c r="H6994" s="43" t="n"/>
      <c r="AG6994" s="49">
        <f>IFERROR(__xludf.DUMMYFUNCTION("IFNA(vlookup(H6994,IMPORTRANGE(""1vUGwO1n0QQGx9kKbO0_M5gmuhXZ6-LaxQxgrmJnzgP0"",""'TP# look up'!A:C""),3,0),"""")"),"")</f>
        <v/>
      </c>
      <c r="AH6994" s="49">
        <f>LEFT(J6994,2)</f>
        <v/>
      </c>
    </row>
    <row r="6995" ht="12.75" customHeight="1">
      <c r="H6995" s="43" t="n"/>
      <c r="AG6995" s="49">
        <f>IFERROR(__xludf.DUMMYFUNCTION("IFNA(vlookup(H6995,IMPORTRANGE(""1vUGwO1n0QQGx9kKbO0_M5gmuhXZ6-LaxQxgrmJnzgP0"",""'TP# look up'!A:C""),3,0),"""")"),"")</f>
        <v/>
      </c>
      <c r="AH6995" s="49">
        <f>LEFT(J6995,2)</f>
        <v/>
      </c>
    </row>
    <row r="6996" ht="12.75" customHeight="1">
      <c r="H6996" s="43" t="n"/>
      <c r="AG6996" s="49">
        <f>IFERROR(__xludf.DUMMYFUNCTION("IFNA(vlookup(H6996,IMPORTRANGE(""1vUGwO1n0QQGx9kKbO0_M5gmuhXZ6-LaxQxgrmJnzgP0"",""'TP# look up'!A:C""),3,0),"""")"),"")</f>
        <v/>
      </c>
      <c r="AH6996" s="49">
        <f>LEFT(J6996,2)</f>
        <v/>
      </c>
    </row>
    <row r="6997" ht="12.75" customHeight="1">
      <c r="H6997" s="43" t="n"/>
      <c r="AG6997" s="49">
        <f>IFERROR(__xludf.DUMMYFUNCTION("IFNA(vlookup(H6997,IMPORTRANGE(""1vUGwO1n0QQGx9kKbO0_M5gmuhXZ6-LaxQxgrmJnzgP0"",""'TP# look up'!A:C""),3,0),"""")"),"")</f>
        <v/>
      </c>
      <c r="AH6997" s="49">
        <f>LEFT(J6997,2)</f>
        <v/>
      </c>
    </row>
    <row r="6998" ht="12.75" customHeight="1">
      <c r="H6998" s="43" t="n"/>
      <c r="AG6998" s="49">
        <f>IFERROR(__xludf.DUMMYFUNCTION("IFNA(vlookup(H6998,IMPORTRANGE(""1vUGwO1n0QQGx9kKbO0_M5gmuhXZ6-LaxQxgrmJnzgP0"",""'TP# look up'!A:C""),3,0),"""")"),"")</f>
        <v/>
      </c>
      <c r="AH6998" s="49">
        <f>LEFT(J6998,2)</f>
        <v/>
      </c>
    </row>
    <row r="6999" ht="12.75" customHeight="1">
      <c r="H6999" s="43" t="n"/>
      <c r="AG6999" s="49">
        <f>IFERROR(__xludf.DUMMYFUNCTION("IFNA(vlookup(H6999,IMPORTRANGE(""1vUGwO1n0QQGx9kKbO0_M5gmuhXZ6-LaxQxgrmJnzgP0"",""'TP# look up'!A:C""),3,0),"""")"),"")</f>
        <v/>
      </c>
      <c r="AH6999" s="49">
        <f>LEFT(J6999,2)</f>
        <v/>
      </c>
    </row>
    <row r="7000" ht="12.75" customHeight="1">
      <c r="H7000" s="43" t="n"/>
      <c r="AG7000" s="49">
        <f>IFERROR(__xludf.DUMMYFUNCTION("IFNA(vlookup(H7000,IMPORTRANGE(""1vUGwO1n0QQGx9kKbO0_M5gmuhXZ6-LaxQxgrmJnzgP0"",""'TP# look up'!A:C""),3,0),"""")"),"")</f>
        <v/>
      </c>
      <c r="AH7000" s="49">
        <f>LEFT(J7000,2)</f>
        <v/>
      </c>
    </row>
    <row r="7001" ht="12.75" customHeight="1">
      <c r="H7001" s="43" t="n"/>
      <c r="AG7001" s="49">
        <f>IFERROR(__xludf.DUMMYFUNCTION("IFNA(vlookup(H7001,IMPORTRANGE(""1vUGwO1n0QQGx9kKbO0_M5gmuhXZ6-LaxQxgrmJnzgP0"",""'TP# look up'!A:C""),3,0),"""")"),"")</f>
        <v/>
      </c>
      <c r="AH7001" s="49">
        <f>LEFT(J7001,2)</f>
        <v/>
      </c>
    </row>
    <row r="7002" ht="12.75" customHeight="1">
      <c r="H7002" s="43" t="n"/>
      <c r="AG7002" s="49">
        <f>IFERROR(__xludf.DUMMYFUNCTION("IFNA(vlookup(H7002,IMPORTRANGE(""1vUGwO1n0QQGx9kKbO0_M5gmuhXZ6-LaxQxgrmJnzgP0"",""'TP# look up'!A:C""),3,0),"""")"),"")</f>
        <v/>
      </c>
      <c r="AH7002" s="49">
        <f>LEFT(J7002,2)</f>
        <v/>
      </c>
    </row>
    <row r="7003" ht="12.75" customHeight="1">
      <c r="H7003" s="43" t="n"/>
      <c r="AG7003" s="49">
        <f>IFERROR(__xludf.DUMMYFUNCTION("IFNA(vlookup(H7003,IMPORTRANGE(""1vUGwO1n0QQGx9kKbO0_M5gmuhXZ6-LaxQxgrmJnzgP0"",""'TP# look up'!A:C""),3,0),"""")"),"")</f>
        <v/>
      </c>
      <c r="AH7003" s="49">
        <f>LEFT(J7003,2)</f>
        <v/>
      </c>
    </row>
    <row r="7004" ht="12.75" customHeight="1">
      <c r="H7004" s="43" t="n"/>
      <c r="AG7004" s="49">
        <f>IFERROR(__xludf.DUMMYFUNCTION("IFNA(vlookup(H7004,IMPORTRANGE(""1vUGwO1n0QQGx9kKbO0_M5gmuhXZ6-LaxQxgrmJnzgP0"",""'TP# look up'!A:C""),3,0),"""")"),"")</f>
        <v/>
      </c>
      <c r="AH7004" s="49">
        <f>LEFT(J7004,2)</f>
        <v/>
      </c>
    </row>
    <row r="7005" ht="12.75" customHeight="1">
      <c r="H7005" s="43" t="n"/>
      <c r="AG7005" s="49">
        <f>IFERROR(__xludf.DUMMYFUNCTION("IFNA(vlookup(H7005,IMPORTRANGE(""1vUGwO1n0QQGx9kKbO0_M5gmuhXZ6-LaxQxgrmJnzgP0"",""'TP# look up'!A:C""),3,0),"""")"),"")</f>
        <v/>
      </c>
      <c r="AH7005" s="49">
        <f>LEFT(J7005,2)</f>
        <v/>
      </c>
    </row>
    <row r="7006" ht="12.75" customHeight="1">
      <c r="H7006" s="43" t="n"/>
      <c r="AG7006" s="49">
        <f>IFERROR(__xludf.DUMMYFUNCTION("IFNA(vlookup(H7006,IMPORTRANGE(""1vUGwO1n0QQGx9kKbO0_M5gmuhXZ6-LaxQxgrmJnzgP0"",""'TP# look up'!A:C""),3,0),"""")"),"")</f>
        <v/>
      </c>
      <c r="AH7006" s="49">
        <f>LEFT(J7006,2)</f>
        <v/>
      </c>
    </row>
    <row r="7007" ht="12.75" customHeight="1">
      <c r="H7007" s="43" t="n"/>
      <c r="AG7007" s="49">
        <f>IFERROR(__xludf.DUMMYFUNCTION("IFNA(vlookup(H7007,IMPORTRANGE(""1vUGwO1n0QQGx9kKbO0_M5gmuhXZ6-LaxQxgrmJnzgP0"",""'TP# look up'!A:C""),3,0),"""")"),"")</f>
        <v/>
      </c>
      <c r="AH7007" s="49">
        <f>LEFT(J7007,2)</f>
        <v/>
      </c>
    </row>
    <row r="7008" ht="12.75" customHeight="1">
      <c r="H7008" s="43" t="n"/>
      <c r="AG7008" s="49">
        <f>IFERROR(__xludf.DUMMYFUNCTION("IFNA(vlookup(H7008,IMPORTRANGE(""1vUGwO1n0QQGx9kKbO0_M5gmuhXZ6-LaxQxgrmJnzgP0"",""'TP# look up'!A:C""),3,0),"""")"),"")</f>
        <v/>
      </c>
      <c r="AH7008" s="49">
        <f>LEFT(J7008,2)</f>
        <v/>
      </c>
    </row>
    <row r="7009" ht="12.75" customHeight="1">
      <c r="H7009" s="43" t="n"/>
      <c r="AG7009" s="49">
        <f>IFERROR(__xludf.DUMMYFUNCTION("IFNA(vlookup(H7009,IMPORTRANGE(""1vUGwO1n0QQGx9kKbO0_M5gmuhXZ6-LaxQxgrmJnzgP0"",""'TP# look up'!A:C""),3,0),"""")"),"")</f>
        <v/>
      </c>
      <c r="AH7009" s="49">
        <f>LEFT(J7009,2)</f>
        <v/>
      </c>
    </row>
    <row r="7010" ht="12.75" customHeight="1">
      <c r="H7010" s="43" t="n"/>
      <c r="AG7010" s="49">
        <f>IFERROR(__xludf.DUMMYFUNCTION("IFNA(vlookup(H7010,IMPORTRANGE(""1vUGwO1n0QQGx9kKbO0_M5gmuhXZ6-LaxQxgrmJnzgP0"",""'TP# look up'!A:C""),3,0),"""")"),"")</f>
        <v/>
      </c>
      <c r="AH7010" s="49">
        <f>LEFT(J7010,2)</f>
        <v/>
      </c>
    </row>
    <row r="7011" ht="12.75" customHeight="1">
      <c r="H7011" s="43" t="n"/>
      <c r="AG7011" s="49">
        <f>IFERROR(__xludf.DUMMYFUNCTION("IFNA(vlookup(H7011,IMPORTRANGE(""1vUGwO1n0QQGx9kKbO0_M5gmuhXZ6-LaxQxgrmJnzgP0"",""'TP# look up'!A:C""),3,0),"""")"),"")</f>
        <v/>
      </c>
      <c r="AH7011" s="49">
        <f>LEFT(J7011,2)</f>
        <v/>
      </c>
    </row>
    <row r="7012" ht="12.75" customHeight="1">
      <c r="H7012" s="43" t="n"/>
      <c r="AG7012" s="49">
        <f>IFERROR(__xludf.DUMMYFUNCTION("IFNA(vlookup(H7012,IMPORTRANGE(""1vUGwO1n0QQGx9kKbO0_M5gmuhXZ6-LaxQxgrmJnzgP0"",""'TP# look up'!A:C""),3,0),"""")"),"")</f>
        <v/>
      </c>
      <c r="AH7012" s="49">
        <f>LEFT(J7012,2)</f>
        <v/>
      </c>
    </row>
    <row r="7013" ht="12.75" customHeight="1">
      <c r="H7013" s="43" t="n"/>
      <c r="AG7013" s="49">
        <f>IFERROR(__xludf.DUMMYFUNCTION("IFNA(vlookup(H7013,IMPORTRANGE(""1vUGwO1n0QQGx9kKbO0_M5gmuhXZ6-LaxQxgrmJnzgP0"",""'TP# look up'!A:C""),3,0),"""")"),"")</f>
        <v/>
      </c>
      <c r="AH7013" s="49">
        <f>LEFT(J7013,2)</f>
        <v/>
      </c>
    </row>
    <row r="7014" ht="12.75" customHeight="1">
      <c r="H7014" s="43" t="n"/>
      <c r="AG7014" s="49">
        <f>IFERROR(__xludf.DUMMYFUNCTION("IFNA(vlookup(H7014,IMPORTRANGE(""1vUGwO1n0QQGx9kKbO0_M5gmuhXZ6-LaxQxgrmJnzgP0"",""'TP# look up'!A:C""),3,0),"""")"),"")</f>
        <v/>
      </c>
      <c r="AH7014" s="49">
        <f>LEFT(J7014,2)</f>
        <v/>
      </c>
    </row>
    <row r="7015" ht="12.75" customHeight="1">
      <c r="H7015" s="43" t="n"/>
      <c r="AG7015" s="49">
        <f>IFERROR(__xludf.DUMMYFUNCTION("IFNA(vlookup(H7015,IMPORTRANGE(""1vUGwO1n0QQGx9kKbO0_M5gmuhXZ6-LaxQxgrmJnzgP0"",""'TP# look up'!A:C""),3,0),"""")"),"")</f>
        <v/>
      </c>
      <c r="AH7015" s="49">
        <f>LEFT(J7015,2)</f>
        <v/>
      </c>
    </row>
    <row r="7016" ht="12.75" customHeight="1">
      <c r="H7016" s="43" t="n"/>
      <c r="AG7016" s="49">
        <f>IFERROR(__xludf.DUMMYFUNCTION("IFNA(vlookup(H7016,IMPORTRANGE(""1vUGwO1n0QQGx9kKbO0_M5gmuhXZ6-LaxQxgrmJnzgP0"",""'TP# look up'!A:C""),3,0),"""")"),"")</f>
        <v/>
      </c>
      <c r="AH7016" s="49">
        <f>LEFT(J7016,2)</f>
        <v/>
      </c>
    </row>
    <row r="7017" ht="12.75" customHeight="1">
      <c r="H7017" s="43" t="n"/>
      <c r="AG7017" s="49">
        <f>IFERROR(__xludf.DUMMYFUNCTION("IFNA(vlookup(H7017,IMPORTRANGE(""1vUGwO1n0QQGx9kKbO0_M5gmuhXZ6-LaxQxgrmJnzgP0"",""'TP# look up'!A:C""),3,0),"""")"),"")</f>
        <v/>
      </c>
      <c r="AH7017" s="49">
        <f>LEFT(J7017,2)</f>
        <v/>
      </c>
    </row>
    <row r="7018" ht="12.75" customHeight="1">
      <c r="H7018" s="43" t="n"/>
      <c r="AG7018" s="49">
        <f>IFERROR(__xludf.DUMMYFUNCTION("IFNA(vlookup(H7018,IMPORTRANGE(""1vUGwO1n0QQGx9kKbO0_M5gmuhXZ6-LaxQxgrmJnzgP0"",""'TP# look up'!A:C""),3,0),"""")"),"")</f>
        <v/>
      </c>
      <c r="AH7018" s="49">
        <f>LEFT(J7018,2)</f>
        <v/>
      </c>
    </row>
    <row r="7019" ht="12.75" customHeight="1">
      <c r="H7019" s="43" t="n"/>
      <c r="AG7019" s="49">
        <f>IFERROR(__xludf.DUMMYFUNCTION("IFNA(vlookup(H7019,IMPORTRANGE(""1vUGwO1n0QQGx9kKbO0_M5gmuhXZ6-LaxQxgrmJnzgP0"",""'TP# look up'!A:C""),3,0),"""")"),"")</f>
        <v/>
      </c>
      <c r="AH7019" s="49">
        <f>LEFT(J7019,2)</f>
        <v/>
      </c>
    </row>
    <row r="7020" ht="12.75" customHeight="1">
      <c r="H7020" s="43" t="n"/>
      <c r="AG7020" s="49">
        <f>IFERROR(__xludf.DUMMYFUNCTION("IFNA(vlookup(H7020,IMPORTRANGE(""1vUGwO1n0QQGx9kKbO0_M5gmuhXZ6-LaxQxgrmJnzgP0"",""'TP# look up'!A:C""),3,0),"""")"),"")</f>
        <v/>
      </c>
      <c r="AH7020" s="49">
        <f>LEFT(J7020,2)</f>
        <v/>
      </c>
    </row>
    <row r="7021" ht="12.75" customHeight="1">
      <c r="H7021" s="43" t="n"/>
      <c r="AG7021" s="49">
        <f>IFERROR(__xludf.DUMMYFUNCTION("IFNA(vlookup(H7021,IMPORTRANGE(""1vUGwO1n0QQGx9kKbO0_M5gmuhXZ6-LaxQxgrmJnzgP0"",""'TP# look up'!A:C""),3,0),"""")"),"")</f>
        <v/>
      </c>
      <c r="AH7021" s="49">
        <f>LEFT(J7021,2)</f>
        <v/>
      </c>
    </row>
    <row r="7022" ht="12.75" customHeight="1">
      <c r="H7022" s="43" t="n"/>
      <c r="AG7022" s="49">
        <f>IFERROR(__xludf.DUMMYFUNCTION("IFNA(vlookup(H7022,IMPORTRANGE(""1vUGwO1n0QQGx9kKbO0_M5gmuhXZ6-LaxQxgrmJnzgP0"",""'TP# look up'!A:C""),3,0),"""")"),"")</f>
        <v/>
      </c>
      <c r="AH7022" s="49">
        <f>LEFT(J7022,2)</f>
        <v/>
      </c>
    </row>
    <row r="7023" ht="12.75" customHeight="1">
      <c r="H7023" s="43" t="n"/>
      <c r="AG7023" s="49">
        <f>IFERROR(__xludf.DUMMYFUNCTION("IFNA(vlookup(H7023,IMPORTRANGE(""1vUGwO1n0QQGx9kKbO0_M5gmuhXZ6-LaxQxgrmJnzgP0"",""'TP# look up'!A:C""),3,0),"""")"),"")</f>
        <v/>
      </c>
      <c r="AH7023" s="49">
        <f>LEFT(J7023,2)</f>
        <v/>
      </c>
    </row>
    <row r="7024" ht="12.75" customHeight="1">
      <c r="H7024" s="43" t="n"/>
      <c r="AG7024" s="49">
        <f>IFERROR(__xludf.DUMMYFUNCTION("IFNA(vlookup(H7024,IMPORTRANGE(""1vUGwO1n0QQGx9kKbO0_M5gmuhXZ6-LaxQxgrmJnzgP0"",""'TP# look up'!A:C""),3,0),"""")"),"")</f>
        <v/>
      </c>
      <c r="AH7024" s="49">
        <f>LEFT(J7024,2)</f>
        <v/>
      </c>
    </row>
    <row r="7025" ht="12.75" customHeight="1">
      <c r="H7025" s="43" t="n"/>
      <c r="AG7025" s="49">
        <f>IFERROR(__xludf.DUMMYFUNCTION("IFNA(vlookup(H7025,IMPORTRANGE(""1vUGwO1n0QQGx9kKbO0_M5gmuhXZ6-LaxQxgrmJnzgP0"",""'TP# look up'!A:C""),3,0),"""")"),"")</f>
        <v/>
      </c>
      <c r="AH7025" s="49">
        <f>LEFT(J7025,2)</f>
        <v/>
      </c>
    </row>
    <row r="7026" ht="12.75" customHeight="1">
      <c r="H7026" s="43" t="n"/>
      <c r="AG7026" s="49">
        <f>IFERROR(__xludf.DUMMYFUNCTION("IFNA(vlookup(H7026,IMPORTRANGE(""1vUGwO1n0QQGx9kKbO0_M5gmuhXZ6-LaxQxgrmJnzgP0"",""'TP# look up'!A:C""),3,0),"""")"),"")</f>
        <v/>
      </c>
      <c r="AH7026" s="49">
        <f>LEFT(J7026,2)</f>
        <v/>
      </c>
    </row>
    <row r="7027" ht="12.75" customHeight="1">
      <c r="H7027" s="43" t="n"/>
      <c r="AG7027" s="49">
        <f>IFERROR(__xludf.DUMMYFUNCTION("IFNA(vlookup(H7027,IMPORTRANGE(""1vUGwO1n0QQGx9kKbO0_M5gmuhXZ6-LaxQxgrmJnzgP0"",""'TP# look up'!A:C""),3,0),"""")"),"")</f>
        <v/>
      </c>
      <c r="AH7027" s="49">
        <f>LEFT(J7027,2)</f>
        <v/>
      </c>
    </row>
    <row r="7028" ht="12.75" customHeight="1">
      <c r="H7028" s="43" t="n"/>
      <c r="AG7028" s="49">
        <f>IFERROR(__xludf.DUMMYFUNCTION("IFNA(vlookup(H7028,IMPORTRANGE(""1vUGwO1n0QQGx9kKbO0_M5gmuhXZ6-LaxQxgrmJnzgP0"",""'TP# look up'!A:C""),3,0),"""")"),"")</f>
        <v/>
      </c>
      <c r="AH7028" s="49">
        <f>LEFT(J7028,2)</f>
        <v/>
      </c>
    </row>
    <row r="7029" ht="12.75" customHeight="1">
      <c r="H7029" s="43" t="n"/>
      <c r="AG7029" s="49">
        <f>IFERROR(__xludf.DUMMYFUNCTION("IFNA(vlookup(H7029,IMPORTRANGE(""1vUGwO1n0QQGx9kKbO0_M5gmuhXZ6-LaxQxgrmJnzgP0"",""'TP# look up'!A:C""),3,0),"""")"),"")</f>
        <v/>
      </c>
      <c r="AH7029" s="49">
        <f>LEFT(J7029,2)</f>
        <v/>
      </c>
    </row>
    <row r="7030" ht="12.75" customHeight="1">
      <c r="H7030" s="43" t="n"/>
      <c r="AG7030" s="49">
        <f>IFERROR(__xludf.DUMMYFUNCTION("IFNA(vlookup(H7030,IMPORTRANGE(""1vUGwO1n0QQGx9kKbO0_M5gmuhXZ6-LaxQxgrmJnzgP0"",""'TP# look up'!A:C""),3,0),"""")"),"")</f>
        <v/>
      </c>
      <c r="AH7030" s="49">
        <f>LEFT(J7030,2)</f>
        <v/>
      </c>
    </row>
    <row r="7031" ht="12.75" customHeight="1">
      <c r="H7031" s="43" t="n"/>
      <c r="AG7031" s="49">
        <f>IFERROR(__xludf.DUMMYFUNCTION("IFNA(vlookup(H7031,IMPORTRANGE(""1vUGwO1n0QQGx9kKbO0_M5gmuhXZ6-LaxQxgrmJnzgP0"",""'TP# look up'!A:C""),3,0),"""")"),"")</f>
        <v/>
      </c>
      <c r="AH7031" s="49">
        <f>LEFT(J7031,2)</f>
        <v/>
      </c>
    </row>
    <row r="7032" ht="12.75" customHeight="1">
      <c r="H7032" s="43" t="n"/>
      <c r="AG7032" s="49">
        <f>IFERROR(__xludf.DUMMYFUNCTION("IFNA(vlookup(H7032,IMPORTRANGE(""1vUGwO1n0QQGx9kKbO0_M5gmuhXZ6-LaxQxgrmJnzgP0"",""'TP# look up'!A:C""),3,0),"""")"),"")</f>
        <v/>
      </c>
      <c r="AH7032" s="49">
        <f>LEFT(J7032,2)</f>
        <v/>
      </c>
    </row>
    <row r="7033" ht="12.75" customHeight="1">
      <c r="H7033" s="43" t="n"/>
      <c r="AG7033" s="49">
        <f>IFERROR(__xludf.DUMMYFUNCTION("IFNA(vlookup(H7033,IMPORTRANGE(""1vUGwO1n0QQGx9kKbO0_M5gmuhXZ6-LaxQxgrmJnzgP0"",""'TP# look up'!A:C""),3,0),"""")"),"")</f>
        <v/>
      </c>
      <c r="AH7033" s="49">
        <f>LEFT(J7033,2)</f>
        <v/>
      </c>
    </row>
    <row r="7034" ht="12.75" customHeight="1">
      <c r="H7034" s="43" t="n"/>
      <c r="AG7034" s="49">
        <f>IFERROR(__xludf.DUMMYFUNCTION("IFNA(vlookup(H7034,IMPORTRANGE(""1vUGwO1n0QQGx9kKbO0_M5gmuhXZ6-LaxQxgrmJnzgP0"",""'TP# look up'!A:C""),3,0),"""")"),"")</f>
        <v/>
      </c>
      <c r="AH7034" s="49">
        <f>LEFT(J7034,2)</f>
        <v/>
      </c>
    </row>
    <row r="7035" ht="12.75" customHeight="1">
      <c r="H7035" s="43" t="n"/>
      <c r="AG7035" s="49">
        <f>IFERROR(__xludf.DUMMYFUNCTION("IFNA(vlookup(H7035,IMPORTRANGE(""1vUGwO1n0QQGx9kKbO0_M5gmuhXZ6-LaxQxgrmJnzgP0"",""'TP# look up'!A:C""),3,0),"""")"),"")</f>
        <v/>
      </c>
      <c r="AH7035" s="49">
        <f>LEFT(J7035,2)</f>
        <v/>
      </c>
    </row>
    <row r="7036" ht="12.75" customHeight="1">
      <c r="H7036" s="43" t="n"/>
      <c r="AG7036" s="49">
        <f>IFERROR(__xludf.DUMMYFUNCTION("IFNA(vlookup(H7036,IMPORTRANGE(""1vUGwO1n0QQGx9kKbO0_M5gmuhXZ6-LaxQxgrmJnzgP0"",""'TP# look up'!A:C""),3,0),"""")"),"")</f>
        <v/>
      </c>
      <c r="AH7036" s="49">
        <f>LEFT(J7036,2)</f>
        <v/>
      </c>
    </row>
    <row r="7037" ht="12.75" customHeight="1">
      <c r="H7037" s="43" t="n"/>
      <c r="AG7037" s="49">
        <f>IFERROR(__xludf.DUMMYFUNCTION("IFNA(vlookup(H7037,IMPORTRANGE(""1vUGwO1n0QQGx9kKbO0_M5gmuhXZ6-LaxQxgrmJnzgP0"",""'TP# look up'!A:C""),3,0),"""")"),"")</f>
        <v/>
      </c>
      <c r="AH7037" s="49">
        <f>LEFT(J7037,2)</f>
        <v/>
      </c>
    </row>
    <row r="7038" ht="12.75" customHeight="1">
      <c r="H7038" s="43" t="n"/>
      <c r="AG7038" s="49">
        <f>IFERROR(__xludf.DUMMYFUNCTION("IFNA(vlookup(H7038,IMPORTRANGE(""1vUGwO1n0QQGx9kKbO0_M5gmuhXZ6-LaxQxgrmJnzgP0"",""'TP# look up'!A:C""),3,0),"""")"),"")</f>
        <v/>
      </c>
      <c r="AH7038" s="49">
        <f>LEFT(J7038,2)</f>
        <v/>
      </c>
    </row>
    <row r="7039" ht="12.75" customHeight="1">
      <c r="H7039" s="43" t="n"/>
      <c r="AG7039" s="49">
        <f>IFERROR(__xludf.DUMMYFUNCTION("IFNA(vlookup(H7039,IMPORTRANGE(""1vUGwO1n0QQGx9kKbO0_M5gmuhXZ6-LaxQxgrmJnzgP0"",""'TP# look up'!A:C""),3,0),"""")"),"")</f>
        <v/>
      </c>
      <c r="AH7039" s="49">
        <f>LEFT(J7039,2)</f>
        <v/>
      </c>
    </row>
    <row r="7040" ht="12.75" customHeight="1">
      <c r="H7040" s="43" t="n"/>
      <c r="AG7040" s="49">
        <f>IFERROR(__xludf.DUMMYFUNCTION("IFNA(vlookup(H7040,IMPORTRANGE(""1vUGwO1n0QQGx9kKbO0_M5gmuhXZ6-LaxQxgrmJnzgP0"",""'TP# look up'!A:C""),3,0),"""")"),"")</f>
        <v/>
      </c>
      <c r="AH7040" s="49">
        <f>LEFT(J7040,2)</f>
        <v/>
      </c>
    </row>
    <row r="7041" ht="12.75" customHeight="1">
      <c r="H7041" s="43" t="n"/>
      <c r="AG7041" s="49">
        <f>IFERROR(__xludf.DUMMYFUNCTION("IFNA(vlookup(H7041,IMPORTRANGE(""1vUGwO1n0QQGx9kKbO0_M5gmuhXZ6-LaxQxgrmJnzgP0"",""'TP# look up'!A:C""),3,0),"""")"),"")</f>
        <v/>
      </c>
      <c r="AH7041" s="49">
        <f>LEFT(J7041,2)</f>
        <v/>
      </c>
    </row>
    <row r="7042" ht="12.75" customHeight="1">
      <c r="H7042" s="43" t="n"/>
      <c r="AG7042" s="49">
        <f>IFERROR(__xludf.DUMMYFUNCTION("IFNA(vlookup(H7042,IMPORTRANGE(""1vUGwO1n0QQGx9kKbO0_M5gmuhXZ6-LaxQxgrmJnzgP0"",""'TP# look up'!A:C""),3,0),"""")"),"")</f>
        <v/>
      </c>
      <c r="AH7042" s="49">
        <f>LEFT(J7042,2)</f>
        <v/>
      </c>
    </row>
    <row r="7043" ht="12.75" customHeight="1">
      <c r="H7043" s="43" t="n"/>
      <c r="AG7043" s="49">
        <f>IFERROR(__xludf.DUMMYFUNCTION("IFNA(vlookup(H7043,IMPORTRANGE(""1vUGwO1n0QQGx9kKbO0_M5gmuhXZ6-LaxQxgrmJnzgP0"",""'TP# look up'!A:C""),3,0),"""")"),"")</f>
        <v/>
      </c>
      <c r="AH7043" s="49">
        <f>LEFT(J7043,2)</f>
        <v/>
      </c>
    </row>
    <row r="7044" ht="12.75" customHeight="1">
      <c r="H7044" s="43" t="n"/>
      <c r="AG7044" s="49">
        <f>IFERROR(__xludf.DUMMYFUNCTION("IFNA(vlookup(H7044,IMPORTRANGE(""1vUGwO1n0QQGx9kKbO0_M5gmuhXZ6-LaxQxgrmJnzgP0"",""'TP# look up'!A:C""),3,0),"""")"),"")</f>
        <v/>
      </c>
      <c r="AH7044" s="49">
        <f>LEFT(J7044,2)</f>
        <v/>
      </c>
    </row>
    <row r="7045" ht="12.75" customHeight="1">
      <c r="H7045" s="43" t="n"/>
      <c r="AG7045" s="49">
        <f>IFERROR(__xludf.DUMMYFUNCTION("IFNA(vlookup(H7045,IMPORTRANGE(""1vUGwO1n0QQGx9kKbO0_M5gmuhXZ6-LaxQxgrmJnzgP0"",""'TP# look up'!A:C""),3,0),"""")"),"")</f>
        <v/>
      </c>
      <c r="AH7045" s="49">
        <f>LEFT(J7045,2)</f>
        <v/>
      </c>
    </row>
    <row r="7046" ht="12.75" customHeight="1">
      <c r="H7046" s="43" t="n"/>
      <c r="AG7046" s="49">
        <f>IFERROR(__xludf.DUMMYFUNCTION("IFNA(vlookup(H7046,IMPORTRANGE(""1vUGwO1n0QQGx9kKbO0_M5gmuhXZ6-LaxQxgrmJnzgP0"",""'TP# look up'!A:C""),3,0),"""")"),"")</f>
        <v/>
      </c>
      <c r="AH7046" s="49">
        <f>LEFT(J7046,2)</f>
        <v/>
      </c>
    </row>
    <row r="7047" ht="12.75" customHeight="1">
      <c r="H7047" s="43" t="n"/>
      <c r="AG7047" s="49">
        <f>IFERROR(__xludf.DUMMYFUNCTION("IFNA(vlookup(H7047,IMPORTRANGE(""1vUGwO1n0QQGx9kKbO0_M5gmuhXZ6-LaxQxgrmJnzgP0"",""'TP# look up'!A:C""),3,0),"""")"),"")</f>
        <v/>
      </c>
      <c r="AH7047" s="49">
        <f>LEFT(J7047,2)</f>
        <v/>
      </c>
    </row>
    <row r="7048" ht="12.75" customHeight="1">
      <c r="H7048" s="43" t="n"/>
      <c r="AG7048" s="49">
        <f>IFERROR(__xludf.DUMMYFUNCTION("IFNA(vlookup(H7048,IMPORTRANGE(""1vUGwO1n0QQGx9kKbO0_M5gmuhXZ6-LaxQxgrmJnzgP0"",""'TP# look up'!A:C""),3,0),"""")"),"")</f>
        <v/>
      </c>
      <c r="AH7048" s="49">
        <f>LEFT(J7048,2)</f>
        <v/>
      </c>
    </row>
    <row r="7049" ht="12.75" customHeight="1">
      <c r="H7049" s="43" t="n"/>
      <c r="AG7049" s="49">
        <f>IFERROR(__xludf.DUMMYFUNCTION("IFNA(vlookup(H7049,IMPORTRANGE(""1vUGwO1n0QQGx9kKbO0_M5gmuhXZ6-LaxQxgrmJnzgP0"",""'TP# look up'!A:C""),3,0),"""")"),"")</f>
        <v/>
      </c>
      <c r="AH7049" s="49">
        <f>LEFT(J7049,2)</f>
        <v/>
      </c>
    </row>
    <row r="7050" ht="12.75" customHeight="1">
      <c r="H7050" s="43" t="n"/>
      <c r="AG7050" s="49">
        <f>IFERROR(__xludf.DUMMYFUNCTION("IFNA(vlookup(H7050,IMPORTRANGE(""1vUGwO1n0QQGx9kKbO0_M5gmuhXZ6-LaxQxgrmJnzgP0"",""'TP# look up'!A:C""),3,0),"""")"),"")</f>
        <v/>
      </c>
      <c r="AH7050" s="49">
        <f>LEFT(J7050,2)</f>
        <v/>
      </c>
    </row>
    <row r="7051" ht="12.75" customHeight="1">
      <c r="H7051" s="43" t="n"/>
      <c r="AG7051" s="49">
        <f>IFERROR(__xludf.DUMMYFUNCTION("IFNA(vlookup(H7051,IMPORTRANGE(""1vUGwO1n0QQGx9kKbO0_M5gmuhXZ6-LaxQxgrmJnzgP0"",""'TP# look up'!A:C""),3,0),"""")"),"")</f>
        <v/>
      </c>
      <c r="AH7051" s="49">
        <f>LEFT(J7051,2)</f>
        <v/>
      </c>
    </row>
    <row r="7052" ht="12.75" customHeight="1">
      <c r="H7052" s="43" t="n"/>
      <c r="AG7052" s="49">
        <f>IFERROR(__xludf.DUMMYFUNCTION("IFNA(vlookup(H7052,IMPORTRANGE(""1vUGwO1n0QQGx9kKbO0_M5gmuhXZ6-LaxQxgrmJnzgP0"",""'TP# look up'!A:C""),3,0),"""")"),"")</f>
        <v/>
      </c>
      <c r="AH7052" s="49">
        <f>LEFT(J7052,2)</f>
        <v/>
      </c>
    </row>
    <row r="7053" ht="12.75" customHeight="1">
      <c r="H7053" s="43" t="n"/>
      <c r="AG7053" s="49">
        <f>IFERROR(__xludf.DUMMYFUNCTION("IFNA(vlookup(H7053,IMPORTRANGE(""1vUGwO1n0QQGx9kKbO0_M5gmuhXZ6-LaxQxgrmJnzgP0"",""'TP# look up'!A:C""),3,0),"""")"),"")</f>
        <v/>
      </c>
      <c r="AH7053" s="49">
        <f>LEFT(J7053,2)</f>
        <v/>
      </c>
    </row>
    <row r="7054" ht="12.75" customHeight="1">
      <c r="H7054" s="43" t="n"/>
      <c r="AG7054" s="49">
        <f>IFERROR(__xludf.DUMMYFUNCTION("IFNA(vlookup(H7054,IMPORTRANGE(""1vUGwO1n0QQGx9kKbO0_M5gmuhXZ6-LaxQxgrmJnzgP0"",""'TP# look up'!A:C""),3,0),"""")"),"")</f>
        <v/>
      </c>
      <c r="AH7054" s="49">
        <f>LEFT(J7054,2)</f>
        <v/>
      </c>
    </row>
    <row r="7055" ht="12.75" customHeight="1">
      <c r="H7055" s="43" t="n"/>
      <c r="AG7055" s="49">
        <f>IFERROR(__xludf.DUMMYFUNCTION("IFNA(vlookup(H7055,IMPORTRANGE(""1vUGwO1n0QQGx9kKbO0_M5gmuhXZ6-LaxQxgrmJnzgP0"",""'TP# look up'!A:C""),3,0),"""")"),"")</f>
        <v/>
      </c>
      <c r="AH7055" s="49">
        <f>LEFT(J7055,2)</f>
        <v/>
      </c>
    </row>
    <row r="7056" ht="12.75" customHeight="1">
      <c r="H7056" s="43" t="n"/>
      <c r="AG7056" s="49">
        <f>IFERROR(__xludf.DUMMYFUNCTION("IFNA(vlookup(H7056,IMPORTRANGE(""1vUGwO1n0QQGx9kKbO0_M5gmuhXZ6-LaxQxgrmJnzgP0"",""'TP# look up'!A:C""),3,0),"""")"),"")</f>
        <v/>
      </c>
      <c r="AH7056" s="49">
        <f>LEFT(J7056,2)</f>
        <v/>
      </c>
    </row>
    <row r="7057" ht="12.75" customHeight="1">
      <c r="H7057" s="43" t="n"/>
      <c r="AG7057" s="49">
        <f>IFERROR(__xludf.DUMMYFUNCTION("IFNA(vlookup(H7057,IMPORTRANGE(""1vUGwO1n0QQGx9kKbO0_M5gmuhXZ6-LaxQxgrmJnzgP0"",""'TP# look up'!A:C""),3,0),"""")"),"")</f>
        <v/>
      </c>
      <c r="AH7057" s="49">
        <f>LEFT(J7057,2)</f>
        <v/>
      </c>
    </row>
    <row r="7058" ht="12.75" customHeight="1">
      <c r="H7058" s="43" t="n"/>
      <c r="AG7058" s="49">
        <f>IFERROR(__xludf.DUMMYFUNCTION("IFNA(vlookup(H7058,IMPORTRANGE(""1vUGwO1n0QQGx9kKbO0_M5gmuhXZ6-LaxQxgrmJnzgP0"",""'TP# look up'!A:C""),3,0),"""")"),"")</f>
        <v/>
      </c>
      <c r="AH7058" s="49">
        <f>LEFT(J7058,2)</f>
        <v/>
      </c>
    </row>
    <row r="7059" ht="12.75" customHeight="1">
      <c r="H7059" s="43" t="n"/>
      <c r="AG7059" s="49">
        <f>IFERROR(__xludf.DUMMYFUNCTION("IFNA(vlookup(H7059,IMPORTRANGE(""1vUGwO1n0QQGx9kKbO0_M5gmuhXZ6-LaxQxgrmJnzgP0"",""'TP# look up'!A:C""),3,0),"""")"),"")</f>
        <v/>
      </c>
      <c r="AH7059" s="49">
        <f>LEFT(J7059,2)</f>
        <v/>
      </c>
    </row>
    <row r="7060" ht="12.75" customHeight="1">
      <c r="H7060" s="43" t="n"/>
      <c r="AG7060" s="49">
        <f>IFERROR(__xludf.DUMMYFUNCTION("IFNA(vlookup(H7060,IMPORTRANGE(""1vUGwO1n0QQGx9kKbO0_M5gmuhXZ6-LaxQxgrmJnzgP0"",""'TP# look up'!A:C""),3,0),"""")"),"")</f>
        <v/>
      </c>
      <c r="AH7060" s="49">
        <f>LEFT(J7060,2)</f>
        <v/>
      </c>
    </row>
    <row r="7061" ht="12.75" customHeight="1">
      <c r="H7061" s="43" t="n"/>
      <c r="AG7061" s="49">
        <f>IFERROR(__xludf.DUMMYFUNCTION("IFNA(vlookup(H7061,IMPORTRANGE(""1vUGwO1n0QQGx9kKbO0_M5gmuhXZ6-LaxQxgrmJnzgP0"",""'TP# look up'!A:C""),3,0),"""")"),"")</f>
        <v/>
      </c>
      <c r="AH7061" s="49">
        <f>LEFT(J7061,2)</f>
        <v/>
      </c>
    </row>
    <row r="7062" ht="12.75" customHeight="1">
      <c r="H7062" s="43" t="n"/>
      <c r="AG7062" s="49">
        <f>IFERROR(__xludf.DUMMYFUNCTION("IFNA(vlookup(H7062,IMPORTRANGE(""1vUGwO1n0QQGx9kKbO0_M5gmuhXZ6-LaxQxgrmJnzgP0"",""'TP# look up'!A:C""),3,0),"""")"),"")</f>
        <v/>
      </c>
      <c r="AH7062" s="49">
        <f>LEFT(J7062,2)</f>
        <v/>
      </c>
    </row>
    <row r="7063" ht="12.75" customHeight="1">
      <c r="H7063" s="43" t="n"/>
      <c r="AG7063" s="49">
        <f>IFERROR(__xludf.DUMMYFUNCTION("IFNA(vlookup(H7063,IMPORTRANGE(""1vUGwO1n0QQGx9kKbO0_M5gmuhXZ6-LaxQxgrmJnzgP0"",""'TP# look up'!A:C""),3,0),"""")"),"")</f>
        <v/>
      </c>
      <c r="AH7063" s="49">
        <f>LEFT(J7063,2)</f>
        <v/>
      </c>
    </row>
    <row r="7064" ht="12.75" customHeight="1">
      <c r="H7064" s="43" t="n"/>
      <c r="AG7064" s="49">
        <f>IFERROR(__xludf.DUMMYFUNCTION("IFNA(vlookup(H7064,IMPORTRANGE(""1vUGwO1n0QQGx9kKbO0_M5gmuhXZ6-LaxQxgrmJnzgP0"",""'TP# look up'!A:C""),3,0),"""")"),"")</f>
        <v/>
      </c>
      <c r="AH7064" s="49">
        <f>LEFT(J7064,2)</f>
        <v/>
      </c>
    </row>
    <row r="7065" ht="12.75" customHeight="1">
      <c r="H7065" s="43" t="n"/>
      <c r="AG7065" s="49">
        <f>IFERROR(__xludf.DUMMYFUNCTION("IFNA(vlookup(H7065,IMPORTRANGE(""1vUGwO1n0QQGx9kKbO0_M5gmuhXZ6-LaxQxgrmJnzgP0"",""'TP# look up'!A:C""),3,0),"""")"),"")</f>
        <v/>
      </c>
      <c r="AH7065" s="49">
        <f>LEFT(J7065,2)</f>
        <v/>
      </c>
    </row>
    <row r="7066" ht="12.75" customHeight="1">
      <c r="H7066" s="43" t="n"/>
      <c r="AG7066" s="49">
        <f>IFERROR(__xludf.DUMMYFUNCTION("IFNA(vlookup(H7066,IMPORTRANGE(""1vUGwO1n0QQGx9kKbO0_M5gmuhXZ6-LaxQxgrmJnzgP0"",""'TP# look up'!A:C""),3,0),"""")"),"")</f>
        <v/>
      </c>
      <c r="AH7066" s="49">
        <f>LEFT(J7066,2)</f>
        <v/>
      </c>
    </row>
    <row r="7067" ht="12.75" customHeight="1">
      <c r="H7067" s="43" t="n"/>
      <c r="AG7067" s="49">
        <f>IFERROR(__xludf.DUMMYFUNCTION("IFNA(vlookup(H7067,IMPORTRANGE(""1vUGwO1n0QQGx9kKbO0_M5gmuhXZ6-LaxQxgrmJnzgP0"",""'TP# look up'!A:C""),3,0),"""")"),"")</f>
        <v/>
      </c>
      <c r="AH7067" s="49">
        <f>LEFT(J7067,2)</f>
        <v/>
      </c>
    </row>
    <row r="7068" ht="12.75" customHeight="1">
      <c r="H7068" s="43" t="n"/>
      <c r="AG7068" s="49">
        <f>IFERROR(__xludf.DUMMYFUNCTION("IFNA(vlookup(H7068,IMPORTRANGE(""1vUGwO1n0QQGx9kKbO0_M5gmuhXZ6-LaxQxgrmJnzgP0"",""'TP# look up'!A:C""),3,0),"""")"),"")</f>
        <v/>
      </c>
      <c r="AH7068" s="49">
        <f>LEFT(J7068,2)</f>
        <v/>
      </c>
    </row>
    <row r="7069" ht="12.75" customHeight="1">
      <c r="H7069" s="43" t="n"/>
      <c r="AG7069" s="49">
        <f>IFERROR(__xludf.DUMMYFUNCTION("IFNA(vlookup(H7069,IMPORTRANGE(""1vUGwO1n0QQGx9kKbO0_M5gmuhXZ6-LaxQxgrmJnzgP0"",""'TP# look up'!A:C""),3,0),"""")"),"")</f>
        <v/>
      </c>
      <c r="AH7069" s="49">
        <f>LEFT(J7069,2)</f>
        <v/>
      </c>
    </row>
    <row r="7070" ht="12.75" customHeight="1">
      <c r="H7070" s="43" t="n"/>
      <c r="AG7070" s="49">
        <f>IFERROR(__xludf.DUMMYFUNCTION("IFNA(vlookup(H7070,IMPORTRANGE(""1vUGwO1n0QQGx9kKbO0_M5gmuhXZ6-LaxQxgrmJnzgP0"",""'TP# look up'!A:C""),3,0),"""")"),"")</f>
        <v/>
      </c>
      <c r="AH7070" s="49">
        <f>LEFT(J7070,2)</f>
        <v/>
      </c>
    </row>
    <row r="7071" ht="12.75" customHeight="1">
      <c r="H7071" s="43" t="n"/>
      <c r="AG7071" s="49">
        <f>IFERROR(__xludf.DUMMYFUNCTION("IFNA(vlookup(H7071,IMPORTRANGE(""1vUGwO1n0QQGx9kKbO0_M5gmuhXZ6-LaxQxgrmJnzgP0"",""'TP# look up'!A:C""),3,0),"""")"),"")</f>
        <v/>
      </c>
      <c r="AH7071" s="49">
        <f>LEFT(J7071,2)</f>
        <v/>
      </c>
    </row>
    <row r="7072" ht="12.75" customHeight="1">
      <c r="H7072" s="43" t="n"/>
      <c r="AG7072" s="49">
        <f>IFERROR(__xludf.DUMMYFUNCTION("IFNA(vlookup(H7072,IMPORTRANGE(""1vUGwO1n0QQGx9kKbO0_M5gmuhXZ6-LaxQxgrmJnzgP0"",""'TP# look up'!A:C""),3,0),"""")"),"")</f>
        <v/>
      </c>
      <c r="AH7072" s="49">
        <f>LEFT(J7072,2)</f>
        <v/>
      </c>
    </row>
    <row r="7073" ht="12.75" customHeight="1">
      <c r="H7073" s="43" t="n"/>
      <c r="AG7073" s="49">
        <f>IFERROR(__xludf.DUMMYFUNCTION("IFNA(vlookup(H7073,IMPORTRANGE(""1vUGwO1n0QQGx9kKbO0_M5gmuhXZ6-LaxQxgrmJnzgP0"",""'TP# look up'!A:C""),3,0),"""")"),"")</f>
        <v/>
      </c>
      <c r="AH7073" s="49">
        <f>LEFT(J7073,2)</f>
        <v/>
      </c>
    </row>
    <row r="7074" ht="12.75" customHeight="1">
      <c r="H7074" s="43" t="n"/>
      <c r="AG7074" s="49">
        <f>IFERROR(__xludf.DUMMYFUNCTION("IFNA(vlookup(H7074,IMPORTRANGE(""1vUGwO1n0QQGx9kKbO0_M5gmuhXZ6-LaxQxgrmJnzgP0"",""'TP# look up'!A:C""),3,0),"""")"),"")</f>
        <v/>
      </c>
      <c r="AH7074" s="49">
        <f>LEFT(J7074,2)</f>
        <v/>
      </c>
    </row>
    <row r="7075" ht="12.75" customHeight="1">
      <c r="H7075" s="43" t="n"/>
      <c r="AG7075" s="49">
        <f>IFERROR(__xludf.DUMMYFUNCTION("IFNA(vlookup(H7075,IMPORTRANGE(""1vUGwO1n0QQGx9kKbO0_M5gmuhXZ6-LaxQxgrmJnzgP0"",""'TP# look up'!A:C""),3,0),"""")"),"")</f>
        <v/>
      </c>
      <c r="AH7075" s="49">
        <f>LEFT(J7075,2)</f>
        <v/>
      </c>
    </row>
    <row r="7076" ht="12.75" customHeight="1">
      <c r="H7076" s="43" t="n"/>
      <c r="AG7076" s="49">
        <f>IFERROR(__xludf.DUMMYFUNCTION("IFNA(vlookup(H7076,IMPORTRANGE(""1vUGwO1n0QQGx9kKbO0_M5gmuhXZ6-LaxQxgrmJnzgP0"",""'TP# look up'!A:C""),3,0),"""")"),"")</f>
        <v/>
      </c>
      <c r="AH7076" s="49">
        <f>LEFT(J7076,2)</f>
        <v/>
      </c>
    </row>
    <row r="7077" ht="12.75" customHeight="1">
      <c r="H7077" s="43" t="n"/>
      <c r="AG7077" s="49">
        <f>IFERROR(__xludf.DUMMYFUNCTION("IFNA(vlookup(H7077,IMPORTRANGE(""1vUGwO1n0QQGx9kKbO0_M5gmuhXZ6-LaxQxgrmJnzgP0"",""'TP# look up'!A:C""),3,0),"""")"),"")</f>
        <v/>
      </c>
      <c r="AH7077" s="49">
        <f>LEFT(J7077,2)</f>
        <v/>
      </c>
    </row>
    <row r="7078" ht="12.75" customHeight="1">
      <c r="H7078" s="43" t="n"/>
      <c r="AG7078" s="49">
        <f>IFERROR(__xludf.DUMMYFUNCTION("IFNA(vlookup(H7078,IMPORTRANGE(""1vUGwO1n0QQGx9kKbO0_M5gmuhXZ6-LaxQxgrmJnzgP0"",""'TP# look up'!A:C""),3,0),"""")"),"")</f>
        <v/>
      </c>
      <c r="AH7078" s="49">
        <f>LEFT(J7078,2)</f>
        <v/>
      </c>
    </row>
    <row r="7079" ht="12.75" customHeight="1">
      <c r="H7079" s="43" t="n"/>
      <c r="AG7079" s="49">
        <f>IFERROR(__xludf.DUMMYFUNCTION("IFNA(vlookup(H7079,IMPORTRANGE(""1vUGwO1n0QQGx9kKbO0_M5gmuhXZ6-LaxQxgrmJnzgP0"",""'TP# look up'!A:C""),3,0),"""")"),"")</f>
        <v/>
      </c>
      <c r="AH7079" s="49">
        <f>LEFT(J7079,2)</f>
        <v/>
      </c>
    </row>
    <row r="7080" ht="12.75" customHeight="1">
      <c r="H7080" s="43" t="n"/>
      <c r="AG7080" s="49">
        <f>IFERROR(__xludf.DUMMYFUNCTION("IFNA(vlookup(H7080,IMPORTRANGE(""1vUGwO1n0QQGx9kKbO0_M5gmuhXZ6-LaxQxgrmJnzgP0"",""'TP# look up'!A:C""),3,0),"""")"),"")</f>
        <v/>
      </c>
      <c r="AH7080" s="49">
        <f>LEFT(J7080,2)</f>
        <v/>
      </c>
    </row>
    <row r="7081" ht="12.75" customHeight="1">
      <c r="H7081" s="43" t="n"/>
      <c r="AG7081" s="49">
        <f>IFERROR(__xludf.DUMMYFUNCTION("IFNA(vlookup(H7081,IMPORTRANGE(""1vUGwO1n0QQGx9kKbO0_M5gmuhXZ6-LaxQxgrmJnzgP0"",""'TP# look up'!A:C""),3,0),"""")"),"")</f>
        <v/>
      </c>
      <c r="AH7081" s="49">
        <f>LEFT(J7081,2)</f>
        <v/>
      </c>
    </row>
    <row r="7082" ht="12.75" customHeight="1">
      <c r="H7082" s="43" t="n"/>
      <c r="AG7082" s="49">
        <f>IFERROR(__xludf.DUMMYFUNCTION("IFNA(vlookup(H7082,IMPORTRANGE(""1vUGwO1n0QQGx9kKbO0_M5gmuhXZ6-LaxQxgrmJnzgP0"",""'TP# look up'!A:C""),3,0),"""")"),"")</f>
        <v/>
      </c>
      <c r="AH7082" s="49">
        <f>LEFT(J7082,2)</f>
        <v/>
      </c>
    </row>
    <row r="7083" ht="12.75" customHeight="1">
      <c r="H7083" s="43" t="n"/>
      <c r="AG7083" s="49">
        <f>IFERROR(__xludf.DUMMYFUNCTION("IFNA(vlookup(H7083,IMPORTRANGE(""1vUGwO1n0QQGx9kKbO0_M5gmuhXZ6-LaxQxgrmJnzgP0"",""'TP# look up'!A:C""),3,0),"""")"),"")</f>
        <v/>
      </c>
      <c r="AH7083" s="49">
        <f>LEFT(J7083,2)</f>
        <v/>
      </c>
    </row>
    <row r="7084" ht="12.75" customHeight="1">
      <c r="H7084" s="43" t="n"/>
      <c r="AG7084" s="49">
        <f>IFERROR(__xludf.DUMMYFUNCTION("IFNA(vlookup(H7084,IMPORTRANGE(""1vUGwO1n0QQGx9kKbO0_M5gmuhXZ6-LaxQxgrmJnzgP0"",""'TP# look up'!A:C""),3,0),"""")"),"")</f>
        <v/>
      </c>
      <c r="AH7084" s="49">
        <f>LEFT(J7084,2)</f>
        <v/>
      </c>
    </row>
    <row r="7085" ht="12.75" customHeight="1">
      <c r="H7085" s="43" t="n"/>
      <c r="AG7085" s="49">
        <f>IFERROR(__xludf.DUMMYFUNCTION("IFNA(vlookup(H7085,IMPORTRANGE(""1vUGwO1n0QQGx9kKbO0_M5gmuhXZ6-LaxQxgrmJnzgP0"",""'TP# look up'!A:C""),3,0),"""")"),"")</f>
        <v/>
      </c>
      <c r="AH7085" s="49">
        <f>LEFT(J7085,2)</f>
        <v/>
      </c>
    </row>
    <row r="7086" ht="12.75" customHeight="1">
      <c r="H7086" s="43" t="n"/>
      <c r="AG7086" s="49">
        <f>IFERROR(__xludf.DUMMYFUNCTION("IFNA(vlookup(H7086,IMPORTRANGE(""1vUGwO1n0QQGx9kKbO0_M5gmuhXZ6-LaxQxgrmJnzgP0"",""'TP# look up'!A:C""),3,0),"""")"),"")</f>
        <v/>
      </c>
      <c r="AH7086" s="49">
        <f>LEFT(J7086,2)</f>
        <v/>
      </c>
    </row>
    <row r="7087" ht="12.75" customHeight="1">
      <c r="H7087" s="43" t="n"/>
      <c r="AG7087" s="49">
        <f>IFERROR(__xludf.DUMMYFUNCTION("IFNA(vlookup(H7087,IMPORTRANGE(""1vUGwO1n0QQGx9kKbO0_M5gmuhXZ6-LaxQxgrmJnzgP0"",""'TP# look up'!A:C""),3,0),"""")"),"")</f>
        <v/>
      </c>
      <c r="AH7087" s="49">
        <f>LEFT(J7087,2)</f>
        <v/>
      </c>
    </row>
    <row r="7088" ht="12.75" customHeight="1">
      <c r="H7088" s="43" t="n"/>
      <c r="AG7088" s="49">
        <f>IFERROR(__xludf.DUMMYFUNCTION("IFNA(vlookup(H7088,IMPORTRANGE(""1vUGwO1n0QQGx9kKbO0_M5gmuhXZ6-LaxQxgrmJnzgP0"",""'TP# look up'!A:C""),3,0),"""")"),"")</f>
        <v/>
      </c>
      <c r="AH7088" s="49">
        <f>LEFT(J7088,2)</f>
        <v/>
      </c>
    </row>
    <row r="7089" ht="12.75" customHeight="1">
      <c r="H7089" s="43" t="n"/>
      <c r="AG7089" s="49">
        <f>IFERROR(__xludf.DUMMYFUNCTION("IFNA(vlookup(H7089,IMPORTRANGE(""1vUGwO1n0QQGx9kKbO0_M5gmuhXZ6-LaxQxgrmJnzgP0"",""'TP# look up'!A:C""),3,0),"""")"),"")</f>
        <v/>
      </c>
      <c r="AH7089" s="49">
        <f>LEFT(J7089,2)</f>
        <v/>
      </c>
    </row>
    <row r="7090" ht="12.75" customHeight="1">
      <c r="H7090" s="43" t="n"/>
      <c r="AG7090" s="49">
        <f>IFERROR(__xludf.DUMMYFUNCTION("IFNA(vlookup(H7090,IMPORTRANGE(""1vUGwO1n0QQGx9kKbO0_M5gmuhXZ6-LaxQxgrmJnzgP0"",""'TP# look up'!A:C""),3,0),"""")"),"")</f>
        <v/>
      </c>
      <c r="AH7090" s="49">
        <f>LEFT(J7090,2)</f>
        <v/>
      </c>
    </row>
    <row r="7091" ht="12.75" customHeight="1">
      <c r="H7091" s="43" t="n"/>
      <c r="AG7091" s="49">
        <f>IFERROR(__xludf.DUMMYFUNCTION("IFNA(vlookup(H7091,IMPORTRANGE(""1vUGwO1n0QQGx9kKbO0_M5gmuhXZ6-LaxQxgrmJnzgP0"",""'TP# look up'!A:C""),3,0),"""")"),"")</f>
        <v/>
      </c>
      <c r="AH7091" s="49">
        <f>LEFT(J7091,2)</f>
        <v/>
      </c>
    </row>
    <row r="7092" ht="12.75" customHeight="1">
      <c r="H7092" s="43" t="n"/>
      <c r="AG7092" s="49">
        <f>IFERROR(__xludf.DUMMYFUNCTION("IFNA(vlookup(H7092,IMPORTRANGE(""1vUGwO1n0QQGx9kKbO0_M5gmuhXZ6-LaxQxgrmJnzgP0"",""'TP# look up'!A:C""),3,0),"""")"),"")</f>
        <v/>
      </c>
      <c r="AH7092" s="49">
        <f>LEFT(J7092,2)</f>
        <v/>
      </c>
    </row>
    <row r="7093" ht="12.75" customHeight="1">
      <c r="H7093" s="43" t="n"/>
      <c r="AG7093" s="49">
        <f>IFERROR(__xludf.DUMMYFUNCTION("IFNA(vlookup(H7093,IMPORTRANGE(""1vUGwO1n0QQGx9kKbO0_M5gmuhXZ6-LaxQxgrmJnzgP0"",""'TP# look up'!A:C""),3,0),"""")"),"")</f>
        <v/>
      </c>
      <c r="AH7093" s="49">
        <f>LEFT(J7093,2)</f>
        <v/>
      </c>
    </row>
    <row r="7094" ht="12.75" customHeight="1">
      <c r="H7094" s="43" t="n"/>
      <c r="AG7094" s="49">
        <f>IFERROR(__xludf.DUMMYFUNCTION("IFNA(vlookup(H7094,IMPORTRANGE(""1vUGwO1n0QQGx9kKbO0_M5gmuhXZ6-LaxQxgrmJnzgP0"",""'TP# look up'!A:C""),3,0),"""")"),"")</f>
        <v/>
      </c>
      <c r="AH7094" s="49">
        <f>LEFT(J7094,2)</f>
        <v/>
      </c>
    </row>
    <row r="7095" ht="12.75" customHeight="1">
      <c r="H7095" s="43" t="n"/>
      <c r="AG7095" s="49">
        <f>IFERROR(__xludf.DUMMYFUNCTION("IFNA(vlookup(H7095,IMPORTRANGE(""1vUGwO1n0QQGx9kKbO0_M5gmuhXZ6-LaxQxgrmJnzgP0"",""'TP# look up'!A:C""),3,0),"""")"),"")</f>
        <v/>
      </c>
      <c r="AH7095" s="49">
        <f>LEFT(J7095,2)</f>
        <v/>
      </c>
    </row>
    <row r="7096" ht="12.75" customHeight="1">
      <c r="H7096" s="43" t="n"/>
      <c r="AG7096" s="49">
        <f>IFERROR(__xludf.DUMMYFUNCTION("IFNA(vlookup(H7096,IMPORTRANGE(""1vUGwO1n0QQGx9kKbO0_M5gmuhXZ6-LaxQxgrmJnzgP0"",""'TP# look up'!A:C""),3,0),"""")"),"")</f>
        <v/>
      </c>
      <c r="AH7096" s="49">
        <f>LEFT(J7096,2)</f>
        <v/>
      </c>
    </row>
    <row r="7097" ht="12.75" customHeight="1">
      <c r="H7097" s="43" t="n"/>
      <c r="AG7097" s="49">
        <f>IFERROR(__xludf.DUMMYFUNCTION("IFNA(vlookup(H7097,IMPORTRANGE(""1vUGwO1n0QQGx9kKbO0_M5gmuhXZ6-LaxQxgrmJnzgP0"",""'TP# look up'!A:C""),3,0),"""")"),"")</f>
        <v/>
      </c>
      <c r="AH7097" s="49">
        <f>LEFT(J7097,2)</f>
        <v/>
      </c>
    </row>
    <row r="7098" ht="12.75" customHeight="1">
      <c r="H7098" s="43" t="n"/>
      <c r="AG7098" s="49">
        <f>IFERROR(__xludf.DUMMYFUNCTION("IFNA(vlookup(H7098,IMPORTRANGE(""1vUGwO1n0QQGx9kKbO0_M5gmuhXZ6-LaxQxgrmJnzgP0"",""'TP# look up'!A:C""),3,0),"""")"),"")</f>
        <v/>
      </c>
      <c r="AH7098" s="49">
        <f>LEFT(J7098,2)</f>
        <v/>
      </c>
    </row>
    <row r="7099" ht="12.75" customHeight="1">
      <c r="H7099" s="43" t="n"/>
      <c r="AG7099" s="49">
        <f>IFERROR(__xludf.DUMMYFUNCTION("IFNA(vlookup(H7099,IMPORTRANGE(""1vUGwO1n0QQGx9kKbO0_M5gmuhXZ6-LaxQxgrmJnzgP0"",""'TP# look up'!A:C""),3,0),"""")"),"")</f>
        <v/>
      </c>
      <c r="AH7099" s="49">
        <f>LEFT(J7099,2)</f>
        <v/>
      </c>
    </row>
    <row r="7100" ht="12.75" customHeight="1">
      <c r="H7100" s="43" t="n"/>
      <c r="AG7100" s="49">
        <f>IFERROR(__xludf.DUMMYFUNCTION("IFNA(vlookup(H7100,IMPORTRANGE(""1vUGwO1n0QQGx9kKbO0_M5gmuhXZ6-LaxQxgrmJnzgP0"",""'TP# look up'!A:C""),3,0),"""")"),"")</f>
        <v/>
      </c>
      <c r="AH7100" s="49">
        <f>LEFT(J7100,2)</f>
        <v/>
      </c>
    </row>
    <row r="7101" ht="12.75" customHeight="1">
      <c r="H7101" s="43" t="n"/>
      <c r="AG7101" s="49">
        <f>IFERROR(__xludf.DUMMYFUNCTION("IFNA(vlookup(H7101,IMPORTRANGE(""1vUGwO1n0QQGx9kKbO0_M5gmuhXZ6-LaxQxgrmJnzgP0"",""'TP# look up'!A:C""),3,0),"""")"),"")</f>
        <v/>
      </c>
      <c r="AH7101" s="49">
        <f>LEFT(J7101,2)</f>
        <v/>
      </c>
    </row>
    <row r="7102" ht="12.75" customHeight="1">
      <c r="H7102" s="43" t="n"/>
      <c r="AG7102" s="49">
        <f>IFERROR(__xludf.DUMMYFUNCTION("IFNA(vlookup(H7102,IMPORTRANGE(""1vUGwO1n0QQGx9kKbO0_M5gmuhXZ6-LaxQxgrmJnzgP0"",""'TP# look up'!A:C""),3,0),"""")"),"")</f>
        <v/>
      </c>
      <c r="AH7102" s="49">
        <f>LEFT(J7102,2)</f>
        <v/>
      </c>
    </row>
    <row r="7103" ht="12.75" customHeight="1">
      <c r="H7103" s="43" t="n"/>
      <c r="AG7103" s="49">
        <f>IFERROR(__xludf.DUMMYFUNCTION("IFNA(vlookup(H7103,IMPORTRANGE(""1vUGwO1n0QQGx9kKbO0_M5gmuhXZ6-LaxQxgrmJnzgP0"",""'TP# look up'!A:C""),3,0),"""")"),"")</f>
        <v/>
      </c>
      <c r="AH7103" s="49">
        <f>LEFT(J7103,2)</f>
        <v/>
      </c>
    </row>
    <row r="7104" ht="12.75" customHeight="1">
      <c r="H7104" s="43" t="n"/>
      <c r="AG7104" s="49">
        <f>IFERROR(__xludf.DUMMYFUNCTION("IFNA(vlookup(H7104,IMPORTRANGE(""1vUGwO1n0QQGx9kKbO0_M5gmuhXZ6-LaxQxgrmJnzgP0"",""'TP# look up'!A:C""),3,0),"""")"),"")</f>
        <v/>
      </c>
      <c r="AH7104" s="49">
        <f>LEFT(J7104,2)</f>
        <v/>
      </c>
    </row>
    <row r="7105" ht="12.75" customHeight="1">
      <c r="H7105" s="43" t="n"/>
      <c r="AG7105" s="49">
        <f>IFERROR(__xludf.DUMMYFUNCTION("IFNA(vlookup(H7105,IMPORTRANGE(""1vUGwO1n0QQGx9kKbO0_M5gmuhXZ6-LaxQxgrmJnzgP0"",""'TP# look up'!A:C""),3,0),"""")"),"")</f>
        <v/>
      </c>
      <c r="AH7105" s="49">
        <f>LEFT(J7105,2)</f>
        <v/>
      </c>
    </row>
    <row r="7106" ht="12.75" customHeight="1">
      <c r="H7106" s="43" t="n"/>
      <c r="AG7106" s="49">
        <f>IFERROR(__xludf.DUMMYFUNCTION("IFNA(vlookup(H7106,IMPORTRANGE(""1vUGwO1n0QQGx9kKbO0_M5gmuhXZ6-LaxQxgrmJnzgP0"",""'TP# look up'!A:C""),3,0),"""")"),"")</f>
        <v/>
      </c>
      <c r="AH7106" s="49">
        <f>LEFT(J7106,2)</f>
        <v/>
      </c>
    </row>
    <row r="7107" ht="12.75" customHeight="1">
      <c r="H7107" s="43" t="n"/>
      <c r="AG7107" s="49">
        <f>IFERROR(__xludf.DUMMYFUNCTION("IFNA(vlookup(H7107,IMPORTRANGE(""1vUGwO1n0QQGx9kKbO0_M5gmuhXZ6-LaxQxgrmJnzgP0"",""'TP# look up'!A:C""),3,0),"""")"),"")</f>
        <v/>
      </c>
      <c r="AH7107" s="49">
        <f>LEFT(J7107,2)</f>
        <v/>
      </c>
    </row>
    <row r="7108" ht="12.75" customHeight="1">
      <c r="H7108" s="43" t="n"/>
      <c r="AG7108" s="49">
        <f>IFERROR(__xludf.DUMMYFUNCTION("IFNA(vlookup(H7108,IMPORTRANGE(""1vUGwO1n0QQGx9kKbO0_M5gmuhXZ6-LaxQxgrmJnzgP0"",""'TP# look up'!A:C""),3,0),"""")"),"")</f>
        <v/>
      </c>
      <c r="AH7108" s="49">
        <f>LEFT(J7108,2)</f>
        <v/>
      </c>
    </row>
    <row r="7109" ht="12.75" customHeight="1">
      <c r="H7109" s="43" t="n"/>
      <c r="AG7109" s="49">
        <f>IFERROR(__xludf.DUMMYFUNCTION("IFNA(vlookup(H7109,IMPORTRANGE(""1vUGwO1n0QQGx9kKbO0_M5gmuhXZ6-LaxQxgrmJnzgP0"",""'TP# look up'!A:C""),3,0),"""")"),"")</f>
        <v/>
      </c>
      <c r="AH7109" s="49">
        <f>LEFT(J7109,2)</f>
        <v/>
      </c>
    </row>
    <row r="7110" ht="12.75" customHeight="1">
      <c r="H7110" s="43" t="n"/>
      <c r="AG7110" s="49">
        <f>IFERROR(__xludf.DUMMYFUNCTION("IFNA(vlookup(H7110,IMPORTRANGE(""1vUGwO1n0QQGx9kKbO0_M5gmuhXZ6-LaxQxgrmJnzgP0"",""'TP# look up'!A:C""),3,0),"""")"),"")</f>
        <v/>
      </c>
      <c r="AH7110" s="49">
        <f>LEFT(J7110,2)</f>
        <v/>
      </c>
    </row>
    <row r="7111" ht="12.75" customHeight="1">
      <c r="H7111" s="43" t="n"/>
      <c r="AG7111" s="49">
        <f>IFERROR(__xludf.DUMMYFUNCTION("IFNA(vlookup(H7111,IMPORTRANGE(""1vUGwO1n0QQGx9kKbO0_M5gmuhXZ6-LaxQxgrmJnzgP0"",""'TP# look up'!A:C""),3,0),"""")"),"")</f>
        <v/>
      </c>
      <c r="AH7111" s="49">
        <f>LEFT(J7111,2)</f>
        <v/>
      </c>
    </row>
    <row r="7112" ht="12.75" customHeight="1">
      <c r="H7112" s="43" t="n"/>
      <c r="AG7112" s="49">
        <f>IFERROR(__xludf.DUMMYFUNCTION("IFNA(vlookup(H7112,IMPORTRANGE(""1vUGwO1n0QQGx9kKbO0_M5gmuhXZ6-LaxQxgrmJnzgP0"",""'TP# look up'!A:C""),3,0),"""")"),"")</f>
        <v/>
      </c>
      <c r="AH7112" s="49">
        <f>LEFT(J7112,2)</f>
        <v/>
      </c>
    </row>
    <row r="7113" ht="12.75" customHeight="1">
      <c r="H7113" s="43" t="n"/>
      <c r="AG7113" s="49">
        <f>IFERROR(__xludf.DUMMYFUNCTION("IFNA(vlookup(H7113,IMPORTRANGE(""1vUGwO1n0QQGx9kKbO0_M5gmuhXZ6-LaxQxgrmJnzgP0"",""'TP# look up'!A:C""),3,0),"""")"),"")</f>
        <v/>
      </c>
      <c r="AH7113" s="49">
        <f>LEFT(J7113,2)</f>
        <v/>
      </c>
    </row>
    <row r="7114" ht="12.75" customHeight="1">
      <c r="H7114" s="43" t="n"/>
      <c r="AG7114" s="49">
        <f>IFERROR(__xludf.DUMMYFUNCTION("IFNA(vlookup(H7114,IMPORTRANGE(""1vUGwO1n0QQGx9kKbO0_M5gmuhXZ6-LaxQxgrmJnzgP0"",""'TP# look up'!A:C""),3,0),"""")"),"")</f>
        <v/>
      </c>
      <c r="AH7114" s="49">
        <f>LEFT(J7114,2)</f>
        <v/>
      </c>
    </row>
    <row r="7115" ht="12.75" customHeight="1">
      <c r="H7115" s="43" t="n"/>
      <c r="AG7115" s="49">
        <f>IFERROR(__xludf.DUMMYFUNCTION("IFNA(vlookup(H7115,IMPORTRANGE(""1vUGwO1n0QQGx9kKbO0_M5gmuhXZ6-LaxQxgrmJnzgP0"",""'TP# look up'!A:C""),3,0),"""")"),"")</f>
        <v/>
      </c>
      <c r="AH7115" s="49">
        <f>LEFT(J7115,2)</f>
        <v/>
      </c>
    </row>
    <row r="7116" ht="12.75" customHeight="1">
      <c r="H7116" s="43" t="n"/>
      <c r="AG7116" s="49">
        <f>IFERROR(__xludf.DUMMYFUNCTION("IFNA(vlookup(H7116,IMPORTRANGE(""1vUGwO1n0QQGx9kKbO0_M5gmuhXZ6-LaxQxgrmJnzgP0"",""'TP# look up'!A:C""),3,0),"""")"),"")</f>
        <v/>
      </c>
      <c r="AH7116" s="49">
        <f>LEFT(J7116,2)</f>
        <v/>
      </c>
    </row>
    <row r="7117" ht="12.75" customHeight="1">
      <c r="H7117" s="43" t="n"/>
      <c r="AG7117" s="49">
        <f>IFERROR(__xludf.DUMMYFUNCTION("IFNA(vlookup(H7117,IMPORTRANGE(""1vUGwO1n0QQGx9kKbO0_M5gmuhXZ6-LaxQxgrmJnzgP0"",""'TP# look up'!A:C""),3,0),"""")"),"")</f>
        <v/>
      </c>
      <c r="AH7117" s="49">
        <f>LEFT(J7117,2)</f>
        <v/>
      </c>
    </row>
    <row r="7118" ht="12.75" customHeight="1">
      <c r="H7118" s="43" t="n"/>
      <c r="AG7118" s="49">
        <f>IFERROR(__xludf.DUMMYFUNCTION("IFNA(vlookup(H7118,IMPORTRANGE(""1vUGwO1n0QQGx9kKbO0_M5gmuhXZ6-LaxQxgrmJnzgP0"",""'TP# look up'!A:C""),3,0),"""")"),"")</f>
        <v/>
      </c>
      <c r="AH7118" s="49">
        <f>LEFT(J7118,2)</f>
        <v/>
      </c>
    </row>
    <row r="7119" ht="12.75" customHeight="1">
      <c r="H7119" s="43" t="n"/>
      <c r="AG7119" s="49">
        <f>IFERROR(__xludf.DUMMYFUNCTION("IFNA(vlookup(H7119,IMPORTRANGE(""1vUGwO1n0QQGx9kKbO0_M5gmuhXZ6-LaxQxgrmJnzgP0"",""'TP# look up'!A:C""),3,0),"""")"),"")</f>
        <v/>
      </c>
      <c r="AH7119" s="49">
        <f>LEFT(J7119,2)</f>
        <v/>
      </c>
    </row>
    <row r="7120" ht="12.75" customHeight="1">
      <c r="H7120" s="43" t="n"/>
      <c r="AG7120" s="49">
        <f>IFERROR(__xludf.DUMMYFUNCTION("IFNA(vlookup(H7120,IMPORTRANGE(""1vUGwO1n0QQGx9kKbO0_M5gmuhXZ6-LaxQxgrmJnzgP0"",""'TP# look up'!A:C""),3,0),"""")"),"")</f>
        <v/>
      </c>
      <c r="AH7120" s="49">
        <f>LEFT(J7120,2)</f>
        <v/>
      </c>
    </row>
    <row r="7121" ht="12.75" customHeight="1">
      <c r="H7121" s="43" t="n"/>
      <c r="AG7121" s="49">
        <f>IFERROR(__xludf.DUMMYFUNCTION("IFNA(vlookup(H7121,IMPORTRANGE(""1vUGwO1n0QQGx9kKbO0_M5gmuhXZ6-LaxQxgrmJnzgP0"",""'TP# look up'!A:C""),3,0),"""")"),"")</f>
        <v/>
      </c>
      <c r="AH7121" s="49">
        <f>LEFT(J7121,2)</f>
        <v/>
      </c>
    </row>
    <row r="7122" ht="12.75" customHeight="1">
      <c r="H7122" s="43" t="n"/>
      <c r="AG7122" s="49">
        <f>IFERROR(__xludf.DUMMYFUNCTION("IFNA(vlookup(H7122,IMPORTRANGE(""1vUGwO1n0QQGx9kKbO0_M5gmuhXZ6-LaxQxgrmJnzgP0"",""'TP# look up'!A:C""),3,0),"""")"),"")</f>
        <v/>
      </c>
      <c r="AH7122" s="49">
        <f>LEFT(J7122,2)</f>
        <v/>
      </c>
    </row>
    <row r="7123" ht="12.75" customHeight="1">
      <c r="H7123" s="43" t="n"/>
      <c r="AG7123" s="49">
        <f>IFERROR(__xludf.DUMMYFUNCTION("IFNA(vlookup(H7123,IMPORTRANGE(""1vUGwO1n0QQGx9kKbO0_M5gmuhXZ6-LaxQxgrmJnzgP0"",""'TP# look up'!A:C""),3,0),"""")"),"")</f>
        <v/>
      </c>
      <c r="AH7123" s="49">
        <f>LEFT(J7123,2)</f>
        <v/>
      </c>
    </row>
    <row r="7124" ht="12.75" customHeight="1">
      <c r="H7124" s="43" t="n"/>
      <c r="AG7124" s="49">
        <f>IFERROR(__xludf.DUMMYFUNCTION("IFNA(vlookup(H7124,IMPORTRANGE(""1vUGwO1n0QQGx9kKbO0_M5gmuhXZ6-LaxQxgrmJnzgP0"",""'TP# look up'!A:C""),3,0),"""")"),"")</f>
        <v/>
      </c>
      <c r="AH7124" s="49">
        <f>LEFT(J7124,2)</f>
        <v/>
      </c>
    </row>
    <row r="7125" ht="12.75" customHeight="1">
      <c r="H7125" s="43" t="n"/>
      <c r="AG7125" s="49">
        <f>IFERROR(__xludf.DUMMYFUNCTION("IFNA(vlookup(H7125,IMPORTRANGE(""1vUGwO1n0QQGx9kKbO0_M5gmuhXZ6-LaxQxgrmJnzgP0"",""'TP# look up'!A:C""),3,0),"""")"),"")</f>
        <v/>
      </c>
      <c r="AH7125" s="49">
        <f>LEFT(J7125,2)</f>
        <v/>
      </c>
    </row>
    <row r="7126" ht="12.75" customHeight="1">
      <c r="H7126" s="43" t="n"/>
      <c r="AG7126" s="49">
        <f>IFERROR(__xludf.DUMMYFUNCTION("IFNA(vlookup(H7126,IMPORTRANGE(""1vUGwO1n0QQGx9kKbO0_M5gmuhXZ6-LaxQxgrmJnzgP0"",""'TP# look up'!A:C""),3,0),"""")"),"")</f>
        <v/>
      </c>
      <c r="AH7126" s="49">
        <f>LEFT(J7126,2)</f>
        <v/>
      </c>
    </row>
    <row r="7127" ht="12.75" customHeight="1">
      <c r="H7127" s="43" t="n"/>
      <c r="AG7127" s="49">
        <f>IFERROR(__xludf.DUMMYFUNCTION("IFNA(vlookup(H7127,IMPORTRANGE(""1vUGwO1n0QQGx9kKbO0_M5gmuhXZ6-LaxQxgrmJnzgP0"",""'TP# look up'!A:C""),3,0),"""")"),"")</f>
        <v/>
      </c>
      <c r="AH7127" s="49">
        <f>LEFT(J7127,2)</f>
        <v/>
      </c>
    </row>
    <row r="7128" ht="12.75" customHeight="1">
      <c r="H7128" s="43" t="n"/>
      <c r="AG7128" s="49">
        <f>IFERROR(__xludf.DUMMYFUNCTION("IFNA(vlookup(H7128,IMPORTRANGE(""1vUGwO1n0QQGx9kKbO0_M5gmuhXZ6-LaxQxgrmJnzgP0"",""'TP# look up'!A:C""),3,0),"""")"),"")</f>
        <v/>
      </c>
      <c r="AH7128" s="49">
        <f>LEFT(J7128,2)</f>
        <v/>
      </c>
    </row>
    <row r="7129" ht="12.75" customHeight="1">
      <c r="H7129" s="43" t="n"/>
      <c r="AG7129" s="49">
        <f>IFERROR(__xludf.DUMMYFUNCTION("IFNA(vlookup(H7129,IMPORTRANGE(""1vUGwO1n0QQGx9kKbO0_M5gmuhXZ6-LaxQxgrmJnzgP0"",""'TP# look up'!A:C""),3,0),"""")"),"")</f>
        <v/>
      </c>
      <c r="AH7129" s="49">
        <f>LEFT(J7129,2)</f>
        <v/>
      </c>
    </row>
    <row r="7130" ht="12.75" customHeight="1">
      <c r="H7130" s="43" t="n"/>
      <c r="AG7130" s="49">
        <f>IFERROR(__xludf.DUMMYFUNCTION("IFNA(vlookup(H7130,IMPORTRANGE(""1vUGwO1n0QQGx9kKbO0_M5gmuhXZ6-LaxQxgrmJnzgP0"",""'TP# look up'!A:C""),3,0),"""")"),"")</f>
        <v/>
      </c>
      <c r="AH7130" s="49">
        <f>LEFT(J7130,2)</f>
        <v/>
      </c>
    </row>
    <row r="7131" ht="12.75" customHeight="1">
      <c r="H7131" s="43" t="n"/>
      <c r="AG7131" s="49">
        <f>IFERROR(__xludf.DUMMYFUNCTION("IFNA(vlookup(H7131,IMPORTRANGE(""1vUGwO1n0QQGx9kKbO0_M5gmuhXZ6-LaxQxgrmJnzgP0"",""'TP# look up'!A:C""),3,0),"""")"),"")</f>
        <v/>
      </c>
      <c r="AH7131" s="49">
        <f>LEFT(J7131,2)</f>
        <v/>
      </c>
    </row>
    <row r="7132" ht="12.75" customHeight="1">
      <c r="H7132" s="43" t="n"/>
      <c r="AG7132" s="49">
        <f>IFERROR(__xludf.DUMMYFUNCTION("IFNA(vlookup(H7132,IMPORTRANGE(""1vUGwO1n0QQGx9kKbO0_M5gmuhXZ6-LaxQxgrmJnzgP0"",""'TP# look up'!A:C""),3,0),"""")"),"")</f>
        <v/>
      </c>
      <c r="AH7132" s="49">
        <f>LEFT(J7132,2)</f>
        <v/>
      </c>
    </row>
    <row r="7133" ht="12.75" customHeight="1">
      <c r="H7133" s="43" t="n"/>
      <c r="AG7133" s="49">
        <f>IFERROR(__xludf.DUMMYFUNCTION("IFNA(vlookup(H7133,IMPORTRANGE(""1vUGwO1n0QQGx9kKbO0_M5gmuhXZ6-LaxQxgrmJnzgP0"",""'TP# look up'!A:C""),3,0),"""")"),"")</f>
        <v/>
      </c>
      <c r="AH7133" s="49">
        <f>LEFT(J7133,2)</f>
        <v/>
      </c>
    </row>
    <row r="7134" ht="12.75" customHeight="1">
      <c r="H7134" s="43" t="n"/>
      <c r="AG7134" s="49">
        <f>IFERROR(__xludf.DUMMYFUNCTION("IFNA(vlookup(H7134,IMPORTRANGE(""1vUGwO1n0QQGx9kKbO0_M5gmuhXZ6-LaxQxgrmJnzgP0"",""'TP# look up'!A:C""),3,0),"""")"),"")</f>
        <v/>
      </c>
      <c r="AH7134" s="49">
        <f>LEFT(J7134,2)</f>
        <v/>
      </c>
    </row>
    <row r="7135" ht="12.75" customHeight="1">
      <c r="H7135" s="43" t="n"/>
      <c r="AG7135" s="49">
        <f>IFERROR(__xludf.DUMMYFUNCTION("IFNA(vlookup(H7135,IMPORTRANGE(""1vUGwO1n0QQGx9kKbO0_M5gmuhXZ6-LaxQxgrmJnzgP0"",""'TP# look up'!A:C""),3,0),"""")"),"")</f>
        <v/>
      </c>
      <c r="AH7135" s="49">
        <f>LEFT(J7135,2)</f>
        <v/>
      </c>
    </row>
    <row r="7136" ht="12.75" customHeight="1">
      <c r="H7136" s="43" t="n"/>
      <c r="AG7136" s="49">
        <f>IFERROR(__xludf.DUMMYFUNCTION("IFNA(vlookup(H7136,IMPORTRANGE(""1vUGwO1n0QQGx9kKbO0_M5gmuhXZ6-LaxQxgrmJnzgP0"",""'TP# look up'!A:C""),3,0),"""")"),"")</f>
        <v/>
      </c>
      <c r="AH7136" s="49">
        <f>LEFT(J7136,2)</f>
        <v/>
      </c>
    </row>
    <row r="7137" ht="12.75" customHeight="1">
      <c r="H7137" s="43" t="n"/>
      <c r="AG7137" s="49">
        <f>IFERROR(__xludf.DUMMYFUNCTION("IFNA(vlookup(H7137,IMPORTRANGE(""1vUGwO1n0QQGx9kKbO0_M5gmuhXZ6-LaxQxgrmJnzgP0"",""'TP# look up'!A:C""),3,0),"""")"),"")</f>
        <v/>
      </c>
      <c r="AH7137" s="49">
        <f>LEFT(J7137,2)</f>
        <v/>
      </c>
    </row>
    <row r="7138" ht="12.75" customHeight="1">
      <c r="H7138" s="43" t="n"/>
      <c r="AG7138" s="49">
        <f>IFERROR(__xludf.DUMMYFUNCTION("IFNA(vlookup(H7138,IMPORTRANGE(""1vUGwO1n0QQGx9kKbO0_M5gmuhXZ6-LaxQxgrmJnzgP0"",""'TP# look up'!A:C""),3,0),"""")"),"")</f>
        <v/>
      </c>
      <c r="AH7138" s="49">
        <f>LEFT(J7138,2)</f>
        <v/>
      </c>
    </row>
    <row r="7139" ht="12.75" customHeight="1">
      <c r="H7139" s="43" t="n"/>
      <c r="AG7139" s="49">
        <f>IFERROR(__xludf.DUMMYFUNCTION("IFNA(vlookup(H7139,IMPORTRANGE(""1vUGwO1n0QQGx9kKbO0_M5gmuhXZ6-LaxQxgrmJnzgP0"",""'TP# look up'!A:C""),3,0),"""")"),"")</f>
        <v/>
      </c>
      <c r="AH7139" s="49">
        <f>LEFT(J7139,2)</f>
        <v/>
      </c>
    </row>
    <row r="7140" ht="12.75" customHeight="1">
      <c r="H7140" s="43" t="n"/>
      <c r="AG7140" s="49">
        <f>IFERROR(__xludf.DUMMYFUNCTION("IFNA(vlookup(H7140,IMPORTRANGE(""1vUGwO1n0QQGx9kKbO0_M5gmuhXZ6-LaxQxgrmJnzgP0"",""'TP# look up'!A:C""),3,0),"""")"),"")</f>
        <v/>
      </c>
      <c r="AH7140" s="49">
        <f>LEFT(J7140,2)</f>
        <v/>
      </c>
    </row>
    <row r="7141" ht="12.75" customHeight="1">
      <c r="H7141" s="43" t="n"/>
      <c r="AG7141" s="49">
        <f>IFERROR(__xludf.DUMMYFUNCTION("IFNA(vlookup(H7141,IMPORTRANGE(""1vUGwO1n0QQGx9kKbO0_M5gmuhXZ6-LaxQxgrmJnzgP0"",""'TP# look up'!A:C""),3,0),"""")"),"")</f>
        <v/>
      </c>
      <c r="AH7141" s="49">
        <f>LEFT(J7141,2)</f>
        <v/>
      </c>
    </row>
    <row r="7142" ht="12.75" customHeight="1">
      <c r="H7142" s="43" t="n"/>
      <c r="AG7142" s="49">
        <f>IFERROR(__xludf.DUMMYFUNCTION("IFNA(vlookup(H7142,IMPORTRANGE(""1vUGwO1n0QQGx9kKbO0_M5gmuhXZ6-LaxQxgrmJnzgP0"",""'TP# look up'!A:C""),3,0),"""")"),"")</f>
        <v/>
      </c>
      <c r="AH7142" s="49">
        <f>LEFT(J7142,2)</f>
        <v/>
      </c>
    </row>
    <row r="7143" ht="12.75" customHeight="1">
      <c r="H7143" s="43" t="n"/>
      <c r="AG7143" s="49">
        <f>IFERROR(__xludf.DUMMYFUNCTION("IFNA(vlookup(H7143,IMPORTRANGE(""1vUGwO1n0QQGx9kKbO0_M5gmuhXZ6-LaxQxgrmJnzgP0"",""'TP# look up'!A:C""),3,0),"""")"),"")</f>
        <v/>
      </c>
      <c r="AH7143" s="49">
        <f>LEFT(J7143,2)</f>
        <v/>
      </c>
    </row>
    <row r="7144" ht="12.75" customHeight="1">
      <c r="H7144" s="43" t="n"/>
      <c r="AG7144" s="49">
        <f>IFERROR(__xludf.DUMMYFUNCTION("IFNA(vlookup(H7144,IMPORTRANGE(""1vUGwO1n0QQGx9kKbO0_M5gmuhXZ6-LaxQxgrmJnzgP0"",""'TP# look up'!A:C""),3,0),"""")"),"")</f>
        <v/>
      </c>
      <c r="AH7144" s="49">
        <f>LEFT(J7144,2)</f>
        <v/>
      </c>
    </row>
    <row r="7145" ht="12.75" customHeight="1">
      <c r="H7145" s="43" t="n"/>
      <c r="AG7145" s="49">
        <f>IFERROR(__xludf.DUMMYFUNCTION("IFNA(vlookup(H7145,IMPORTRANGE(""1vUGwO1n0QQGx9kKbO0_M5gmuhXZ6-LaxQxgrmJnzgP0"",""'TP# look up'!A:C""),3,0),"""")"),"")</f>
        <v/>
      </c>
      <c r="AH7145" s="49">
        <f>LEFT(J7145,2)</f>
        <v/>
      </c>
    </row>
    <row r="7146" ht="12.75" customHeight="1">
      <c r="H7146" s="43" t="n"/>
      <c r="AG7146" s="49">
        <f>IFERROR(__xludf.DUMMYFUNCTION("IFNA(vlookup(H7146,IMPORTRANGE(""1vUGwO1n0QQGx9kKbO0_M5gmuhXZ6-LaxQxgrmJnzgP0"",""'TP# look up'!A:C""),3,0),"""")"),"")</f>
        <v/>
      </c>
      <c r="AH7146" s="49">
        <f>LEFT(J7146,2)</f>
        <v/>
      </c>
    </row>
    <row r="7147" ht="12.75" customHeight="1">
      <c r="H7147" s="43" t="n"/>
      <c r="AG7147" s="49">
        <f>IFERROR(__xludf.DUMMYFUNCTION("IFNA(vlookup(H7147,IMPORTRANGE(""1vUGwO1n0QQGx9kKbO0_M5gmuhXZ6-LaxQxgrmJnzgP0"",""'TP# look up'!A:C""),3,0),"""")"),"")</f>
        <v/>
      </c>
      <c r="AH7147" s="49">
        <f>LEFT(J7147,2)</f>
        <v/>
      </c>
    </row>
    <row r="7148" ht="12.75" customHeight="1">
      <c r="H7148" s="43" t="n"/>
      <c r="AG7148" s="49">
        <f>IFERROR(__xludf.DUMMYFUNCTION("IFNA(vlookup(H7148,IMPORTRANGE(""1vUGwO1n0QQGx9kKbO0_M5gmuhXZ6-LaxQxgrmJnzgP0"",""'TP# look up'!A:C""),3,0),"""")"),"")</f>
        <v/>
      </c>
      <c r="AH7148" s="49">
        <f>LEFT(J7148,2)</f>
        <v/>
      </c>
    </row>
    <row r="7149" ht="12.75" customHeight="1">
      <c r="H7149" s="43" t="n"/>
      <c r="AG7149" s="49">
        <f>IFERROR(__xludf.DUMMYFUNCTION("IFNA(vlookup(H7149,IMPORTRANGE(""1vUGwO1n0QQGx9kKbO0_M5gmuhXZ6-LaxQxgrmJnzgP0"",""'TP# look up'!A:C""),3,0),"""")"),"")</f>
        <v/>
      </c>
      <c r="AH7149" s="49">
        <f>LEFT(J7149,2)</f>
        <v/>
      </c>
    </row>
    <row r="7150" ht="12.75" customHeight="1">
      <c r="H7150" s="43" t="n"/>
      <c r="AG7150" s="49">
        <f>IFERROR(__xludf.DUMMYFUNCTION("IFNA(vlookup(H7150,IMPORTRANGE(""1vUGwO1n0QQGx9kKbO0_M5gmuhXZ6-LaxQxgrmJnzgP0"",""'TP# look up'!A:C""),3,0),"""")"),"")</f>
        <v/>
      </c>
      <c r="AH7150" s="49">
        <f>LEFT(J7150,2)</f>
        <v/>
      </c>
    </row>
    <row r="7151" ht="12.75" customHeight="1">
      <c r="H7151" s="43" t="n"/>
      <c r="AG7151" s="49">
        <f>IFERROR(__xludf.DUMMYFUNCTION("IFNA(vlookup(H7151,IMPORTRANGE(""1vUGwO1n0QQGx9kKbO0_M5gmuhXZ6-LaxQxgrmJnzgP0"",""'TP# look up'!A:C""),3,0),"""")"),"")</f>
        <v/>
      </c>
      <c r="AH7151" s="49">
        <f>LEFT(J7151,2)</f>
        <v/>
      </c>
    </row>
    <row r="7152" ht="12.75" customHeight="1">
      <c r="H7152" s="43" t="n"/>
      <c r="AG7152" s="49">
        <f>IFERROR(__xludf.DUMMYFUNCTION("IFNA(vlookup(H7152,IMPORTRANGE(""1vUGwO1n0QQGx9kKbO0_M5gmuhXZ6-LaxQxgrmJnzgP0"",""'TP# look up'!A:C""),3,0),"""")"),"")</f>
        <v/>
      </c>
      <c r="AH7152" s="49">
        <f>LEFT(J7152,2)</f>
        <v/>
      </c>
    </row>
    <row r="7153" ht="12.75" customHeight="1">
      <c r="H7153" s="43" t="n"/>
      <c r="AG7153" s="49">
        <f>IFERROR(__xludf.DUMMYFUNCTION("IFNA(vlookup(H7153,IMPORTRANGE(""1vUGwO1n0QQGx9kKbO0_M5gmuhXZ6-LaxQxgrmJnzgP0"",""'TP# look up'!A:C""),3,0),"""")"),"")</f>
        <v/>
      </c>
      <c r="AH7153" s="49">
        <f>LEFT(J7153,2)</f>
        <v/>
      </c>
    </row>
    <row r="7154" ht="12.75" customHeight="1">
      <c r="H7154" s="43" t="n"/>
      <c r="AG7154" s="49">
        <f>IFERROR(__xludf.DUMMYFUNCTION("IFNA(vlookup(H7154,IMPORTRANGE(""1vUGwO1n0QQGx9kKbO0_M5gmuhXZ6-LaxQxgrmJnzgP0"",""'TP# look up'!A:C""),3,0),"""")"),"")</f>
        <v/>
      </c>
      <c r="AH7154" s="49">
        <f>LEFT(J7154,2)</f>
        <v/>
      </c>
    </row>
    <row r="7155" ht="12.75" customHeight="1">
      <c r="H7155" s="43" t="n"/>
      <c r="AG7155" s="49">
        <f>IFERROR(__xludf.DUMMYFUNCTION("IFNA(vlookup(H7155,IMPORTRANGE(""1vUGwO1n0QQGx9kKbO0_M5gmuhXZ6-LaxQxgrmJnzgP0"",""'TP# look up'!A:C""),3,0),"""")"),"")</f>
        <v/>
      </c>
      <c r="AH7155" s="49">
        <f>LEFT(J7155,2)</f>
        <v/>
      </c>
    </row>
    <row r="7156" ht="12.75" customHeight="1">
      <c r="H7156" s="43" t="n"/>
      <c r="AG7156" s="49">
        <f>IFERROR(__xludf.DUMMYFUNCTION("IFNA(vlookup(H7156,IMPORTRANGE(""1vUGwO1n0QQGx9kKbO0_M5gmuhXZ6-LaxQxgrmJnzgP0"",""'TP# look up'!A:C""),3,0),"""")"),"")</f>
        <v/>
      </c>
      <c r="AH7156" s="49">
        <f>LEFT(J7156,2)</f>
        <v/>
      </c>
    </row>
    <row r="7157" ht="12.75" customHeight="1">
      <c r="H7157" s="43" t="n"/>
      <c r="AG7157" s="49">
        <f>IFERROR(__xludf.DUMMYFUNCTION("IFNA(vlookup(H7157,IMPORTRANGE(""1vUGwO1n0QQGx9kKbO0_M5gmuhXZ6-LaxQxgrmJnzgP0"",""'TP# look up'!A:C""),3,0),"""")"),"")</f>
        <v/>
      </c>
      <c r="AH7157" s="49">
        <f>LEFT(J7157,2)</f>
        <v/>
      </c>
    </row>
    <row r="7158" ht="12.75" customHeight="1">
      <c r="H7158" s="43" t="n"/>
      <c r="AG7158" s="49">
        <f>IFERROR(__xludf.DUMMYFUNCTION("IFNA(vlookup(H7158,IMPORTRANGE(""1vUGwO1n0QQGx9kKbO0_M5gmuhXZ6-LaxQxgrmJnzgP0"",""'TP# look up'!A:C""),3,0),"""")"),"")</f>
        <v/>
      </c>
      <c r="AH7158" s="49">
        <f>LEFT(J7158,2)</f>
        <v/>
      </c>
    </row>
    <row r="7159" ht="12.75" customHeight="1">
      <c r="H7159" s="43" t="n"/>
      <c r="AG7159" s="49">
        <f>IFERROR(__xludf.DUMMYFUNCTION("IFNA(vlookup(H7159,IMPORTRANGE(""1vUGwO1n0QQGx9kKbO0_M5gmuhXZ6-LaxQxgrmJnzgP0"",""'TP# look up'!A:C""),3,0),"""")"),"")</f>
        <v/>
      </c>
      <c r="AH7159" s="49">
        <f>LEFT(J7159,2)</f>
        <v/>
      </c>
    </row>
    <row r="7160" ht="12.75" customHeight="1">
      <c r="H7160" s="43" t="n"/>
      <c r="AG7160" s="49">
        <f>IFERROR(__xludf.DUMMYFUNCTION("IFNA(vlookup(H7160,IMPORTRANGE(""1vUGwO1n0QQGx9kKbO0_M5gmuhXZ6-LaxQxgrmJnzgP0"",""'TP# look up'!A:C""),3,0),"""")"),"")</f>
        <v/>
      </c>
      <c r="AH7160" s="49">
        <f>LEFT(J7160,2)</f>
        <v/>
      </c>
    </row>
    <row r="7161" ht="12.75" customHeight="1">
      <c r="H7161" s="43" t="n"/>
      <c r="AG7161" s="49">
        <f>IFERROR(__xludf.DUMMYFUNCTION("IFNA(vlookup(H7161,IMPORTRANGE(""1vUGwO1n0QQGx9kKbO0_M5gmuhXZ6-LaxQxgrmJnzgP0"",""'TP# look up'!A:C""),3,0),"""")"),"")</f>
        <v/>
      </c>
      <c r="AH7161" s="49">
        <f>LEFT(J7161,2)</f>
        <v/>
      </c>
    </row>
    <row r="7162" ht="12.75" customHeight="1">
      <c r="H7162" s="43" t="n"/>
      <c r="AG7162" s="49">
        <f>IFERROR(__xludf.DUMMYFUNCTION("IFNA(vlookup(H7162,IMPORTRANGE(""1vUGwO1n0QQGx9kKbO0_M5gmuhXZ6-LaxQxgrmJnzgP0"",""'TP# look up'!A:C""),3,0),"""")"),"")</f>
        <v/>
      </c>
      <c r="AH7162" s="49">
        <f>LEFT(J7162,2)</f>
        <v/>
      </c>
    </row>
    <row r="7163" ht="12.75" customHeight="1">
      <c r="H7163" s="43" t="n"/>
      <c r="AG7163" s="49">
        <f>IFERROR(__xludf.DUMMYFUNCTION("IFNA(vlookup(H7163,IMPORTRANGE(""1vUGwO1n0QQGx9kKbO0_M5gmuhXZ6-LaxQxgrmJnzgP0"",""'TP# look up'!A:C""),3,0),"""")"),"")</f>
        <v/>
      </c>
      <c r="AH7163" s="49">
        <f>LEFT(J7163,2)</f>
        <v/>
      </c>
    </row>
    <row r="7164" ht="12.75" customHeight="1">
      <c r="H7164" s="43" t="n"/>
      <c r="AG7164" s="49">
        <f>IFERROR(__xludf.DUMMYFUNCTION("IFNA(vlookup(H7164,IMPORTRANGE(""1vUGwO1n0QQGx9kKbO0_M5gmuhXZ6-LaxQxgrmJnzgP0"",""'TP# look up'!A:C""),3,0),"""")"),"")</f>
        <v/>
      </c>
      <c r="AH7164" s="49">
        <f>LEFT(J7164,2)</f>
        <v/>
      </c>
    </row>
    <row r="7165" ht="12.75" customHeight="1">
      <c r="H7165" s="43" t="n"/>
      <c r="AG7165" s="49">
        <f>IFERROR(__xludf.DUMMYFUNCTION("IFNA(vlookup(H7165,IMPORTRANGE(""1vUGwO1n0QQGx9kKbO0_M5gmuhXZ6-LaxQxgrmJnzgP0"",""'TP# look up'!A:C""),3,0),"""")"),"")</f>
        <v/>
      </c>
      <c r="AH7165" s="49">
        <f>LEFT(J7165,2)</f>
        <v/>
      </c>
    </row>
    <row r="7166" ht="12.75" customHeight="1">
      <c r="H7166" s="43" t="n"/>
      <c r="AG7166" s="49">
        <f>IFERROR(__xludf.DUMMYFUNCTION("IFNA(vlookup(H7166,IMPORTRANGE(""1vUGwO1n0QQGx9kKbO0_M5gmuhXZ6-LaxQxgrmJnzgP0"",""'TP# look up'!A:C""),3,0),"""")"),"")</f>
        <v/>
      </c>
      <c r="AH7166" s="49">
        <f>LEFT(J7166,2)</f>
        <v/>
      </c>
    </row>
    <row r="7167" ht="12.75" customHeight="1">
      <c r="H7167" s="43" t="n"/>
      <c r="AG7167" s="49">
        <f>IFERROR(__xludf.DUMMYFUNCTION("IFNA(vlookup(H7167,IMPORTRANGE(""1vUGwO1n0QQGx9kKbO0_M5gmuhXZ6-LaxQxgrmJnzgP0"",""'TP# look up'!A:C""),3,0),"""")"),"")</f>
        <v/>
      </c>
      <c r="AH7167" s="49">
        <f>LEFT(J7167,2)</f>
        <v/>
      </c>
    </row>
    <row r="7168" ht="12.75" customHeight="1">
      <c r="H7168" s="43" t="n"/>
      <c r="AG7168" s="49">
        <f>IFERROR(__xludf.DUMMYFUNCTION("IFNA(vlookup(H7168,IMPORTRANGE(""1vUGwO1n0QQGx9kKbO0_M5gmuhXZ6-LaxQxgrmJnzgP0"",""'TP# look up'!A:C""),3,0),"""")"),"")</f>
        <v/>
      </c>
      <c r="AH7168" s="49">
        <f>LEFT(J7168,2)</f>
        <v/>
      </c>
    </row>
    <row r="7169" ht="12.75" customHeight="1">
      <c r="H7169" s="43" t="n"/>
      <c r="AG7169" s="49">
        <f>IFERROR(__xludf.DUMMYFUNCTION("IFNA(vlookup(H7169,IMPORTRANGE(""1vUGwO1n0QQGx9kKbO0_M5gmuhXZ6-LaxQxgrmJnzgP0"",""'TP# look up'!A:C""),3,0),"""")"),"")</f>
        <v/>
      </c>
      <c r="AH7169" s="49">
        <f>LEFT(J7169,2)</f>
        <v/>
      </c>
    </row>
    <row r="7170" ht="12.75" customHeight="1">
      <c r="H7170" s="43" t="n"/>
      <c r="AG7170" s="49">
        <f>IFERROR(__xludf.DUMMYFUNCTION("IFNA(vlookup(H7170,IMPORTRANGE(""1vUGwO1n0QQGx9kKbO0_M5gmuhXZ6-LaxQxgrmJnzgP0"",""'TP# look up'!A:C""),3,0),"""")"),"")</f>
        <v/>
      </c>
      <c r="AH7170" s="49">
        <f>LEFT(J7170,2)</f>
        <v/>
      </c>
    </row>
    <row r="7171" ht="12.75" customHeight="1">
      <c r="H7171" s="43" t="n"/>
      <c r="AG7171" s="49">
        <f>IFERROR(__xludf.DUMMYFUNCTION("IFNA(vlookup(H7171,IMPORTRANGE(""1vUGwO1n0QQGx9kKbO0_M5gmuhXZ6-LaxQxgrmJnzgP0"",""'TP# look up'!A:C""),3,0),"""")"),"")</f>
        <v/>
      </c>
      <c r="AH7171" s="49">
        <f>LEFT(J7171,2)</f>
        <v/>
      </c>
    </row>
    <row r="7172" ht="12.75" customHeight="1">
      <c r="H7172" s="43" t="n"/>
      <c r="AG7172" s="49">
        <f>IFERROR(__xludf.DUMMYFUNCTION("IFNA(vlookup(H7172,IMPORTRANGE(""1vUGwO1n0QQGx9kKbO0_M5gmuhXZ6-LaxQxgrmJnzgP0"",""'TP# look up'!A:C""),3,0),"""")"),"")</f>
        <v/>
      </c>
      <c r="AH7172" s="49">
        <f>LEFT(J7172,2)</f>
        <v/>
      </c>
    </row>
    <row r="7173" ht="12.75" customHeight="1">
      <c r="H7173" s="43" t="n"/>
      <c r="AG7173" s="49">
        <f>IFERROR(__xludf.DUMMYFUNCTION("IFNA(vlookup(H7173,IMPORTRANGE(""1vUGwO1n0QQGx9kKbO0_M5gmuhXZ6-LaxQxgrmJnzgP0"",""'TP# look up'!A:C""),3,0),"""")"),"")</f>
        <v/>
      </c>
      <c r="AH7173" s="49">
        <f>LEFT(J7173,2)</f>
        <v/>
      </c>
    </row>
    <row r="7174" ht="12.75" customHeight="1">
      <c r="H7174" s="43" t="n"/>
      <c r="AG7174" s="49">
        <f>IFERROR(__xludf.DUMMYFUNCTION("IFNA(vlookup(H7174,IMPORTRANGE(""1vUGwO1n0QQGx9kKbO0_M5gmuhXZ6-LaxQxgrmJnzgP0"",""'TP# look up'!A:C""),3,0),"""")"),"")</f>
        <v/>
      </c>
      <c r="AH7174" s="49">
        <f>LEFT(J7174,2)</f>
        <v/>
      </c>
    </row>
    <row r="7175" ht="12.75" customHeight="1">
      <c r="H7175" s="43" t="n"/>
      <c r="AG7175" s="49">
        <f>IFERROR(__xludf.DUMMYFUNCTION("IFNA(vlookup(H7175,IMPORTRANGE(""1vUGwO1n0QQGx9kKbO0_M5gmuhXZ6-LaxQxgrmJnzgP0"",""'TP# look up'!A:C""),3,0),"""")"),"")</f>
        <v/>
      </c>
      <c r="AH7175" s="49">
        <f>LEFT(J7175,2)</f>
        <v/>
      </c>
    </row>
    <row r="7176" ht="12.75" customHeight="1">
      <c r="H7176" s="43" t="n"/>
      <c r="AG7176" s="49">
        <f>IFERROR(__xludf.DUMMYFUNCTION("IFNA(vlookup(H7176,IMPORTRANGE(""1vUGwO1n0QQGx9kKbO0_M5gmuhXZ6-LaxQxgrmJnzgP0"",""'TP# look up'!A:C""),3,0),"""")"),"")</f>
        <v/>
      </c>
      <c r="AH7176" s="49">
        <f>LEFT(J7176,2)</f>
        <v/>
      </c>
    </row>
    <row r="7177" ht="12.75" customHeight="1">
      <c r="H7177" s="43" t="n"/>
      <c r="AG7177" s="49">
        <f>IFERROR(__xludf.DUMMYFUNCTION("IFNA(vlookup(H7177,IMPORTRANGE(""1vUGwO1n0QQGx9kKbO0_M5gmuhXZ6-LaxQxgrmJnzgP0"",""'TP# look up'!A:C""),3,0),"""")"),"")</f>
        <v/>
      </c>
      <c r="AH7177" s="49">
        <f>LEFT(J7177,2)</f>
        <v/>
      </c>
    </row>
    <row r="7178" ht="12.75" customHeight="1">
      <c r="H7178" s="43" t="n"/>
      <c r="AG7178" s="49">
        <f>IFERROR(__xludf.DUMMYFUNCTION("IFNA(vlookup(H7178,IMPORTRANGE(""1vUGwO1n0QQGx9kKbO0_M5gmuhXZ6-LaxQxgrmJnzgP0"",""'TP# look up'!A:C""),3,0),"""")"),"")</f>
        <v/>
      </c>
      <c r="AH7178" s="49">
        <f>LEFT(J7178,2)</f>
        <v/>
      </c>
    </row>
    <row r="7179" ht="12.75" customHeight="1">
      <c r="H7179" s="43" t="n"/>
      <c r="AG7179" s="49">
        <f>IFERROR(__xludf.DUMMYFUNCTION("IFNA(vlookup(H7179,IMPORTRANGE(""1vUGwO1n0QQGx9kKbO0_M5gmuhXZ6-LaxQxgrmJnzgP0"",""'TP# look up'!A:C""),3,0),"""")"),"")</f>
        <v/>
      </c>
      <c r="AH7179" s="49">
        <f>LEFT(J7179,2)</f>
        <v/>
      </c>
    </row>
    <row r="7180" ht="12.75" customHeight="1">
      <c r="H7180" s="43" t="n"/>
      <c r="AG7180" s="49">
        <f>IFERROR(__xludf.DUMMYFUNCTION("IFNA(vlookup(H7180,IMPORTRANGE(""1vUGwO1n0QQGx9kKbO0_M5gmuhXZ6-LaxQxgrmJnzgP0"",""'TP# look up'!A:C""),3,0),"""")"),"")</f>
        <v/>
      </c>
      <c r="AH7180" s="49">
        <f>LEFT(J7180,2)</f>
        <v/>
      </c>
    </row>
    <row r="7181" ht="12.75" customHeight="1">
      <c r="H7181" s="43" t="n"/>
      <c r="AG7181" s="49">
        <f>IFERROR(__xludf.DUMMYFUNCTION("IFNA(vlookup(H7181,IMPORTRANGE(""1vUGwO1n0QQGx9kKbO0_M5gmuhXZ6-LaxQxgrmJnzgP0"",""'TP# look up'!A:C""),3,0),"""")"),"")</f>
        <v/>
      </c>
      <c r="AH7181" s="49">
        <f>LEFT(J7181,2)</f>
        <v/>
      </c>
    </row>
    <row r="7182" ht="12.75" customHeight="1">
      <c r="H7182" s="43" t="n"/>
      <c r="AG7182" s="49">
        <f>IFERROR(__xludf.DUMMYFUNCTION("IFNA(vlookup(H7182,IMPORTRANGE(""1vUGwO1n0QQGx9kKbO0_M5gmuhXZ6-LaxQxgrmJnzgP0"",""'TP# look up'!A:C""),3,0),"""")"),"")</f>
        <v/>
      </c>
      <c r="AH7182" s="49">
        <f>LEFT(J7182,2)</f>
        <v/>
      </c>
    </row>
    <row r="7183" ht="12.75" customHeight="1">
      <c r="H7183" s="43" t="n"/>
      <c r="AG7183" s="49">
        <f>IFERROR(__xludf.DUMMYFUNCTION("IFNA(vlookup(H7183,IMPORTRANGE(""1vUGwO1n0QQGx9kKbO0_M5gmuhXZ6-LaxQxgrmJnzgP0"",""'TP# look up'!A:C""),3,0),"""")"),"")</f>
        <v/>
      </c>
      <c r="AH7183" s="49">
        <f>LEFT(J7183,2)</f>
        <v/>
      </c>
    </row>
    <row r="7184" ht="12.75" customHeight="1">
      <c r="H7184" s="43" t="n"/>
      <c r="AG7184" s="49">
        <f>IFERROR(__xludf.DUMMYFUNCTION("IFNA(vlookup(H7184,IMPORTRANGE(""1vUGwO1n0QQGx9kKbO0_M5gmuhXZ6-LaxQxgrmJnzgP0"",""'TP# look up'!A:C""),3,0),"""")"),"")</f>
        <v/>
      </c>
      <c r="AH7184" s="49">
        <f>LEFT(J7184,2)</f>
        <v/>
      </c>
    </row>
    <row r="7185" ht="12.75" customHeight="1">
      <c r="H7185" s="43" t="n"/>
      <c r="AG7185" s="49">
        <f>IFERROR(__xludf.DUMMYFUNCTION("IFNA(vlookup(H7185,IMPORTRANGE(""1vUGwO1n0QQGx9kKbO0_M5gmuhXZ6-LaxQxgrmJnzgP0"",""'TP# look up'!A:C""),3,0),"""")"),"")</f>
        <v/>
      </c>
      <c r="AH7185" s="49">
        <f>LEFT(J7185,2)</f>
        <v/>
      </c>
    </row>
    <row r="7186" ht="12.75" customHeight="1">
      <c r="H7186" s="43" t="n"/>
      <c r="AG7186" s="49">
        <f>IFERROR(__xludf.DUMMYFUNCTION("IFNA(vlookup(H7186,IMPORTRANGE(""1vUGwO1n0QQGx9kKbO0_M5gmuhXZ6-LaxQxgrmJnzgP0"",""'TP# look up'!A:C""),3,0),"""")"),"")</f>
        <v/>
      </c>
      <c r="AH7186" s="49">
        <f>LEFT(J7186,2)</f>
        <v/>
      </c>
    </row>
    <row r="7187" ht="12.75" customHeight="1">
      <c r="H7187" s="43" t="n"/>
      <c r="AG7187" s="49">
        <f>IFERROR(__xludf.DUMMYFUNCTION("IFNA(vlookup(H7187,IMPORTRANGE(""1vUGwO1n0QQGx9kKbO0_M5gmuhXZ6-LaxQxgrmJnzgP0"",""'TP# look up'!A:C""),3,0),"""")"),"")</f>
        <v/>
      </c>
      <c r="AH7187" s="49">
        <f>LEFT(J7187,2)</f>
        <v/>
      </c>
    </row>
    <row r="7188" ht="12.75" customHeight="1">
      <c r="H7188" s="43" t="n"/>
      <c r="AG7188" s="49">
        <f>IFERROR(__xludf.DUMMYFUNCTION("IFNA(vlookup(H7188,IMPORTRANGE(""1vUGwO1n0QQGx9kKbO0_M5gmuhXZ6-LaxQxgrmJnzgP0"",""'TP# look up'!A:C""),3,0),"""")"),"")</f>
        <v/>
      </c>
      <c r="AH7188" s="49">
        <f>LEFT(J7188,2)</f>
        <v/>
      </c>
    </row>
    <row r="7189" ht="12.75" customHeight="1">
      <c r="H7189" s="43" t="n"/>
      <c r="AG7189" s="49">
        <f>IFERROR(__xludf.DUMMYFUNCTION("IFNA(vlookup(H7189,IMPORTRANGE(""1vUGwO1n0QQGx9kKbO0_M5gmuhXZ6-LaxQxgrmJnzgP0"",""'TP# look up'!A:C""),3,0),"""")"),"")</f>
        <v/>
      </c>
      <c r="AH7189" s="49">
        <f>LEFT(J7189,2)</f>
        <v/>
      </c>
    </row>
    <row r="7190" ht="12.75" customHeight="1">
      <c r="H7190" s="43" t="n"/>
      <c r="AG7190" s="49">
        <f>IFERROR(__xludf.DUMMYFUNCTION("IFNA(vlookup(H7190,IMPORTRANGE(""1vUGwO1n0QQGx9kKbO0_M5gmuhXZ6-LaxQxgrmJnzgP0"",""'TP# look up'!A:C""),3,0),"""")"),"")</f>
        <v/>
      </c>
      <c r="AH7190" s="49">
        <f>LEFT(J7190,2)</f>
        <v/>
      </c>
    </row>
    <row r="7191" ht="12.75" customHeight="1">
      <c r="H7191" s="43" t="n"/>
      <c r="AG7191" s="49">
        <f>IFERROR(__xludf.DUMMYFUNCTION("IFNA(vlookup(H7191,IMPORTRANGE(""1vUGwO1n0QQGx9kKbO0_M5gmuhXZ6-LaxQxgrmJnzgP0"",""'TP# look up'!A:C""),3,0),"""")"),"")</f>
        <v/>
      </c>
      <c r="AH7191" s="49">
        <f>LEFT(J7191,2)</f>
        <v/>
      </c>
    </row>
    <row r="7192" ht="12.75" customHeight="1">
      <c r="H7192" s="43" t="n"/>
      <c r="AG7192" s="49">
        <f>IFERROR(__xludf.DUMMYFUNCTION("IFNA(vlookup(H7192,IMPORTRANGE(""1vUGwO1n0QQGx9kKbO0_M5gmuhXZ6-LaxQxgrmJnzgP0"",""'TP# look up'!A:C""),3,0),"""")"),"")</f>
        <v/>
      </c>
      <c r="AH7192" s="49">
        <f>LEFT(J7192,2)</f>
        <v/>
      </c>
    </row>
    <row r="7193" ht="12.75" customHeight="1">
      <c r="H7193" s="43" t="n"/>
      <c r="AG7193" s="49">
        <f>IFERROR(__xludf.DUMMYFUNCTION("IFNA(vlookup(H7193,IMPORTRANGE(""1vUGwO1n0QQGx9kKbO0_M5gmuhXZ6-LaxQxgrmJnzgP0"",""'TP# look up'!A:C""),3,0),"""")"),"")</f>
        <v/>
      </c>
      <c r="AH7193" s="49">
        <f>LEFT(J7193,2)</f>
        <v/>
      </c>
    </row>
    <row r="7194" ht="12.75" customHeight="1">
      <c r="H7194" s="43" t="n"/>
      <c r="AG7194" s="49">
        <f>IFERROR(__xludf.DUMMYFUNCTION("IFNA(vlookup(H7194,IMPORTRANGE(""1vUGwO1n0QQGx9kKbO0_M5gmuhXZ6-LaxQxgrmJnzgP0"",""'TP# look up'!A:C""),3,0),"""")"),"")</f>
        <v/>
      </c>
      <c r="AH7194" s="49">
        <f>LEFT(J7194,2)</f>
        <v/>
      </c>
    </row>
    <row r="7195" ht="12.75" customHeight="1">
      <c r="H7195" s="43" t="n"/>
      <c r="AG7195" s="49">
        <f>IFERROR(__xludf.DUMMYFUNCTION("IFNA(vlookup(H7195,IMPORTRANGE(""1vUGwO1n0QQGx9kKbO0_M5gmuhXZ6-LaxQxgrmJnzgP0"",""'TP# look up'!A:C""),3,0),"""")"),"")</f>
        <v/>
      </c>
      <c r="AH7195" s="49">
        <f>LEFT(J7195,2)</f>
        <v/>
      </c>
    </row>
    <row r="7196" ht="12.75" customHeight="1">
      <c r="H7196" s="43" t="n"/>
      <c r="AG7196" s="49">
        <f>IFERROR(__xludf.DUMMYFUNCTION("IFNA(vlookup(H7196,IMPORTRANGE(""1vUGwO1n0QQGx9kKbO0_M5gmuhXZ6-LaxQxgrmJnzgP0"",""'TP# look up'!A:C""),3,0),"""")"),"")</f>
        <v/>
      </c>
      <c r="AH7196" s="49">
        <f>LEFT(J7196,2)</f>
        <v/>
      </c>
    </row>
    <row r="7197" ht="12.75" customHeight="1">
      <c r="H7197" s="43" t="n"/>
      <c r="AG7197" s="49">
        <f>IFERROR(__xludf.DUMMYFUNCTION("IFNA(vlookup(H7197,IMPORTRANGE(""1vUGwO1n0QQGx9kKbO0_M5gmuhXZ6-LaxQxgrmJnzgP0"",""'TP# look up'!A:C""),3,0),"""")"),"")</f>
        <v/>
      </c>
      <c r="AH7197" s="49">
        <f>LEFT(J7197,2)</f>
        <v/>
      </c>
    </row>
    <row r="7198" ht="12.75" customHeight="1">
      <c r="H7198" s="43" t="n"/>
      <c r="AG7198" s="49">
        <f>IFERROR(__xludf.DUMMYFUNCTION("IFNA(vlookup(H7198,IMPORTRANGE(""1vUGwO1n0QQGx9kKbO0_M5gmuhXZ6-LaxQxgrmJnzgP0"",""'TP# look up'!A:C""),3,0),"""")"),"")</f>
        <v/>
      </c>
      <c r="AH7198" s="49">
        <f>LEFT(J7198,2)</f>
        <v/>
      </c>
    </row>
    <row r="7199" ht="12.75" customHeight="1">
      <c r="H7199" s="43" t="n"/>
      <c r="AG7199" s="49">
        <f>IFERROR(__xludf.DUMMYFUNCTION("IFNA(vlookup(H7199,IMPORTRANGE(""1vUGwO1n0QQGx9kKbO0_M5gmuhXZ6-LaxQxgrmJnzgP0"",""'TP# look up'!A:C""),3,0),"""")"),"")</f>
        <v/>
      </c>
      <c r="AH7199" s="49">
        <f>LEFT(J7199,2)</f>
        <v/>
      </c>
    </row>
    <row r="7200" ht="12.75" customHeight="1">
      <c r="H7200" s="43" t="n"/>
      <c r="AG7200" s="49">
        <f>IFERROR(__xludf.DUMMYFUNCTION("IFNA(vlookup(H7200,IMPORTRANGE(""1vUGwO1n0QQGx9kKbO0_M5gmuhXZ6-LaxQxgrmJnzgP0"",""'TP# look up'!A:C""),3,0),"""")"),"")</f>
        <v/>
      </c>
      <c r="AH7200" s="49">
        <f>LEFT(J7200,2)</f>
        <v/>
      </c>
    </row>
    <row r="7201" ht="12.75" customHeight="1">
      <c r="H7201" s="43" t="n"/>
      <c r="AG7201" s="49">
        <f>IFERROR(__xludf.DUMMYFUNCTION("IFNA(vlookup(H7201,IMPORTRANGE(""1vUGwO1n0QQGx9kKbO0_M5gmuhXZ6-LaxQxgrmJnzgP0"",""'TP# look up'!A:C""),3,0),"""")"),"")</f>
        <v/>
      </c>
      <c r="AH7201" s="49">
        <f>LEFT(J7201,2)</f>
        <v/>
      </c>
    </row>
    <row r="7202" ht="12.75" customHeight="1">
      <c r="H7202" s="43" t="n"/>
      <c r="AG7202" s="49">
        <f>IFERROR(__xludf.DUMMYFUNCTION("IFNA(vlookup(H7202,IMPORTRANGE(""1vUGwO1n0QQGx9kKbO0_M5gmuhXZ6-LaxQxgrmJnzgP0"",""'TP# look up'!A:C""),3,0),"""")"),"")</f>
        <v/>
      </c>
      <c r="AH7202" s="49">
        <f>LEFT(J7202,2)</f>
        <v/>
      </c>
    </row>
    <row r="7203" ht="12.75" customHeight="1">
      <c r="H7203" s="43" t="n"/>
      <c r="AG7203" s="49">
        <f>IFERROR(__xludf.DUMMYFUNCTION("IFNA(vlookup(H7203,IMPORTRANGE(""1vUGwO1n0QQGx9kKbO0_M5gmuhXZ6-LaxQxgrmJnzgP0"",""'TP# look up'!A:C""),3,0),"""")"),"")</f>
        <v/>
      </c>
      <c r="AH7203" s="49">
        <f>LEFT(J7203,2)</f>
        <v/>
      </c>
    </row>
    <row r="7204" ht="12.75" customHeight="1">
      <c r="H7204" s="43" t="n"/>
      <c r="AG7204" s="49">
        <f>IFERROR(__xludf.DUMMYFUNCTION("IFNA(vlookup(H7204,IMPORTRANGE(""1vUGwO1n0QQGx9kKbO0_M5gmuhXZ6-LaxQxgrmJnzgP0"",""'TP# look up'!A:C""),3,0),"""")"),"")</f>
        <v/>
      </c>
      <c r="AH7204" s="49">
        <f>LEFT(J7204,2)</f>
        <v/>
      </c>
    </row>
    <row r="7205" ht="12.75" customHeight="1">
      <c r="H7205" s="43" t="n"/>
      <c r="AG7205" s="49">
        <f>IFERROR(__xludf.DUMMYFUNCTION("IFNA(vlookup(H7205,IMPORTRANGE(""1vUGwO1n0QQGx9kKbO0_M5gmuhXZ6-LaxQxgrmJnzgP0"",""'TP# look up'!A:C""),3,0),"""")"),"")</f>
        <v/>
      </c>
      <c r="AH7205" s="49">
        <f>LEFT(J7205,2)</f>
        <v/>
      </c>
    </row>
    <row r="7206" ht="12.75" customHeight="1">
      <c r="H7206" s="43" t="n"/>
      <c r="AG7206" s="49">
        <f>IFERROR(__xludf.DUMMYFUNCTION("IFNA(vlookup(H7206,IMPORTRANGE(""1vUGwO1n0QQGx9kKbO0_M5gmuhXZ6-LaxQxgrmJnzgP0"",""'TP# look up'!A:C""),3,0),"""")"),"")</f>
        <v/>
      </c>
      <c r="AH7206" s="49">
        <f>LEFT(J7206,2)</f>
        <v/>
      </c>
    </row>
    <row r="7207" ht="12.75" customHeight="1">
      <c r="H7207" s="43" t="n"/>
      <c r="AG7207" s="49">
        <f>IFERROR(__xludf.DUMMYFUNCTION("IFNA(vlookup(H7207,IMPORTRANGE(""1vUGwO1n0QQGx9kKbO0_M5gmuhXZ6-LaxQxgrmJnzgP0"",""'TP# look up'!A:C""),3,0),"""")"),"")</f>
        <v/>
      </c>
      <c r="AH7207" s="49">
        <f>LEFT(J7207,2)</f>
        <v/>
      </c>
    </row>
    <row r="7208" ht="12.75" customHeight="1">
      <c r="H7208" s="43" t="n"/>
      <c r="AG7208" s="49">
        <f>IFERROR(__xludf.DUMMYFUNCTION("IFNA(vlookup(H7208,IMPORTRANGE(""1vUGwO1n0QQGx9kKbO0_M5gmuhXZ6-LaxQxgrmJnzgP0"",""'TP# look up'!A:C""),3,0),"""")"),"")</f>
        <v/>
      </c>
      <c r="AH7208" s="49">
        <f>LEFT(J7208,2)</f>
        <v/>
      </c>
    </row>
    <row r="7209" ht="12.75" customHeight="1">
      <c r="H7209" s="43" t="n"/>
      <c r="AG7209" s="49">
        <f>IFERROR(__xludf.DUMMYFUNCTION("IFNA(vlookup(H7209,IMPORTRANGE(""1vUGwO1n0QQGx9kKbO0_M5gmuhXZ6-LaxQxgrmJnzgP0"",""'TP# look up'!A:C""),3,0),"""")"),"")</f>
        <v/>
      </c>
      <c r="AH7209" s="49">
        <f>LEFT(J7209,2)</f>
        <v/>
      </c>
    </row>
    <row r="7210" ht="12.75" customHeight="1">
      <c r="H7210" s="43" t="n"/>
      <c r="AG7210" s="49">
        <f>IFERROR(__xludf.DUMMYFUNCTION("IFNA(vlookup(H7210,IMPORTRANGE(""1vUGwO1n0QQGx9kKbO0_M5gmuhXZ6-LaxQxgrmJnzgP0"",""'TP# look up'!A:C""),3,0),"""")"),"")</f>
        <v/>
      </c>
      <c r="AH7210" s="49">
        <f>LEFT(J7210,2)</f>
        <v/>
      </c>
    </row>
    <row r="7211" ht="12.75" customHeight="1">
      <c r="H7211" s="43" t="n"/>
      <c r="AG7211" s="49">
        <f>IFERROR(__xludf.DUMMYFUNCTION("IFNA(vlookup(H7211,IMPORTRANGE(""1vUGwO1n0QQGx9kKbO0_M5gmuhXZ6-LaxQxgrmJnzgP0"",""'TP# look up'!A:C""),3,0),"""")"),"")</f>
        <v/>
      </c>
      <c r="AH7211" s="49">
        <f>LEFT(J7211,2)</f>
        <v/>
      </c>
    </row>
    <row r="7212" ht="12.75" customHeight="1">
      <c r="H7212" s="43" t="n"/>
      <c r="AG7212" s="49">
        <f>IFERROR(__xludf.DUMMYFUNCTION("IFNA(vlookup(H7212,IMPORTRANGE(""1vUGwO1n0QQGx9kKbO0_M5gmuhXZ6-LaxQxgrmJnzgP0"",""'TP# look up'!A:C""),3,0),"""")"),"")</f>
        <v/>
      </c>
      <c r="AH7212" s="49">
        <f>LEFT(J7212,2)</f>
        <v/>
      </c>
    </row>
    <row r="7213" ht="12.75" customHeight="1">
      <c r="H7213" s="43" t="n"/>
      <c r="AG7213" s="49">
        <f>IFERROR(__xludf.DUMMYFUNCTION("IFNA(vlookup(H7213,IMPORTRANGE(""1vUGwO1n0QQGx9kKbO0_M5gmuhXZ6-LaxQxgrmJnzgP0"",""'TP# look up'!A:C""),3,0),"""")"),"")</f>
        <v/>
      </c>
      <c r="AH7213" s="49">
        <f>LEFT(J7213,2)</f>
        <v/>
      </c>
    </row>
    <row r="7214" ht="12.75" customHeight="1">
      <c r="H7214" s="43" t="n"/>
      <c r="AG7214" s="49">
        <f>IFERROR(__xludf.DUMMYFUNCTION("IFNA(vlookup(H7214,IMPORTRANGE(""1vUGwO1n0QQGx9kKbO0_M5gmuhXZ6-LaxQxgrmJnzgP0"",""'TP# look up'!A:C""),3,0),"""")"),"")</f>
        <v/>
      </c>
      <c r="AH7214" s="49">
        <f>LEFT(J7214,2)</f>
        <v/>
      </c>
    </row>
    <row r="7215" ht="12.75" customHeight="1">
      <c r="H7215" s="43" t="n"/>
      <c r="AG7215" s="49">
        <f>IFERROR(__xludf.DUMMYFUNCTION("IFNA(vlookup(H7215,IMPORTRANGE(""1vUGwO1n0QQGx9kKbO0_M5gmuhXZ6-LaxQxgrmJnzgP0"",""'TP# look up'!A:C""),3,0),"""")"),"")</f>
        <v/>
      </c>
      <c r="AH7215" s="49">
        <f>LEFT(J7215,2)</f>
        <v/>
      </c>
    </row>
    <row r="7216" ht="12.75" customHeight="1">
      <c r="H7216" s="43" t="n"/>
      <c r="AG7216" s="49">
        <f>IFERROR(__xludf.DUMMYFUNCTION("IFNA(vlookup(H7216,IMPORTRANGE(""1vUGwO1n0QQGx9kKbO0_M5gmuhXZ6-LaxQxgrmJnzgP0"",""'TP# look up'!A:C""),3,0),"""")"),"")</f>
        <v/>
      </c>
      <c r="AH7216" s="49">
        <f>LEFT(J7216,2)</f>
        <v/>
      </c>
    </row>
    <row r="7217" ht="12.75" customHeight="1">
      <c r="H7217" s="43" t="n"/>
      <c r="AG7217" s="49">
        <f>IFERROR(__xludf.DUMMYFUNCTION("IFNA(vlookup(H7217,IMPORTRANGE(""1vUGwO1n0QQGx9kKbO0_M5gmuhXZ6-LaxQxgrmJnzgP0"",""'TP# look up'!A:C""),3,0),"""")"),"")</f>
        <v/>
      </c>
      <c r="AH7217" s="49">
        <f>LEFT(J7217,2)</f>
        <v/>
      </c>
    </row>
    <row r="7218" ht="12.75" customHeight="1">
      <c r="H7218" s="43" t="n"/>
      <c r="AG7218" s="49">
        <f>IFERROR(__xludf.DUMMYFUNCTION("IFNA(vlookup(H7218,IMPORTRANGE(""1vUGwO1n0QQGx9kKbO0_M5gmuhXZ6-LaxQxgrmJnzgP0"",""'TP# look up'!A:C""),3,0),"""")"),"")</f>
        <v/>
      </c>
      <c r="AH7218" s="49">
        <f>LEFT(J7218,2)</f>
        <v/>
      </c>
    </row>
    <row r="7219" ht="12.75" customHeight="1">
      <c r="H7219" s="43" t="n"/>
      <c r="AG7219" s="49">
        <f>IFERROR(__xludf.DUMMYFUNCTION("IFNA(vlookup(H7219,IMPORTRANGE(""1vUGwO1n0QQGx9kKbO0_M5gmuhXZ6-LaxQxgrmJnzgP0"",""'TP# look up'!A:C""),3,0),"""")"),"")</f>
        <v/>
      </c>
      <c r="AH7219" s="49">
        <f>LEFT(J7219,2)</f>
        <v/>
      </c>
    </row>
    <row r="7220" ht="12.75" customHeight="1">
      <c r="H7220" s="43" t="n"/>
      <c r="AG7220" s="49">
        <f>IFERROR(__xludf.DUMMYFUNCTION("IFNA(vlookup(H7220,IMPORTRANGE(""1vUGwO1n0QQGx9kKbO0_M5gmuhXZ6-LaxQxgrmJnzgP0"",""'TP# look up'!A:C""),3,0),"""")"),"")</f>
        <v/>
      </c>
      <c r="AH7220" s="49">
        <f>LEFT(J7220,2)</f>
        <v/>
      </c>
    </row>
    <row r="7221" ht="12.75" customHeight="1">
      <c r="H7221" s="43" t="n"/>
      <c r="AG7221" s="49">
        <f>IFERROR(__xludf.DUMMYFUNCTION("IFNA(vlookup(H7221,IMPORTRANGE(""1vUGwO1n0QQGx9kKbO0_M5gmuhXZ6-LaxQxgrmJnzgP0"",""'TP# look up'!A:C""),3,0),"""")"),"")</f>
        <v/>
      </c>
      <c r="AH7221" s="49">
        <f>LEFT(J7221,2)</f>
        <v/>
      </c>
    </row>
    <row r="7222" ht="12.75" customHeight="1">
      <c r="H7222" s="43" t="n"/>
      <c r="AG7222" s="49">
        <f>IFERROR(__xludf.DUMMYFUNCTION("IFNA(vlookup(H7222,IMPORTRANGE(""1vUGwO1n0QQGx9kKbO0_M5gmuhXZ6-LaxQxgrmJnzgP0"",""'TP# look up'!A:C""),3,0),"""")"),"")</f>
        <v/>
      </c>
      <c r="AH7222" s="49">
        <f>LEFT(J7222,2)</f>
        <v/>
      </c>
    </row>
    <row r="7223" ht="12.75" customHeight="1">
      <c r="H7223" s="43" t="n"/>
      <c r="AG7223" s="49">
        <f>IFERROR(__xludf.DUMMYFUNCTION("IFNA(vlookup(H7223,IMPORTRANGE(""1vUGwO1n0QQGx9kKbO0_M5gmuhXZ6-LaxQxgrmJnzgP0"",""'TP# look up'!A:C""),3,0),"""")"),"")</f>
        <v/>
      </c>
      <c r="AH7223" s="49">
        <f>LEFT(J7223,2)</f>
        <v/>
      </c>
    </row>
    <row r="7224" ht="12.75" customHeight="1">
      <c r="H7224" s="43" t="n"/>
      <c r="AG7224" s="49">
        <f>IFERROR(__xludf.DUMMYFUNCTION("IFNA(vlookup(H7224,IMPORTRANGE(""1vUGwO1n0QQGx9kKbO0_M5gmuhXZ6-LaxQxgrmJnzgP0"",""'TP# look up'!A:C""),3,0),"""")"),"")</f>
        <v/>
      </c>
      <c r="AH7224" s="49">
        <f>LEFT(J7224,2)</f>
        <v/>
      </c>
    </row>
    <row r="7225" ht="12.75" customHeight="1">
      <c r="H7225" s="43" t="n"/>
      <c r="AG7225" s="49">
        <f>IFERROR(__xludf.DUMMYFUNCTION("IFNA(vlookup(H7225,IMPORTRANGE(""1vUGwO1n0QQGx9kKbO0_M5gmuhXZ6-LaxQxgrmJnzgP0"",""'TP# look up'!A:C""),3,0),"""")"),"")</f>
        <v/>
      </c>
      <c r="AH7225" s="49">
        <f>LEFT(J7225,2)</f>
        <v/>
      </c>
    </row>
    <row r="7226" ht="12.75" customHeight="1">
      <c r="H7226" s="43" t="n"/>
      <c r="AG7226" s="49">
        <f>IFERROR(__xludf.DUMMYFUNCTION("IFNA(vlookup(H7226,IMPORTRANGE(""1vUGwO1n0QQGx9kKbO0_M5gmuhXZ6-LaxQxgrmJnzgP0"",""'TP# look up'!A:C""),3,0),"""")"),"")</f>
        <v/>
      </c>
      <c r="AH7226" s="49">
        <f>LEFT(J7226,2)</f>
        <v/>
      </c>
    </row>
    <row r="7227" ht="12.75" customHeight="1">
      <c r="H7227" s="43" t="n"/>
      <c r="AG7227" s="49">
        <f>IFERROR(__xludf.DUMMYFUNCTION("IFNA(vlookup(H7227,IMPORTRANGE(""1vUGwO1n0QQGx9kKbO0_M5gmuhXZ6-LaxQxgrmJnzgP0"",""'TP# look up'!A:C""),3,0),"""")"),"")</f>
        <v/>
      </c>
      <c r="AH7227" s="49">
        <f>LEFT(J7227,2)</f>
        <v/>
      </c>
    </row>
    <row r="7228" ht="12.75" customHeight="1">
      <c r="H7228" s="43" t="n"/>
      <c r="AG7228" s="49">
        <f>IFERROR(__xludf.DUMMYFUNCTION("IFNA(vlookup(H7228,IMPORTRANGE(""1vUGwO1n0QQGx9kKbO0_M5gmuhXZ6-LaxQxgrmJnzgP0"",""'TP# look up'!A:C""),3,0),"""")"),"")</f>
        <v/>
      </c>
      <c r="AH7228" s="49">
        <f>LEFT(J7228,2)</f>
        <v/>
      </c>
    </row>
    <row r="7229" ht="12.75" customHeight="1">
      <c r="H7229" s="43" t="n"/>
      <c r="AG7229" s="49">
        <f>IFERROR(__xludf.DUMMYFUNCTION("IFNA(vlookup(H7229,IMPORTRANGE(""1vUGwO1n0QQGx9kKbO0_M5gmuhXZ6-LaxQxgrmJnzgP0"",""'TP# look up'!A:C""),3,0),"""")"),"")</f>
        <v/>
      </c>
      <c r="AH7229" s="49">
        <f>LEFT(J7229,2)</f>
        <v/>
      </c>
    </row>
    <row r="7230" ht="12.75" customHeight="1">
      <c r="H7230" s="43" t="n"/>
      <c r="AG7230" s="49">
        <f>IFERROR(__xludf.DUMMYFUNCTION("IFNA(vlookup(H7230,IMPORTRANGE(""1vUGwO1n0QQGx9kKbO0_M5gmuhXZ6-LaxQxgrmJnzgP0"",""'TP# look up'!A:C""),3,0),"""")"),"")</f>
        <v/>
      </c>
      <c r="AH7230" s="49">
        <f>LEFT(J7230,2)</f>
        <v/>
      </c>
    </row>
    <row r="7231" ht="12.75" customHeight="1">
      <c r="H7231" s="43" t="n"/>
      <c r="AG7231" s="49">
        <f>IFERROR(__xludf.DUMMYFUNCTION("IFNA(vlookup(H7231,IMPORTRANGE(""1vUGwO1n0QQGx9kKbO0_M5gmuhXZ6-LaxQxgrmJnzgP0"",""'TP# look up'!A:C""),3,0),"""")"),"")</f>
        <v/>
      </c>
      <c r="AH7231" s="49">
        <f>LEFT(J7231,2)</f>
        <v/>
      </c>
    </row>
    <row r="7232" ht="12.75" customHeight="1">
      <c r="H7232" s="43" t="n"/>
      <c r="AG7232" s="49">
        <f>IFERROR(__xludf.DUMMYFUNCTION("IFNA(vlookup(H7232,IMPORTRANGE(""1vUGwO1n0QQGx9kKbO0_M5gmuhXZ6-LaxQxgrmJnzgP0"",""'TP# look up'!A:C""),3,0),"""")"),"")</f>
        <v/>
      </c>
      <c r="AH7232" s="49">
        <f>LEFT(J7232,2)</f>
        <v/>
      </c>
    </row>
    <row r="7233" ht="12.75" customHeight="1">
      <c r="H7233" s="43" t="n"/>
      <c r="AG7233" s="49">
        <f>IFERROR(__xludf.DUMMYFUNCTION("IFNA(vlookup(H7233,IMPORTRANGE(""1vUGwO1n0QQGx9kKbO0_M5gmuhXZ6-LaxQxgrmJnzgP0"",""'TP# look up'!A:C""),3,0),"""")"),"")</f>
        <v/>
      </c>
      <c r="AH7233" s="49">
        <f>LEFT(J7233,2)</f>
        <v/>
      </c>
    </row>
    <row r="7234" ht="12.75" customHeight="1">
      <c r="H7234" s="43" t="n"/>
      <c r="AG7234" s="49">
        <f>IFERROR(__xludf.DUMMYFUNCTION("IFNA(vlookup(H7234,IMPORTRANGE(""1vUGwO1n0QQGx9kKbO0_M5gmuhXZ6-LaxQxgrmJnzgP0"",""'TP# look up'!A:C""),3,0),"""")"),"")</f>
        <v/>
      </c>
      <c r="AH7234" s="49">
        <f>LEFT(J7234,2)</f>
        <v/>
      </c>
    </row>
    <row r="7235" ht="12.75" customHeight="1">
      <c r="H7235" s="43" t="n"/>
      <c r="AG7235" s="49">
        <f>IFERROR(__xludf.DUMMYFUNCTION("IFNA(vlookup(H7235,IMPORTRANGE(""1vUGwO1n0QQGx9kKbO0_M5gmuhXZ6-LaxQxgrmJnzgP0"",""'TP# look up'!A:C""),3,0),"""")"),"")</f>
        <v/>
      </c>
      <c r="AH7235" s="49">
        <f>LEFT(J7235,2)</f>
        <v/>
      </c>
    </row>
    <row r="7236" ht="12.75" customHeight="1">
      <c r="H7236" s="43" t="n"/>
      <c r="AG7236" s="49">
        <f>IFERROR(__xludf.DUMMYFUNCTION("IFNA(vlookup(H7236,IMPORTRANGE(""1vUGwO1n0QQGx9kKbO0_M5gmuhXZ6-LaxQxgrmJnzgP0"",""'TP# look up'!A:C""),3,0),"""")"),"")</f>
        <v/>
      </c>
      <c r="AH7236" s="49">
        <f>LEFT(J7236,2)</f>
        <v/>
      </c>
    </row>
    <row r="7237" ht="12.75" customHeight="1">
      <c r="H7237" s="43" t="n"/>
      <c r="AG7237" s="49">
        <f>IFERROR(__xludf.DUMMYFUNCTION("IFNA(vlookup(H7237,IMPORTRANGE(""1vUGwO1n0QQGx9kKbO0_M5gmuhXZ6-LaxQxgrmJnzgP0"",""'TP# look up'!A:C""),3,0),"""")"),"")</f>
        <v/>
      </c>
      <c r="AH7237" s="49">
        <f>LEFT(J7237,2)</f>
        <v/>
      </c>
    </row>
    <row r="7238" ht="12.75" customHeight="1">
      <c r="H7238" s="43" t="n"/>
      <c r="AG7238" s="49">
        <f>IFERROR(__xludf.DUMMYFUNCTION("IFNA(vlookup(H7238,IMPORTRANGE(""1vUGwO1n0QQGx9kKbO0_M5gmuhXZ6-LaxQxgrmJnzgP0"",""'TP# look up'!A:C""),3,0),"""")"),"")</f>
        <v/>
      </c>
      <c r="AH7238" s="49">
        <f>LEFT(J7238,2)</f>
        <v/>
      </c>
    </row>
    <row r="7239" ht="12.75" customHeight="1">
      <c r="H7239" s="43" t="n"/>
      <c r="AG7239" s="49">
        <f>IFERROR(__xludf.DUMMYFUNCTION("IFNA(vlookup(H7239,IMPORTRANGE(""1vUGwO1n0QQGx9kKbO0_M5gmuhXZ6-LaxQxgrmJnzgP0"",""'TP# look up'!A:C""),3,0),"""")"),"")</f>
        <v/>
      </c>
      <c r="AH7239" s="49">
        <f>LEFT(J7239,2)</f>
        <v/>
      </c>
    </row>
    <row r="7240" ht="12.75" customHeight="1">
      <c r="H7240" s="43" t="n"/>
      <c r="AG7240" s="49">
        <f>IFERROR(__xludf.DUMMYFUNCTION("IFNA(vlookup(H7240,IMPORTRANGE(""1vUGwO1n0QQGx9kKbO0_M5gmuhXZ6-LaxQxgrmJnzgP0"",""'TP# look up'!A:C""),3,0),"""")"),"")</f>
        <v/>
      </c>
      <c r="AH7240" s="49">
        <f>LEFT(J7240,2)</f>
        <v/>
      </c>
    </row>
    <row r="7241" ht="12.75" customHeight="1">
      <c r="H7241" s="43" t="n"/>
      <c r="AG7241" s="49">
        <f>IFERROR(__xludf.DUMMYFUNCTION("IFNA(vlookup(H7241,IMPORTRANGE(""1vUGwO1n0QQGx9kKbO0_M5gmuhXZ6-LaxQxgrmJnzgP0"",""'TP# look up'!A:C""),3,0),"""")"),"")</f>
        <v/>
      </c>
      <c r="AH7241" s="49">
        <f>LEFT(J7241,2)</f>
        <v/>
      </c>
    </row>
    <row r="7242" ht="12.75" customHeight="1">
      <c r="H7242" s="43" t="n"/>
      <c r="AG7242" s="49">
        <f>IFERROR(__xludf.DUMMYFUNCTION("IFNA(vlookup(H7242,IMPORTRANGE(""1vUGwO1n0QQGx9kKbO0_M5gmuhXZ6-LaxQxgrmJnzgP0"",""'TP# look up'!A:C""),3,0),"""")"),"")</f>
        <v/>
      </c>
      <c r="AH7242" s="49">
        <f>LEFT(J7242,2)</f>
        <v/>
      </c>
    </row>
    <row r="7243" ht="12.75" customHeight="1">
      <c r="H7243" s="43" t="n"/>
      <c r="AG7243" s="49">
        <f>IFERROR(__xludf.DUMMYFUNCTION("IFNA(vlookup(H7243,IMPORTRANGE(""1vUGwO1n0QQGx9kKbO0_M5gmuhXZ6-LaxQxgrmJnzgP0"",""'TP# look up'!A:C""),3,0),"""")"),"")</f>
        <v/>
      </c>
      <c r="AH7243" s="49">
        <f>LEFT(J7243,2)</f>
        <v/>
      </c>
    </row>
    <row r="7244" ht="12.75" customHeight="1">
      <c r="H7244" s="43" t="n"/>
      <c r="AG7244" s="49">
        <f>IFERROR(__xludf.DUMMYFUNCTION("IFNA(vlookup(H7244,IMPORTRANGE(""1vUGwO1n0QQGx9kKbO0_M5gmuhXZ6-LaxQxgrmJnzgP0"",""'TP# look up'!A:C""),3,0),"""")"),"")</f>
        <v/>
      </c>
      <c r="AH7244" s="49">
        <f>LEFT(J7244,2)</f>
        <v/>
      </c>
    </row>
    <row r="7245" ht="12.75" customHeight="1">
      <c r="H7245" s="43" t="n"/>
      <c r="AG7245" s="49">
        <f>IFERROR(__xludf.DUMMYFUNCTION("IFNA(vlookup(H7245,IMPORTRANGE(""1vUGwO1n0QQGx9kKbO0_M5gmuhXZ6-LaxQxgrmJnzgP0"",""'TP# look up'!A:C""),3,0),"""")"),"")</f>
        <v/>
      </c>
      <c r="AH7245" s="49">
        <f>LEFT(J7245,2)</f>
        <v/>
      </c>
    </row>
    <row r="7246" ht="12.75" customHeight="1">
      <c r="H7246" s="43" t="n"/>
      <c r="AG7246" s="49">
        <f>IFERROR(__xludf.DUMMYFUNCTION("IFNA(vlookup(H7246,IMPORTRANGE(""1vUGwO1n0QQGx9kKbO0_M5gmuhXZ6-LaxQxgrmJnzgP0"",""'TP# look up'!A:C""),3,0),"""")"),"")</f>
        <v/>
      </c>
      <c r="AH7246" s="49">
        <f>LEFT(J7246,2)</f>
        <v/>
      </c>
    </row>
    <row r="7247" ht="12.75" customHeight="1">
      <c r="H7247" s="43" t="n"/>
      <c r="AG7247" s="49">
        <f>IFERROR(__xludf.DUMMYFUNCTION("IFNA(vlookup(H7247,IMPORTRANGE(""1vUGwO1n0QQGx9kKbO0_M5gmuhXZ6-LaxQxgrmJnzgP0"",""'TP# look up'!A:C""),3,0),"""")"),"")</f>
        <v/>
      </c>
      <c r="AH7247" s="49">
        <f>LEFT(J7247,2)</f>
        <v/>
      </c>
    </row>
    <row r="7248" ht="12.75" customHeight="1">
      <c r="H7248" s="43" t="n"/>
      <c r="AG7248" s="49">
        <f>IFERROR(__xludf.DUMMYFUNCTION("IFNA(vlookup(H7248,IMPORTRANGE(""1vUGwO1n0QQGx9kKbO0_M5gmuhXZ6-LaxQxgrmJnzgP0"",""'TP# look up'!A:C""),3,0),"""")"),"")</f>
        <v/>
      </c>
      <c r="AH7248" s="49">
        <f>LEFT(J7248,2)</f>
        <v/>
      </c>
    </row>
    <row r="7249" ht="12.75" customHeight="1">
      <c r="H7249" s="43" t="n"/>
      <c r="AG7249" s="49">
        <f>IFERROR(__xludf.DUMMYFUNCTION("IFNA(vlookup(H7249,IMPORTRANGE(""1vUGwO1n0QQGx9kKbO0_M5gmuhXZ6-LaxQxgrmJnzgP0"",""'TP# look up'!A:C""),3,0),"""")"),"")</f>
        <v/>
      </c>
      <c r="AH7249" s="49">
        <f>LEFT(J7249,2)</f>
        <v/>
      </c>
    </row>
    <row r="7250" ht="12.75" customHeight="1">
      <c r="H7250" s="43" t="n"/>
      <c r="AG7250" s="49">
        <f>IFERROR(__xludf.DUMMYFUNCTION("IFNA(vlookup(H7250,IMPORTRANGE(""1vUGwO1n0QQGx9kKbO0_M5gmuhXZ6-LaxQxgrmJnzgP0"",""'TP# look up'!A:C""),3,0),"""")"),"")</f>
        <v/>
      </c>
      <c r="AH7250" s="49">
        <f>LEFT(J7250,2)</f>
        <v/>
      </c>
    </row>
    <row r="7251" ht="12.75" customHeight="1">
      <c r="H7251" s="43" t="n"/>
      <c r="AG7251" s="49">
        <f>IFERROR(__xludf.DUMMYFUNCTION("IFNA(vlookup(H7251,IMPORTRANGE(""1vUGwO1n0QQGx9kKbO0_M5gmuhXZ6-LaxQxgrmJnzgP0"",""'TP# look up'!A:C""),3,0),"""")"),"")</f>
        <v/>
      </c>
      <c r="AH7251" s="49">
        <f>LEFT(J7251,2)</f>
        <v/>
      </c>
    </row>
    <row r="7252" ht="12.75" customHeight="1">
      <c r="H7252" s="43" t="n"/>
      <c r="AG7252" s="49">
        <f>IFERROR(__xludf.DUMMYFUNCTION("IFNA(vlookup(H7252,IMPORTRANGE(""1vUGwO1n0QQGx9kKbO0_M5gmuhXZ6-LaxQxgrmJnzgP0"",""'TP# look up'!A:C""),3,0),"""")"),"")</f>
        <v/>
      </c>
      <c r="AH7252" s="49">
        <f>LEFT(J7252,2)</f>
        <v/>
      </c>
    </row>
    <row r="7253" ht="12.75" customHeight="1">
      <c r="H7253" s="43" t="n"/>
      <c r="AG7253" s="49">
        <f>IFERROR(__xludf.DUMMYFUNCTION("IFNA(vlookup(H7253,IMPORTRANGE(""1vUGwO1n0QQGx9kKbO0_M5gmuhXZ6-LaxQxgrmJnzgP0"",""'TP# look up'!A:C""),3,0),"""")"),"")</f>
        <v/>
      </c>
      <c r="AH7253" s="49">
        <f>LEFT(J7253,2)</f>
        <v/>
      </c>
    </row>
    <row r="7254" ht="12.75" customHeight="1">
      <c r="H7254" s="43" t="n"/>
      <c r="AG7254" s="49">
        <f>IFERROR(__xludf.DUMMYFUNCTION("IFNA(vlookup(H7254,IMPORTRANGE(""1vUGwO1n0QQGx9kKbO0_M5gmuhXZ6-LaxQxgrmJnzgP0"",""'TP# look up'!A:C""),3,0),"""")"),"")</f>
        <v/>
      </c>
      <c r="AH7254" s="49">
        <f>LEFT(J7254,2)</f>
        <v/>
      </c>
    </row>
    <row r="7255" ht="12.75" customHeight="1">
      <c r="H7255" s="43" t="n"/>
      <c r="AG7255" s="49">
        <f>IFERROR(__xludf.DUMMYFUNCTION("IFNA(vlookup(H7255,IMPORTRANGE(""1vUGwO1n0QQGx9kKbO0_M5gmuhXZ6-LaxQxgrmJnzgP0"",""'TP# look up'!A:C""),3,0),"""")"),"")</f>
        <v/>
      </c>
      <c r="AH7255" s="49">
        <f>LEFT(J7255,2)</f>
        <v/>
      </c>
    </row>
    <row r="7256" ht="12.75" customHeight="1">
      <c r="H7256" s="43" t="n"/>
      <c r="AG7256" s="49">
        <f>IFERROR(__xludf.DUMMYFUNCTION("IFNA(vlookup(H7256,IMPORTRANGE(""1vUGwO1n0QQGx9kKbO0_M5gmuhXZ6-LaxQxgrmJnzgP0"",""'TP# look up'!A:C""),3,0),"""")"),"")</f>
        <v/>
      </c>
      <c r="AH7256" s="49">
        <f>LEFT(J7256,2)</f>
        <v/>
      </c>
    </row>
    <row r="7257" ht="12.75" customHeight="1">
      <c r="H7257" s="43" t="n"/>
      <c r="AG7257" s="49">
        <f>IFERROR(__xludf.DUMMYFUNCTION("IFNA(vlookup(H7257,IMPORTRANGE(""1vUGwO1n0QQGx9kKbO0_M5gmuhXZ6-LaxQxgrmJnzgP0"",""'TP# look up'!A:C""),3,0),"""")"),"")</f>
        <v/>
      </c>
      <c r="AH7257" s="49">
        <f>LEFT(J7257,2)</f>
        <v/>
      </c>
    </row>
    <row r="7258" ht="12.75" customHeight="1">
      <c r="H7258" s="43" t="n"/>
      <c r="AG7258" s="49">
        <f>IFERROR(__xludf.DUMMYFUNCTION("IFNA(vlookup(H7258,IMPORTRANGE(""1vUGwO1n0QQGx9kKbO0_M5gmuhXZ6-LaxQxgrmJnzgP0"",""'TP# look up'!A:C""),3,0),"""")"),"")</f>
        <v/>
      </c>
      <c r="AH7258" s="49">
        <f>LEFT(J7258,2)</f>
        <v/>
      </c>
    </row>
    <row r="7259" ht="12.75" customHeight="1">
      <c r="H7259" s="43" t="n"/>
      <c r="AG7259" s="49">
        <f>IFERROR(__xludf.DUMMYFUNCTION("IFNA(vlookup(H7259,IMPORTRANGE(""1vUGwO1n0QQGx9kKbO0_M5gmuhXZ6-LaxQxgrmJnzgP0"",""'TP# look up'!A:C""),3,0),"""")"),"")</f>
        <v/>
      </c>
      <c r="AH7259" s="49">
        <f>LEFT(J7259,2)</f>
        <v/>
      </c>
    </row>
    <row r="7260" ht="12.75" customHeight="1">
      <c r="H7260" s="43" t="n"/>
      <c r="AG7260" s="49">
        <f>IFERROR(__xludf.DUMMYFUNCTION("IFNA(vlookup(H7260,IMPORTRANGE(""1vUGwO1n0QQGx9kKbO0_M5gmuhXZ6-LaxQxgrmJnzgP0"",""'TP# look up'!A:C""),3,0),"""")"),"")</f>
        <v/>
      </c>
      <c r="AH7260" s="49">
        <f>LEFT(J7260,2)</f>
        <v/>
      </c>
    </row>
    <row r="7261" ht="12.75" customHeight="1">
      <c r="H7261" s="43" t="n"/>
      <c r="AG7261" s="49">
        <f>IFERROR(__xludf.DUMMYFUNCTION("IFNA(vlookup(H7261,IMPORTRANGE(""1vUGwO1n0QQGx9kKbO0_M5gmuhXZ6-LaxQxgrmJnzgP0"",""'TP# look up'!A:C""),3,0),"""")"),"")</f>
        <v/>
      </c>
      <c r="AH7261" s="49">
        <f>LEFT(J7261,2)</f>
        <v/>
      </c>
    </row>
    <row r="7262" ht="12.75" customHeight="1">
      <c r="H7262" s="43" t="n"/>
      <c r="AG7262" s="49">
        <f>IFERROR(__xludf.DUMMYFUNCTION("IFNA(vlookup(H7262,IMPORTRANGE(""1vUGwO1n0QQGx9kKbO0_M5gmuhXZ6-LaxQxgrmJnzgP0"",""'TP# look up'!A:C""),3,0),"""")"),"")</f>
        <v/>
      </c>
      <c r="AH7262" s="49">
        <f>LEFT(J7262,2)</f>
        <v/>
      </c>
    </row>
    <row r="7263" ht="12.75" customHeight="1">
      <c r="H7263" s="43" t="n"/>
      <c r="AG7263" s="49">
        <f>IFERROR(__xludf.DUMMYFUNCTION("IFNA(vlookup(H7263,IMPORTRANGE(""1vUGwO1n0QQGx9kKbO0_M5gmuhXZ6-LaxQxgrmJnzgP0"",""'TP# look up'!A:C""),3,0),"""")"),"")</f>
        <v/>
      </c>
      <c r="AH7263" s="49">
        <f>LEFT(J7263,2)</f>
        <v/>
      </c>
    </row>
    <row r="7264" ht="12.75" customHeight="1">
      <c r="H7264" s="43" t="n"/>
      <c r="AG7264" s="49">
        <f>IFERROR(__xludf.DUMMYFUNCTION("IFNA(vlookup(H7264,IMPORTRANGE(""1vUGwO1n0QQGx9kKbO0_M5gmuhXZ6-LaxQxgrmJnzgP0"",""'TP# look up'!A:C""),3,0),"""")"),"")</f>
        <v/>
      </c>
      <c r="AH7264" s="49">
        <f>LEFT(J7264,2)</f>
        <v/>
      </c>
    </row>
    <row r="7265" ht="12.75" customHeight="1">
      <c r="H7265" s="43" t="n"/>
      <c r="AG7265" s="49">
        <f>IFERROR(__xludf.DUMMYFUNCTION("IFNA(vlookup(H7265,IMPORTRANGE(""1vUGwO1n0QQGx9kKbO0_M5gmuhXZ6-LaxQxgrmJnzgP0"",""'TP# look up'!A:C""),3,0),"""")"),"")</f>
        <v/>
      </c>
      <c r="AH7265" s="49">
        <f>LEFT(J7265,2)</f>
        <v/>
      </c>
    </row>
    <row r="7266" ht="12.75" customHeight="1">
      <c r="H7266" s="43" t="n"/>
      <c r="AG7266" s="49">
        <f>IFERROR(__xludf.DUMMYFUNCTION("IFNA(vlookup(H7266,IMPORTRANGE(""1vUGwO1n0QQGx9kKbO0_M5gmuhXZ6-LaxQxgrmJnzgP0"",""'TP# look up'!A:C""),3,0),"""")"),"")</f>
        <v/>
      </c>
      <c r="AH7266" s="49">
        <f>LEFT(J7266,2)</f>
        <v/>
      </c>
    </row>
    <row r="7267" ht="12.75" customHeight="1">
      <c r="H7267" s="43" t="n"/>
      <c r="AG7267" s="49">
        <f>IFERROR(__xludf.DUMMYFUNCTION("IFNA(vlookup(H7267,IMPORTRANGE(""1vUGwO1n0QQGx9kKbO0_M5gmuhXZ6-LaxQxgrmJnzgP0"",""'TP# look up'!A:C""),3,0),"""")"),"")</f>
        <v/>
      </c>
      <c r="AH7267" s="49">
        <f>LEFT(J7267,2)</f>
        <v/>
      </c>
    </row>
    <row r="7268" ht="12.75" customHeight="1">
      <c r="H7268" s="43" t="n"/>
      <c r="AG7268" s="49">
        <f>IFERROR(__xludf.DUMMYFUNCTION("IFNA(vlookup(H7268,IMPORTRANGE(""1vUGwO1n0QQGx9kKbO0_M5gmuhXZ6-LaxQxgrmJnzgP0"",""'TP# look up'!A:C""),3,0),"""")"),"")</f>
        <v/>
      </c>
      <c r="AH7268" s="49">
        <f>LEFT(J7268,2)</f>
        <v/>
      </c>
    </row>
    <row r="7269" ht="12.75" customHeight="1">
      <c r="H7269" s="43" t="n"/>
      <c r="AG7269" s="49">
        <f>IFERROR(__xludf.DUMMYFUNCTION("IFNA(vlookup(H7269,IMPORTRANGE(""1vUGwO1n0QQGx9kKbO0_M5gmuhXZ6-LaxQxgrmJnzgP0"",""'TP# look up'!A:C""),3,0),"""")"),"")</f>
        <v/>
      </c>
      <c r="AH7269" s="49">
        <f>LEFT(J7269,2)</f>
        <v/>
      </c>
    </row>
    <row r="7270" ht="12.75" customHeight="1">
      <c r="H7270" s="43" t="n"/>
      <c r="AG7270" s="49">
        <f>IFERROR(__xludf.DUMMYFUNCTION("IFNA(vlookup(H7270,IMPORTRANGE(""1vUGwO1n0QQGx9kKbO0_M5gmuhXZ6-LaxQxgrmJnzgP0"",""'TP# look up'!A:C""),3,0),"""")"),"")</f>
        <v/>
      </c>
      <c r="AH7270" s="49">
        <f>LEFT(J7270,2)</f>
        <v/>
      </c>
    </row>
    <row r="7271" ht="12.75" customHeight="1">
      <c r="H7271" s="43" t="n"/>
      <c r="AG7271" s="49">
        <f>IFERROR(__xludf.DUMMYFUNCTION("IFNA(vlookup(H7271,IMPORTRANGE(""1vUGwO1n0QQGx9kKbO0_M5gmuhXZ6-LaxQxgrmJnzgP0"",""'TP# look up'!A:C""),3,0),"""")"),"")</f>
        <v/>
      </c>
      <c r="AH7271" s="49">
        <f>LEFT(J7271,2)</f>
        <v/>
      </c>
    </row>
    <row r="7272" ht="12.75" customHeight="1">
      <c r="H7272" s="43" t="n"/>
      <c r="AG7272" s="49">
        <f>IFERROR(__xludf.DUMMYFUNCTION("IFNA(vlookup(H7272,IMPORTRANGE(""1vUGwO1n0QQGx9kKbO0_M5gmuhXZ6-LaxQxgrmJnzgP0"",""'TP# look up'!A:C""),3,0),"""")"),"")</f>
        <v/>
      </c>
      <c r="AH7272" s="49">
        <f>LEFT(J7272,2)</f>
        <v/>
      </c>
    </row>
    <row r="7273" ht="12.75" customHeight="1">
      <c r="H7273" s="43" t="n"/>
      <c r="AG7273" s="49">
        <f>IFERROR(__xludf.DUMMYFUNCTION("IFNA(vlookup(H7273,IMPORTRANGE(""1vUGwO1n0QQGx9kKbO0_M5gmuhXZ6-LaxQxgrmJnzgP0"",""'TP# look up'!A:C""),3,0),"""")"),"")</f>
        <v/>
      </c>
      <c r="AH7273" s="49">
        <f>LEFT(J7273,2)</f>
        <v/>
      </c>
    </row>
    <row r="7274" ht="12.75" customHeight="1">
      <c r="H7274" s="43" t="n"/>
      <c r="AG7274" s="49">
        <f>IFERROR(__xludf.DUMMYFUNCTION("IFNA(vlookup(H7274,IMPORTRANGE(""1vUGwO1n0QQGx9kKbO0_M5gmuhXZ6-LaxQxgrmJnzgP0"",""'TP# look up'!A:C""),3,0),"""")"),"")</f>
        <v/>
      </c>
      <c r="AH7274" s="49">
        <f>LEFT(J7274,2)</f>
        <v/>
      </c>
    </row>
    <row r="7275" ht="12.75" customHeight="1">
      <c r="H7275" s="43" t="n"/>
      <c r="AG7275" s="49">
        <f>IFERROR(__xludf.DUMMYFUNCTION("IFNA(vlookup(H7275,IMPORTRANGE(""1vUGwO1n0QQGx9kKbO0_M5gmuhXZ6-LaxQxgrmJnzgP0"",""'TP# look up'!A:C""),3,0),"""")"),"")</f>
        <v/>
      </c>
      <c r="AH7275" s="49">
        <f>LEFT(J7275,2)</f>
        <v/>
      </c>
    </row>
    <row r="7276" ht="12.75" customHeight="1">
      <c r="H7276" s="43" t="n"/>
      <c r="AG7276" s="49">
        <f>IFERROR(__xludf.DUMMYFUNCTION("IFNA(vlookup(H7276,IMPORTRANGE(""1vUGwO1n0QQGx9kKbO0_M5gmuhXZ6-LaxQxgrmJnzgP0"",""'TP# look up'!A:C""),3,0),"""")"),"")</f>
        <v/>
      </c>
      <c r="AH7276" s="49">
        <f>LEFT(J7276,2)</f>
        <v/>
      </c>
    </row>
    <row r="7277" ht="12.75" customHeight="1">
      <c r="H7277" s="43" t="n"/>
      <c r="AG7277" s="49">
        <f>IFERROR(__xludf.DUMMYFUNCTION("IFNA(vlookup(H7277,IMPORTRANGE(""1vUGwO1n0QQGx9kKbO0_M5gmuhXZ6-LaxQxgrmJnzgP0"",""'TP# look up'!A:C""),3,0),"""")"),"")</f>
        <v/>
      </c>
      <c r="AH7277" s="49">
        <f>LEFT(J7277,2)</f>
        <v/>
      </c>
    </row>
    <row r="7278" ht="12.75" customHeight="1">
      <c r="H7278" s="43" t="n"/>
      <c r="AG7278" s="49">
        <f>IFERROR(__xludf.DUMMYFUNCTION("IFNA(vlookup(H7278,IMPORTRANGE(""1vUGwO1n0QQGx9kKbO0_M5gmuhXZ6-LaxQxgrmJnzgP0"",""'TP# look up'!A:C""),3,0),"""")"),"")</f>
        <v/>
      </c>
      <c r="AH7278" s="49">
        <f>LEFT(J7278,2)</f>
        <v/>
      </c>
    </row>
    <row r="7279" ht="12.75" customHeight="1">
      <c r="H7279" s="43" t="n"/>
      <c r="AG7279" s="49">
        <f>IFERROR(__xludf.DUMMYFUNCTION("IFNA(vlookup(H7279,IMPORTRANGE(""1vUGwO1n0QQGx9kKbO0_M5gmuhXZ6-LaxQxgrmJnzgP0"",""'TP# look up'!A:C""),3,0),"""")"),"")</f>
        <v/>
      </c>
      <c r="AH7279" s="49">
        <f>LEFT(J7279,2)</f>
        <v/>
      </c>
    </row>
    <row r="7280" ht="12.75" customHeight="1">
      <c r="H7280" s="43" t="n"/>
      <c r="AG7280" s="49">
        <f>IFERROR(__xludf.DUMMYFUNCTION("IFNA(vlookup(H7280,IMPORTRANGE(""1vUGwO1n0QQGx9kKbO0_M5gmuhXZ6-LaxQxgrmJnzgP0"",""'TP# look up'!A:C""),3,0),"""")"),"")</f>
        <v/>
      </c>
      <c r="AH7280" s="49">
        <f>LEFT(J7280,2)</f>
        <v/>
      </c>
    </row>
    <row r="7281" ht="12.75" customHeight="1">
      <c r="H7281" s="43" t="n"/>
      <c r="AG7281" s="49">
        <f>IFERROR(__xludf.DUMMYFUNCTION("IFNA(vlookup(H7281,IMPORTRANGE(""1vUGwO1n0QQGx9kKbO0_M5gmuhXZ6-LaxQxgrmJnzgP0"",""'TP# look up'!A:C""),3,0),"""")"),"")</f>
        <v/>
      </c>
      <c r="AH7281" s="49">
        <f>LEFT(J7281,2)</f>
        <v/>
      </c>
    </row>
    <row r="7282" ht="12.75" customHeight="1">
      <c r="H7282" s="43" t="n"/>
      <c r="AG7282" s="49">
        <f>IFERROR(__xludf.DUMMYFUNCTION("IFNA(vlookup(H7282,IMPORTRANGE(""1vUGwO1n0QQGx9kKbO0_M5gmuhXZ6-LaxQxgrmJnzgP0"",""'TP# look up'!A:C""),3,0),"""")"),"")</f>
        <v/>
      </c>
      <c r="AH7282" s="49">
        <f>LEFT(J7282,2)</f>
        <v/>
      </c>
    </row>
    <row r="7283" ht="12.75" customHeight="1">
      <c r="H7283" s="43" t="n"/>
      <c r="AG7283" s="49">
        <f>IFERROR(__xludf.DUMMYFUNCTION("IFNA(vlookup(H7283,IMPORTRANGE(""1vUGwO1n0QQGx9kKbO0_M5gmuhXZ6-LaxQxgrmJnzgP0"",""'TP# look up'!A:C""),3,0),"""")"),"")</f>
        <v/>
      </c>
      <c r="AH7283" s="49">
        <f>LEFT(J7283,2)</f>
        <v/>
      </c>
    </row>
    <row r="7284" ht="12.75" customHeight="1">
      <c r="H7284" s="43" t="n"/>
      <c r="AG7284" s="49">
        <f>IFERROR(__xludf.DUMMYFUNCTION("IFNA(vlookup(H7284,IMPORTRANGE(""1vUGwO1n0QQGx9kKbO0_M5gmuhXZ6-LaxQxgrmJnzgP0"",""'TP# look up'!A:C""),3,0),"""")"),"")</f>
        <v/>
      </c>
      <c r="AH7284" s="49">
        <f>LEFT(J7284,2)</f>
        <v/>
      </c>
    </row>
    <row r="7285" ht="12.75" customHeight="1">
      <c r="H7285" s="43" t="n"/>
      <c r="AG7285" s="49">
        <f>IFERROR(__xludf.DUMMYFUNCTION("IFNA(vlookup(H7285,IMPORTRANGE(""1vUGwO1n0QQGx9kKbO0_M5gmuhXZ6-LaxQxgrmJnzgP0"",""'TP# look up'!A:C""),3,0),"""")"),"")</f>
        <v/>
      </c>
      <c r="AH7285" s="49">
        <f>LEFT(J7285,2)</f>
        <v/>
      </c>
    </row>
    <row r="7286" ht="12.75" customHeight="1">
      <c r="H7286" s="43" t="n"/>
      <c r="AG7286" s="49">
        <f>IFERROR(__xludf.DUMMYFUNCTION("IFNA(vlookup(H7286,IMPORTRANGE(""1vUGwO1n0QQGx9kKbO0_M5gmuhXZ6-LaxQxgrmJnzgP0"",""'TP# look up'!A:C""),3,0),"""")"),"")</f>
        <v/>
      </c>
      <c r="AH7286" s="49">
        <f>LEFT(J7286,2)</f>
        <v/>
      </c>
    </row>
    <row r="7287" ht="12.75" customHeight="1">
      <c r="H7287" s="43" t="n"/>
      <c r="AG7287" s="49">
        <f>IFERROR(__xludf.DUMMYFUNCTION("IFNA(vlookup(H7287,IMPORTRANGE(""1vUGwO1n0QQGx9kKbO0_M5gmuhXZ6-LaxQxgrmJnzgP0"",""'TP# look up'!A:C""),3,0),"""")"),"")</f>
        <v/>
      </c>
      <c r="AH7287" s="49">
        <f>LEFT(J7287,2)</f>
        <v/>
      </c>
    </row>
    <row r="7288" ht="12.75" customHeight="1">
      <c r="H7288" s="43" t="n"/>
      <c r="AG7288" s="49">
        <f>IFERROR(__xludf.DUMMYFUNCTION("IFNA(vlookup(H7288,IMPORTRANGE(""1vUGwO1n0QQGx9kKbO0_M5gmuhXZ6-LaxQxgrmJnzgP0"",""'TP# look up'!A:C""),3,0),"""")"),"")</f>
        <v/>
      </c>
      <c r="AH7288" s="49">
        <f>LEFT(J7288,2)</f>
        <v/>
      </c>
    </row>
    <row r="7289" ht="12.75" customHeight="1">
      <c r="H7289" s="43" t="n"/>
      <c r="AG7289" s="49">
        <f>IFERROR(__xludf.DUMMYFUNCTION("IFNA(vlookup(H7289,IMPORTRANGE(""1vUGwO1n0QQGx9kKbO0_M5gmuhXZ6-LaxQxgrmJnzgP0"",""'TP# look up'!A:C""),3,0),"""")"),"")</f>
        <v/>
      </c>
      <c r="AH7289" s="49">
        <f>LEFT(J7289,2)</f>
        <v/>
      </c>
    </row>
    <row r="7290" ht="12.75" customHeight="1">
      <c r="H7290" s="43" t="n"/>
      <c r="AG7290" s="49">
        <f>IFERROR(__xludf.DUMMYFUNCTION("IFNA(vlookup(H7290,IMPORTRANGE(""1vUGwO1n0QQGx9kKbO0_M5gmuhXZ6-LaxQxgrmJnzgP0"",""'TP# look up'!A:C""),3,0),"""")"),"")</f>
        <v/>
      </c>
      <c r="AH7290" s="49">
        <f>LEFT(J7290,2)</f>
        <v/>
      </c>
    </row>
    <row r="7291" ht="12.75" customHeight="1">
      <c r="H7291" s="43" t="n"/>
      <c r="AG7291" s="49">
        <f>IFERROR(__xludf.DUMMYFUNCTION("IFNA(vlookup(H7291,IMPORTRANGE(""1vUGwO1n0QQGx9kKbO0_M5gmuhXZ6-LaxQxgrmJnzgP0"",""'TP# look up'!A:C""),3,0),"""")"),"")</f>
        <v/>
      </c>
      <c r="AH7291" s="49">
        <f>LEFT(J7291,2)</f>
        <v/>
      </c>
    </row>
    <row r="7292" ht="12.75" customHeight="1">
      <c r="H7292" s="43" t="n"/>
      <c r="AG7292" s="49">
        <f>IFERROR(__xludf.DUMMYFUNCTION("IFNA(vlookup(H7292,IMPORTRANGE(""1vUGwO1n0QQGx9kKbO0_M5gmuhXZ6-LaxQxgrmJnzgP0"",""'TP# look up'!A:C""),3,0),"""")"),"")</f>
        <v/>
      </c>
      <c r="AH7292" s="49">
        <f>LEFT(J7292,2)</f>
        <v/>
      </c>
    </row>
    <row r="7293" ht="12.75" customHeight="1">
      <c r="H7293" s="43" t="n"/>
      <c r="AG7293" s="49">
        <f>IFERROR(__xludf.DUMMYFUNCTION("IFNA(vlookup(H7293,IMPORTRANGE(""1vUGwO1n0QQGx9kKbO0_M5gmuhXZ6-LaxQxgrmJnzgP0"",""'TP# look up'!A:C""),3,0),"""")"),"")</f>
        <v/>
      </c>
      <c r="AH7293" s="49">
        <f>LEFT(J7293,2)</f>
        <v/>
      </c>
    </row>
    <row r="7294" ht="12.75" customHeight="1">
      <c r="H7294" s="43" t="n"/>
      <c r="AG7294" s="49">
        <f>IFERROR(__xludf.DUMMYFUNCTION("IFNA(vlookup(H7294,IMPORTRANGE(""1vUGwO1n0QQGx9kKbO0_M5gmuhXZ6-LaxQxgrmJnzgP0"",""'TP# look up'!A:C""),3,0),"""")"),"")</f>
        <v/>
      </c>
      <c r="AH7294" s="49">
        <f>LEFT(J7294,2)</f>
        <v/>
      </c>
    </row>
    <row r="7295" ht="12.75" customHeight="1">
      <c r="H7295" s="43" t="n"/>
      <c r="AG7295" s="49">
        <f>IFERROR(__xludf.DUMMYFUNCTION("IFNA(vlookup(H7295,IMPORTRANGE(""1vUGwO1n0QQGx9kKbO0_M5gmuhXZ6-LaxQxgrmJnzgP0"",""'TP# look up'!A:C""),3,0),"""")"),"")</f>
        <v/>
      </c>
      <c r="AH7295" s="49">
        <f>LEFT(J7295,2)</f>
        <v/>
      </c>
    </row>
    <row r="7296" ht="12.75" customHeight="1">
      <c r="H7296" s="43" t="n"/>
      <c r="AG7296" s="49">
        <f>IFERROR(__xludf.DUMMYFUNCTION("IFNA(vlookup(H7296,IMPORTRANGE(""1vUGwO1n0QQGx9kKbO0_M5gmuhXZ6-LaxQxgrmJnzgP0"",""'TP# look up'!A:C""),3,0),"""")"),"")</f>
        <v/>
      </c>
      <c r="AH7296" s="49">
        <f>LEFT(J7296,2)</f>
        <v/>
      </c>
    </row>
    <row r="7297" ht="12.75" customHeight="1">
      <c r="H7297" s="43" t="n"/>
      <c r="AG7297" s="49">
        <f>IFERROR(__xludf.DUMMYFUNCTION("IFNA(vlookup(H7297,IMPORTRANGE(""1vUGwO1n0QQGx9kKbO0_M5gmuhXZ6-LaxQxgrmJnzgP0"",""'TP# look up'!A:C""),3,0),"""")"),"")</f>
        <v/>
      </c>
      <c r="AH7297" s="49">
        <f>LEFT(J7297,2)</f>
        <v/>
      </c>
    </row>
    <row r="7298" ht="12.75" customHeight="1">
      <c r="H7298" s="43" t="n"/>
      <c r="AG7298" s="49">
        <f>IFERROR(__xludf.DUMMYFUNCTION("IFNA(vlookup(H7298,IMPORTRANGE(""1vUGwO1n0QQGx9kKbO0_M5gmuhXZ6-LaxQxgrmJnzgP0"",""'TP# look up'!A:C""),3,0),"""")"),"")</f>
        <v/>
      </c>
      <c r="AH7298" s="49">
        <f>LEFT(J7298,2)</f>
        <v/>
      </c>
    </row>
    <row r="7299" ht="12.75" customHeight="1">
      <c r="H7299" s="43" t="n"/>
      <c r="AG7299" s="49">
        <f>IFERROR(__xludf.DUMMYFUNCTION("IFNA(vlookup(H7299,IMPORTRANGE(""1vUGwO1n0QQGx9kKbO0_M5gmuhXZ6-LaxQxgrmJnzgP0"",""'TP# look up'!A:C""),3,0),"""")"),"")</f>
        <v/>
      </c>
      <c r="AH7299" s="49">
        <f>LEFT(J7299,2)</f>
        <v/>
      </c>
    </row>
    <row r="7300" ht="12.75" customHeight="1">
      <c r="H7300" s="43" t="n"/>
      <c r="AG7300" s="49">
        <f>IFERROR(__xludf.DUMMYFUNCTION("IFNA(vlookup(H7300,IMPORTRANGE(""1vUGwO1n0QQGx9kKbO0_M5gmuhXZ6-LaxQxgrmJnzgP0"",""'TP# look up'!A:C""),3,0),"""")"),"")</f>
        <v/>
      </c>
      <c r="AH7300" s="49">
        <f>LEFT(J7300,2)</f>
        <v/>
      </c>
    </row>
    <row r="7301" ht="12.75" customHeight="1">
      <c r="H7301" s="43" t="n"/>
      <c r="AG7301" s="49">
        <f>IFERROR(__xludf.DUMMYFUNCTION("IFNA(vlookup(H7301,IMPORTRANGE(""1vUGwO1n0QQGx9kKbO0_M5gmuhXZ6-LaxQxgrmJnzgP0"",""'TP# look up'!A:C""),3,0),"""")"),"")</f>
        <v/>
      </c>
      <c r="AH7301" s="49">
        <f>LEFT(J7301,2)</f>
        <v/>
      </c>
    </row>
    <row r="7302" ht="12.75" customHeight="1">
      <c r="H7302" s="43" t="n"/>
      <c r="AG7302" s="49">
        <f>IFERROR(__xludf.DUMMYFUNCTION("IFNA(vlookup(H7302,IMPORTRANGE(""1vUGwO1n0QQGx9kKbO0_M5gmuhXZ6-LaxQxgrmJnzgP0"",""'TP# look up'!A:C""),3,0),"""")"),"")</f>
        <v/>
      </c>
      <c r="AH7302" s="49">
        <f>LEFT(J7302,2)</f>
        <v/>
      </c>
    </row>
    <row r="7303" ht="12.75" customHeight="1">
      <c r="H7303" s="43" t="n"/>
      <c r="AG7303" s="49">
        <f>IFERROR(__xludf.DUMMYFUNCTION("IFNA(vlookup(H7303,IMPORTRANGE(""1vUGwO1n0QQGx9kKbO0_M5gmuhXZ6-LaxQxgrmJnzgP0"",""'TP# look up'!A:C""),3,0),"""")"),"")</f>
        <v/>
      </c>
      <c r="AH7303" s="49">
        <f>LEFT(J7303,2)</f>
        <v/>
      </c>
    </row>
    <row r="7304" ht="12.75" customHeight="1">
      <c r="H7304" s="43" t="n"/>
      <c r="AG7304" s="49">
        <f>IFERROR(__xludf.DUMMYFUNCTION("IFNA(vlookup(H7304,IMPORTRANGE(""1vUGwO1n0QQGx9kKbO0_M5gmuhXZ6-LaxQxgrmJnzgP0"",""'TP# look up'!A:C""),3,0),"""")"),"")</f>
        <v/>
      </c>
      <c r="AH7304" s="49">
        <f>LEFT(J7304,2)</f>
        <v/>
      </c>
    </row>
    <row r="7305" ht="12.75" customHeight="1">
      <c r="H7305" s="43" t="n"/>
      <c r="AG7305" s="49">
        <f>IFERROR(__xludf.DUMMYFUNCTION("IFNA(vlookup(H7305,IMPORTRANGE(""1vUGwO1n0QQGx9kKbO0_M5gmuhXZ6-LaxQxgrmJnzgP0"",""'TP# look up'!A:C""),3,0),"""")"),"")</f>
        <v/>
      </c>
      <c r="AH7305" s="49">
        <f>LEFT(J7305,2)</f>
        <v/>
      </c>
    </row>
    <row r="7306" ht="12.75" customHeight="1">
      <c r="H7306" s="43" t="n"/>
      <c r="AG7306" s="49">
        <f>IFERROR(__xludf.DUMMYFUNCTION("IFNA(vlookup(H7306,IMPORTRANGE(""1vUGwO1n0QQGx9kKbO0_M5gmuhXZ6-LaxQxgrmJnzgP0"",""'TP# look up'!A:C""),3,0),"""")"),"")</f>
        <v/>
      </c>
      <c r="AH7306" s="49">
        <f>LEFT(J7306,2)</f>
        <v/>
      </c>
    </row>
    <row r="7307" ht="12.75" customHeight="1">
      <c r="H7307" s="43" t="n"/>
      <c r="AG7307" s="49">
        <f>IFERROR(__xludf.DUMMYFUNCTION("IFNA(vlookup(H7307,IMPORTRANGE(""1vUGwO1n0QQGx9kKbO0_M5gmuhXZ6-LaxQxgrmJnzgP0"",""'TP# look up'!A:C""),3,0),"""")"),"")</f>
        <v/>
      </c>
      <c r="AH7307" s="49">
        <f>LEFT(J7307,2)</f>
        <v/>
      </c>
    </row>
    <row r="7308" ht="12.75" customHeight="1">
      <c r="H7308" s="43" t="n"/>
      <c r="AG7308" s="49">
        <f>IFERROR(__xludf.DUMMYFUNCTION("IFNA(vlookup(H7308,IMPORTRANGE(""1vUGwO1n0QQGx9kKbO0_M5gmuhXZ6-LaxQxgrmJnzgP0"",""'TP# look up'!A:C""),3,0),"""")"),"")</f>
        <v/>
      </c>
      <c r="AH7308" s="49">
        <f>LEFT(J7308,2)</f>
        <v/>
      </c>
    </row>
    <row r="7309" ht="12.75" customHeight="1">
      <c r="H7309" s="43" t="n"/>
      <c r="AG7309" s="49">
        <f>IFERROR(__xludf.DUMMYFUNCTION("IFNA(vlookup(H7309,IMPORTRANGE(""1vUGwO1n0QQGx9kKbO0_M5gmuhXZ6-LaxQxgrmJnzgP0"",""'TP# look up'!A:C""),3,0),"""")"),"")</f>
        <v/>
      </c>
      <c r="AH7309" s="49">
        <f>LEFT(J7309,2)</f>
        <v/>
      </c>
    </row>
    <row r="7310" ht="12.75" customHeight="1">
      <c r="H7310" s="43" t="n"/>
      <c r="AG7310" s="49">
        <f>IFERROR(__xludf.DUMMYFUNCTION("IFNA(vlookup(H7310,IMPORTRANGE(""1vUGwO1n0QQGx9kKbO0_M5gmuhXZ6-LaxQxgrmJnzgP0"",""'TP# look up'!A:C""),3,0),"""")"),"")</f>
        <v/>
      </c>
      <c r="AH7310" s="49">
        <f>LEFT(J7310,2)</f>
        <v/>
      </c>
    </row>
    <row r="7311" ht="12.75" customHeight="1">
      <c r="H7311" s="43" t="n"/>
      <c r="AG7311" s="49">
        <f>IFERROR(__xludf.DUMMYFUNCTION("IFNA(vlookup(H7311,IMPORTRANGE(""1vUGwO1n0QQGx9kKbO0_M5gmuhXZ6-LaxQxgrmJnzgP0"",""'TP# look up'!A:C""),3,0),"""")"),"")</f>
        <v/>
      </c>
      <c r="AH7311" s="49">
        <f>LEFT(J7311,2)</f>
        <v/>
      </c>
    </row>
    <row r="7312" ht="12.75" customHeight="1">
      <c r="H7312" s="43" t="n"/>
      <c r="AG7312" s="49">
        <f>IFERROR(__xludf.DUMMYFUNCTION("IFNA(vlookup(H7312,IMPORTRANGE(""1vUGwO1n0QQGx9kKbO0_M5gmuhXZ6-LaxQxgrmJnzgP0"",""'TP# look up'!A:C""),3,0),"""")"),"")</f>
        <v/>
      </c>
      <c r="AH7312" s="49">
        <f>LEFT(J7312,2)</f>
        <v/>
      </c>
    </row>
    <row r="7313" ht="12.75" customHeight="1">
      <c r="H7313" s="43" t="n"/>
      <c r="AG7313" s="49">
        <f>IFERROR(__xludf.DUMMYFUNCTION("IFNA(vlookup(H7313,IMPORTRANGE(""1vUGwO1n0QQGx9kKbO0_M5gmuhXZ6-LaxQxgrmJnzgP0"",""'TP# look up'!A:C""),3,0),"""")"),"")</f>
        <v/>
      </c>
      <c r="AH7313" s="49">
        <f>LEFT(J7313,2)</f>
        <v/>
      </c>
    </row>
    <row r="7314" ht="12.75" customHeight="1">
      <c r="H7314" s="43" t="n"/>
      <c r="AG7314" s="49">
        <f>IFERROR(__xludf.DUMMYFUNCTION("IFNA(vlookup(H7314,IMPORTRANGE(""1vUGwO1n0QQGx9kKbO0_M5gmuhXZ6-LaxQxgrmJnzgP0"",""'TP# look up'!A:C""),3,0),"""")"),"")</f>
        <v/>
      </c>
      <c r="AH7314" s="49">
        <f>LEFT(J7314,2)</f>
        <v/>
      </c>
    </row>
    <row r="7315" ht="12.75" customHeight="1">
      <c r="H7315" s="43" t="n"/>
      <c r="AG7315" s="49">
        <f>IFERROR(__xludf.DUMMYFUNCTION("IFNA(vlookup(H7315,IMPORTRANGE(""1vUGwO1n0QQGx9kKbO0_M5gmuhXZ6-LaxQxgrmJnzgP0"",""'TP# look up'!A:C""),3,0),"""")"),"")</f>
        <v/>
      </c>
      <c r="AH7315" s="49">
        <f>LEFT(J7315,2)</f>
        <v/>
      </c>
    </row>
    <row r="7316" ht="12.75" customHeight="1">
      <c r="H7316" s="43" t="n"/>
      <c r="AG7316" s="49">
        <f>IFERROR(__xludf.DUMMYFUNCTION("IFNA(vlookup(H7316,IMPORTRANGE(""1vUGwO1n0QQGx9kKbO0_M5gmuhXZ6-LaxQxgrmJnzgP0"",""'TP# look up'!A:C""),3,0),"""")"),"")</f>
        <v/>
      </c>
      <c r="AH7316" s="49">
        <f>LEFT(J7316,2)</f>
        <v/>
      </c>
    </row>
    <row r="7317" ht="12.75" customHeight="1">
      <c r="H7317" s="43" t="n"/>
      <c r="AG7317" s="49">
        <f>IFERROR(__xludf.DUMMYFUNCTION("IFNA(vlookup(H7317,IMPORTRANGE(""1vUGwO1n0QQGx9kKbO0_M5gmuhXZ6-LaxQxgrmJnzgP0"",""'TP# look up'!A:C""),3,0),"""")"),"")</f>
        <v/>
      </c>
      <c r="AH7317" s="49">
        <f>LEFT(J7317,2)</f>
        <v/>
      </c>
    </row>
    <row r="7318" ht="12.75" customHeight="1">
      <c r="H7318" s="43" t="n"/>
      <c r="AG7318" s="49">
        <f>IFERROR(__xludf.DUMMYFUNCTION("IFNA(vlookup(H7318,IMPORTRANGE(""1vUGwO1n0QQGx9kKbO0_M5gmuhXZ6-LaxQxgrmJnzgP0"",""'TP# look up'!A:C""),3,0),"""")"),"")</f>
        <v/>
      </c>
      <c r="AH7318" s="49">
        <f>LEFT(J7318,2)</f>
        <v/>
      </c>
    </row>
    <row r="7319" ht="12.75" customHeight="1">
      <c r="H7319" s="43" t="n"/>
      <c r="AG7319" s="49">
        <f>IFERROR(__xludf.DUMMYFUNCTION("IFNA(vlookup(H7319,IMPORTRANGE(""1vUGwO1n0QQGx9kKbO0_M5gmuhXZ6-LaxQxgrmJnzgP0"",""'TP# look up'!A:C""),3,0),"""")"),"")</f>
        <v/>
      </c>
      <c r="AH7319" s="49">
        <f>LEFT(J7319,2)</f>
        <v/>
      </c>
    </row>
    <row r="7320" ht="12.75" customHeight="1">
      <c r="H7320" s="43" t="n"/>
      <c r="AG7320" s="49">
        <f>IFERROR(__xludf.DUMMYFUNCTION("IFNA(vlookup(H7320,IMPORTRANGE(""1vUGwO1n0QQGx9kKbO0_M5gmuhXZ6-LaxQxgrmJnzgP0"",""'TP# look up'!A:C""),3,0),"""")"),"")</f>
        <v/>
      </c>
      <c r="AH7320" s="49">
        <f>LEFT(J7320,2)</f>
        <v/>
      </c>
    </row>
    <row r="7321" ht="12.75" customHeight="1">
      <c r="H7321" s="43" t="n"/>
      <c r="AG7321" s="49">
        <f>IFERROR(__xludf.DUMMYFUNCTION("IFNA(vlookup(H7321,IMPORTRANGE(""1vUGwO1n0QQGx9kKbO0_M5gmuhXZ6-LaxQxgrmJnzgP0"",""'TP# look up'!A:C""),3,0),"""")"),"")</f>
        <v/>
      </c>
      <c r="AH7321" s="49">
        <f>LEFT(J7321,2)</f>
        <v/>
      </c>
    </row>
    <row r="7322" ht="12.75" customHeight="1">
      <c r="H7322" s="43" t="n"/>
      <c r="AG7322" s="49">
        <f>IFERROR(__xludf.DUMMYFUNCTION("IFNA(vlookup(H7322,IMPORTRANGE(""1vUGwO1n0QQGx9kKbO0_M5gmuhXZ6-LaxQxgrmJnzgP0"",""'TP# look up'!A:C""),3,0),"""")"),"")</f>
        <v/>
      </c>
      <c r="AH7322" s="49">
        <f>LEFT(J7322,2)</f>
        <v/>
      </c>
    </row>
    <row r="7323" ht="12.75" customHeight="1">
      <c r="H7323" s="43" t="n"/>
      <c r="AG7323" s="49">
        <f>IFERROR(__xludf.DUMMYFUNCTION("IFNA(vlookup(H7323,IMPORTRANGE(""1vUGwO1n0QQGx9kKbO0_M5gmuhXZ6-LaxQxgrmJnzgP0"",""'TP# look up'!A:C""),3,0),"""")"),"")</f>
        <v/>
      </c>
      <c r="AH7323" s="49">
        <f>LEFT(J7323,2)</f>
        <v/>
      </c>
    </row>
    <row r="7324" ht="12.75" customHeight="1">
      <c r="H7324" s="43" t="n"/>
      <c r="AG7324" s="49">
        <f>IFERROR(__xludf.DUMMYFUNCTION("IFNA(vlookup(H7324,IMPORTRANGE(""1vUGwO1n0QQGx9kKbO0_M5gmuhXZ6-LaxQxgrmJnzgP0"",""'TP# look up'!A:C""),3,0),"""")"),"")</f>
        <v/>
      </c>
      <c r="AH7324" s="49">
        <f>LEFT(J7324,2)</f>
        <v/>
      </c>
    </row>
    <row r="7325" ht="12.75" customHeight="1">
      <c r="H7325" s="43" t="n"/>
      <c r="AG7325" s="49">
        <f>IFERROR(__xludf.DUMMYFUNCTION("IFNA(vlookup(H7325,IMPORTRANGE(""1vUGwO1n0QQGx9kKbO0_M5gmuhXZ6-LaxQxgrmJnzgP0"",""'TP# look up'!A:C""),3,0),"""")"),"")</f>
        <v/>
      </c>
      <c r="AH7325" s="49">
        <f>LEFT(J7325,2)</f>
        <v/>
      </c>
    </row>
    <row r="7326" ht="12.75" customHeight="1">
      <c r="H7326" s="43" t="n"/>
      <c r="AG7326" s="49">
        <f>IFERROR(__xludf.DUMMYFUNCTION("IFNA(vlookup(H7326,IMPORTRANGE(""1vUGwO1n0QQGx9kKbO0_M5gmuhXZ6-LaxQxgrmJnzgP0"",""'TP# look up'!A:C""),3,0),"""")"),"")</f>
        <v/>
      </c>
      <c r="AH7326" s="49">
        <f>LEFT(J7326,2)</f>
        <v/>
      </c>
    </row>
    <row r="7327" ht="12.75" customHeight="1">
      <c r="H7327" s="43" t="n"/>
      <c r="AG7327" s="49">
        <f>IFERROR(__xludf.DUMMYFUNCTION("IFNA(vlookup(H7327,IMPORTRANGE(""1vUGwO1n0QQGx9kKbO0_M5gmuhXZ6-LaxQxgrmJnzgP0"",""'TP# look up'!A:C""),3,0),"""")"),"")</f>
        <v/>
      </c>
      <c r="AH7327" s="49">
        <f>LEFT(J7327,2)</f>
        <v/>
      </c>
    </row>
    <row r="7328" ht="12.75" customHeight="1">
      <c r="H7328" s="43" t="n"/>
      <c r="AG7328" s="49">
        <f>IFERROR(__xludf.DUMMYFUNCTION("IFNA(vlookup(H7328,IMPORTRANGE(""1vUGwO1n0QQGx9kKbO0_M5gmuhXZ6-LaxQxgrmJnzgP0"",""'TP# look up'!A:C""),3,0),"""")"),"")</f>
        <v/>
      </c>
      <c r="AH7328" s="49">
        <f>LEFT(J7328,2)</f>
        <v/>
      </c>
    </row>
    <row r="7329" ht="12.75" customHeight="1">
      <c r="H7329" s="43" t="n"/>
      <c r="AG7329" s="49">
        <f>IFERROR(__xludf.DUMMYFUNCTION("IFNA(vlookup(H7329,IMPORTRANGE(""1vUGwO1n0QQGx9kKbO0_M5gmuhXZ6-LaxQxgrmJnzgP0"",""'TP# look up'!A:C""),3,0),"""")"),"")</f>
        <v/>
      </c>
      <c r="AH7329" s="49">
        <f>LEFT(J7329,2)</f>
        <v/>
      </c>
    </row>
    <row r="7330" ht="12.75" customHeight="1">
      <c r="H7330" s="43" t="n"/>
      <c r="AG7330" s="49">
        <f>IFERROR(__xludf.DUMMYFUNCTION("IFNA(vlookup(H7330,IMPORTRANGE(""1vUGwO1n0QQGx9kKbO0_M5gmuhXZ6-LaxQxgrmJnzgP0"",""'TP# look up'!A:C""),3,0),"""")"),"")</f>
        <v/>
      </c>
      <c r="AH7330" s="49">
        <f>LEFT(J7330,2)</f>
        <v/>
      </c>
    </row>
    <row r="7331" ht="12.75" customHeight="1">
      <c r="H7331" s="43" t="n"/>
      <c r="AG7331" s="49">
        <f>IFERROR(__xludf.DUMMYFUNCTION("IFNA(vlookup(H7331,IMPORTRANGE(""1vUGwO1n0QQGx9kKbO0_M5gmuhXZ6-LaxQxgrmJnzgP0"",""'TP# look up'!A:C""),3,0),"""")"),"")</f>
        <v/>
      </c>
      <c r="AH7331" s="49">
        <f>LEFT(J7331,2)</f>
        <v/>
      </c>
    </row>
    <row r="7332" ht="12.75" customHeight="1">
      <c r="H7332" s="43" t="n"/>
      <c r="AG7332" s="49">
        <f>IFERROR(__xludf.DUMMYFUNCTION("IFNA(vlookup(H7332,IMPORTRANGE(""1vUGwO1n0QQGx9kKbO0_M5gmuhXZ6-LaxQxgrmJnzgP0"",""'TP# look up'!A:C""),3,0),"""")"),"")</f>
        <v/>
      </c>
      <c r="AH7332" s="49">
        <f>LEFT(J7332,2)</f>
        <v/>
      </c>
    </row>
    <row r="7333" ht="12.75" customHeight="1">
      <c r="H7333" s="43" t="n"/>
      <c r="AG7333" s="49">
        <f>IFERROR(__xludf.DUMMYFUNCTION("IFNA(vlookup(H7333,IMPORTRANGE(""1vUGwO1n0QQGx9kKbO0_M5gmuhXZ6-LaxQxgrmJnzgP0"",""'TP# look up'!A:C""),3,0),"""")"),"")</f>
        <v/>
      </c>
      <c r="AH7333" s="49">
        <f>LEFT(J7333,2)</f>
        <v/>
      </c>
    </row>
    <row r="7334" ht="12.75" customHeight="1">
      <c r="H7334" s="43" t="n"/>
      <c r="AG7334" s="49">
        <f>IFERROR(__xludf.DUMMYFUNCTION("IFNA(vlookup(H7334,IMPORTRANGE(""1vUGwO1n0QQGx9kKbO0_M5gmuhXZ6-LaxQxgrmJnzgP0"",""'TP# look up'!A:C""),3,0),"""")"),"")</f>
        <v/>
      </c>
      <c r="AH7334" s="49">
        <f>LEFT(J7334,2)</f>
        <v/>
      </c>
    </row>
    <row r="7335" ht="12.75" customHeight="1">
      <c r="H7335" s="43" t="n"/>
      <c r="AG7335" s="49">
        <f>IFERROR(__xludf.DUMMYFUNCTION("IFNA(vlookup(H7335,IMPORTRANGE(""1vUGwO1n0QQGx9kKbO0_M5gmuhXZ6-LaxQxgrmJnzgP0"",""'TP# look up'!A:C""),3,0),"""")"),"")</f>
        <v/>
      </c>
      <c r="AH7335" s="49">
        <f>LEFT(J7335,2)</f>
        <v/>
      </c>
    </row>
    <row r="7336" ht="12.75" customHeight="1">
      <c r="H7336" s="43" t="n"/>
      <c r="AG7336" s="49">
        <f>IFERROR(__xludf.DUMMYFUNCTION("IFNA(vlookup(H7336,IMPORTRANGE(""1vUGwO1n0QQGx9kKbO0_M5gmuhXZ6-LaxQxgrmJnzgP0"",""'TP# look up'!A:C""),3,0),"""")"),"")</f>
        <v/>
      </c>
      <c r="AH7336" s="49">
        <f>LEFT(J7336,2)</f>
        <v/>
      </c>
    </row>
    <row r="7337" ht="12.75" customHeight="1">
      <c r="H7337" s="43" t="n"/>
      <c r="AG7337" s="49">
        <f>IFERROR(__xludf.DUMMYFUNCTION("IFNA(vlookup(H7337,IMPORTRANGE(""1vUGwO1n0QQGx9kKbO0_M5gmuhXZ6-LaxQxgrmJnzgP0"",""'TP# look up'!A:C""),3,0),"""")"),"")</f>
        <v/>
      </c>
      <c r="AH7337" s="49">
        <f>LEFT(J7337,2)</f>
        <v/>
      </c>
    </row>
    <row r="7338" ht="12.75" customHeight="1">
      <c r="H7338" s="43" t="n"/>
      <c r="AG7338" s="49">
        <f>IFERROR(__xludf.DUMMYFUNCTION("IFNA(vlookup(H7338,IMPORTRANGE(""1vUGwO1n0QQGx9kKbO0_M5gmuhXZ6-LaxQxgrmJnzgP0"",""'TP# look up'!A:C""),3,0),"""")"),"")</f>
        <v/>
      </c>
      <c r="AH7338" s="49">
        <f>LEFT(J7338,2)</f>
        <v/>
      </c>
    </row>
    <row r="7339" ht="12.75" customHeight="1">
      <c r="H7339" s="43" t="n"/>
      <c r="AG7339" s="49">
        <f>IFERROR(__xludf.DUMMYFUNCTION("IFNA(vlookup(H7339,IMPORTRANGE(""1vUGwO1n0QQGx9kKbO0_M5gmuhXZ6-LaxQxgrmJnzgP0"",""'TP# look up'!A:C""),3,0),"""")"),"")</f>
        <v/>
      </c>
      <c r="AH7339" s="49">
        <f>LEFT(J7339,2)</f>
        <v/>
      </c>
    </row>
    <row r="7340" ht="12.75" customHeight="1">
      <c r="H7340" s="43" t="n"/>
      <c r="AG7340" s="49">
        <f>IFERROR(__xludf.DUMMYFUNCTION("IFNA(vlookup(H7340,IMPORTRANGE(""1vUGwO1n0QQGx9kKbO0_M5gmuhXZ6-LaxQxgrmJnzgP0"",""'TP# look up'!A:C""),3,0),"""")"),"")</f>
        <v/>
      </c>
      <c r="AH7340" s="49">
        <f>LEFT(J7340,2)</f>
        <v/>
      </c>
    </row>
    <row r="7341" ht="12.75" customHeight="1">
      <c r="H7341" s="43" t="n"/>
      <c r="AG7341" s="49">
        <f>IFERROR(__xludf.DUMMYFUNCTION("IFNA(vlookup(H7341,IMPORTRANGE(""1vUGwO1n0QQGx9kKbO0_M5gmuhXZ6-LaxQxgrmJnzgP0"",""'TP# look up'!A:C""),3,0),"""")"),"")</f>
        <v/>
      </c>
      <c r="AH7341" s="49">
        <f>LEFT(J7341,2)</f>
        <v/>
      </c>
    </row>
    <row r="7342" ht="12.75" customHeight="1">
      <c r="H7342" s="43" t="n"/>
      <c r="AG7342" s="49">
        <f>IFERROR(__xludf.DUMMYFUNCTION("IFNA(vlookup(H7342,IMPORTRANGE(""1vUGwO1n0QQGx9kKbO0_M5gmuhXZ6-LaxQxgrmJnzgP0"",""'TP# look up'!A:C""),3,0),"""")"),"")</f>
        <v/>
      </c>
      <c r="AH7342" s="49">
        <f>LEFT(J7342,2)</f>
        <v/>
      </c>
    </row>
    <row r="7343" ht="12.75" customHeight="1">
      <c r="H7343" s="43" t="n"/>
      <c r="AG7343" s="49">
        <f>IFERROR(__xludf.DUMMYFUNCTION("IFNA(vlookup(H7343,IMPORTRANGE(""1vUGwO1n0QQGx9kKbO0_M5gmuhXZ6-LaxQxgrmJnzgP0"",""'TP# look up'!A:C""),3,0),"""")"),"")</f>
        <v/>
      </c>
      <c r="AH7343" s="49">
        <f>LEFT(J7343,2)</f>
        <v/>
      </c>
    </row>
    <row r="7344" ht="12.75" customHeight="1">
      <c r="H7344" s="43" t="n"/>
      <c r="AG7344" s="49">
        <f>IFERROR(__xludf.DUMMYFUNCTION("IFNA(vlookup(H7344,IMPORTRANGE(""1vUGwO1n0QQGx9kKbO0_M5gmuhXZ6-LaxQxgrmJnzgP0"",""'TP# look up'!A:C""),3,0),"""")"),"")</f>
        <v/>
      </c>
      <c r="AH7344" s="49">
        <f>LEFT(J7344,2)</f>
        <v/>
      </c>
    </row>
    <row r="7345" ht="12.75" customHeight="1">
      <c r="H7345" s="43" t="n"/>
      <c r="AG7345" s="49">
        <f>IFERROR(__xludf.DUMMYFUNCTION("IFNA(vlookup(H7345,IMPORTRANGE(""1vUGwO1n0QQGx9kKbO0_M5gmuhXZ6-LaxQxgrmJnzgP0"",""'TP# look up'!A:C""),3,0),"""")"),"")</f>
        <v/>
      </c>
      <c r="AH7345" s="49">
        <f>LEFT(J7345,2)</f>
        <v/>
      </c>
    </row>
    <row r="7346" ht="12.75" customHeight="1">
      <c r="H7346" s="43" t="n"/>
      <c r="AG7346" s="49">
        <f>IFERROR(__xludf.DUMMYFUNCTION("IFNA(vlookup(H7346,IMPORTRANGE(""1vUGwO1n0QQGx9kKbO0_M5gmuhXZ6-LaxQxgrmJnzgP0"",""'TP# look up'!A:C""),3,0),"""")"),"")</f>
        <v/>
      </c>
      <c r="AH7346" s="49">
        <f>LEFT(J7346,2)</f>
        <v/>
      </c>
    </row>
    <row r="7347" ht="12.75" customHeight="1">
      <c r="H7347" s="43" t="n"/>
      <c r="AG7347" s="49">
        <f>IFERROR(__xludf.DUMMYFUNCTION("IFNA(vlookup(H7347,IMPORTRANGE(""1vUGwO1n0QQGx9kKbO0_M5gmuhXZ6-LaxQxgrmJnzgP0"",""'TP# look up'!A:C""),3,0),"""")"),"")</f>
        <v/>
      </c>
      <c r="AH7347" s="49">
        <f>LEFT(J7347,2)</f>
        <v/>
      </c>
    </row>
    <row r="7348" ht="12.75" customHeight="1">
      <c r="H7348" s="43" t="n"/>
      <c r="AG7348" s="49">
        <f>IFERROR(__xludf.DUMMYFUNCTION("IFNA(vlookup(H7348,IMPORTRANGE(""1vUGwO1n0QQGx9kKbO0_M5gmuhXZ6-LaxQxgrmJnzgP0"",""'TP# look up'!A:C""),3,0),"""")"),"")</f>
        <v/>
      </c>
      <c r="AH7348" s="49">
        <f>LEFT(J7348,2)</f>
        <v/>
      </c>
    </row>
    <row r="7349" ht="12.75" customHeight="1">
      <c r="H7349" s="43" t="n"/>
      <c r="AG7349" s="49">
        <f>IFERROR(__xludf.DUMMYFUNCTION("IFNA(vlookup(H7349,IMPORTRANGE(""1vUGwO1n0QQGx9kKbO0_M5gmuhXZ6-LaxQxgrmJnzgP0"",""'TP# look up'!A:C""),3,0),"""")"),"")</f>
        <v/>
      </c>
      <c r="AH7349" s="49">
        <f>LEFT(J7349,2)</f>
        <v/>
      </c>
    </row>
    <row r="7350" ht="12.75" customHeight="1">
      <c r="H7350" s="43" t="n"/>
      <c r="AG7350" s="49">
        <f>IFERROR(__xludf.DUMMYFUNCTION("IFNA(vlookup(H7350,IMPORTRANGE(""1vUGwO1n0QQGx9kKbO0_M5gmuhXZ6-LaxQxgrmJnzgP0"",""'TP# look up'!A:C""),3,0),"""")"),"")</f>
        <v/>
      </c>
      <c r="AH7350" s="49">
        <f>LEFT(J7350,2)</f>
        <v/>
      </c>
    </row>
    <row r="7351" ht="12.75" customHeight="1">
      <c r="H7351" s="43" t="n"/>
      <c r="AG7351" s="49">
        <f>IFERROR(__xludf.DUMMYFUNCTION("IFNA(vlookup(H7351,IMPORTRANGE(""1vUGwO1n0QQGx9kKbO0_M5gmuhXZ6-LaxQxgrmJnzgP0"",""'TP# look up'!A:C""),3,0),"""")"),"")</f>
        <v/>
      </c>
      <c r="AH7351" s="49">
        <f>LEFT(J7351,2)</f>
        <v/>
      </c>
    </row>
    <row r="7352" ht="12.75" customHeight="1">
      <c r="H7352" s="43" t="n"/>
      <c r="AG7352" s="49">
        <f>IFERROR(__xludf.DUMMYFUNCTION("IFNA(vlookup(H7352,IMPORTRANGE(""1vUGwO1n0QQGx9kKbO0_M5gmuhXZ6-LaxQxgrmJnzgP0"",""'TP# look up'!A:C""),3,0),"""")"),"")</f>
        <v/>
      </c>
      <c r="AH7352" s="49">
        <f>LEFT(J7352,2)</f>
        <v/>
      </c>
    </row>
    <row r="7353" ht="12.75" customHeight="1">
      <c r="H7353" s="43" t="n"/>
      <c r="AG7353" s="49">
        <f>IFERROR(__xludf.DUMMYFUNCTION("IFNA(vlookup(H7353,IMPORTRANGE(""1vUGwO1n0QQGx9kKbO0_M5gmuhXZ6-LaxQxgrmJnzgP0"",""'TP# look up'!A:C""),3,0),"""")"),"")</f>
        <v/>
      </c>
      <c r="AH7353" s="49">
        <f>LEFT(J7353,2)</f>
        <v/>
      </c>
    </row>
    <row r="7354" ht="12.75" customHeight="1">
      <c r="H7354" s="43" t="n"/>
      <c r="AG7354" s="49">
        <f>IFERROR(__xludf.DUMMYFUNCTION("IFNA(vlookup(H7354,IMPORTRANGE(""1vUGwO1n0QQGx9kKbO0_M5gmuhXZ6-LaxQxgrmJnzgP0"",""'TP# look up'!A:C""),3,0),"""")"),"")</f>
        <v/>
      </c>
      <c r="AH7354" s="49">
        <f>LEFT(J7354,2)</f>
        <v/>
      </c>
    </row>
    <row r="7355" ht="12.75" customHeight="1">
      <c r="H7355" s="43" t="n"/>
      <c r="AG7355" s="49">
        <f>IFERROR(__xludf.DUMMYFUNCTION("IFNA(vlookup(H7355,IMPORTRANGE(""1vUGwO1n0QQGx9kKbO0_M5gmuhXZ6-LaxQxgrmJnzgP0"",""'TP# look up'!A:C""),3,0),"""")"),"")</f>
        <v/>
      </c>
      <c r="AH7355" s="49">
        <f>LEFT(J7355,2)</f>
        <v/>
      </c>
    </row>
    <row r="7356" ht="12.75" customHeight="1">
      <c r="H7356" s="43" t="n"/>
      <c r="AG7356" s="49">
        <f>IFERROR(__xludf.DUMMYFUNCTION("IFNA(vlookup(H7356,IMPORTRANGE(""1vUGwO1n0QQGx9kKbO0_M5gmuhXZ6-LaxQxgrmJnzgP0"",""'TP# look up'!A:C""),3,0),"""")"),"")</f>
        <v/>
      </c>
      <c r="AH7356" s="49">
        <f>LEFT(J7356,2)</f>
        <v/>
      </c>
    </row>
    <row r="7357" ht="12.75" customHeight="1">
      <c r="H7357" s="43" t="n"/>
      <c r="AG7357" s="49">
        <f>IFERROR(__xludf.DUMMYFUNCTION("IFNA(vlookup(H7357,IMPORTRANGE(""1vUGwO1n0QQGx9kKbO0_M5gmuhXZ6-LaxQxgrmJnzgP0"",""'TP# look up'!A:C""),3,0),"""")"),"")</f>
        <v/>
      </c>
      <c r="AH7357" s="49">
        <f>LEFT(J7357,2)</f>
        <v/>
      </c>
    </row>
    <row r="7358" ht="12.75" customHeight="1">
      <c r="H7358" s="43" t="n"/>
      <c r="AG7358" s="49">
        <f>IFERROR(__xludf.DUMMYFUNCTION("IFNA(vlookup(H7358,IMPORTRANGE(""1vUGwO1n0QQGx9kKbO0_M5gmuhXZ6-LaxQxgrmJnzgP0"",""'TP# look up'!A:C""),3,0),"""")"),"")</f>
        <v/>
      </c>
      <c r="AH7358" s="49">
        <f>LEFT(J7358,2)</f>
        <v/>
      </c>
    </row>
    <row r="7359" ht="12.75" customHeight="1">
      <c r="H7359" s="43" t="n"/>
      <c r="AG7359" s="49">
        <f>IFERROR(__xludf.DUMMYFUNCTION("IFNA(vlookup(H7359,IMPORTRANGE(""1vUGwO1n0QQGx9kKbO0_M5gmuhXZ6-LaxQxgrmJnzgP0"",""'TP# look up'!A:C""),3,0),"""")"),"")</f>
        <v/>
      </c>
      <c r="AH7359" s="49">
        <f>LEFT(J7359,2)</f>
        <v/>
      </c>
    </row>
    <row r="7360" ht="12.75" customHeight="1">
      <c r="H7360" s="43" t="n"/>
      <c r="AG7360" s="49">
        <f>IFERROR(__xludf.DUMMYFUNCTION("IFNA(vlookup(H7360,IMPORTRANGE(""1vUGwO1n0QQGx9kKbO0_M5gmuhXZ6-LaxQxgrmJnzgP0"",""'TP# look up'!A:C""),3,0),"""")"),"")</f>
        <v/>
      </c>
      <c r="AH7360" s="49">
        <f>LEFT(J7360,2)</f>
        <v/>
      </c>
    </row>
    <row r="7361" ht="12.75" customHeight="1">
      <c r="H7361" s="43" t="n"/>
      <c r="AG7361" s="49">
        <f>IFERROR(__xludf.DUMMYFUNCTION("IFNA(vlookup(H7361,IMPORTRANGE(""1vUGwO1n0QQGx9kKbO0_M5gmuhXZ6-LaxQxgrmJnzgP0"",""'TP# look up'!A:C""),3,0),"""")"),"")</f>
        <v/>
      </c>
      <c r="AH7361" s="49">
        <f>LEFT(J7361,2)</f>
        <v/>
      </c>
    </row>
    <row r="7362" ht="12.75" customHeight="1">
      <c r="H7362" s="43" t="n"/>
      <c r="AG7362" s="49">
        <f>IFERROR(__xludf.DUMMYFUNCTION("IFNA(vlookup(H7362,IMPORTRANGE(""1vUGwO1n0QQGx9kKbO0_M5gmuhXZ6-LaxQxgrmJnzgP0"",""'TP# look up'!A:C""),3,0),"""")"),"")</f>
        <v/>
      </c>
      <c r="AH7362" s="49">
        <f>LEFT(J7362,2)</f>
        <v/>
      </c>
    </row>
    <row r="7363" ht="12.75" customHeight="1">
      <c r="H7363" s="43" t="n"/>
      <c r="AG7363" s="49">
        <f>IFERROR(__xludf.DUMMYFUNCTION("IFNA(vlookup(H7363,IMPORTRANGE(""1vUGwO1n0QQGx9kKbO0_M5gmuhXZ6-LaxQxgrmJnzgP0"",""'TP# look up'!A:C""),3,0),"""")"),"")</f>
        <v/>
      </c>
      <c r="AH7363" s="49">
        <f>LEFT(J7363,2)</f>
        <v/>
      </c>
    </row>
    <row r="7364" ht="12.75" customHeight="1">
      <c r="H7364" s="43" t="n"/>
      <c r="AG7364" s="49">
        <f>IFERROR(__xludf.DUMMYFUNCTION("IFNA(vlookup(H7364,IMPORTRANGE(""1vUGwO1n0QQGx9kKbO0_M5gmuhXZ6-LaxQxgrmJnzgP0"",""'TP# look up'!A:C""),3,0),"""")"),"")</f>
        <v/>
      </c>
      <c r="AH7364" s="49">
        <f>LEFT(J7364,2)</f>
        <v/>
      </c>
    </row>
    <row r="7365" ht="12.75" customHeight="1">
      <c r="H7365" s="43" t="n"/>
      <c r="AG7365" s="49">
        <f>IFERROR(__xludf.DUMMYFUNCTION("IFNA(vlookup(H7365,IMPORTRANGE(""1vUGwO1n0QQGx9kKbO0_M5gmuhXZ6-LaxQxgrmJnzgP0"",""'TP# look up'!A:C""),3,0),"""")"),"")</f>
        <v/>
      </c>
      <c r="AH7365" s="49">
        <f>LEFT(J7365,2)</f>
        <v/>
      </c>
    </row>
    <row r="7366" ht="12.75" customHeight="1">
      <c r="H7366" s="43" t="n"/>
      <c r="AG7366" s="49">
        <f>IFERROR(__xludf.DUMMYFUNCTION("IFNA(vlookup(H7366,IMPORTRANGE(""1vUGwO1n0QQGx9kKbO0_M5gmuhXZ6-LaxQxgrmJnzgP0"",""'TP# look up'!A:C""),3,0),"""")"),"")</f>
        <v/>
      </c>
      <c r="AH7366" s="49">
        <f>LEFT(J7366,2)</f>
        <v/>
      </c>
    </row>
    <row r="7367" ht="12.75" customHeight="1">
      <c r="H7367" s="43" t="n"/>
      <c r="AG7367" s="49">
        <f>IFERROR(__xludf.DUMMYFUNCTION("IFNA(vlookup(H7367,IMPORTRANGE(""1vUGwO1n0QQGx9kKbO0_M5gmuhXZ6-LaxQxgrmJnzgP0"",""'TP# look up'!A:C""),3,0),"""")"),"")</f>
        <v/>
      </c>
      <c r="AH7367" s="49">
        <f>LEFT(J7367,2)</f>
        <v/>
      </c>
    </row>
    <row r="7368" ht="12.75" customHeight="1">
      <c r="H7368" s="43" t="n"/>
      <c r="AG7368" s="49">
        <f>IFERROR(__xludf.DUMMYFUNCTION("IFNA(vlookup(H7368,IMPORTRANGE(""1vUGwO1n0QQGx9kKbO0_M5gmuhXZ6-LaxQxgrmJnzgP0"",""'TP# look up'!A:C""),3,0),"""")"),"")</f>
        <v/>
      </c>
      <c r="AH7368" s="49">
        <f>LEFT(J7368,2)</f>
        <v/>
      </c>
    </row>
    <row r="7369" ht="12.75" customHeight="1">
      <c r="H7369" s="43" t="n"/>
      <c r="AG7369" s="49">
        <f>IFERROR(__xludf.DUMMYFUNCTION("IFNA(vlookup(H7369,IMPORTRANGE(""1vUGwO1n0QQGx9kKbO0_M5gmuhXZ6-LaxQxgrmJnzgP0"",""'TP# look up'!A:C""),3,0),"""")"),"")</f>
        <v/>
      </c>
      <c r="AH7369" s="49">
        <f>LEFT(J7369,2)</f>
        <v/>
      </c>
    </row>
    <row r="7370" ht="12.75" customHeight="1">
      <c r="H7370" s="43" t="n"/>
      <c r="AG7370" s="49">
        <f>IFERROR(__xludf.DUMMYFUNCTION("IFNA(vlookup(H7370,IMPORTRANGE(""1vUGwO1n0QQGx9kKbO0_M5gmuhXZ6-LaxQxgrmJnzgP0"",""'TP# look up'!A:C""),3,0),"""")"),"")</f>
        <v/>
      </c>
      <c r="AH7370" s="49">
        <f>LEFT(J7370,2)</f>
        <v/>
      </c>
    </row>
    <row r="7371" ht="12.75" customHeight="1">
      <c r="H7371" s="43" t="n"/>
      <c r="AG7371" s="49">
        <f>IFERROR(__xludf.DUMMYFUNCTION("IFNA(vlookup(H7371,IMPORTRANGE(""1vUGwO1n0QQGx9kKbO0_M5gmuhXZ6-LaxQxgrmJnzgP0"",""'TP# look up'!A:C""),3,0),"""")"),"")</f>
        <v/>
      </c>
      <c r="AH7371" s="49">
        <f>LEFT(J7371,2)</f>
        <v/>
      </c>
    </row>
    <row r="7372" ht="12.75" customHeight="1">
      <c r="H7372" s="43" t="n"/>
      <c r="AG7372" s="49">
        <f>IFERROR(__xludf.DUMMYFUNCTION("IFNA(vlookup(H7372,IMPORTRANGE(""1vUGwO1n0QQGx9kKbO0_M5gmuhXZ6-LaxQxgrmJnzgP0"",""'TP# look up'!A:C""),3,0),"""")"),"")</f>
        <v/>
      </c>
      <c r="AH7372" s="49">
        <f>LEFT(J7372,2)</f>
        <v/>
      </c>
    </row>
    <row r="7373" ht="12.75" customHeight="1">
      <c r="H7373" s="43" t="n"/>
      <c r="AG7373" s="49">
        <f>IFERROR(__xludf.DUMMYFUNCTION("IFNA(vlookup(H7373,IMPORTRANGE(""1vUGwO1n0QQGx9kKbO0_M5gmuhXZ6-LaxQxgrmJnzgP0"",""'TP# look up'!A:C""),3,0),"""")"),"")</f>
        <v/>
      </c>
      <c r="AH7373" s="49">
        <f>LEFT(J7373,2)</f>
        <v/>
      </c>
    </row>
    <row r="7374" ht="12.75" customHeight="1">
      <c r="H7374" s="43" t="n"/>
      <c r="AG7374" s="49">
        <f>IFERROR(__xludf.DUMMYFUNCTION("IFNA(vlookup(H7374,IMPORTRANGE(""1vUGwO1n0QQGx9kKbO0_M5gmuhXZ6-LaxQxgrmJnzgP0"",""'TP# look up'!A:C""),3,0),"""")"),"")</f>
        <v/>
      </c>
      <c r="AH7374" s="49">
        <f>LEFT(J7374,2)</f>
        <v/>
      </c>
    </row>
    <row r="7375" ht="12.75" customHeight="1">
      <c r="H7375" s="43" t="n"/>
      <c r="AG7375" s="49">
        <f>IFERROR(__xludf.DUMMYFUNCTION("IFNA(vlookup(H7375,IMPORTRANGE(""1vUGwO1n0QQGx9kKbO0_M5gmuhXZ6-LaxQxgrmJnzgP0"",""'TP# look up'!A:C""),3,0),"""")"),"")</f>
        <v/>
      </c>
      <c r="AH7375" s="49">
        <f>LEFT(J7375,2)</f>
        <v/>
      </c>
    </row>
    <row r="7376" ht="12.75" customHeight="1">
      <c r="H7376" s="43" t="n"/>
      <c r="AG7376" s="49">
        <f>IFERROR(__xludf.DUMMYFUNCTION("IFNA(vlookup(H7376,IMPORTRANGE(""1vUGwO1n0QQGx9kKbO0_M5gmuhXZ6-LaxQxgrmJnzgP0"",""'TP# look up'!A:C""),3,0),"""")"),"")</f>
        <v/>
      </c>
      <c r="AH7376" s="49">
        <f>LEFT(J7376,2)</f>
        <v/>
      </c>
    </row>
    <row r="7377" ht="12.75" customHeight="1">
      <c r="H7377" s="43" t="n"/>
      <c r="AG7377" s="49">
        <f>IFERROR(__xludf.DUMMYFUNCTION("IFNA(vlookup(H7377,IMPORTRANGE(""1vUGwO1n0QQGx9kKbO0_M5gmuhXZ6-LaxQxgrmJnzgP0"",""'TP# look up'!A:C""),3,0),"""")"),"")</f>
        <v/>
      </c>
      <c r="AH7377" s="49">
        <f>LEFT(J7377,2)</f>
        <v/>
      </c>
    </row>
    <row r="7378" ht="12.75" customHeight="1">
      <c r="H7378" s="43" t="n"/>
      <c r="AG7378" s="49">
        <f>IFERROR(__xludf.DUMMYFUNCTION("IFNA(vlookup(H7378,IMPORTRANGE(""1vUGwO1n0QQGx9kKbO0_M5gmuhXZ6-LaxQxgrmJnzgP0"",""'TP# look up'!A:C""),3,0),"""")"),"")</f>
        <v/>
      </c>
      <c r="AH7378" s="49">
        <f>LEFT(J7378,2)</f>
        <v/>
      </c>
    </row>
    <row r="7379" ht="12.75" customHeight="1">
      <c r="H7379" s="43" t="n"/>
      <c r="AG7379" s="49">
        <f>IFERROR(__xludf.DUMMYFUNCTION("IFNA(vlookup(H7379,IMPORTRANGE(""1vUGwO1n0QQGx9kKbO0_M5gmuhXZ6-LaxQxgrmJnzgP0"",""'TP# look up'!A:C""),3,0),"""")"),"")</f>
        <v/>
      </c>
      <c r="AH7379" s="49">
        <f>LEFT(J7379,2)</f>
        <v/>
      </c>
    </row>
    <row r="7380" ht="12.75" customHeight="1">
      <c r="H7380" s="43" t="n"/>
      <c r="AG7380" s="49">
        <f>IFERROR(__xludf.DUMMYFUNCTION("IFNA(vlookup(H7380,IMPORTRANGE(""1vUGwO1n0QQGx9kKbO0_M5gmuhXZ6-LaxQxgrmJnzgP0"",""'TP# look up'!A:C""),3,0),"""")"),"")</f>
        <v/>
      </c>
      <c r="AH7380" s="49">
        <f>LEFT(J7380,2)</f>
        <v/>
      </c>
    </row>
    <row r="7381" ht="12.75" customHeight="1">
      <c r="H7381" s="43" t="n"/>
      <c r="AG7381" s="49">
        <f>IFERROR(__xludf.DUMMYFUNCTION("IFNA(vlookup(H7381,IMPORTRANGE(""1vUGwO1n0QQGx9kKbO0_M5gmuhXZ6-LaxQxgrmJnzgP0"",""'TP# look up'!A:C""),3,0),"""")"),"")</f>
        <v/>
      </c>
      <c r="AH7381" s="49">
        <f>LEFT(J7381,2)</f>
        <v/>
      </c>
    </row>
    <row r="7382" ht="12.75" customHeight="1">
      <c r="H7382" s="43" t="n"/>
      <c r="AG7382" s="49">
        <f>IFERROR(__xludf.DUMMYFUNCTION("IFNA(vlookup(H7382,IMPORTRANGE(""1vUGwO1n0QQGx9kKbO0_M5gmuhXZ6-LaxQxgrmJnzgP0"",""'TP# look up'!A:C""),3,0),"""")"),"")</f>
        <v/>
      </c>
      <c r="AH7382" s="49">
        <f>LEFT(J7382,2)</f>
        <v/>
      </c>
    </row>
    <row r="7383" ht="12.75" customHeight="1">
      <c r="H7383" s="43" t="n"/>
      <c r="AG7383" s="49">
        <f>IFERROR(__xludf.DUMMYFUNCTION("IFNA(vlookup(H7383,IMPORTRANGE(""1vUGwO1n0QQGx9kKbO0_M5gmuhXZ6-LaxQxgrmJnzgP0"",""'TP# look up'!A:C""),3,0),"""")"),"")</f>
        <v/>
      </c>
      <c r="AH7383" s="49">
        <f>LEFT(J7383,2)</f>
        <v/>
      </c>
    </row>
    <row r="7384" ht="12.75" customHeight="1">
      <c r="H7384" s="43" t="n"/>
      <c r="AG7384" s="49">
        <f>IFERROR(__xludf.DUMMYFUNCTION("IFNA(vlookup(H7384,IMPORTRANGE(""1vUGwO1n0QQGx9kKbO0_M5gmuhXZ6-LaxQxgrmJnzgP0"",""'TP# look up'!A:C""),3,0),"""")"),"")</f>
        <v/>
      </c>
      <c r="AH7384" s="49">
        <f>LEFT(J7384,2)</f>
        <v/>
      </c>
    </row>
    <row r="7385" ht="12.75" customHeight="1">
      <c r="H7385" s="43" t="n"/>
      <c r="AG7385" s="49">
        <f>IFERROR(__xludf.DUMMYFUNCTION("IFNA(vlookup(H7385,IMPORTRANGE(""1vUGwO1n0QQGx9kKbO0_M5gmuhXZ6-LaxQxgrmJnzgP0"",""'TP# look up'!A:C""),3,0),"""")"),"")</f>
        <v/>
      </c>
      <c r="AH7385" s="49">
        <f>LEFT(J7385,2)</f>
        <v/>
      </c>
    </row>
    <row r="7386" ht="12.75" customHeight="1">
      <c r="H7386" s="43" t="n"/>
      <c r="AG7386" s="49">
        <f>IFERROR(__xludf.DUMMYFUNCTION("IFNA(vlookup(H7386,IMPORTRANGE(""1vUGwO1n0QQGx9kKbO0_M5gmuhXZ6-LaxQxgrmJnzgP0"",""'TP# look up'!A:C""),3,0),"""")"),"")</f>
        <v/>
      </c>
      <c r="AH7386" s="49">
        <f>LEFT(J7386,2)</f>
        <v/>
      </c>
    </row>
    <row r="7387" ht="12.75" customHeight="1">
      <c r="H7387" s="43" t="n"/>
      <c r="AG7387" s="49">
        <f>IFERROR(__xludf.DUMMYFUNCTION("IFNA(vlookup(H7387,IMPORTRANGE(""1vUGwO1n0QQGx9kKbO0_M5gmuhXZ6-LaxQxgrmJnzgP0"",""'TP# look up'!A:C""),3,0),"""")"),"")</f>
        <v/>
      </c>
      <c r="AH7387" s="49">
        <f>LEFT(J7387,2)</f>
        <v/>
      </c>
    </row>
    <row r="7388" ht="12.75" customHeight="1">
      <c r="H7388" s="43" t="n"/>
      <c r="AG7388" s="49">
        <f>IFERROR(__xludf.DUMMYFUNCTION("IFNA(vlookup(H7388,IMPORTRANGE(""1vUGwO1n0QQGx9kKbO0_M5gmuhXZ6-LaxQxgrmJnzgP0"",""'TP# look up'!A:C""),3,0),"""")"),"")</f>
        <v/>
      </c>
      <c r="AH7388" s="49">
        <f>LEFT(J7388,2)</f>
        <v/>
      </c>
    </row>
    <row r="7389" ht="12.75" customHeight="1">
      <c r="H7389" s="43" t="n"/>
      <c r="AG7389" s="49">
        <f>IFERROR(__xludf.DUMMYFUNCTION("IFNA(vlookup(H7389,IMPORTRANGE(""1vUGwO1n0QQGx9kKbO0_M5gmuhXZ6-LaxQxgrmJnzgP0"",""'TP# look up'!A:C""),3,0),"""")"),"")</f>
        <v/>
      </c>
      <c r="AH7389" s="49">
        <f>LEFT(J7389,2)</f>
        <v/>
      </c>
    </row>
    <row r="7390" ht="12.75" customHeight="1">
      <c r="H7390" s="43" t="n"/>
      <c r="AG7390" s="49">
        <f>IFERROR(__xludf.DUMMYFUNCTION("IFNA(vlookup(H7390,IMPORTRANGE(""1vUGwO1n0QQGx9kKbO0_M5gmuhXZ6-LaxQxgrmJnzgP0"",""'TP# look up'!A:C""),3,0),"""")"),"")</f>
        <v/>
      </c>
      <c r="AH7390" s="49">
        <f>LEFT(J7390,2)</f>
        <v/>
      </c>
    </row>
    <row r="7391" ht="12.75" customHeight="1">
      <c r="H7391" s="43" t="n"/>
      <c r="AG7391" s="49">
        <f>IFERROR(__xludf.DUMMYFUNCTION("IFNA(vlookup(H7391,IMPORTRANGE(""1vUGwO1n0QQGx9kKbO0_M5gmuhXZ6-LaxQxgrmJnzgP0"",""'TP# look up'!A:C""),3,0),"""")"),"")</f>
        <v/>
      </c>
      <c r="AH7391" s="49">
        <f>LEFT(J7391,2)</f>
        <v/>
      </c>
    </row>
    <row r="7392" ht="12.75" customHeight="1">
      <c r="H7392" s="43" t="n"/>
      <c r="AG7392" s="49">
        <f>IFERROR(__xludf.DUMMYFUNCTION("IFNA(vlookup(H7392,IMPORTRANGE(""1vUGwO1n0QQGx9kKbO0_M5gmuhXZ6-LaxQxgrmJnzgP0"",""'TP# look up'!A:C""),3,0),"""")"),"")</f>
        <v/>
      </c>
      <c r="AH7392" s="49">
        <f>LEFT(J7392,2)</f>
        <v/>
      </c>
    </row>
    <row r="7393" ht="12.75" customHeight="1">
      <c r="H7393" s="43" t="n"/>
      <c r="AG7393" s="49">
        <f>IFERROR(__xludf.DUMMYFUNCTION("IFNA(vlookup(H7393,IMPORTRANGE(""1vUGwO1n0QQGx9kKbO0_M5gmuhXZ6-LaxQxgrmJnzgP0"",""'TP# look up'!A:C""),3,0),"""")"),"")</f>
        <v/>
      </c>
      <c r="AH7393" s="49">
        <f>LEFT(J7393,2)</f>
        <v/>
      </c>
    </row>
    <row r="7394" ht="12.75" customHeight="1">
      <c r="H7394" s="43" t="n"/>
      <c r="AG7394" s="49">
        <f>IFERROR(__xludf.DUMMYFUNCTION("IFNA(vlookup(H7394,IMPORTRANGE(""1vUGwO1n0QQGx9kKbO0_M5gmuhXZ6-LaxQxgrmJnzgP0"",""'TP# look up'!A:C""),3,0),"""")"),"")</f>
        <v/>
      </c>
      <c r="AH7394" s="49">
        <f>LEFT(J7394,2)</f>
        <v/>
      </c>
    </row>
    <row r="7395" ht="12.75" customHeight="1">
      <c r="H7395" s="43" t="n"/>
      <c r="AG7395" s="49">
        <f>IFERROR(__xludf.DUMMYFUNCTION("IFNA(vlookup(H7395,IMPORTRANGE(""1vUGwO1n0QQGx9kKbO0_M5gmuhXZ6-LaxQxgrmJnzgP0"",""'TP# look up'!A:C""),3,0),"""")"),"")</f>
        <v/>
      </c>
      <c r="AH7395" s="49">
        <f>LEFT(J7395,2)</f>
        <v/>
      </c>
    </row>
    <row r="7396" ht="12.75" customHeight="1">
      <c r="H7396" s="43" t="n"/>
      <c r="AG7396" s="49">
        <f>IFERROR(__xludf.DUMMYFUNCTION("IFNA(vlookup(H7396,IMPORTRANGE(""1vUGwO1n0QQGx9kKbO0_M5gmuhXZ6-LaxQxgrmJnzgP0"",""'TP# look up'!A:C""),3,0),"""")"),"")</f>
        <v/>
      </c>
      <c r="AH7396" s="49">
        <f>LEFT(J7396,2)</f>
        <v/>
      </c>
    </row>
    <row r="7397" ht="12.75" customHeight="1">
      <c r="H7397" s="43" t="n"/>
      <c r="AG7397" s="49">
        <f>IFERROR(__xludf.DUMMYFUNCTION("IFNA(vlookup(H7397,IMPORTRANGE(""1vUGwO1n0QQGx9kKbO0_M5gmuhXZ6-LaxQxgrmJnzgP0"",""'TP# look up'!A:C""),3,0),"""")"),"")</f>
        <v/>
      </c>
      <c r="AH7397" s="49">
        <f>LEFT(J7397,2)</f>
        <v/>
      </c>
    </row>
    <row r="7398" ht="12.75" customHeight="1">
      <c r="H7398" s="43" t="n"/>
      <c r="AG7398" s="49">
        <f>IFERROR(__xludf.DUMMYFUNCTION("IFNA(vlookup(H7398,IMPORTRANGE(""1vUGwO1n0QQGx9kKbO0_M5gmuhXZ6-LaxQxgrmJnzgP0"",""'TP# look up'!A:C""),3,0),"""")"),"")</f>
        <v/>
      </c>
      <c r="AH7398" s="49">
        <f>LEFT(J7398,2)</f>
        <v/>
      </c>
    </row>
    <row r="7399" ht="12.75" customHeight="1">
      <c r="H7399" s="43" t="n"/>
      <c r="AG7399" s="49">
        <f>IFERROR(__xludf.DUMMYFUNCTION("IFNA(vlookup(H7399,IMPORTRANGE(""1vUGwO1n0QQGx9kKbO0_M5gmuhXZ6-LaxQxgrmJnzgP0"",""'TP# look up'!A:C""),3,0),"""")"),"")</f>
        <v/>
      </c>
      <c r="AH7399" s="49">
        <f>LEFT(J7399,2)</f>
        <v/>
      </c>
    </row>
    <row r="7400" ht="12.75" customHeight="1">
      <c r="H7400" s="43" t="n"/>
      <c r="AG7400" s="49">
        <f>IFERROR(__xludf.DUMMYFUNCTION("IFNA(vlookup(H7400,IMPORTRANGE(""1vUGwO1n0QQGx9kKbO0_M5gmuhXZ6-LaxQxgrmJnzgP0"",""'TP# look up'!A:C""),3,0),"""")"),"")</f>
        <v/>
      </c>
      <c r="AH7400" s="49">
        <f>LEFT(J7400,2)</f>
        <v/>
      </c>
    </row>
    <row r="7401" ht="12.75" customHeight="1">
      <c r="H7401" s="43" t="n"/>
      <c r="AG7401" s="49">
        <f>IFERROR(__xludf.DUMMYFUNCTION("IFNA(vlookup(H7401,IMPORTRANGE(""1vUGwO1n0QQGx9kKbO0_M5gmuhXZ6-LaxQxgrmJnzgP0"",""'TP# look up'!A:C""),3,0),"""")"),"")</f>
        <v/>
      </c>
      <c r="AH7401" s="49">
        <f>LEFT(J7401,2)</f>
        <v/>
      </c>
    </row>
    <row r="7402" ht="12.75" customHeight="1">
      <c r="H7402" s="43" t="n"/>
      <c r="AG7402" s="49">
        <f>IFERROR(__xludf.DUMMYFUNCTION("IFNA(vlookup(H7402,IMPORTRANGE(""1vUGwO1n0QQGx9kKbO0_M5gmuhXZ6-LaxQxgrmJnzgP0"",""'TP# look up'!A:C""),3,0),"""")"),"")</f>
        <v/>
      </c>
      <c r="AH7402" s="49">
        <f>LEFT(J7402,2)</f>
        <v/>
      </c>
    </row>
    <row r="7403" ht="12.75" customHeight="1">
      <c r="H7403" s="43" t="n"/>
      <c r="AG7403" s="49">
        <f>IFERROR(__xludf.DUMMYFUNCTION("IFNA(vlookup(H7403,IMPORTRANGE(""1vUGwO1n0QQGx9kKbO0_M5gmuhXZ6-LaxQxgrmJnzgP0"",""'TP# look up'!A:C""),3,0),"""")"),"")</f>
        <v/>
      </c>
      <c r="AH7403" s="49">
        <f>LEFT(J7403,2)</f>
        <v/>
      </c>
    </row>
    <row r="7404" ht="12.75" customHeight="1">
      <c r="H7404" s="43" t="n"/>
      <c r="AG7404" s="49">
        <f>IFERROR(__xludf.DUMMYFUNCTION("IFNA(vlookup(H7404,IMPORTRANGE(""1vUGwO1n0QQGx9kKbO0_M5gmuhXZ6-LaxQxgrmJnzgP0"",""'TP# look up'!A:C""),3,0),"""")"),"")</f>
        <v/>
      </c>
      <c r="AH7404" s="49">
        <f>LEFT(J7404,2)</f>
        <v/>
      </c>
    </row>
    <row r="7405" ht="12.75" customHeight="1">
      <c r="H7405" s="43" t="n"/>
      <c r="AG7405" s="49">
        <f>IFERROR(__xludf.DUMMYFUNCTION("IFNA(vlookup(H7405,IMPORTRANGE(""1vUGwO1n0QQGx9kKbO0_M5gmuhXZ6-LaxQxgrmJnzgP0"",""'TP# look up'!A:C""),3,0),"""")"),"")</f>
        <v/>
      </c>
      <c r="AH7405" s="49">
        <f>LEFT(J7405,2)</f>
        <v/>
      </c>
    </row>
    <row r="7406" ht="12.75" customHeight="1">
      <c r="H7406" s="43" t="n"/>
      <c r="AG7406" s="49">
        <f>IFERROR(__xludf.DUMMYFUNCTION("IFNA(vlookup(H7406,IMPORTRANGE(""1vUGwO1n0QQGx9kKbO0_M5gmuhXZ6-LaxQxgrmJnzgP0"",""'TP# look up'!A:C""),3,0),"""")"),"")</f>
        <v/>
      </c>
      <c r="AH7406" s="49">
        <f>LEFT(J7406,2)</f>
        <v/>
      </c>
    </row>
    <row r="7407" ht="12.75" customHeight="1">
      <c r="H7407" s="43" t="n"/>
      <c r="AG7407" s="49">
        <f>IFERROR(__xludf.DUMMYFUNCTION("IFNA(vlookup(H7407,IMPORTRANGE(""1vUGwO1n0QQGx9kKbO0_M5gmuhXZ6-LaxQxgrmJnzgP0"",""'TP# look up'!A:C""),3,0),"""")"),"")</f>
        <v/>
      </c>
      <c r="AH7407" s="49">
        <f>LEFT(J7407,2)</f>
        <v/>
      </c>
    </row>
    <row r="7408" ht="12.75" customHeight="1">
      <c r="H7408" s="43" t="n"/>
      <c r="AG7408" s="49">
        <f>IFERROR(__xludf.DUMMYFUNCTION("IFNA(vlookup(H7408,IMPORTRANGE(""1vUGwO1n0QQGx9kKbO0_M5gmuhXZ6-LaxQxgrmJnzgP0"",""'TP# look up'!A:C""),3,0),"""")"),"")</f>
        <v/>
      </c>
      <c r="AH7408" s="49">
        <f>LEFT(J7408,2)</f>
        <v/>
      </c>
    </row>
    <row r="7409" ht="12.75" customHeight="1">
      <c r="H7409" s="43" t="n"/>
      <c r="AG7409" s="49">
        <f>IFERROR(__xludf.DUMMYFUNCTION("IFNA(vlookup(H7409,IMPORTRANGE(""1vUGwO1n0QQGx9kKbO0_M5gmuhXZ6-LaxQxgrmJnzgP0"",""'TP# look up'!A:C""),3,0),"""")"),"")</f>
        <v/>
      </c>
      <c r="AH7409" s="49">
        <f>LEFT(J7409,2)</f>
        <v/>
      </c>
    </row>
    <row r="7410" ht="12.75" customHeight="1">
      <c r="H7410" s="43" t="n"/>
      <c r="AG7410" s="49">
        <f>IFERROR(__xludf.DUMMYFUNCTION("IFNA(vlookup(H7410,IMPORTRANGE(""1vUGwO1n0QQGx9kKbO0_M5gmuhXZ6-LaxQxgrmJnzgP0"",""'TP# look up'!A:C""),3,0),"""")"),"")</f>
        <v/>
      </c>
      <c r="AH7410" s="49">
        <f>LEFT(J7410,2)</f>
        <v/>
      </c>
    </row>
    <row r="7411" ht="12.75" customHeight="1">
      <c r="H7411" s="43" t="n"/>
      <c r="AG7411" s="49">
        <f>IFERROR(__xludf.DUMMYFUNCTION("IFNA(vlookup(H7411,IMPORTRANGE(""1vUGwO1n0QQGx9kKbO0_M5gmuhXZ6-LaxQxgrmJnzgP0"",""'TP# look up'!A:C""),3,0),"""")"),"")</f>
        <v/>
      </c>
      <c r="AH7411" s="49">
        <f>LEFT(J7411,2)</f>
        <v/>
      </c>
    </row>
    <row r="7412" ht="12.75" customHeight="1">
      <c r="H7412" s="43" t="n"/>
      <c r="AG7412" s="49">
        <f>IFERROR(__xludf.DUMMYFUNCTION("IFNA(vlookup(H7412,IMPORTRANGE(""1vUGwO1n0QQGx9kKbO0_M5gmuhXZ6-LaxQxgrmJnzgP0"",""'TP# look up'!A:C""),3,0),"""")"),"")</f>
        <v/>
      </c>
      <c r="AH7412" s="49">
        <f>LEFT(J7412,2)</f>
        <v/>
      </c>
    </row>
    <row r="7413" ht="12.75" customHeight="1">
      <c r="H7413" s="43" t="n"/>
      <c r="AG7413" s="49">
        <f>IFERROR(__xludf.DUMMYFUNCTION("IFNA(vlookup(H7413,IMPORTRANGE(""1vUGwO1n0QQGx9kKbO0_M5gmuhXZ6-LaxQxgrmJnzgP0"",""'TP# look up'!A:C""),3,0),"""")"),"")</f>
        <v/>
      </c>
      <c r="AH7413" s="49">
        <f>LEFT(J7413,2)</f>
        <v/>
      </c>
    </row>
    <row r="7414" ht="12.75" customHeight="1">
      <c r="H7414" s="43" t="n"/>
      <c r="AG7414" s="49">
        <f>IFERROR(__xludf.DUMMYFUNCTION("IFNA(vlookup(H7414,IMPORTRANGE(""1vUGwO1n0QQGx9kKbO0_M5gmuhXZ6-LaxQxgrmJnzgP0"",""'TP# look up'!A:C""),3,0),"""")"),"")</f>
        <v/>
      </c>
      <c r="AH7414" s="49">
        <f>LEFT(J7414,2)</f>
        <v/>
      </c>
    </row>
    <row r="7415" ht="12.75" customHeight="1">
      <c r="H7415" s="43" t="n"/>
      <c r="AG7415" s="49">
        <f>IFERROR(__xludf.DUMMYFUNCTION("IFNA(vlookup(H7415,IMPORTRANGE(""1vUGwO1n0QQGx9kKbO0_M5gmuhXZ6-LaxQxgrmJnzgP0"",""'TP# look up'!A:C""),3,0),"""")"),"")</f>
        <v/>
      </c>
      <c r="AH7415" s="49">
        <f>LEFT(J7415,2)</f>
        <v/>
      </c>
    </row>
    <row r="7416" ht="12.75" customHeight="1">
      <c r="H7416" s="43" t="n"/>
      <c r="AG7416" s="49">
        <f>IFERROR(__xludf.DUMMYFUNCTION("IFNA(vlookup(H7416,IMPORTRANGE(""1vUGwO1n0QQGx9kKbO0_M5gmuhXZ6-LaxQxgrmJnzgP0"",""'TP# look up'!A:C""),3,0),"""")"),"")</f>
        <v/>
      </c>
      <c r="AH7416" s="49">
        <f>LEFT(J7416,2)</f>
        <v/>
      </c>
    </row>
    <row r="7417" ht="12.75" customHeight="1">
      <c r="H7417" s="43" t="n"/>
      <c r="AG7417" s="49">
        <f>IFERROR(__xludf.DUMMYFUNCTION("IFNA(vlookup(H7417,IMPORTRANGE(""1vUGwO1n0QQGx9kKbO0_M5gmuhXZ6-LaxQxgrmJnzgP0"",""'TP# look up'!A:C""),3,0),"""")"),"")</f>
        <v/>
      </c>
      <c r="AH7417" s="49">
        <f>LEFT(J7417,2)</f>
        <v/>
      </c>
    </row>
    <row r="7418" ht="12.75" customHeight="1">
      <c r="H7418" s="43" t="n"/>
      <c r="AG7418" s="49">
        <f>IFERROR(__xludf.DUMMYFUNCTION("IFNA(vlookup(H7418,IMPORTRANGE(""1vUGwO1n0QQGx9kKbO0_M5gmuhXZ6-LaxQxgrmJnzgP0"",""'TP# look up'!A:C""),3,0),"""")"),"")</f>
        <v/>
      </c>
      <c r="AH7418" s="49">
        <f>LEFT(J7418,2)</f>
        <v/>
      </c>
    </row>
    <row r="7419" ht="12.75" customHeight="1">
      <c r="H7419" s="43" t="n"/>
      <c r="AG7419" s="49">
        <f>IFERROR(__xludf.DUMMYFUNCTION("IFNA(vlookup(H7419,IMPORTRANGE(""1vUGwO1n0QQGx9kKbO0_M5gmuhXZ6-LaxQxgrmJnzgP0"",""'TP# look up'!A:C""),3,0),"""")"),"")</f>
        <v/>
      </c>
      <c r="AH7419" s="49">
        <f>LEFT(J7419,2)</f>
        <v/>
      </c>
    </row>
    <row r="7420" ht="12.75" customHeight="1">
      <c r="H7420" s="43" t="n"/>
      <c r="AG7420" s="49">
        <f>IFERROR(__xludf.DUMMYFUNCTION("IFNA(vlookup(H7420,IMPORTRANGE(""1vUGwO1n0QQGx9kKbO0_M5gmuhXZ6-LaxQxgrmJnzgP0"",""'TP# look up'!A:C""),3,0),"""")"),"")</f>
        <v/>
      </c>
      <c r="AH7420" s="49">
        <f>LEFT(J7420,2)</f>
        <v/>
      </c>
    </row>
    <row r="7421" ht="12.75" customHeight="1">
      <c r="H7421" s="43" t="n"/>
      <c r="AG7421" s="49">
        <f>IFERROR(__xludf.DUMMYFUNCTION("IFNA(vlookup(H7421,IMPORTRANGE(""1vUGwO1n0QQGx9kKbO0_M5gmuhXZ6-LaxQxgrmJnzgP0"",""'TP# look up'!A:C""),3,0),"""")"),"")</f>
        <v/>
      </c>
      <c r="AH7421" s="49">
        <f>LEFT(J7421,2)</f>
        <v/>
      </c>
    </row>
    <row r="7422" ht="12.75" customHeight="1">
      <c r="H7422" s="43" t="n"/>
      <c r="AG7422" s="49">
        <f>IFERROR(__xludf.DUMMYFUNCTION("IFNA(vlookup(H7422,IMPORTRANGE(""1vUGwO1n0QQGx9kKbO0_M5gmuhXZ6-LaxQxgrmJnzgP0"",""'TP# look up'!A:C""),3,0),"""")"),"")</f>
        <v/>
      </c>
      <c r="AH7422" s="49">
        <f>LEFT(J7422,2)</f>
        <v/>
      </c>
    </row>
    <row r="7423" ht="12.75" customHeight="1">
      <c r="H7423" s="43" t="n"/>
      <c r="AG7423" s="49">
        <f>IFERROR(__xludf.DUMMYFUNCTION("IFNA(vlookup(H7423,IMPORTRANGE(""1vUGwO1n0QQGx9kKbO0_M5gmuhXZ6-LaxQxgrmJnzgP0"",""'TP# look up'!A:C""),3,0),"""")"),"")</f>
        <v/>
      </c>
      <c r="AH7423" s="49">
        <f>LEFT(J7423,2)</f>
        <v/>
      </c>
    </row>
    <row r="7424" ht="12.75" customHeight="1">
      <c r="H7424" s="43" t="n"/>
      <c r="AG7424" s="49">
        <f>IFERROR(__xludf.DUMMYFUNCTION("IFNA(vlookup(H7424,IMPORTRANGE(""1vUGwO1n0QQGx9kKbO0_M5gmuhXZ6-LaxQxgrmJnzgP0"",""'TP# look up'!A:C""),3,0),"""")"),"")</f>
        <v/>
      </c>
      <c r="AH7424" s="49">
        <f>LEFT(J7424,2)</f>
        <v/>
      </c>
    </row>
    <row r="7425" ht="12.75" customHeight="1">
      <c r="H7425" s="43" t="n"/>
      <c r="AG7425" s="49">
        <f>IFERROR(__xludf.DUMMYFUNCTION("IFNA(vlookup(H7425,IMPORTRANGE(""1vUGwO1n0QQGx9kKbO0_M5gmuhXZ6-LaxQxgrmJnzgP0"",""'TP# look up'!A:C""),3,0),"""")"),"")</f>
        <v/>
      </c>
      <c r="AH7425" s="49">
        <f>LEFT(J7425,2)</f>
        <v/>
      </c>
    </row>
    <row r="7426" ht="12.75" customHeight="1">
      <c r="H7426" s="43" t="n"/>
      <c r="AG7426" s="49">
        <f>IFERROR(__xludf.DUMMYFUNCTION("IFNA(vlookup(H7426,IMPORTRANGE(""1vUGwO1n0QQGx9kKbO0_M5gmuhXZ6-LaxQxgrmJnzgP0"",""'TP# look up'!A:C""),3,0),"""")"),"")</f>
        <v/>
      </c>
      <c r="AH7426" s="49">
        <f>LEFT(J7426,2)</f>
        <v/>
      </c>
    </row>
    <row r="7427" ht="12.75" customHeight="1">
      <c r="H7427" s="43" t="n"/>
      <c r="AG7427" s="49">
        <f>IFERROR(__xludf.DUMMYFUNCTION("IFNA(vlookup(H7427,IMPORTRANGE(""1vUGwO1n0QQGx9kKbO0_M5gmuhXZ6-LaxQxgrmJnzgP0"",""'TP# look up'!A:C""),3,0),"""")"),"")</f>
        <v/>
      </c>
      <c r="AH7427" s="49">
        <f>LEFT(J7427,2)</f>
        <v/>
      </c>
    </row>
    <row r="7428" ht="12.75" customHeight="1">
      <c r="H7428" s="43" t="n"/>
      <c r="AG7428" s="49">
        <f>IFERROR(__xludf.DUMMYFUNCTION("IFNA(vlookup(H7428,IMPORTRANGE(""1vUGwO1n0QQGx9kKbO0_M5gmuhXZ6-LaxQxgrmJnzgP0"",""'TP# look up'!A:C""),3,0),"""")"),"")</f>
        <v/>
      </c>
      <c r="AH7428" s="49">
        <f>LEFT(J7428,2)</f>
        <v/>
      </c>
    </row>
    <row r="7429" ht="12.75" customHeight="1">
      <c r="H7429" s="43" t="n"/>
      <c r="AG7429" s="49">
        <f>IFERROR(__xludf.DUMMYFUNCTION("IFNA(vlookup(H7429,IMPORTRANGE(""1vUGwO1n0QQGx9kKbO0_M5gmuhXZ6-LaxQxgrmJnzgP0"",""'TP# look up'!A:C""),3,0),"""")"),"")</f>
        <v/>
      </c>
      <c r="AH7429" s="49">
        <f>LEFT(J7429,2)</f>
        <v/>
      </c>
    </row>
    <row r="7430" ht="12.75" customHeight="1">
      <c r="H7430" s="43" t="n"/>
      <c r="AG7430" s="49">
        <f>IFERROR(__xludf.DUMMYFUNCTION("IFNA(vlookup(H7430,IMPORTRANGE(""1vUGwO1n0QQGx9kKbO0_M5gmuhXZ6-LaxQxgrmJnzgP0"",""'TP# look up'!A:C""),3,0),"""")"),"")</f>
        <v/>
      </c>
      <c r="AH7430" s="49">
        <f>LEFT(J7430,2)</f>
        <v/>
      </c>
    </row>
    <row r="7431" ht="12.75" customHeight="1">
      <c r="H7431" s="43" t="n"/>
      <c r="AG7431" s="49">
        <f>IFERROR(__xludf.DUMMYFUNCTION("IFNA(vlookup(H7431,IMPORTRANGE(""1vUGwO1n0QQGx9kKbO0_M5gmuhXZ6-LaxQxgrmJnzgP0"",""'TP# look up'!A:C""),3,0),"""")"),"")</f>
        <v/>
      </c>
      <c r="AH7431" s="49">
        <f>LEFT(J7431,2)</f>
        <v/>
      </c>
    </row>
    <row r="7432" ht="12.75" customHeight="1">
      <c r="H7432" s="43" t="n"/>
      <c r="AG7432" s="49">
        <f>IFERROR(__xludf.DUMMYFUNCTION("IFNA(vlookup(H7432,IMPORTRANGE(""1vUGwO1n0QQGx9kKbO0_M5gmuhXZ6-LaxQxgrmJnzgP0"",""'TP# look up'!A:C""),3,0),"""")"),"")</f>
        <v/>
      </c>
      <c r="AH7432" s="49">
        <f>LEFT(J7432,2)</f>
        <v/>
      </c>
    </row>
    <row r="7433" ht="12.75" customHeight="1">
      <c r="H7433" s="43" t="n"/>
      <c r="AG7433" s="49">
        <f>IFERROR(__xludf.DUMMYFUNCTION("IFNA(vlookup(H7433,IMPORTRANGE(""1vUGwO1n0QQGx9kKbO0_M5gmuhXZ6-LaxQxgrmJnzgP0"",""'TP# look up'!A:C""),3,0),"""")"),"")</f>
        <v/>
      </c>
      <c r="AH7433" s="49">
        <f>LEFT(J7433,2)</f>
        <v/>
      </c>
    </row>
    <row r="7434" ht="12.75" customHeight="1">
      <c r="H7434" s="43" t="n"/>
      <c r="AG7434" s="49">
        <f>IFERROR(__xludf.DUMMYFUNCTION("IFNA(vlookup(H7434,IMPORTRANGE(""1vUGwO1n0QQGx9kKbO0_M5gmuhXZ6-LaxQxgrmJnzgP0"",""'TP# look up'!A:C""),3,0),"""")"),"")</f>
        <v/>
      </c>
      <c r="AH7434" s="49">
        <f>LEFT(J7434,2)</f>
        <v/>
      </c>
    </row>
    <row r="7435" ht="12.75" customHeight="1">
      <c r="H7435" s="43" t="n"/>
      <c r="AG7435" s="49">
        <f>IFERROR(__xludf.DUMMYFUNCTION("IFNA(vlookup(H7435,IMPORTRANGE(""1vUGwO1n0QQGx9kKbO0_M5gmuhXZ6-LaxQxgrmJnzgP0"",""'TP# look up'!A:C""),3,0),"""")"),"")</f>
        <v/>
      </c>
      <c r="AH7435" s="49">
        <f>LEFT(J7435,2)</f>
        <v/>
      </c>
    </row>
    <row r="7436" ht="12.75" customHeight="1">
      <c r="H7436" s="43" t="n"/>
      <c r="AG7436" s="49">
        <f>IFERROR(__xludf.DUMMYFUNCTION("IFNA(vlookup(H7436,IMPORTRANGE(""1vUGwO1n0QQGx9kKbO0_M5gmuhXZ6-LaxQxgrmJnzgP0"",""'TP# look up'!A:C""),3,0),"""")"),"")</f>
        <v/>
      </c>
      <c r="AH7436" s="49">
        <f>LEFT(J7436,2)</f>
        <v/>
      </c>
    </row>
    <row r="7437" ht="12.75" customHeight="1">
      <c r="H7437" s="43" t="n"/>
      <c r="AG7437" s="49">
        <f>IFERROR(__xludf.DUMMYFUNCTION("IFNA(vlookup(H7437,IMPORTRANGE(""1vUGwO1n0QQGx9kKbO0_M5gmuhXZ6-LaxQxgrmJnzgP0"",""'TP# look up'!A:C""),3,0),"""")"),"")</f>
        <v/>
      </c>
      <c r="AH7437" s="49">
        <f>LEFT(J7437,2)</f>
        <v/>
      </c>
    </row>
    <row r="7438" ht="12.75" customHeight="1">
      <c r="H7438" s="43" t="n"/>
      <c r="AG7438" s="49">
        <f>IFERROR(__xludf.DUMMYFUNCTION("IFNA(vlookup(H7438,IMPORTRANGE(""1vUGwO1n0QQGx9kKbO0_M5gmuhXZ6-LaxQxgrmJnzgP0"",""'TP# look up'!A:C""),3,0),"""")"),"")</f>
        <v/>
      </c>
      <c r="AH7438" s="49">
        <f>LEFT(J7438,2)</f>
        <v/>
      </c>
    </row>
    <row r="7439" ht="12.75" customHeight="1">
      <c r="H7439" s="43" t="n"/>
      <c r="AG7439" s="49">
        <f>IFERROR(__xludf.DUMMYFUNCTION("IFNA(vlookup(H7439,IMPORTRANGE(""1vUGwO1n0QQGx9kKbO0_M5gmuhXZ6-LaxQxgrmJnzgP0"",""'TP# look up'!A:C""),3,0),"""")"),"")</f>
        <v/>
      </c>
      <c r="AH7439" s="49">
        <f>LEFT(J7439,2)</f>
        <v/>
      </c>
    </row>
    <row r="7440" ht="12.75" customHeight="1">
      <c r="H7440" s="43" t="n"/>
      <c r="AG7440" s="49">
        <f>IFERROR(__xludf.DUMMYFUNCTION("IFNA(vlookup(H7440,IMPORTRANGE(""1vUGwO1n0QQGx9kKbO0_M5gmuhXZ6-LaxQxgrmJnzgP0"",""'TP# look up'!A:C""),3,0),"""")"),"")</f>
        <v/>
      </c>
      <c r="AH7440" s="49">
        <f>LEFT(J7440,2)</f>
        <v/>
      </c>
    </row>
    <row r="7441" ht="12.75" customHeight="1">
      <c r="H7441" s="43" t="n"/>
      <c r="AG7441" s="49">
        <f>IFERROR(__xludf.DUMMYFUNCTION("IFNA(vlookup(H7441,IMPORTRANGE(""1vUGwO1n0QQGx9kKbO0_M5gmuhXZ6-LaxQxgrmJnzgP0"",""'TP# look up'!A:C""),3,0),"""")"),"")</f>
        <v/>
      </c>
      <c r="AH7441" s="49">
        <f>LEFT(J7441,2)</f>
        <v/>
      </c>
    </row>
    <row r="7442" ht="12.75" customHeight="1">
      <c r="H7442" s="43" t="n"/>
      <c r="AG7442" s="49">
        <f>IFERROR(__xludf.DUMMYFUNCTION("IFNA(vlookup(H7442,IMPORTRANGE(""1vUGwO1n0QQGx9kKbO0_M5gmuhXZ6-LaxQxgrmJnzgP0"",""'TP# look up'!A:C""),3,0),"""")"),"")</f>
        <v/>
      </c>
      <c r="AH7442" s="49">
        <f>LEFT(J7442,2)</f>
        <v/>
      </c>
    </row>
    <row r="7443" ht="12.75" customHeight="1">
      <c r="H7443" s="43" t="n"/>
      <c r="AG7443" s="49">
        <f>IFERROR(__xludf.DUMMYFUNCTION("IFNA(vlookup(H7443,IMPORTRANGE(""1vUGwO1n0QQGx9kKbO0_M5gmuhXZ6-LaxQxgrmJnzgP0"",""'TP# look up'!A:C""),3,0),"""")"),"")</f>
        <v/>
      </c>
      <c r="AH7443" s="49">
        <f>LEFT(J7443,2)</f>
        <v/>
      </c>
    </row>
    <row r="7444" ht="12.75" customHeight="1">
      <c r="H7444" s="43" t="n"/>
      <c r="AG7444" s="49">
        <f>IFERROR(__xludf.DUMMYFUNCTION("IFNA(vlookup(H7444,IMPORTRANGE(""1vUGwO1n0QQGx9kKbO0_M5gmuhXZ6-LaxQxgrmJnzgP0"",""'TP# look up'!A:C""),3,0),"""")"),"")</f>
        <v/>
      </c>
      <c r="AH7444" s="49">
        <f>LEFT(J7444,2)</f>
        <v/>
      </c>
    </row>
    <row r="7445" ht="12.75" customHeight="1">
      <c r="H7445" s="43" t="n"/>
      <c r="AG7445" s="49">
        <f>IFERROR(__xludf.DUMMYFUNCTION("IFNA(vlookup(H7445,IMPORTRANGE(""1vUGwO1n0QQGx9kKbO0_M5gmuhXZ6-LaxQxgrmJnzgP0"",""'TP# look up'!A:C""),3,0),"""")"),"")</f>
        <v/>
      </c>
      <c r="AH7445" s="49">
        <f>LEFT(J7445,2)</f>
        <v/>
      </c>
    </row>
    <row r="7446" ht="12.75" customHeight="1">
      <c r="H7446" s="43" t="n"/>
      <c r="AG7446" s="49">
        <f>IFERROR(__xludf.DUMMYFUNCTION("IFNA(vlookup(H7446,IMPORTRANGE(""1vUGwO1n0QQGx9kKbO0_M5gmuhXZ6-LaxQxgrmJnzgP0"",""'TP# look up'!A:C""),3,0),"""")"),"")</f>
        <v/>
      </c>
      <c r="AH7446" s="49">
        <f>LEFT(J7446,2)</f>
        <v/>
      </c>
    </row>
    <row r="7447" ht="12.75" customHeight="1">
      <c r="H7447" s="43" t="n"/>
      <c r="AG7447" s="49">
        <f>IFERROR(__xludf.DUMMYFUNCTION("IFNA(vlookup(H7447,IMPORTRANGE(""1vUGwO1n0QQGx9kKbO0_M5gmuhXZ6-LaxQxgrmJnzgP0"",""'TP# look up'!A:C""),3,0),"""")"),"")</f>
        <v/>
      </c>
      <c r="AH7447" s="49">
        <f>LEFT(J7447,2)</f>
        <v/>
      </c>
    </row>
    <row r="7448" ht="12.75" customHeight="1">
      <c r="H7448" s="43" t="n"/>
      <c r="AG7448" s="49">
        <f>IFERROR(__xludf.DUMMYFUNCTION("IFNA(vlookup(H7448,IMPORTRANGE(""1vUGwO1n0QQGx9kKbO0_M5gmuhXZ6-LaxQxgrmJnzgP0"",""'TP# look up'!A:C""),3,0),"""")"),"")</f>
        <v/>
      </c>
      <c r="AH7448" s="49">
        <f>LEFT(J7448,2)</f>
        <v/>
      </c>
    </row>
    <row r="7449" ht="12.75" customHeight="1">
      <c r="H7449" s="43" t="n"/>
      <c r="AG7449" s="49">
        <f>IFERROR(__xludf.DUMMYFUNCTION("IFNA(vlookup(H7449,IMPORTRANGE(""1vUGwO1n0QQGx9kKbO0_M5gmuhXZ6-LaxQxgrmJnzgP0"",""'TP# look up'!A:C""),3,0),"""")"),"")</f>
        <v/>
      </c>
      <c r="AH7449" s="49">
        <f>LEFT(J7449,2)</f>
        <v/>
      </c>
    </row>
    <row r="7450" ht="12.75" customHeight="1">
      <c r="H7450" s="43" t="n"/>
      <c r="AG7450" s="49">
        <f>IFERROR(__xludf.DUMMYFUNCTION("IFNA(vlookup(H7450,IMPORTRANGE(""1vUGwO1n0QQGx9kKbO0_M5gmuhXZ6-LaxQxgrmJnzgP0"",""'TP# look up'!A:C""),3,0),"""")"),"")</f>
        <v/>
      </c>
      <c r="AH7450" s="49">
        <f>LEFT(J7450,2)</f>
        <v/>
      </c>
    </row>
    <row r="7451" ht="12.75" customHeight="1">
      <c r="H7451" s="43" t="n"/>
      <c r="AG7451" s="49">
        <f>IFERROR(__xludf.DUMMYFUNCTION("IFNA(vlookup(H7451,IMPORTRANGE(""1vUGwO1n0QQGx9kKbO0_M5gmuhXZ6-LaxQxgrmJnzgP0"",""'TP# look up'!A:C""),3,0),"""")"),"")</f>
        <v/>
      </c>
      <c r="AH7451" s="49">
        <f>LEFT(J7451,2)</f>
        <v/>
      </c>
    </row>
    <row r="7452" ht="12.75" customHeight="1">
      <c r="H7452" s="43" t="n"/>
      <c r="AG7452" s="49">
        <f>IFERROR(__xludf.DUMMYFUNCTION("IFNA(vlookup(H7452,IMPORTRANGE(""1vUGwO1n0QQGx9kKbO0_M5gmuhXZ6-LaxQxgrmJnzgP0"",""'TP# look up'!A:C""),3,0),"""")"),"")</f>
        <v/>
      </c>
      <c r="AH7452" s="49">
        <f>LEFT(J7452,2)</f>
        <v/>
      </c>
    </row>
    <row r="7453" ht="12.75" customHeight="1">
      <c r="H7453" s="43" t="n"/>
      <c r="AG7453" s="49">
        <f>IFERROR(__xludf.DUMMYFUNCTION("IFNA(vlookup(H7453,IMPORTRANGE(""1vUGwO1n0QQGx9kKbO0_M5gmuhXZ6-LaxQxgrmJnzgP0"",""'TP# look up'!A:C""),3,0),"""")"),"")</f>
        <v/>
      </c>
      <c r="AH7453" s="49">
        <f>LEFT(J7453,2)</f>
        <v/>
      </c>
    </row>
    <row r="7454" ht="12.75" customHeight="1">
      <c r="H7454" s="43" t="n"/>
      <c r="AG7454" s="49">
        <f>IFERROR(__xludf.DUMMYFUNCTION("IFNA(vlookup(H7454,IMPORTRANGE(""1vUGwO1n0QQGx9kKbO0_M5gmuhXZ6-LaxQxgrmJnzgP0"",""'TP# look up'!A:C""),3,0),"""")"),"")</f>
        <v/>
      </c>
      <c r="AH7454" s="49">
        <f>LEFT(J7454,2)</f>
        <v/>
      </c>
    </row>
    <row r="7455" ht="12.75" customHeight="1">
      <c r="H7455" s="43" t="n"/>
      <c r="AG7455" s="49">
        <f>IFERROR(__xludf.DUMMYFUNCTION("IFNA(vlookup(H7455,IMPORTRANGE(""1vUGwO1n0QQGx9kKbO0_M5gmuhXZ6-LaxQxgrmJnzgP0"",""'TP# look up'!A:C""),3,0),"""")"),"")</f>
        <v/>
      </c>
      <c r="AH7455" s="49">
        <f>LEFT(J7455,2)</f>
        <v/>
      </c>
    </row>
    <row r="7456" ht="12.75" customHeight="1">
      <c r="H7456" s="43" t="n"/>
      <c r="AG7456" s="49">
        <f>IFERROR(__xludf.DUMMYFUNCTION("IFNA(vlookup(H7456,IMPORTRANGE(""1vUGwO1n0QQGx9kKbO0_M5gmuhXZ6-LaxQxgrmJnzgP0"",""'TP# look up'!A:C""),3,0),"""")"),"")</f>
        <v/>
      </c>
      <c r="AH7456" s="49">
        <f>LEFT(J7456,2)</f>
        <v/>
      </c>
    </row>
    <row r="7457" ht="12.75" customHeight="1">
      <c r="H7457" s="43" t="n"/>
      <c r="AG7457" s="49">
        <f>IFERROR(__xludf.DUMMYFUNCTION("IFNA(vlookup(H7457,IMPORTRANGE(""1vUGwO1n0QQGx9kKbO0_M5gmuhXZ6-LaxQxgrmJnzgP0"",""'TP# look up'!A:C""),3,0),"""")"),"")</f>
        <v/>
      </c>
      <c r="AH7457" s="49">
        <f>LEFT(J7457,2)</f>
        <v/>
      </c>
    </row>
    <row r="7458" ht="12.75" customHeight="1">
      <c r="H7458" s="43" t="n"/>
      <c r="AG7458" s="49">
        <f>IFERROR(__xludf.DUMMYFUNCTION("IFNA(vlookup(H7458,IMPORTRANGE(""1vUGwO1n0QQGx9kKbO0_M5gmuhXZ6-LaxQxgrmJnzgP0"",""'TP# look up'!A:C""),3,0),"""")"),"")</f>
        <v/>
      </c>
      <c r="AH7458" s="49">
        <f>LEFT(J7458,2)</f>
        <v/>
      </c>
    </row>
    <row r="7459" ht="12.75" customHeight="1">
      <c r="H7459" s="43" t="n"/>
      <c r="AG7459" s="49">
        <f>IFERROR(__xludf.DUMMYFUNCTION("IFNA(vlookup(H7459,IMPORTRANGE(""1vUGwO1n0QQGx9kKbO0_M5gmuhXZ6-LaxQxgrmJnzgP0"",""'TP# look up'!A:C""),3,0),"""")"),"")</f>
        <v/>
      </c>
      <c r="AH7459" s="49">
        <f>LEFT(J7459,2)</f>
        <v/>
      </c>
    </row>
    <row r="7460" ht="12.75" customHeight="1">
      <c r="H7460" s="43" t="n"/>
      <c r="AG7460" s="49">
        <f>IFERROR(__xludf.DUMMYFUNCTION("IFNA(vlookup(H7460,IMPORTRANGE(""1vUGwO1n0QQGx9kKbO0_M5gmuhXZ6-LaxQxgrmJnzgP0"",""'TP# look up'!A:C""),3,0),"""")"),"")</f>
        <v/>
      </c>
      <c r="AH7460" s="49">
        <f>LEFT(J7460,2)</f>
        <v/>
      </c>
    </row>
    <row r="7461" ht="12.75" customHeight="1">
      <c r="H7461" s="43" t="n"/>
      <c r="AG7461" s="49">
        <f>IFERROR(__xludf.DUMMYFUNCTION("IFNA(vlookup(H7461,IMPORTRANGE(""1vUGwO1n0QQGx9kKbO0_M5gmuhXZ6-LaxQxgrmJnzgP0"",""'TP# look up'!A:C""),3,0),"""")"),"")</f>
        <v/>
      </c>
      <c r="AH7461" s="49">
        <f>LEFT(J7461,2)</f>
        <v/>
      </c>
    </row>
    <row r="7462" ht="12.75" customHeight="1">
      <c r="H7462" s="43" t="n"/>
      <c r="AG7462" s="49">
        <f>IFERROR(__xludf.DUMMYFUNCTION("IFNA(vlookup(H7462,IMPORTRANGE(""1vUGwO1n0QQGx9kKbO0_M5gmuhXZ6-LaxQxgrmJnzgP0"",""'TP# look up'!A:C""),3,0),"""")"),"")</f>
        <v/>
      </c>
      <c r="AH7462" s="49">
        <f>LEFT(J7462,2)</f>
        <v/>
      </c>
    </row>
    <row r="7463" ht="12.75" customHeight="1">
      <c r="H7463" s="43" t="n"/>
      <c r="AG7463" s="49">
        <f>IFERROR(__xludf.DUMMYFUNCTION("IFNA(vlookup(H7463,IMPORTRANGE(""1vUGwO1n0QQGx9kKbO0_M5gmuhXZ6-LaxQxgrmJnzgP0"",""'TP# look up'!A:C""),3,0),"""")"),"")</f>
        <v/>
      </c>
      <c r="AH7463" s="49">
        <f>LEFT(J7463,2)</f>
        <v/>
      </c>
    </row>
    <row r="7464" ht="12.75" customHeight="1">
      <c r="H7464" s="43" t="n"/>
      <c r="AG7464" s="49">
        <f>IFERROR(__xludf.DUMMYFUNCTION("IFNA(vlookup(H7464,IMPORTRANGE(""1vUGwO1n0QQGx9kKbO0_M5gmuhXZ6-LaxQxgrmJnzgP0"",""'TP# look up'!A:C""),3,0),"""")"),"")</f>
        <v/>
      </c>
      <c r="AH7464" s="49">
        <f>LEFT(J7464,2)</f>
        <v/>
      </c>
    </row>
    <row r="7465" ht="12.75" customHeight="1">
      <c r="H7465" s="43" t="n"/>
      <c r="AG7465" s="49">
        <f>IFERROR(__xludf.DUMMYFUNCTION("IFNA(vlookup(H7465,IMPORTRANGE(""1vUGwO1n0QQGx9kKbO0_M5gmuhXZ6-LaxQxgrmJnzgP0"",""'TP# look up'!A:C""),3,0),"""")"),"")</f>
        <v/>
      </c>
      <c r="AH7465" s="49">
        <f>LEFT(J7465,2)</f>
        <v/>
      </c>
    </row>
    <row r="7466" ht="12.75" customHeight="1">
      <c r="H7466" s="43" t="n"/>
      <c r="AG7466" s="49">
        <f>IFERROR(__xludf.DUMMYFUNCTION("IFNA(vlookup(H7466,IMPORTRANGE(""1vUGwO1n0QQGx9kKbO0_M5gmuhXZ6-LaxQxgrmJnzgP0"",""'TP# look up'!A:C""),3,0),"""")"),"")</f>
        <v/>
      </c>
      <c r="AH7466" s="49">
        <f>LEFT(J7466,2)</f>
        <v/>
      </c>
    </row>
    <row r="7467" ht="12.75" customHeight="1">
      <c r="H7467" s="43" t="n"/>
      <c r="AG7467" s="49">
        <f>IFERROR(__xludf.DUMMYFUNCTION("IFNA(vlookup(H7467,IMPORTRANGE(""1vUGwO1n0QQGx9kKbO0_M5gmuhXZ6-LaxQxgrmJnzgP0"",""'TP# look up'!A:C""),3,0),"""")"),"")</f>
        <v/>
      </c>
      <c r="AH7467" s="49">
        <f>LEFT(J7467,2)</f>
        <v/>
      </c>
    </row>
    <row r="7468" ht="12.75" customHeight="1">
      <c r="H7468" s="43" t="n"/>
      <c r="AG7468" s="49">
        <f>IFERROR(__xludf.DUMMYFUNCTION("IFNA(vlookup(H7468,IMPORTRANGE(""1vUGwO1n0QQGx9kKbO0_M5gmuhXZ6-LaxQxgrmJnzgP0"",""'TP# look up'!A:C""),3,0),"""")"),"")</f>
        <v/>
      </c>
      <c r="AH7468" s="49">
        <f>LEFT(J7468,2)</f>
        <v/>
      </c>
    </row>
    <row r="7469" ht="12.75" customHeight="1">
      <c r="H7469" s="43" t="n"/>
      <c r="AG7469" s="49">
        <f>IFERROR(__xludf.DUMMYFUNCTION("IFNA(vlookup(H7469,IMPORTRANGE(""1vUGwO1n0QQGx9kKbO0_M5gmuhXZ6-LaxQxgrmJnzgP0"",""'TP# look up'!A:C""),3,0),"""")"),"")</f>
        <v/>
      </c>
      <c r="AH7469" s="49">
        <f>LEFT(J7469,2)</f>
        <v/>
      </c>
    </row>
    <row r="7470" ht="12.75" customHeight="1">
      <c r="H7470" s="43" t="n"/>
      <c r="AG7470" s="49">
        <f>IFERROR(__xludf.DUMMYFUNCTION("IFNA(vlookup(H7470,IMPORTRANGE(""1vUGwO1n0QQGx9kKbO0_M5gmuhXZ6-LaxQxgrmJnzgP0"",""'TP# look up'!A:C""),3,0),"""")"),"")</f>
        <v/>
      </c>
      <c r="AH7470" s="49">
        <f>LEFT(J7470,2)</f>
        <v/>
      </c>
    </row>
    <row r="7471" ht="12.75" customHeight="1">
      <c r="H7471" s="43" t="n"/>
      <c r="AG7471" s="49">
        <f>IFERROR(__xludf.DUMMYFUNCTION("IFNA(vlookup(H7471,IMPORTRANGE(""1vUGwO1n0QQGx9kKbO0_M5gmuhXZ6-LaxQxgrmJnzgP0"",""'TP# look up'!A:C""),3,0),"""")"),"")</f>
        <v/>
      </c>
      <c r="AH7471" s="49">
        <f>LEFT(J7471,2)</f>
        <v/>
      </c>
    </row>
    <row r="7472" ht="12.75" customHeight="1">
      <c r="H7472" s="43" t="n"/>
      <c r="AG7472" s="49">
        <f>IFERROR(__xludf.DUMMYFUNCTION("IFNA(vlookup(H7472,IMPORTRANGE(""1vUGwO1n0QQGx9kKbO0_M5gmuhXZ6-LaxQxgrmJnzgP0"",""'TP# look up'!A:C""),3,0),"""")"),"")</f>
        <v/>
      </c>
      <c r="AH7472" s="49">
        <f>LEFT(J7472,2)</f>
        <v/>
      </c>
    </row>
    <row r="7473" ht="12.75" customHeight="1">
      <c r="H7473" s="43" t="n"/>
      <c r="AG7473" s="49">
        <f>IFERROR(__xludf.DUMMYFUNCTION("IFNA(vlookup(H7473,IMPORTRANGE(""1vUGwO1n0QQGx9kKbO0_M5gmuhXZ6-LaxQxgrmJnzgP0"",""'TP# look up'!A:C""),3,0),"""")"),"")</f>
        <v/>
      </c>
      <c r="AH7473" s="49">
        <f>LEFT(J7473,2)</f>
        <v/>
      </c>
    </row>
    <row r="7474" ht="12.75" customHeight="1">
      <c r="H7474" s="43" t="n"/>
      <c r="AG7474" s="49">
        <f>IFERROR(__xludf.DUMMYFUNCTION("IFNA(vlookup(H7474,IMPORTRANGE(""1vUGwO1n0QQGx9kKbO0_M5gmuhXZ6-LaxQxgrmJnzgP0"",""'TP# look up'!A:C""),3,0),"""")"),"")</f>
        <v/>
      </c>
      <c r="AH7474" s="49">
        <f>LEFT(J7474,2)</f>
        <v/>
      </c>
    </row>
    <row r="7475" ht="12.75" customHeight="1">
      <c r="H7475" s="43" t="n"/>
      <c r="AG7475" s="49">
        <f>IFERROR(__xludf.DUMMYFUNCTION("IFNA(vlookup(H7475,IMPORTRANGE(""1vUGwO1n0QQGx9kKbO0_M5gmuhXZ6-LaxQxgrmJnzgP0"",""'TP# look up'!A:C""),3,0),"""")"),"")</f>
        <v/>
      </c>
      <c r="AH7475" s="49">
        <f>LEFT(J7475,2)</f>
        <v/>
      </c>
    </row>
    <row r="7476" ht="12.75" customHeight="1">
      <c r="H7476" s="43" t="n"/>
      <c r="AG7476" s="49">
        <f>IFERROR(__xludf.DUMMYFUNCTION("IFNA(vlookup(H7476,IMPORTRANGE(""1vUGwO1n0QQGx9kKbO0_M5gmuhXZ6-LaxQxgrmJnzgP0"",""'TP# look up'!A:C""),3,0),"""")"),"")</f>
        <v/>
      </c>
      <c r="AH7476" s="49">
        <f>LEFT(J7476,2)</f>
        <v/>
      </c>
    </row>
    <row r="7477" ht="12.75" customHeight="1">
      <c r="H7477" s="43" t="n"/>
      <c r="AG7477" s="49">
        <f>IFERROR(__xludf.DUMMYFUNCTION("IFNA(vlookup(H7477,IMPORTRANGE(""1vUGwO1n0QQGx9kKbO0_M5gmuhXZ6-LaxQxgrmJnzgP0"",""'TP# look up'!A:C""),3,0),"""")"),"")</f>
        <v/>
      </c>
      <c r="AH7477" s="49">
        <f>LEFT(J7477,2)</f>
        <v/>
      </c>
    </row>
    <row r="7478" ht="12.75" customHeight="1">
      <c r="H7478" s="43" t="n"/>
      <c r="AG7478" s="49">
        <f>IFERROR(__xludf.DUMMYFUNCTION("IFNA(vlookup(H7478,IMPORTRANGE(""1vUGwO1n0QQGx9kKbO0_M5gmuhXZ6-LaxQxgrmJnzgP0"",""'TP# look up'!A:C""),3,0),"""")"),"")</f>
        <v/>
      </c>
      <c r="AH7478" s="49">
        <f>LEFT(J7478,2)</f>
        <v/>
      </c>
    </row>
    <row r="7479" ht="12.75" customHeight="1">
      <c r="H7479" s="43" t="n"/>
      <c r="AG7479" s="49">
        <f>IFERROR(__xludf.DUMMYFUNCTION("IFNA(vlookup(H7479,IMPORTRANGE(""1vUGwO1n0QQGx9kKbO0_M5gmuhXZ6-LaxQxgrmJnzgP0"",""'TP# look up'!A:C""),3,0),"""")"),"")</f>
        <v/>
      </c>
      <c r="AH7479" s="49">
        <f>LEFT(J7479,2)</f>
        <v/>
      </c>
    </row>
    <row r="7480" ht="12.75" customHeight="1">
      <c r="H7480" s="43" t="n"/>
      <c r="AG7480" s="49">
        <f>IFERROR(__xludf.DUMMYFUNCTION("IFNA(vlookup(H7480,IMPORTRANGE(""1vUGwO1n0QQGx9kKbO0_M5gmuhXZ6-LaxQxgrmJnzgP0"",""'TP# look up'!A:C""),3,0),"""")"),"")</f>
        <v/>
      </c>
      <c r="AH7480" s="49">
        <f>LEFT(J7480,2)</f>
        <v/>
      </c>
    </row>
    <row r="7481" ht="12.75" customHeight="1">
      <c r="H7481" s="43" t="n"/>
      <c r="AG7481" s="49">
        <f>IFERROR(__xludf.DUMMYFUNCTION("IFNA(vlookup(H7481,IMPORTRANGE(""1vUGwO1n0QQGx9kKbO0_M5gmuhXZ6-LaxQxgrmJnzgP0"",""'TP# look up'!A:C""),3,0),"""")"),"")</f>
        <v/>
      </c>
      <c r="AH7481" s="49">
        <f>LEFT(J7481,2)</f>
        <v/>
      </c>
    </row>
    <row r="7482" ht="12.75" customHeight="1">
      <c r="H7482" s="43" t="n"/>
      <c r="AG7482" s="49">
        <f>IFERROR(__xludf.DUMMYFUNCTION("IFNA(vlookup(H7482,IMPORTRANGE(""1vUGwO1n0QQGx9kKbO0_M5gmuhXZ6-LaxQxgrmJnzgP0"",""'TP# look up'!A:C""),3,0),"""")"),"")</f>
        <v/>
      </c>
      <c r="AH7482" s="49">
        <f>LEFT(J7482,2)</f>
        <v/>
      </c>
    </row>
    <row r="7483" ht="12.75" customHeight="1">
      <c r="H7483" s="43" t="n"/>
      <c r="AG7483" s="49">
        <f>IFERROR(__xludf.DUMMYFUNCTION("IFNA(vlookup(H7483,IMPORTRANGE(""1vUGwO1n0QQGx9kKbO0_M5gmuhXZ6-LaxQxgrmJnzgP0"",""'TP# look up'!A:C""),3,0),"""")"),"")</f>
        <v/>
      </c>
      <c r="AH7483" s="49">
        <f>LEFT(J7483,2)</f>
        <v/>
      </c>
    </row>
    <row r="7484" ht="12.75" customHeight="1">
      <c r="H7484" s="43" t="n"/>
      <c r="AG7484" s="49">
        <f>IFERROR(__xludf.DUMMYFUNCTION("IFNA(vlookup(H7484,IMPORTRANGE(""1vUGwO1n0QQGx9kKbO0_M5gmuhXZ6-LaxQxgrmJnzgP0"",""'TP# look up'!A:C""),3,0),"""")"),"")</f>
        <v/>
      </c>
      <c r="AH7484" s="49">
        <f>LEFT(J7484,2)</f>
        <v/>
      </c>
    </row>
    <row r="7485" ht="12.75" customHeight="1">
      <c r="H7485" s="43" t="n"/>
      <c r="AG7485" s="49">
        <f>IFERROR(__xludf.DUMMYFUNCTION("IFNA(vlookup(H7485,IMPORTRANGE(""1vUGwO1n0QQGx9kKbO0_M5gmuhXZ6-LaxQxgrmJnzgP0"",""'TP# look up'!A:C""),3,0),"""")"),"")</f>
        <v/>
      </c>
      <c r="AH7485" s="49">
        <f>LEFT(J7485,2)</f>
        <v/>
      </c>
    </row>
    <row r="7486" ht="12.75" customHeight="1">
      <c r="H7486" s="43" t="n"/>
      <c r="AG7486" s="49">
        <f>IFERROR(__xludf.DUMMYFUNCTION("IFNA(vlookup(H7486,IMPORTRANGE(""1vUGwO1n0QQGx9kKbO0_M5gmuhXZ6-LaxQxgrmJnzgP0"",""'TP# look up'!A:C""),3,0),"""")"),"")</f>
        <v/>
      </c>
      <c r="AH7486" s="49">
        <f>LEFT(J7486,2)</f>
        <v/>
      </c>
    </row>
    <row r="7487" ht="12.75" customHeight="1">
      <c r="H7487" s="43" t="n"/>
      <c r="AG7487" s="49">
        <f>IFERROR(__xludf.DUMMYFUNCTION("IFNA(vlookup(H7487,IMPORTRANGE(""1vUGwO1n0QQGx9kKbO0_M5gmuhXZ6-LaxQxgrmJnzgP0"",""'TP# look up'!A:C""),3,0),"""")"),"")</f>
        <v/>
      </c>
      <c r="AH7487" s="49">
        <f>LEFT(J7487,2)</f>
        <v/>
      </c>
    </row>
    <row r="7488" ht="12.75" customHeight="1">
      <c r="H7488" s="43" t="n"/>
      <c r="AG7488" s="49">
        <f>IFERROR(__xludf.DUMMYFUNCTION("IFNA(vlookup(H7488,IMPORTRANGE(""1vUGwO1n0QQGx9kKbO0_M5gmuhXZ6-LaxQxgrmJnzgP0"",""'TP# look up'!A:C""),3,0),"""")"),"")</f>
        <v/>
      </c>
      <c r="AH7488" s="49">
        <f>LEFT(J7488,2)</f>
        <v/>
      </c>
    </row>
    <row r="7489" ht="12.75" customHeight="1">
      <c r="H7489" s="43" t="n"/>
      <c r="AG7489" s="49">
        <f>IFERROR(__xludf.DUMMYFUNCTION("IFNA(vlookup(H7489,IMPORTRANGE(""1vUGwO1n0QQGx9kKbO0_M5gmuhXZ6-LaxQxgrmJnzgP0"",""'TP# look up'!A:C""),3,0),"""")"),"")</f>
        <v/>
      </c>
      <c r="AH7489" s="49">
        <f>LEFT(J7489,2)</f>
        <v/>
      </c>
    </row>
    <row r="7490" ht="12.75" customHeight="1">
      <c r="H7490" s="43" t="n"/>
      <c r="AG7490" s="49">
        <f>IFERROR(__xludf.DUMMYFUNCTION("IFNA(vlookup(H7490,IMPORTRANGE(""1vUGwO1n0QQGx9kKbO0_M5gmuhXZ6-LaxQxgrmJnzgP0"",""'TP# look up'!A:C""),3,0),"""")"),"")</f>
        <v/>
      </c>
      <c r="AH7490" s="49">
        <f>LEFT(J7490,2)</f>
        <v/>
      </c>
    </row>
    <row r="7491" ht="12.75" customHeight="1">
      <c r="H7491" s="43" t="n"/>
      <c r="AG7491" s="49">
        <f>IFERROR(__xludf.DUMMYFUNCTION("IFNA(vlookup(H7491,IMPORTRANGE(""1vUGwO1n0QQGx9kKbO0_M5gmuhXZ6-LaxQxgrmJnzgP0"",""'TP# look up'!A:C""),3,0),"""")"),"")</f>
        <v/>
      </c>
      <c r="AH7491" s="49">
        <f>LEFT(J7491,2)</f>
        <v/>
      </c>
    </row>
    <row r="7492" ht="12.75" customHeight="1">
      <c r="H7492" s="43" t="n"/>
      <c r="AG7492" s="49">
        <f>IFERROR(__xludf.DUMMYFUNCTION("IFNA(vlookup(H7492,IMPORTRANGE(""1vUGwO1n0QQGx9kKbO0_M5gmuhXZ6-LaxQxgrmJnzgP0"",""'TP# look up'!A:C""),3,0),"""")"),"")</f>
        <v/>
      </c>
      <c r="AH7492" s="49">
        <f>LEFT(J7492,2)</f>
        <v/>
      </c>
    </row>
    <row r="7493" ht="12.75" customHeight="1">
      <c r="H7493" s="43" t="n"/>
      <c r="AG7493" s="49">
        <f>IFERROR(__xludf.DUMMYFUNCTION("IFNA(vlookup(H7493,IMPORTRANGE(""1vUGwO1n0QQGx9kKbO0_M5gmuhXZ6-LaxQxgrmJnzgP0"",""'TP# look up'!A:C""),3,0),"""")"),"")</f>
        <v/>
      </c>
      <c r="AH7493" s="49">
        <f>LEFT(J7493,2)</f>
        <v/>
      </c>
    </row>
    <row r="7494" ht="12.75" customHeight="1">
      <c r="H7494" s="43" t="n"/>
      <c r="AG7494" s="49">
        <f>IFERROR(__xludf.DUMMYFUNCTION("IFNA(vlookup(H7494,IMPORTRANGE(""1vUGwO1n0QQGx9kKbO0_M5gmuhXZ6-LaxQxgrmJnzgP0"",""'TP# look up'!A:C""),3,0),"""")"),"")</f>
        <v/>
      </c>
      <c r="AH7494" s="49">
        <f>LEFT(J7494,2)</f>
        <v/>
      </c>
    </row>
    <row r="7495" ht="12.75" customHeight="1">
      <c r="H7495" s="43" t="n"/>
      <c r="AG7495" s="49">
        <f>IFERROR(__xludf.DUMMYFUNCTION("IFNA(vlookup(H7495,IMPORTRANGE(""1vUGwO1n0QQGx9kKbO0_M5gmuhXZ6-LaxQxgrmJnzgP0"",""'TP# look up'!A:C""),3,0),"""")"),"")</f>
        <v/>
      </c>
      <c r="AH7495" s="49">
        <f>LEFT(J7495,2)</f>
        <v/>
      </c>
    </row>
    <row r="7496" ht="12.75" customHeight="1">
      <c r="H7496" s="43" t="n"/>
      <c r="AG7496" s="49">
        <f>IFERROR(__xludf.DUMMYFUNCTION("IFNA(vlookup(H7496,IMPORTRANGE(""1vUGwO1n0QQGx9kKbO0_M5gmuhXZ6-LaxQxgrmJnzgP0"",""'TP# look up'!A:C""),3,0),"""")"),"")</f>
        <v/>
      </c>
      <c r="AH7496" s="49">
        <f>LEFT(J7496,2)</f>
        <v/>
      </c>
    </row>
    <row r="7497" ht="12.75" customHeight="1">
      <c r="H7497" s="43" t="n"/>
      <c r="AG7497" s="49">
        <f>IFERROR(__xludf.DUMMYFUNCTION("IFNA(vlookup(H7497,IMPORTRANGE(""1vUGwO1n0QQGx9kKbO0_M5gmuhXZ6-LaxQxgrmJnzgP0"",""'TP# look up'!A:C""),3,0),"""")"),"")</f>
        <v/>
      </c>
      <c r="AH7497" s="49">
        <f>LEFT(J7497,2)</f>
        <v/>
      </c>
    </row>
    <row r="7498" ht="12.75" customHeight="1">
      <c r="H7498" s="43" t="n"/>
      <c r="AG7498" s="49">
        <f>IFERROR(__xludf.DUMMYFUNCTION("IFNA(vlookup(H7498,IMPORTRANGE(""1vUGwO1n0QQGx9kKbO0_M5gmuhXZ6-LaxQxgrmJnzgP0"",""'TP# look up'!A:C""),3,0),"""")"),"")</f>
        <v/>
      </c>
      <c r="AH7498" s="49">
        <f>LEFT(J7498,2)</f>
        <v/>
      </c>
    </row>
    <row r="7499" ht="12.75" customHeight="1">
      <c r="H7499" s="43" t="n"/>
      <c r="AG7499" s="49">
        <f>IFERROR(__xludf.DUMMYFUNCTION("IFNA(vlookup(H7499,IMPORTRANGE(""1vUGwO1n0QQGx9kKbO0_M5gmuhXZ6-LaxQxgrmJnzgP0"",""'TP# look up'!A:C""),3,0),"""")"),"")</f>
        <v/>
      </c>
      <c r="AH7499" s="49">
        <f>LEFT(J7499,2)</f>
        <v/>
      </c>
    </row>
    <row r="7500" ht="12.75" customHeight="1">
      <c r="H7500" s="43" t="n"/>
      <c r="AG7500" s="49">
        <f>IFERROR(__xludf.DUMMYFUNCTION("IFNA(vlookup(H7500,IMPORTRANGE(""1vUGwO1n0QQGx9kKbO0_M5gmuhXZ6-LaxQxgrmJnzgP0"",""'TP# look up'!A:C""),3,0),"""")"),"")</f>
        <v/>
      </c>
      <c r="AH7500" s="49">
        <f>LEFT(J7500,2)</f>
        <v/>
      </c>
    </row>
    <row r="7501" ht="12.75" customHeight="1">
      <c r="H7501" s="43" t="n"/>
      <c r="AG7501" s="49">
        <f>IFERROR(__xludf.DUMMYFUNCTION("IFNA(vlookup(H7501,IMPORTRANGE(""1vUGwO1n0QQGx9kKbO0_M5gmuhXZ6-LaxQxgrmJnzgP0"",""'TP# look up'!A:C""),3,0),"""")"),"")</f>
        <v/>
      </c>
      <c r="AH7501" s="49">
        <f>LEFT(J7501,2)</f>
        <v/>
      </c>
    </row>
    <row r="7502" ht="12.75" customHeight="1">
      <c r="H7502" s="43" t="n"/>
      <c r="AG7502" s="49">
        <f>IFERROR(__xludf.DUMMYFUNCTION("IFNA(vlookup(H7502,IMPORTRANGE(""1vUGwO1n0QQGx9kKbO0_M5gmuhXZ6-LaxQxgrmJnzgP0"",""'TP# look up'!A:C""),3,0),"""")"),"")</f>
        <v/>
      </c>
      <c r="AH7502" s="49">
        <f>LEFT(J7502,2)</f>
        <v/>
      </c>
    </row>
    <row r="7503" ht="12.75" customHeight="1">
      <c r="H7503" s="43" t="n"/>
      <c r="AG7503" s="49">
        <f>IFERROR(__xludf.DUMMYFUNCTION("IFNA(vlookup(H7503,IMPORTRANGE(""1vUGwO1n0QQGx9kKbO0_M5gmuhXZ6-LaxQxgrmJnzgP0"",""'TP# look up'!A:C""),3,0),"""")"),"")</f>
        <v/>
      </c>
      <c r="AH7503" s="49">
        <f>LEFT(J7503,2)</f>
        <v/>
      </c>
    </row>
    <row r="7504" ht="12.75" customHeight="1">
      <c r="H7504" s="43" t="n"/>
      <c r="AG7504" s="49">
        <f>IFERROR(__xludf.DUMMYFUNCTION("IFNA(vlookup(H7504,IMPORTRANGE(""1vUGwO1n0QQGx9kKbO0_M5gmuhXZ6-LaxQxgrmJnzgP0"",""'TP# look up'!A:C""),3,0),"""")"),"")</f>
        <v/>
      </c>
      <c r="AH7504" s="49">
        <f>LEFT(J7504,2)</f>
        <v/>
      </c>
    </row>
    <row r="7505" ht="12.75" customHeight="1">
      <c r="H7505" s="43" t="n"/>
      <c r="AG7505" s="49">
        <f>IFERROR(__xludf.DUMMYFUNCTION("IFNA(vlookup(H7505,IMPORTRANGE(""1vUGwO1n0QQGx9kKbO0_M5gmuhXZ6-LaxQxgrmJnzgP0"",""'TP# look up'!A:C""),3,0),"""")"),"")</f>
        <v/>
      </c>
      <c r="AH7505" s="49">
        <f>LEFT(J7505,2)</f>
        <v/>
      </c>
    </row>
    <row r="7506" ht="12.75" customHeight="1">
      <c r="H7506" s="43" t="n"/>
      <c r="AG7506" s="49">
        <f>IFERROR(__xludf.DUMMYFUNCTION("IFNA(vlookup(H7506,IMPORTRANGE(""1vUGwO1n0QQGx9kKbO0_M5gmuhXZ6-LaxQxgrmJnzgP0"",""'TP# look up'!A:C""),3,0),"""")"),"")</f>
        <v/>
      </c>
      <c r="AH7506" s="49">
        <f>LEFT(J7506,2)</f>
        <v/>
      </c>
    </row>
    <row r="7507" ht="12.75" customHeight="1">
      <c r="H7507" s="43" t="n"/>
      <c r="AG7507" s="49">
        <f>IFERROR(__xludf.DUMMYFUNCTION("IFNA(vlookup(H7507,IMPORTRANGE(""1vUGwO1n0QQGx9kKbO0_M5gmuhXZ6-LaxQxgrmJnzgP0"",""'TP# look up'!A:C""),3,0),"""")"),"")</f>
        <v/>
      </c>
      <c r="AH7507" s="49">
        <f>LEFT(J7507,2)</f>
        <v/>
      </c>
    </row>
    <row r="7508" ht="12.75" customHeight="1">
      <c r="H7508" s="43" t="n"/>
      <c r="AG7508" s="49">
        <f>IFERROR(__xludf.DUMMYFUNCTION("IFNA(vlookup(H7508,IMPORTRANGE(""1vUGwO1n0QQGx9kKbO0_M5gmuhXZ6-LaxQxgrmJnzgP0"",""'TP# look up'!A:C""),3,0),"""")"),"")</f>
        <v/>
      </c>
      <c r="AH7508" s="49">
        <f>LEFT(J7508,2)</f>
        <v/>
      </c>
    </row>
    <row r="7509" ht="12.75" customHeight="1">
      <c r="H7509" s="43" t="n"/>
      <c r="AG7509" s="49">
        <f>IFERROR(__xludf.DUMMYFUNCTION("IFNA(vlookup(H7509,IMPORTRANGE(""1vUGwO1n0QQGx9kKbO0_M5gmuhXZ6-LaxQxgrmJnzgP0"",""'TP# look up'!A:C""),3,0),"""")"),"")</f>
        <v/>
      </c>
      <c r="AH7509" s="49">
        <f>LEFT(J7509,2)</f>
        <v/>
      </c>
    </row>
    <row r="7510" ht="12.75" customHeight="1">
      <c r="H7510" s="43" t="n"/>
      <c r="AG7510" s="49">
        <f>IFERROR(__xludf.DUMMYFUNCTION("IFNA(vlookup(H7510,IMPORTRANGE(""1vUGwO1n0QQGx9kKbO0_M5gmuhXZ6-LaxQxgrmJnzgP0"",""'TP# look up'!A:C""),3,0),"""")"),"")</f>
        <v/>
      </c>
      <c r="AH7510" s="49">
        <f>LEFT(J7510,2)</f>
        <v/>
      </c>
    </row>
    <row r="7511" ht="12.75" customHeight="1">
      <c r="H7511" s="43" t="n"/>
      <c r="AG7511" s="49">
        <f>IFERROR(__xludf.DUMMYFUNCTION("IFNA(vlookup(H7511,IMPORTRANGE(""1vUGwO1n0QQGx9kKbO0_M5gmuhXZ6-LaxQxgrmJnzgP0"",""'TP# look up'!A:C""),3,0),"""")"),"")</f>
        <v/>
      </c>
      <c r="AH7511" s="49">
        <f>LEFT(J7511,2)</f>
        <v/>
      </c>
    </row>
    <row r="7512" ht="12.75" customHeight="1">
      <c r="H7512" s="43" t="n"/>
      <c r="AG7512" s="49">
        <f>IFERROR(__xludf.DUMMYFUNCTION("IFNA(vlookup(H7512,IMPORTRANGE(""1vUGwO1n0QQGx9kKbO0_M5gmuhXZ6-LaxQxgrmJnzgP0"",""'TP# look up'!A:C""),3,0),"""")"),"")</f>
        <v/>
      </c>
      <c r="AH7512" s="49">
        <f>LEFT(J7512,2)</f>
        <v/>
      </c>
    </row>
    <row r="7513" ht="12.75" customHeight="1">
      <c r="H7513" s="43" t="n"/>
      <c r="AG7513" s="49">
        <f>IFERROR(__xludf.DUMMYFUNCTION("IFNA(vlookup(H7513,IMPORTRANGE(""1vUGwO1n0QQGx9kKbO0_M5gmuhXZ6-LaxQxgrmJnzgP0"",""'TP# look up'!A:C""),3,0),"""")"),"")</f>
        <v/>
      </c>
      <c r="AH7513" s="49">
        <f>LEFT(J7513,2)</f>
        <v/>
      </c>
    </row>
    <row r="7514" ht="12.75" customHeight="1">
      <c r="H7514" s="43" t="n"/>
      <c r="AG7514" s="49">
        <f>IFERROR(__xludf.DUMMYFUNCTION("IFNA(vlookup(H7514,IMPORTRANGE(""1vUGwO1n0QQGx9kKbO0_M5gmuhXZ6-LaxQxgrmJnzgP0"",""'TP# look up'!A:C""),3,0),"""")"),"")</f>
        <v/>
      </c>
      <c r="AH7514" s="49">
        <f>LEFT(J7514,2)</f>
        <v/>
      </c>
    </row>
    <row r="7515" ht="12.75" customHeight="1">
      <c r="H7515" s="43" t="n"/>
      <c r="AG7515" s="49">
        <f>IFERROR(__xludf.DUMMYFUNCTION("IFNA(vlookup(H7515,IMPORTRANGE(""1vUGwO1n0QQGx9kKbO0_M5gmuhXZ6-LaxQxgrmJnzgP0"",""'TP# look up'!A:C""),3,0),"""")"),"")</f>
        <v/>
      </c>
      <c r="AH7515" s="49">
        <f>LEFT(J7515,2)</f>
        <v/>
      </c>
    </row>
    <row r="7516" ht="12.75" customHeight="1">
      <c r="H7516" s="43" t="n"/>
      <c r="AG7516" s="49">
        <f>IFERROR(__xludf.DUMMYFUNCTION("IFNA(vlookup(H7516,IMPORTRANGE(""1vUGwO1n0QQGx9kKbO0_M5gmuhXZ6-LaxQxgrmJnzgP0"",""'TP# look up'!A:C""),3,0),"""")"),"")</f>
        <v/>
      </c>
      <c r="AH7516" s="49">
        <f>LEFT(J7516,2)</f>
        <v/>
      </c>
    </row>
    <row r="7517" ht="12.75" customHeight="1">
      <c r="H7517" s="43" t="n"/>
      <c r="AG7517" s="49">
        <f>IFERROR(__xludf.DUMMYFUNCTION("IFNA(vlookup(H7517,IMPORTRANGE(""1vUGwO1n0QQGx9kKbO0_M5gmuhXZ6-LaxQxgrmJnzgP0"",""'TP# look up'!A:C""),3,0),"""")"),"")</f>
        <v/>
      </c>
      <c r="AH7517" s="49">
        <f>LEFT(J7517,2)</f>
        <v/>
      </c>
    </row>
    <row r="7518" ht="12.75" customHeight="1">
      <c r="H7518" s="43" t="n"/>
      <c r="AG7518" s="49">
        <f>IFERROR(__xludf.DUMMYFUNCTION("IFNA(vlookup(H7518,IMPORTRANGE(""1vUGwO1n0QQGx9kKbO0_M5gmuhXZ6-LaxQxgrmJnzgP0"",""'TP# look up'!A:C""),3,0),"""")"),"")</f>
        <v/>
      </c>
      <c r="AH7518" s="49">
        <f>LEFT(J7518,2)</f>
        <v/>
      </c>
    </row>
    <row r="7519" ht="12.75" customHeight="1">
      <c r="H7519" s="43" t="n"/>
      <c r="AG7519" s="49">
        <f>IFERROR(__xludf.DUMMYFUNCTION("IFNA(vlookup(H7519,IMPORTRANGE(""1vUGwO1n0QQGx9kKbO0_M5gmuhXZ6-LaxQxgrmJnzgP0"",""'TP# look up'!A:C""),3,0),"""")"),"")</f>
        <v/>
      </c>
      <c r="AH7519" s="49">
        <f>LEFT(J7519,2)</f>
        <v/>
      </c>
    </row>
    <row r="7520" ht="12.75" customHeight="1">
      <c r="H7520" s="43" t="n"/>
      <c r="AG7520" s="49">
        <f>IFERROR(__xludf.DUMMYFUNCTION("IFNA(vlookup(H7520,IMPORTRANGE(""1vUGwO1n0QQGx9kKbO0_M5gmuhXZ6-LaxQxgrmJnzgP0"",""'TP# look up'!A:C""),3,0),"""")"),"")</f>
        <v/>
      </c>
      <c r="AH7520" s="49">
        <f>LEFT(J7520,2)</f>
        <v/>
      </c>
    </row>
    <row r="7521" ht="12.75" customHeight="1">
      <c r="H7521" s="43" t="n"/>
      <c r="AG7521" s="49">
        <f>IFERROR(__xludf.DUMMYFUNCTION("IFNA(vlookup(H7521,IMPORTRANGE(""1vUGwO1n0QQGx9kKbO0_M5gmuhXZ6-LaxQxgrmJnzgP0"",""'TP# look up'!A:C""),3,0),"""")"),"")</f>
        <v/>
      </c>
      <c r="AH7521" s="49">
        <f>LEFT(J7521,2)</f>
        <v/>
      </c>
    </row>
    <row r="7522" ht="12.75" customHeight="1">
      <c r="H7522" s="43" t="n"/>
      <c r="AG7522" s="49">
        <f>IFERROR(__xludf.DUMMYFUNCTION("IFNA(vlookup(H7522,IMPORTRANGE(""1vUGwO1n0QQGx9kKbO0_M5gmuhXZ6-LaxQxgrmJnzgP0"",""'TP# look up'!A:C""),3,0),"""")"),"")</f>
        <v/>
      </c>
      <c r="AH7522" s="49">
        <f>LEFT(J7522,2)</f>
        <v/>
      </c>
    </row>
    <row r="7523" ht="12.75" customHeight="1">
      <c r="H7523" s="43" t="n"/>
      <c r="AG7523" s="49">
        <f>IFERROR(__xludf.DUMMYFUNCTION("IFNA(vlookup(H7523,IMPORTRANGE(""1vUGwO1n0QQGx9kKbO0_M5gmuhXZ6-LaxQxgrmJnzgP0"",""'TP# look up'!A:C""),3,0),"""")"),"")</f>
        <v/>
      </c>
      <c r="AH7523" s="49">
        <f>LEFT(J7523,2)</f>
        <v/>
      </c>
    </row>
    <row r="7524" ht="12.75" customHeight="1">
      <c r="H7524" s="43" t="n"/>
      <c r="AG7524" s="49">
        <f>IFERROR(__xludf.DUMMYFUNCTION("IFNA(vlookup(H7524,IMPORTRANGE(""1vUGwO1n0QQGx9kKbO0_M5gmuhXZ6-LaxQxgrmJnzgP0"",""'TP# look up'!A:C""),3,0),"""")"),"")</f>
        <v/>
      </c>
      <c r="AH7524" s="49">
        <f>LEFT(J7524,2)</f>
        <v/>
      </c>
    </row>
    <row r="7525" ht="12.75" customHeight="1">
      <c r="H7525" s="43" t="n"/>
      <c r="AG7525" s="49">
        <f>IFERROR(__xludf.DUMMYFUNCTION("IFNA(vlookup(H7525,IMPORTRANGE(""1vUGwO1n0QQGx9kKbO0_M5gmuhXZ6-LaxQxgrmJnzgP0"",""'TP# look up'!A:C""),3,0),"""")"),"")</f>
        <v/>
      </c>
      <c r="AH7525" s="49">
        <f>LEFT(J7525,2)</f>
        <v/>
      </c>
    </row>
    <row r="7526" ht="12.75" customHeight="1">
      <c r="H7526" s="43" t="n"/>
      <c r="AG7526" s="49">
        <f>IFERROR(__xludf.DUMMYFUNCTION("IFNA(vlookup(H7526,IMPORTRANGE(""1vUGwO1n0QQGx9kKbO0_M5gmuhXZ6-LaxQxgrmJnzgP0"",""'TP# look up'!A:C""),3,0),"""")"),"")</f>
        <v/>
      </c>
      <c r="AH7526" s="49">
        <f>LEFT(J7526,2)</f>
        <v/>
      </c>
    </row>
    <row r="7527" ht="12.75" customHeight="1">
      <c r="H7527" s="43" t="n"/>
      <c r="AG7527" s="49">
        <f>IFERROR(__xludf.DUMMYFUNCTION("IFNA(vlookup(H7527,IMPORTRANGE(""1vUGwO1n0QQGx9kKbO0_M5gmuhXZ6-LaxQxgrmJnzgP0"",""'TP# look up'!A:C""),3,0),"""")"),"")</f>
        <v/>
      </c>
      <c r="AH7527" s="49">
        <f>LEFT(J7527,2)</f>
        <v/>
      </c>
    </row>
    <row r="7528" ht="12.75" customHeight="1">
      <c r="H7528" s="43" t="n"/>
      <c r="AG7528" s="49">
        <f>IFERROR(__xludf.DUMMYFUNCTION("IFNA(vlookup(H7528,IMPORTRANGE(""1vUGwO1n0QQGx9kKbO0_M5gmuhXZ6-LaxQxgrmJnzgP0"",""'TP# look up'!A:C""),3,0),"""")"),"")</f>
        <v/>
      </c>
      <c r="AH7528" s="49">
        <f>LEFT(J7528,2)</f>
        <v/>
      </c>
    </row>
    <row r="7529" ht="12.75" customHeight="1">
      <c r="H7529" s="43" t="n"/>
      <c r="AG7529" s="49">
        <f>IFERROR(__xludf.DUMMYFUNCTION("IFNA(vlookup(H7529,IMPORTRANGE(""1vUGwO1n0QQGx9kKbO0_M5gmuhXZ6-LaxQxgrmJnzgP0"",""'TP# look up'!A:C""),3,0),"""")"),"")</f>
        <v/>
      </c>
      <c r="AH7529" s="49">
        <f>LEFT(J7529,2)</f>
        <v/>
      </c>
    </row>
    <row r="7530" ht="12.75" customHeight="1">
      <c r="H7530" s="43" t="n"/>
      <c r="AG7530" s="49">
        <f>IFERROR(__xludf.DUMMYFUNCTION("IFNA(vlookup(H7530,IMPORTRANGE(""1vUGwO1n0QQGx9kKbO0_M5gmuhXZ6-LaxQxgrmJnzgP0"",""'TP# look up'!A:C""),3,0),"""")"),"")</f>
        <v/>
      </c>
      <c r="AH7530" s="49">
        <f>LEFT(J7530,2)</f>
        <v/>
      </c>
    </row>
    <row r="7531" ht="12.75" customHeight="1">
      <c r="H7531" s="43" t="n"/>
      <c r="AG7531" s="49">
        <f>IFERROR(__xludf.DUMMYFUNCTION("IFNA(vlookup(H7531,IMPORTRANGE(""1vUGwO1n0QQGx9kKbO0_M5gmuhXZ6-LaxQxgrmJnzgP0"",""'TP# look up'!A:C""),3,0),"""")"),"")</f>
        <v/>
      </c>
      <c r="AH7531" s="49">
        <f>LEFT(J7531,2)</f>
        <v/>
      </c>
    </row>
    <row r="7532" ht="12.75" customHeight="1">
      <c r="H7532" s="43" t="n"/>
      <c r="AG7532" s="49">
        <f>IFERROR(__xludf.DUMMYFUNCTION("IFNA(vlookup(H7532,IMPORTRANGE(""1vUGwO1n0QQGx9kKbO0_M5gmuhXZ6-LaxQxgrmJnzgP0"",""'TP# look up'!A:C""),3,0),"""")"),"")</f>
        <v/>
      </c>
      <c r="AH7532" s="49">
        <f>LEFT(J7532,2)</f>
        <v/>
      </c>
    </row>
    <row r="7533" ht="12.75" customHeight="1">
      <c r="H7533" s="43" t="n"/>
      <c r="AG7533" s="49">
        <f>IFERROR(__xludf.DUMMYFUNCTION("IFNA(vlookup(H7533,IMPORTRANGE(""1vUGwO1n0QQGx9kKbO0_M5gmuhXZ6-LaxQxgrmJnzgP0"",""'TP# look up'!A:C""),3,0),"""")"),"")</f>
        <v/>
      </c>
      <c r="AH7533" s="49">
        <f>LEFT(J7533,2)</f>
        <v/>
      </c>
    </row>
    <row r="7534" ht="12.75" customHeight="1">
      <c r="H7534" s="43" t="n"/>
      <c r="AG7534" s="49">
        <f>IFERROR(__xludf.DUMMYFUNCTION("IFNA(vlookup(H7534,IMPORTRANGE(""1vUGwO1n0QQGx9kKbO0_M5gmuhXZ6-LaxQxgrmJnzgP0"",""'TP# look up'!A:C""),3,0),"""")"),"")</f>
        <v/>
      </c>
      <c r="AH7534" s="49">
        <f>LEFT(J7534,2)</f>
        <v/>
      </c>
    </row>
    <row r="7535" ht="12.75" customHeight="1">
      <c r="H7535" s="43" t="n"/>
      <c r="AG7535" s="49">
        <f>IFERROR(__xludf.DUMMYFUNCTION("IFNA(vlookup(H7535,IMPORTRANGE(""1vUGwO1n0QQGx9kKbO0_M5gmuhXZ6-LaxQxgrmJnzgP0"",""'TP# look up'!A:C""),3,0),"""")"),"")</f>
        <v/>
      </c>
      <c r="AH7535" s="49">
        <f>LEFT(J7535,2)</f>
        <v/>
      </c>
    </row>
    <row r="7536" ht="12.75" customHeight="1">
      <c r="H7536" s="43" t="n"/>
      <c r="AG7536" s="49">
        <f>IFERROR(__xludf.DUMMYFUNCTION("IFNA(vlookup(H7536,IMPORTRANGE(""1vUGwO1n0QQGx9kKbO0_M5gmuhXZ6-LaxQxgrmJnzgP0"",""'TP# look up'!A:C""),3,0),"""")"),"")</f>
        <v/>
      </c>
      <c r="AH7536" s="49">
        <f>LEFT(J7536,2)</f>
        <v/>
      </c>
    </row>
    <row r="7537" ht="12.75" customHeight="1">
      <c r="H7537" s="43" t="n"/>
      <c r="AG7537" s="49">
        <f>IFERROR(__xludf.DUMMYFUNCTION("IFNA(vlookup(H7537,IMPORTRANGE(""1vUGwO1n0QQGx9kKbO0_M5gmuhXZ6-LaxQxgrmJnzgP0"",""'TP# look up'!A:C""),3,0),"""")"),"")</f>
        <v/>
      </c>
      <c r="AH7537" s="49">
        <f>LEFT(J7537,2)</f>
        <v/>
      </c>
    </row>
    <row r="7538" ht="12.75" customHeight="1">
      <c r="H7538" s="43" t="n"/>
      <c r="AG7538" s="49">
        <f>IFERROR(__xludf.DUMMYFUNCTION("IFNA(vlookup(H7538,IMPORTRANGE(""1vUGwO1n0QQGx9kKbO0_M5gmuhXZ6-LaxQxgrmJnzgP0"",""'TP# look up'!A:C""),3,0),"""")"),"")</f>
        <v/>
      </c>
      <c r="AH7538" s="49">
        <f>LEFT(J7538,2)</f>
        <v/>
      </c>
    </row>
    <row r="7539" ht="12.75" customHeight="1">
      <c r="H7539" s="43" t="n"/>
      <c r="AG7539" s="49">
        <f>IFERROR(__xludf.DUMMYFUNCTION("IFNA(vlookup(H7539,IMPORTRANGE(""1vUGwO1n0QQGx9kKbO0_M5gmuhXZ6-LaxQxgrmJnzgP0"",""'TP# look up'!A:C""),3,0),"""")"),"")</f>
        <v/>
      </c>
      <c r="AH7539" s="49">
        <f>LEFT(J7539,2)</f>
        <v/>
      </c>
    </row>
    <row r="7540" ht="12.75" customHeight="1">
      <c r="H7540" s="43" t="n"/>
      <c r="AG7540" s="49">
        <f>IFERROR(__xludf.DUMMYFUNCTION("IFNA(vlookup(H7540,IMPORTRANGE(""1vUGwO1n0QQGx9kKbO0_M5gmuhXZ6-LaxQxgrmJnzgP0"",""'TP# look up'!A:C""),3,0),"""")"),"")</f>
        <v/>
      </c>
      <c r="AH7540" s="49">
        <f>LEFT(J7540,2)</f>
        <v/>
      </c>
    </row>
    <row r="7541" ht="12.75" customHeight="1">
      <c r="H7541" s="43" t="n"/>
      <c r="AG7541" s="49">
        <f>IFERROR(__xludf.DUMMYFUNCTION("IFNA(vlookup(H7541,IMPORTRANGE(""1vUGwO1n0QQGx9kKbO0_M5gmuhXZ6-LaxQxgrmJnzgP0"",""'TP# look up'!A:C""),3,0),"""")"),"")</f>
        <v/>
      </c>
      <c r="AH7541" s="49">
        <f>LEFT(J7541,2)</f>
        <v/>
      </c>
    </row>
    <row r="7542" ht="12.75" customHeight="1">
      <c r="H7542" s="43" t="n"/>
      <c r="AG7542" s="49">
        <f>IFERROR(__xludf.DUMMYFUNCTION("IFNA(vlookup(H7542,IMPORTRANGE(""1vUGwO1n0QQGx9kKbO0_M5gmuhXZ6-LaxQxgrmJnzgP0"",""'TP# look up'!A:C""),3,0),"""")"),"")</f>
        <v/>
      </c>
      <c r="AH7542" s="49">
        <f>LEFT(J7542,2)</f>
        <v/>
      </c>
    </row>
    <row r="7543" ht="12.75" customHeight="1">
      <c r="H7543" s="43" t="n"/>
      <c r="AG7543" s="49">
        <f>IFERROR(__xludf.DUMMYFUNCTION("IFNA(vlookup(H7543,IMPORTRANGE(""1vUGwO1n0QQGx9kKbO0_M5gmuhXZ6-LaxQxgrmJnzgP0"",""'TP# look up'!A:C""),3,0),"""")"),"")</f>
        <v/>
      </c>
      <c r="AH7543" s="49">
        <f>LEFT(J7543,2)</f>
        <v/>
      </c>
    </row>
    <row r="7544" ht="12.75" customHeight="1">
      <c r="H7544" s="43" t="n"/>
      <c r="AG7544" s="49">
        <f>IFERROR(__xludf.DUMMYFUNCTION("IFNA(vlookup(H7544,IMPORTRANGE(""1vUGwO1n0QQGx9kKbO0_M5gmuhXZ6-LaxQxgrmJnzgP0"",""'TP# look up'!A:C""),3,0),"""")"),"")</f>
        <v/>
      </c>
      <c r="AH7544" s="49">
        <f>LEFT(J7544,2)</f>
        <v/>
      </c>
    </row>
    <row r="7545" ht="12.75" customHeight="1">
      <c r="H7545" s="43" t="n"/>
      <c r="AG7545" s="49">
        <f>IFERROR(__xludf.DUMMYFUNCTION("IFNA(vlookup(H7545,IMPORTRANGE(""1vUGwO1n0QQGx9kKbO0_M5gmuhXZ6-LaxQxgrmJnzgP0"",""'TP# look up'!A:C""),3,0),"""")"),"")</f>
        <v/>
      </c>
      <c r="AH7545" s="49">
        <f>LEFT(J7545,2)</f>
        <v/>
      </c>
    </row>
    <row r="7546" ht="12.75" customHeight="1">
      <c r="H7546" s="43" t="n"/>
      <c r="AG7546" s="49">
        <f>IFERROR(__xludf.DUMMYFUNCTION("IFNA(vlookup(H7546,IMPORTRANGE(""1vUGwO1n0QQGx9kKbO0_M5gmuhXZ6-LaxQxgrmJnzgP0"",""'TP# look up'!A:C""),3,0),"""")"),"")</f>
        <v/>
      </c>
      <c r="AH7546" s="49">
        <f>LEFT(J7546,2)</f>
        <v/>
      </c>
    </row>
    <row r="7547" ht="12.75" customHeight="1">
      <c r="H7547" s="43" t="n"/>
      <c r="AG7547" s="49">
        <f>IFERROR(__xludf.DUMMYFUNCTION("IFNA(vlookup(H7547,IMPORTRANGE(""1vUGwO1n0QQGx9kKbO0_M5gmuhXZ6-LaxQxgrmJnzgP0"",""'TP# look up'!A:C""),3,0),"""")"),"")</f>
        <v/>
      </c>
      <c r="AH7547" s="49">
        <f>LEFT(J7547,2)</f>
        <v/>
      </c>
    </row>
    <row r="7548" ht="12.75" customHeight="1">
      <c r="H7548" s="43" t="n"/>
      <c r="AG7548" s="49">
        <f>IFERROR(__xludf.DUMMYFUNCTION("IFNA(vlookup(H7548,IMPORTRANGE(""1vUGwO1n0QQGx9kKbO0_M5gmuhXZ6-LaxQxgrmJnzgP0"",""'TP# look up'!A:C""),3,0),"""")"),"")</f>
        <v/>
      </c>
      <c r="AH7548" s="49">
        <f>LEFT(J7548,2)</f>
        <v/>
      </c>
    </row>
    <row r="7549" ht="12.75" customHeight="1">
      <c r="H7549" s="43" t="n"/>
      <c r="AG7549" s="49">
        <f>IFERROR(__xludf.DUMMYFUNCTION("IFNA(vlookup(H7549,IMPORTRANGE(""1vUGwO1n0QQGx9kKbO0_M5gmuhXZ6-LaxQxgrmJnzgP0"",""'TP# look up'!A:C""),3,0),"""")"),"")</f>
        <v/>
      </c>
      <c r="AH7549" s="49">
        <f>LEFT(J7549,2)</f>
        <v/>
      </c>
    </row>
    <row r="7550" ht="12.75" customHeight="1">
      <c r="H7550" s="43" t="n"/>
      <c r="AG7550" s="49">
        <f>IFERROR(__xludf.DUMMYFUNCTION("IFNA(vlookup(H7550,IMPORTRANGE(""1vUGwO1n0QQGx9kKbO0_M5gmuhXZ6-LaxQxgrmJnzgP0"",""'TP# look up'!A:C""),3,0),"""")"),"")</f>
        <v/>
      </c>
      <c r="AH7550" s="49">
        <f>LEFT(J7550,2)</f>
        <v/>
      </c>
    </row>
    <row r="7551" ht="12.75" customHeight="1">
      <c r="H7551" s="43" t="n"/>
      <c r="AG7551" s="49">
        <f>IFERROR(__xludf.DUMMYFUNCTION("IFNA(vlookup(H7551,IMPORTRANGE(""1vUGwO1n0QQGx9kKbO0_M5gmuhXZ6-LaxQxgrmJnzgP0"",""'TP# look up'!A:C""),3,0),"""")"),"")</f>
        <v/>
      </c>
      <c r="AH7551" s="49">
        <f>LEFT(J7551,2)</f>
        <v/>
      </c>
    </row>
    <row r="7552" ht="12.75" customHeight="1">
      <c r="H7552" s="43" t="n"/>
      <c r="AG7552" s="49">
        <f>IFERROR(__xludf.DUMMYFUNCTION("IFNA(vlookup(H7552,IMPORTRANGE(""1vUGwO1n0QQGx9kKbO0_M5gmuhXZ6-LaxQxgrmJnzgP0"",""'TP# look up'!A:C""),3,0),"""")"),"")</f>
        <v/>
      </c>
      <c r="AH7552" s="49">
        <f>LEFT(J7552,2)</f>
        <v/>
      </c>
    </row>
    <row r="7553" ht="12.75" customHeight="1">
      <c r="H7553" s="43" t="n"/>
      <c r="AG7553" s="49">
        <f>IFERROR(__xludf.DUMMYFUNCTION("IFNA(vlookup(H7553,IMPORTRANGE(""1vUGwO1n0QQGx9kKbO0_M5gmuhXZ6-LaxQxgrmJnzgP0"",""'TP# look up'!A:C""),3,0),"""")"),"")</f>
        <v/>
      </c>
      <c r="AH7553" s="49">
        <f>LEFT(J7553,2)</f>
        <v/>
      </c>
    </row>
    <row r="7554" ht="12.75" customHeight="1">
      <c r="H7554" s="43" t="n"/>
      <c r="AG7554" s="49">
        <f>IFERROR(__xludf.DUMMYFUNCTION("IFNA(vlookup(H7554,IMPORTRANGE(""1vUGwO1n0QQGx9kKbO0_M5gmuhXZ6-LaxQxgrmJnzgP0"",""'TP# look up'!A:C""),3,0),"""")"),"")</f>
        <v/>
      </c>
      <c r="AH7554" s="49">
        <f>LEFT(J7554,2)</f>
        <v/>
      </c>
    </row>
    <row r="7555" ht="12.75" customHeight="1">
      <c r="H7555" s="43" t="n"/>
      <c r="AG7555" s="49">
        <f>IFERROR(__xludf.DUMMYFUNCTION("IFNA(vlookup(H7555,IMPORTRANGE(""1vUGwO1n0QQGx9kKbO0_M5gmuhXZ6-LaxQxgrmJnzgP0"",""'TP# look up'!A:C""),3,0),"""")"),"")</f>
        <v/>
      </c>
      <c r="AH7555" s="49">
        <f>LEFT(J7555,2)</f>
        <v/>
      </c>
    </row>
    <row r="7556" ht="12.75" customHeight="1">
      <c r="H7556" s="43" t="n"/>
      <c r="AG7556" s="49">
        <f>IFERROR(__xludf.DUMMYFUNCTION("IFNA(vlookup(H7556,IMPORTRANGE(""1vUGwO1n0QQGx9kKbO0_M5gmuhXZ6-LaxQxgrmJnzgP0"",""'TP# look up'!A:C""),3,0),"""")"),"")</f>
        <v/>
      </c>
      <c r="AH7556" s="49">
        <f>LEFT(J7556,2)</f>
        <v/>
      </c>
    </row>
    <row r="7557" ht="12.75" customHeight="1">
      <c r="H7557" s="43" t="n"/>
      <c r="AG7557" s="49">
        <f>IFERROR(__xludf.DUMMYFUNCTION("IFNA(vlookup(H7557,IMPORTRANGE(""1vUGwO1n0QQGx9kKbO0_M5gmuhXZ6-LaxQxgrmJnzgP0"",""'TP# look up'!A:C""),3,0),"""")"),"")</f>
        <v/>
      </c>
      <c r="AH7557" s="49">
        <f>LEFT(J7557,2)</f>
        <v/>
      </c>
    </row>
    <row r="7558" ht="12.75" customHeight="1">
      <c r="H7558" s="43" t="n"/>
      <c r="AG7558" s="49">
        <f>IFERROR(__xludf.DUMMYFUNCTION("IFNA(vlookup(H7558,IMPORTRANGE(""1vUGwO1n0QQGx9kKbO0_M5gmuhXZ6-LaxQxgrmJnzgP0"",""'TP# look up'!A:C""),3,0),"""")"),"")</f>
        <v/>
      </c>
      <c r="AH7558" s="49">
        <f>LEFT(J7558,2)</f>
        <v/>
      </c>
    </row>
    <row r="7559" ht="12.75" customHeight="1">
      <c r="H7559" s="43" t="n"/>
      <c r="AG7559" s="49">
        <f>IFERROR(__xludf.DUMMYFUNCTION("IFNA(vlookup(H7559,IMPORTRANGE(""1vUGwO1n0QQGx9kKbO0_M5gmuhXZ6-LaxQxgrmJnzgP0"",""'TP# look up'!A:C""),3,0),"""")"),"")</f>
        <v/>
      </c>
      <c r="AH7559" s="49">
        <f>LEFT(J7559,2)</f>
        <v/>
      </c>
    </row>
    <row r="7560" ht="12.75" customHeight="1">
      <c r="H7560" s="43" t="n"/>
      <c r="AG7560" s="49">
        <f>IFERROR(__xludf.DUMMYFUNCTION("IFNA(vlookup(H7560,IMPORTRANGE(""1vUGwO1n0QQGx9kKbO0_M5gmuhXZ6-LaxQxgrmJnzgP0"",""'TP# look up'!A:C""),3,0),"""")"),"")</f>
        <v/>
      </c>
      <c r="AH7560" s="49">
        <f>LEFT(J7560,2)</f>
        <v/>
      </c>
    </row>
    <row r="7561" ht="12.75" customHeight="1">
      <c r="H7561" s="43" t="n"/>
      <c r="AG7561" s="49">
        <f>IFERROR(__xludf.DUMMYFUNCTION("IFNA(vlookup(H7561,IMPORTRANGE(""1vUGwO1n0QQGx9kKbO0_M5gmuhXZ6-LaxQxgrmJnzgP0"",""'TP# look up'!A:C""),3,0),"""")"),"")</f>
        <v/>
      </c>
      <c r="AH7561" s="49">
        <f>LEFT(J7561,2)</f>
        <v/>
      </c>
    </row>
    <row r="7562" ht="12.75" customHeight="1">
      <c r="H7562" s="43" t="n"/>
      <c r="AG7562" s="49">
        <f>IFERROR(__xludf.DUMMYFUNCTION("IFNA(vlookup(H7562,IMPORTRANGE(""1vUGwO1n0QQGx9kKbO0_M5gmuhXZ6-LaxQxgrmJnzgP0"",""'TP# look up'!A:C""),3,0),"""")"),"")</f>
        <v/>
      </c>
      <c r="AH7562" s="49">
        <f>LEFT(J7562,2)</f>
        <v/>
      </c>
    </row>
    <row r="7563" ht="12.75" customHeight="1">
      <c r="H7563" s="43" t="n"/>
      <c r="AG7563" s="49">
        <f>IFERROR(__xludf.DUMMYFUNCTION("IFNA(vlookup(H7563,IMPORTRANGE(""1vUGwO1n0QQGx9kKbO0_M5gmuhXZ6-LaxQxgrmJnzgP0"",""'TP# look up'!A:C""),3,0),"""")"),"")</f>
        <v/>
      </c>
      <c r="AH7563" s="49">
        <f>LEFT(J7563,2)</f>
        <v/>
      </c>
    </row>
    <row r="7564" ht="12.75" customHeight="1">
      <c r="H7564" s="43" t="n"/>
      <c r="AG7564" s="49">
        <f>IFERROR(__xludf.DUMMYFUNCTION("IFNA(vlookup(H7564,IMPORTRANGE(""1vUGwO1n0QQGx9kKbO0_M5gmuhXZ6-LaxQxgrmJnzgP0"",""'TP# look up'!A:C""),3,0),"""")"),"")</f>
        <v/>
      </c>
      <c r="AH7564" s="49">
        <f>LEFT(J7564,2)</f>
        <v/>
      </c>
    </row>
    <row r="7565" ht="12.75" customHeight="1">
      <c r="H7565" s="43" t="n"/>
      <c r="AG7565" s="49">
        <f>IFERROR(__xludf.DUMMYFUNCTION("IFNA(vlookup(H7565,IMPORTRANGE(""1vUGwO1n0QQGx9kKbO0_M5gmuhXZ6-LaxQxgrmJnzgP0"",""'TP# look up'!A:C""),3,0),"""")"),"")</f>
        <v/>
      </c>
      <c r="AH7565" s="49">
        <f>LEFT(J7565,2)</f>
        <v/>
      </c>
    </row>
    <row r="7566" ht="12.75" customHeight="1">
      <c r="H7566" s="43" t="n"/>
      <c r="AG7566" s="49">
        <f>IFERROR(__xludf.DUMMYFUNCTION("IFNA(vlookup(H7566,IMPORTRANGE(""1vUGwO1n0QQGx9kKbO0_M5gmuhXZ6-LaxQxgrmJnzgP0"",""'TP# look up'!A:C""),3,0),"""")"),"")</f>
        <v/>
      </c>
      <c r="AH7566" s="49">
        <f>LEFT(J7566,2)</f>
        <v/>
      </c>
    </row>
    <row r="7567" ht="12.75" customHeight="1">
      <c r="H7567" s="43" t="n"/>
      <c r="AG7567" s="49">
        <f>IFERROR(__xludf.DUMMYFUNCTION("IFNA(vlookup(H7567,IMPORTRANGE(""1vUGwO1n0QQGx9kKbO0_M5gmuhXZ6-LaxQxgrmJnzgP0"",""'TP# look up'!A:C""),3,0),"""")"),"")</f>
        <v/>
      </c>
      <c r="AH7567" s="49">
        <f>LEFT(J7567,2)</f>
        <v/>
      </c>
    </row>
    <row r="7568" ht="12.75" customHeight="1">
      <c r="H7568" s="43" t="n"/>
      <c r="AG7568" s="49">
        <f>IFERROR(__xludf.DUMMYFUNCTION("IFNA(vlookup(H7568,IMPORTRANGE(""1vUGwO1n0QQGx9kKbO0_M5gmuhXZ6-LaxQxgrmJnzgP0"",""'TP# look up'!A:C""),3,0),"""")"),"")</f>
        <v/>
      </c>
      <c r="AH7568" s="49">
        <f>LEFT(J7568,2)</f>
        <v/>
      </c>
    </row>
    <row r="7569" ht="12.75" customHeight="1">
      <c r="H7569" s="43" t="n"/>
      <c r="AG7569" s="49">
        <f>IFERROR(__xludf.DUMMYFUNCTION("IFNA(vlookup(H7569,IMPORTRANGE(""1vUGwO1n0QQGx9kKbO0_M5gmuhXZ6-LaxQxgrmJnzgP0"",""'TP# look up'!A:C""),3,0),"""")"),"")</f>
        <v/>
      </c>
      <c r="AH7569" s="49">
        <f>LEFT(J7569,2)</f>
        <v/>
      </c>
    </row>
    <row r="7570" ht="12.75" customHeight="1">
      <c r="H7570" s="43" t="n"/>
      <c r="AG7570" s="49">
        <f>IFERROR(__xludf.DUMMYFUNCTION("IFNA(vlookup(H7570,IMPORTRANGE(""1vUGwO1n0QQGx9kKbO0_M5gmuhXZ6-LaxQxgrmJnzgP0"",""'TP# look up'!A:C""),3,0),"""")"),"")</f>
        <v/>
      </c>
      <c r="AH7570" s="49">
        <f>LEFT(J7570,2)</f>
        <v/>
      </c>
    </row>
    <row r="7571" ht="12.75" customHeight="1">
      <c r="H7571" s="43" t="n"/>
      <c r="AG7571" s="49">
        <f>IFERROR(__xludf.DUMMYFUNCTION("IFNA(vlookup(H7571,IMPORTRANGE(""1vUGwO1n0QQGx9kKbO0_M5gmuhXZ6-LaxQxgrmJnzgP0"",""'TP# look up'!A:C""),3,0),"""")"),"")</f>
        <v/>
      </c>
      <c r="AH7571" s="49">
        <f>LEFT(J7571,2)</f>
        <v/>
      </c>
    </row>
    <row r="7572" ht="12.75" customHeight="1">
      <c r="H7572" s="43" t="n"/>
      <c r="AG7572" s="49">
        <f>IFERROR(__xludf.DUMMYFUNCTION("IFNA(vlookup(H7572,IMPORTRANGE(""1vUGwO1n0QQGx9kKbO0_M5gmuhXZ6-LaxQxgrmJnzgP0"",""'TP# look up'!A:C""),3,0),"""")"),"")</f>
        <v/>
      </c>
      <c r="AH7572" s="49">
        <f>LEFT(J7572,2)</f>
        <v/>
      </c>
    </row>
    <row r="7573" ht="12.75" customHeight="1">
      <c r="H7573" s="43" t="n"/>
      <c r="AG7573" s="49">
        <f>IFERROR(__xludf.DUMMYFUNCTION("IFNA(vlookup(H7573,IMPORTRANGE(""1vUGwO1n0QQGx9kKbO0_M5gmuhXZ6-LaxQxgrmJnzgP0"",""'TP# look up'!A:C""),3,0),"""")"),"")</f>
        <v/>
      </c>
      <c r="AH7573" s="49">
        <f>LEFT(J7573,2)</f>
        <v/>
      </c>
    </row>
    <row r="7574" ht="12.75" customHeight="1">
      <c r="H7574" s="43" t="n"/>
      <c r="AG7574" s="49">
        <f>IFERROR(__xludf.DUMMYFUNCTION("IFNA(vlookup(H7574,IMPORTRANGE(""1vUGwO1n0QQGx9kKbO0_M5gmuhXZ6-LaxQxgrmJnzgP0"",""'TP# look up'!A:C""),3,0),"""")"),"")</f>
        <v/>
      </c>
      <c r="AH7574" s="49">
        <f>LEFT(J7574,2)</f>
        <v/>
      </c>
    </row>
    <row r="7575" ht="12.75" customHeight="1">
      <c r="H7575" s="43" t="n"/>
      <c r="AG7575" s="49">
        <f>IFERROR(__xludf.DUMMYFUNCTION("IFNA(vlookup(H7575,IMPORTRANGE(""1vUGwO1n0QQGx9kKbO0_M5gmuhXZ6-LaxQxgrmJnzgP0"",""'TP# look up'!A:C""),3,0),"""")"),"")</f>
        <v/>
      </c>
      <c r="AH7575" s="49">
        <f>LEFT(J7575,2)</f>
        <v/>
      </c>
    </row>
    <row r="7576" ht="12.75" customHeight="1">
      <c r="H7576" s="43" t="n"/>
      <c r="AG7576" s="49">
        <f>IFERROR(__xludf.DUMMYFUNCTION("IFNA(vlookup(H7576,IMPORTRANGE(""1vUGwO1n0QQGx9kKbO0_M5gmuhXZ6-LaxQxgrmJnzgP0"",""'TP# look up'!A:C""),3,0),"""")"),"")</f>
        <v/>
      </c>
      <c r="AH7576" s="49">
        <f>LEFT(J7576,2)</f>
        <v/>
      </c>
    </row>
    <row r="7577" ht="12.75" customHeight="1">
      <c r="H7577" s="43" t="n"/>
      <c r="AG7577" s="49">
        <f>IFERROR(__xludf.DUMMYFUNCTION("IFNA(vlookup(H7577,IMPORTRANGE(""1vUGwO1n0QQGx9kKbO0_M5gmuhXZ6-LaxQxgrmJnzgP0"",""'TP# look up'!A:C""),3,0),"""")"),"")</f>
        <v/>
      </c>
      <c r="AH7577" s="49">
        <f>LEFT(J7577,2)</f>
        <v/>
      </c>
    </row>
    <row r="7578" ht="12.75" customHeight="1">
      <c r="H7578" s="43" t="n"/>
      <c r="AG7578" s="49">
        <f>IFERROR(__xludf.DUMMYFUNCTION("IFNA(vlookup(H7578,IMPORTRANGE(""1vUGwO1n0QQGx9kKbO0_M5gmuhXZ6-LaxQxgrmJnzgP0"",""'TP# look up'!A:C""),3,0),"""")"),"")</f>
        <v/>
      </c>
      <c r="AH7578" s="49">
        <f>LEFT(J7578,2)</f>
        <v/>
      </c>
    </row>
    <row r="7579" ht="12.75" customHeight="1">
      <c r="H7579" s="43" t="n"/>
      <c r="AG7579" s="49">
        <f>IFERROR(__xludf.DUMMYFUNCTION("IFNA(vlookup(H7579,IMPORTRANGE(""1vUGwO1n0QQGx9kKbO0_M5gmuhXZ6-LaxQxgrmJnzgP0"",""'TP# look up'!A:C""),3,0),"""")"),"")</f>
        <v/>
      </c>
      <c r="AH7579" s="49">
        <f>LEFT(J7579,2)</f>
        <v/>
      </c>
    </row>
    <row r="7580" ht="12.75" customHeight="1">
      <c r="H7580" s="43" t="n"/>
      <c r="AG7580" s="49">
        <f>IFERROR(__xludf.DUMMYFUNCTION("IFNA(vlookup(H7580,IMPORTRANGE(""1vUGwO1n0QQGx9kKbO0_M5gmuhXZ6-LaxQxgrmJnzgP0"",""'TP# look up'!A:C""),3,0),"""")"),"")</f>
        <v/>
      </c>
      <c r="AH7580" s="49">
        <f>LEFT(J7580,2)</f>
        <v/>
      </c>
    </row>
    <row r="7581" ht="12.75" customHeight="1">
      <c r="H7581" s="43" t="n"/>
      <c r="AG7581" s="49">
        <f>IFERROR(__xludf.DUMMYFUNCTION("IFNA(vlookup(H7581,IMPORTRANGE(""1vUGwO1n0QQGx9kKbO0_M5gmuhXZ6-LaxQxgrmJnzgP0"",""'TP# look up'!A:C""),3,0),"""")"),"")</f>
        <v/>
      </c>
      <c r="AH7581" s="49">
        <f>LEFT(J7581,2)</f>
        <v/>
      </c>
    </row>
    <row r="7582" ht="12.75" customHeight="1">
      <c r="H7582" s="43" t="n"/>
      <c r="AG7582" s="49">
        <f>IFERROR(__xludf.DUMMYFUNCTION("IFNA(vlookup(H7582,IMPORTRANGE(""1vUGwO1n0QQGx9kKbO0_M5gmuhXZ6-LaxQxgrmJnzgP0"",""'TP# look up'!A:C""),3,0),"""")"),"")</f>
        <v/>
      </c>
      <c r="AH7582" s="49">
        <f>LEFT(J7582,2)</f>
        <v/>
      </c>
    </row>
    <row r="7583" ht="12.75" customHeight="1">
      <c r="H7583" s="43" t="n"/>
      <c r="AG7583" s="49">
        <f>IFERROR(__xludf.DUMMYFUNCTION("IFNA(vlookup(H7583,IMPORTRANGE(""1vUGwO1n0QQGx9kKbO0_M5gmuhXZ6-LaxQxgrmJnzgP0"",""'TP# look up'!A:C""),3,0),"""")"),"")</f>
        <v/>
      </c>
      <c r="AH7583" s="49">
        <f>LEFT(J7583,2)</f>
        <v/>
      </c>
    </row>
    <row r="7584" ht="12.75" customHeight="1">
      <c r="H7584" s="43" t="n"/>
      <c r="AG7584" s="49">
        <f>IFERROR(__xludf.DUMMYFUNCTION("IFNA(vlookup(H7584,IMPORTRANGE(""1vUGwO1n0QQGx9kKbO0_M5gmuhXZ6-LaxQxgrmJnzgP0"",""'TP# look up'!A:C""),3,0),"""")"),"")</f>
        <v/>
      </c>
      <c r="AH7584" s="49">
        <f>LEFT(J7584,2)</f>
        <v/>
      </c>
    </row>
    <row r="7585" ht="12.75" customHeight="1">
      <c r="H7585" s="43" t="n"/>
      <c r="AG7585" s="49">
        <f>IFERROR(__xludf.DUMMYFUNCTION("IFNA(vlookup(H7585,IMPORTRANGE(""1vUGwO1n0QQGx9kKbO0_M5gmuhXZ6-LaxQxgrmJnzgP0"",""'TP# look up'!A:C""),3,0),"""")"),"")</f>
        <v/>
      </c>
      <c r="AH7585" s="49">
        <f>LEFT(J7585,2)</f>
        <v/>
      </c>
    </row>
    <row r="7586" ht="12.75" customHeight="1">
      <c r="H7586" s="43" t="n"/>
      <c r="AG7586" s="49">
        <f>IFERROR(__xludf.DUMMYFUNCTION("IFNA(vlookup(H7586,IMPORTRANGE(""1vUGwO1n0QQGx9kKbO0_M5gmuhXZ6-LaxQxgrmJnzgP0"",""'TP# look up'!A:C""),3,0),"""")"),"")</f>
        <v/>
      </c>
      <c r="AH7586" s="49">
        <f>LEFT(J7586,2)</f>
        <v/>
      </c>
    </row>
    <row r="7587" ht="12.75" customHeight="1">
      <c r="H7587" s="43" t="n"/>
      <c r="AG7587" s="49">
        <f>IFERROR(__xludf.DUMMYFUNCTION("IFNA(vlookup(H7587,IMPORTRANGE(""1vUGwO1n0QQGx9kKbO0_M5gmuhXZ6-LaxQxgrmJnzgP0"",""'TP# look up'!A:C""),3,0),"""")"),"")</f>
        <v/>
      </c>
      <c r="AH7587" s="49">
        <f>LEFT(J7587,2)</f>
        <v/>
      </c>
    </row>
    <row r="7588" ht="12.75" customHeight="1">
      <c r="H7588" s="43" t="n"/>
      <c r="AG7588" s="49">
        <f>IFERROR(__xludf.DUMMYFUNCTION("IFNA(vlookup(H7588,IMPORTRANGE(""1vUGwO1n0QQGx9kKbO0_M5gmuhXZ6-LaxQxgrmJnzgP0"",""'TP# look up'!A:C""),3,0),"""")"),"")</f>
        <v/>
      </c>
      <c r="AH7588" s="49">
        <f>LEFT(J7588,2)</f>
        <v/>
      </c>
    </row>
    <row r="7589" ht="12.75" customHeight="1">
      <c r="H7589" s="43" t="n"/>
      <c r="AG7589" s="49">
        <f>IFERROR(__xludf.DUMMYFUNCTION("IFNA(vlookup(H7589,IMPORTRANGE(""1vUGwO1n0QQGx9kKbO0_M5gmuhXZ6-LaxQxgrmJnzgP0"",""'TP# look up'!A:C""),3,0),"""")"),"")</f>
        <v/>
      </c>
      <c r="AH7589" s="49">
        <f>LEFT(J7589,2)</f>
        <v/>
      </c>
    </row>
    <row r="7590" ht="12.75" customHeight="1">
      <c r="H7590" s="43" t="n"/>
      <c r="AG7590" s="49">
        <f>IFERROR(__xludf.DUMMYFUNCTION("IFNA(vlookup(H7590,IMPORTRANGE(""1vUGwO1n0QQGx9kKbO0_M5gmuhXZ6-LaxQxgrmJnzgP0"",""'TP# look up'!A:C""),3,0),"""")"),"")</f>
        <v/>
      </c>
      <c r="AH7590" s="49">
        <f>LEFT(J7590,2)</f>
        <v/>
      </c>
    </row>
    <row r="7591" ht="12.75" customHeight="1">
      <c r="H7591" s="43" t="n"/>
      <c r="AG7591" s="49">
        <f>IFERROR(__xludf.DUMMYFUNCTION("IFNA(vlookup(H7591,IMPORTRANGE(""1vUGwO1n0QQGx9kKbO0_M5gmuhXZ6-LaxQxgrmJnzgP0"",""'TP# look up'!A:C""),3,0),"""")"),"")</f>
        <v/>
      </c>
      <c r="AH7591" s="49">
        <f>LEFT(J7591,2)</f>
        <v/>
      </c>
    </row>
    <row r="7592" ht="12.75" customHeight="1">
      <c r="H7592" s="43" t="n"/>
      <c r="AG7592" s="49">
        <f>IFERROR(__xludf.DUMMYFUNCTION("IFNA(vlookup(H7592,IMPORTRANGE(""1vUGwO1n0QQGx9kKbO0_M5gmuhXZ6-LaxQxgrmJnzgP0"",""'TP# look up'!A:C""),3,0),"""")"),"")</f>
        <v/>
      </c>
      <c r="AH7592" s="49">
        <f>LEFT(J7592,2)</f>
        <v/>
      </c>
    </row>
    <row r="7593" ht="12.75" customHeight="1">
      <c r="H7593" s="43" t="n"/>
      <c r="AG7593" s="49">
        <f>IFERROR(__xludf.DUMMYFUNCTION("IFNA(vlookup(H7593,IMPORTRANGE(""1vUGwO1n0QQGx9kKbO0_M5gmuhXZ6-LaxQxgrmJnzgP0"",""'TP# look up'!A:C""),3,0),"""")"),"")</f>
        <v/>
      </c>
      <c r="AH7593" s="49">
        <f>LEFT(J7593,2)</f>
        <v/>
      </c>
    </row>
    <row r="7594" ht="12.75" customHeight="1">
      <c r="H7594" s="43" t="n"/>
      <c r="AG7594" s="49">
        <f>IFERROR(__xludf.DUMMYFUNCTION("IFNA(vlookup(H7594,IMPORTRANGE(""1vUGwO1n0QQGx9kKbO0_M5gmuhXZ6-LaxQxgrmJnzgP0"",""'TP# look up'!A:C""),3,0),"""")"),"")</f>
        <v/>
      </c>
      <c r="AH7594" s="49">
        <f>LEFT(J7594,2)</f>
        <v/>
      </c>
    </row>
    <row r="7595" ht="12.75" customHeight="1">
      <c r="H7595" s="43" t="n"/>
      <c r="AG7595" s="49">
        <f>IFERROR(__xludf.DUMMYFUNCTION("IFNA(vlookup(H7595,IMPORTRANGE(""1vUGwO1n0QQGx9kKbO0_M5gmuhXZ6-LaxQxgrmJnzgP0"",""'TP# look up'!A:C""),3,0),"""")"),"")</f>
        <v/>
      </c>
      <c r="AH7595" s="49">
        <f>LEFT(J7595,2)</f>
        <v/>
      </c>
    </row>
    <row r="7596" ht="12.75" customHeight="1">
      <c r="H7596" s="43" t="n"/>
      <c r="AG7596" s="49">
        <f>IFERROR(__xludf.DUMMYFUNCTION("IFNA(vlookup(H7596,IMPORTRANGE(""1vUGwO1n0QQGx9kKbO0_M5gmuhXZ6-LaxQxgrmJnzgP0"",""'TP# look up'!A:C""),3,0),"""")"),"")</f>
        <v/>
      </c>
      <c r="AH7596" s="49">
        <f>LEFT(J7596,2)</f>
        <v/>
      </c>
    </row>
    <row r="7597" ht="12.75" customHeight="1">
      <c r="H7597" s="43" t="n"/>
      <c r="AG7597" s="49">
        <f>IFERROR(__xludf.DUMMYFUNCTION("IFNA(vlookup(H7597,IMPORTRANGE(""1vUGwO1n0QQGx9kKbO0_M5gmuhXZ6-LaxQxgrmJnzgP0"",""'TP# look up'!A:C""),3,0),"""")"),"")</f>
        <v/>
      </c>
      <c r="AH7597" s="49">
        <f>LEFT(J7597,2)</f>
        <v/>
      </c>
    </row>
    <row r="7598" ht="12.75" customHeight="1">
      <c r="H7598" s="43" t="n"/>
      <c r="AG7598" s="49">
        <f>IFERROR(__xludf.DUMMYFUNCTION("IFNA(vlookup(H7598,IMPORTRANGE(""1vUGwO1n0QQGx9kKbO0_M5gmuhXZ6-LaxQxgrmJnzgP0"",""'TP# look up'!A:C""),3,0),"""")"),"")</f>
        <v/>
      </c>
      <c r="AH7598" s="49">
        <f>LEFT(J7598,2)</f>
        <v/>
      </c>
    </row>
    <row r="7599" ht="12.75" customHeight="1">
      <c r="H7599" s="43" t="n"/>
      <c r="AG7599" s="49">
        <f>IFERROR(__xludf.DUMMYFUNCTION("IFNA(vlookup(H7599,IMPORTRANGE(""1vUGwO1n0QQGx9kKbO0_M5gmuhXZ6-LaxQxgrmJnzgP0"",""'TP# look up'!A:C""),3,0),"""")"),"")</f>
        <v/>
      </c>
      <c r="AH7599" s="49">
        <f>LEFT(J7599,2)</f>
        <v/>
      </c>
    </row>
    <row r="7600" ht="12.75" customHeight="1">
      <c r="H7600" s="43" t="n"/>
      <c r="AG7600" s="49">
        <f>IFERROR(__xludf.DUMMYFUNCTION("IFNA(vlookup(H7600,IMPORTRANGE(""1vUGwO1n0QQGx9kKbO0_M5gmuhXZ6-LaxQxgrmJnzgP0"",""'TP# look up'!A:C""),3,0),"""")"),"")</f>
        <v/>
      </c>
      <c r="AH7600" s="49">
        <f>LEFT(J7600,2)</f>
        <v/>
      </c>
    </row>
    <row r="7601" ht="12.75" customHeight="1">
      <c r="H7601" s="43" t="n"/>
      <c r="AG7601" s="49">
        <f>IFERROR(__xludf.DUMMYFUNCTION("IFNA(vlookup(H7601,IMPORTRANGE(""1vUGwO1n0QQGx9kKbO0_M5gmuhXZ6-LaxQxgrmJnzgP0"",""'TP# look up'!A:C""),3,0),"""")"),"")</f>
        <v/>
      </c>
      <c r="AH7601" s="49">
        <f>LEFT(J7601,2)</f>
        <v/>
      </c>
    </row>
    <row r="7602" ht="12.75" customHeight="1">
      <c r="H7602" s="43" t="n"/>
      <c r="AG7602" s="49">
        <f>IFERROR(__xludf.DUMMYFUNCTION("IFNA(vlookup(H7602,IMPORTRANGE(""1vUGwO1n0QQGx9kKbO0_M5gmuhXZ6-LaxQxgrmJnzgP0"",""'TP# look up'!A:C""),3,0),"""")"),"")</f>
        <v/>
      </c>
      <c r="AH7602" s="49">
        <f>LEFT(J7602,2)</f>
        <v/>
      </c>
    </row>
    <row r="7603" ht="12.75" customHeight="1">
      <c r="H7603" s="43" t="n"/>
      <c r="AG7603" s="49">
        <f>IFERROR(__xludf.DUMMYFUNCTION("IFNA(vlookup(H7603,IMPORTRANGE(""1vUGwO1n0QQGx9kKbO0_M5gmuhXZ6-LaxQxgrmJnzgP0"",""'TP# look up'!A:C""),3,0),"""")"),"")</f>
        <v/>
      </c>
      <c r="AH7603" s="49">
        <f>LEFT(J7603,2)</f>
        <v/>
      </c>
    </row>
    <row r="7604" ht="12.75" customHeight="1">
      <c r="H7604" s="43" t="n"/>
      <c r="AG7604" s="49">
        <f>IFERROR(__xludf.DUMMYFUNCTION("IFNA(vlookup(H7604,IMPORTRANGE(""1vUGwO1n0QQGx9kKbO0_M5gmuhXZ6-LaxQxgrmJnzgP0"",""'TP# look up'!A:C""),3,0),"""")"),"")</f>
        <v/>
      </c>
      <c r="AH7604" s="49">
        <f>LEFT(J7604,2)</f>
        <v/>
      </c>
    </row>
    <row r="7605" ht="12.75" customHeight="1">
      <c r="H7605" s="43" t="n"/>
      <c r="AG7605" s="49">
        <f>IFERROR(__xludf.DUMMYFUNCTION("IFNA(vlookup(H7605,IMPORTRANGE(""1vUGwO1n0QQGx9kKbO0_M5gmuhXZ6-LaxQxgrmJnzgP0"",""'TP# look up'!A:C""),3,0),"""")"),"")</f>
        <v/>
      </c>
      <c r="AH7605" s="49">
        <f>LEFT(J7605,2)</f>
        <v/>
      </c>
    </row>
    <row r="7606" ht="12.75" customHeight="1">
      <c r="H7606" s="43" t="n"/>
      <c r="AG7606" s="49">
        <f>IFERROR(__xludf.DUMMYFUNCTION("IFNA(vlookup(H7606,IMPORTRANGE(""1vUGwO1n0QQGx9kKbO0_M5gmuhXZ6-LaxQxgrmJnzgP0"",""'TP# look up'!A:C""),3,0),"""")"),"")</f>
        <v/>
      </c>
      <c r="AH7606" s="49">
        <f>LEFT(J7606,2)</f>
        <v/>
      </c>
    </row>
    <row r="7607" ht="12.75" customHeight="1">
      <c r="H7607" s="43" t="n"/>
      <c r="AG7607" s="49">
        <f>IFERROR(__xludf.DUMMYFUNCTION("IFNA(vlookup(H7607,IMPORTRANGE(""1vUGwO1n0QQGx9kKbO0_M5gmuhXZ6-LaxQxgrmJnzgP0"",""'TP# look up'!A:C""),3,0),"""")"),"")</f>
        <v/>
      </c>
      <c r="AH7607" s="49">
        <f>LEFT(J7607,2)</f>
        <v/>
      </c>
    </row>
    <row r="7608" ht="12.75" customHeight="1">
      <c r="H7608" s="43" t="n"/>
      <c r="AG7608" s="49">
        <f>IFERROR(__xludf.DUMMYFUNCTION("IFNA(vlookup(H7608,IMPORTRANGE(""1vUGwO1n0QQGx9kKbO0_M5gmuhXZ6-LaxQxgrmJnzgP0"",""'TP# look up'!A:C""),3,0),"""")"),"")</f>
        <v/>
      </c>
      <c r="AH7608" s="49">
        <f>LEFT(J7608,2)</f>
        <v/>
      </c>
    </row>
    <row r="7609" ht="12.75" customHeight="1">
      <c r="H7609" s="43" t="n"/>
      <c r="AG7609" s="49">
        <f>IFERROR(__xludf.DUMMYFUNCTION("IFNA(vlookup(H7609,IMPORTRANGE(""1vUGwO1n0QQGx9kKbO0_M5gmuhXZ6-LaxQxgrmJnzgP0"",""'TP# look up'!A:C""),3,0),"""")"),"")</f>
        <v/>
      </c>
      <c r="AH7609" s="49">
        <f>LEFT(J7609,2)</f>
        <v/>
      </c>
    </row>
    <row r="7610" ht="12.75" customHeight="1">
      <c r="H7610" s="43" t="n"/>
      <c r="AG7610" s="49">
        <f>IFERROR(__xludf.DUMMYFUNCTION("IFNA(vlookup(H7610,IMPORTRANGE(""1vUGwO1n0QQGx9kKbO0_M5gmuhXZ6-LaxQxgrmJnzgP0"",""'TP# look up'!A:C""),3,0),"""")"),"")</f>
        <v/>
      </c>
      <c r="AH7610" s="49">
        <f>LEFT(J7610,2)</f>
        <v/>
      </c>
    </row>
    <row r="7611" ht="12.75" customHeight="1">
      <c r="H7611" s="43" t="n"/>
      <c r="AG7611" s="49">
        <f>IFERROR(__xludf.DUMMYFUNCTION("IFNA(vlookup(H7611,IMPORTRANGE(""1vUGwO1n0QQGx9kKbO0_M5gmuhXZ6-LaxQxgrmJnzgP0"",""'TP# look up'!A:C""),3,0),"""")"),"")</f>
        <v/>
      </c>
      <c r="AH7611" s="49">
        <f>LEFT(J7611,2)</f>
        <v/>
      </c>
    </row>
    <row r="7612" ht="12.75" customHeight="1">
      <c r="H7612" s="43" t="n"/>
      <c r="AG7612" s="49">
        <f>IFERROR(__xludf.DUMMYFUNCTION("IFNA(vlookup(H7612,IMPORTRANGE(""1vUGwO1n0QQGx9kKbO0_M5gmuhXZ6-LaxQxgrmJnzgP0"",""'TP# look up'!A:C""),3,0),"""")"),"")</f>
        <v/>
      </c>
      <c r="AH7612" s="49">
        <f>LEFT(J7612,2)</f>
        <v/>
      </c>
    </row>
    <row r="7613" ht="12.75" customHeight="1">
      <c r="H7613" s="43" t="n"/>
      <c r="AG7613" s="49">
        <f>IFERROR(__xludf.DUMMYFUNCTION("IFNA(vlookup(H7613,IMPORTRANGE(""1vUGwO1n0QQGx9kKbO0_M5gmuhXZ6-LaxQxgrmJnzgP0"",""'TP# look up'!A:C""),3,0),"""")"),"")</f>
        <v/>
      </c>
      <c r="AH7613" s="49">
        <f>LEFT(J7613,2)</f>
        <v/>
      </c>
    </row>
    <row r="7614" ht="12.75" customHeight="1">
      <c r="H7614" s="43" t="n"/>
      <c r="AG7614" s="49">
        <f>IFERROR(__xludf.DUMMYFUNCTION("IFNA(vlookup(H7614,IMPORTRANGE(""1vUGwO1n0QQGx9kKbO0_M5gmuhXZ6-LaxQxgrmJnzgP0"",""'TP# look up'!A:C""),3,0),"""")"),"")</f>
        <v/>
      </c>
      <c r="AH7614" s="49">
        <f>LEFT(J7614,2)</f>
        <v/>
      </c>
    </row>
    <row r="7615" ht="12.75" customHeight="1">
      <c r="H7615" s="43" t="n"/>
      <c r="AG7615" s="49">
        <f>IFERROR(__xludf.DUMMYFUNCTION("IFNA(vlookup(H7615,IMPORTRANGE(""1vUGwO1n0QQGx9kKbO0_M5gmuhXZ6-LaxQxgrmJnzgP0"",""'TP# look up'!A:C""),3,0),"""")"),"")</f>
        <v/>
      </c>
      <c r="AH7615" s="49">
        <f>LEFT(J7615,2)</f>
        <v/>
      </c>
    </row>
    <row r="7616" ht="12.75" customHeight="1">
      <c r="H7616" s="43" t="n"/>
      <c r="AG7616" s="49">
        <f>IFERROR(__xludf.DUMMYFUNCTION("IFNA(vlookup(H7616,IMPORTRANGE(""1vUGwO1n0QQGx9kKbO0_M5gmuhXZ6-LaxQxgrmJnzgP0"",""'TP# look up'!A:C""),3,0),"""")"),"")</f>
        <v/>
      </c>
      <c r="AH7616" s="49">
        <f>LEFT(J7616,2)</f>
        <v/>
      </c>
    </row>
    <row r="7617" ht="12.75" customHeight="1">
      <c r="H7617" s="43" t="n"/>
      <c r="AG7617" s="49">
        <f>IFERROR(__xludf.DUMMYFUNCTION("IFNA(vlookup(H7617,IMPORTRANGE(""1vUGwO1n0QQGx9kKbO0_M5gmuhXZ6-LaxQxgrmJnzgP0"",""'TP# look up'!A:C""),3,0),"""")"),"")</f>
        <v/>
      </c>
      <c r="AH7617" s="49">
        <f>LEFT(J7617,2)</f>
        <v/>
      </c>
    </row>
    <row r="7618" ht="12.75" customHeight="1">
      <c r="H7618" s="43" t="n"/>
      <c r="AG7618" s="49">
        <f>IFERROR(__xludf.DUMMYFUNCTION("IFNA(vlookup(H7618,IMPORTRANGE(""1vUGwO1n0QQGx9kKbO0_M5gmuhXZ6-LaxQxgrmJnzgP0"",""'TP# look up'!A:C""),3,0),"""")"),"")</f>
        <v/>
      </c>
      <c r="AH7618" s="49">
        <f>LEFT(J7618,2)</f>
        <v/>
      </c>
    </row>
    <row r="7619" ht="12.75" customHeight="1">
      <c r="H7619" s="43" t="n"/>
      <c r="AG7619" s="49">
        <f>IFERROR(__xludf.DUMMYFUNCTION("IFNA(vlookup(H7619,IMPORTRANGE(""1vUGwO1n0QQGx9kKbO0_M5gmuhXZ6-LaxQxgrmJnzgP0"",""'TP# look up'!A:C""),3,0),"""")"),"")</f>
        <v/>
      </c>
      <c r="AH7619" s="49">
        <f>LEFT(J7619,2)</f>
        <v/>
      </c>
    </row>
    <row r="7620" ht="12.75" customHeight="1">
      <c r="H7620" s="43" t="n"/>
      <c r="AG7620" s="49">
        <f>IFERROR(__xludf.DUMMYFUNCTION("IFNA(vlookup(H7620,IMPORTRANGE(""1vUGwO1n0QQGx9kKbO0_M5gmuhXZ6-LaxQxgrmJnzgP0"",""'TP# look up'!A:C""),3,0),"""")"),"")</f>
        <v/>
      </c>
      <c r="AH7620" s="49">
        <f>LEFT(J7620,2)</f>
        <v/>
      </c>
    </row>
    <row r="7621" ht="12.75" customHeight="1">
      <c r="H7621" s="43" t="n"/>
      <c r="AG7621" s="49">
        <f>IFERROR(__xludf.DUMMYFUNCTION("IFNA(vlookup(H7621,IMPORTRANGE(""1vUGwO1n0QQGx9kKbO0_M5gmuhXZ6-LaxQxgrmJnzgP0"",""'TP# look up'!A:C""),3,0),"""")"),"")</f>
        <v/>
      </c>
      <c r="AH7621" s="49">
        <f>LEFT(J7621,2)</f>
        <v/>
      </c>
    </row>
    <row r="7622" ht="12.75" customHeight="1">
      <c r="H7622" s="43" t="n"/>
      <c r="AG7622" s="49">
        <f>IFERROR(__xludf.DUMMYFUNCTION("IFNA(vlookup(H7622,IMPORTRANGE(""1vUGwO1n0QQGx9kKbO0_M5gmuhXZ6-LaxQxgrmJnzgP0"",""'TP# look up'!A:C""),3,0),"""")"),"")</f>
        <v/>
      </c>
      <c r="AH7622" s="49">
        <f>LEFT(J7622,2)</f>
        <v/>
      </c>
    </row>
    <row r="7623" ht="12.75" customHeight="1">
      <c r="H7623" s="43" t="n"/>
      <c r="AG7623" s="49">
        <f>IFERROR(__xludf.DUMMYFUNCTION("IFNA(vlookup(H7623,IMPORTRANGE(""1vUGwO1n0QQGx9kKbO0_M5gmuhXZ6-LaxQxgrmJnzgP0"",""'TP# look up'!A:C""),3,0),"""")"),"")</f>
        <v/>
      </c>
      <c r="AH7623" s="49">
        <f>LEFT(J7623,2)</f>
        <v/>
      </c>
    </row>
    <row r="7624" ht="12.75" customHeight="1">
      <c r="H7624" s="43" t="n"/>
      <c r="AG7624" s="49">
        <f>IFERROR(__xludf.DUMMYFUNCTION("IFNA(vlookup(H7624,IMPORTRANGE(""1vUGwO1n0QQGx9kKbO0_M5gmuhXZ6-LaxQxgrmJnzgP0"",""'TP# look up'!A:C""),3,0),"""")"),"")</f>
        <v/>
      </c>
      <c r="AH7624" s="49">
        <f>LEFT(J7624,2)</f>
        <v/>
      </c>
    </row>
    <row r="7625" ht="12.75" customHeight="1">
      <c r="H7625" s="43" t="n"/>
      <c r="AG7625" s="49">
        <f>IFERROR(__xludf.DUMMYFUNCTION("IFNA(vlookup(H7625,IMPORTRANGE(""1vUGwO1n0QQGx9kKbO0_M5gmuhXZ6-LaxQxgrmJnzgP0"",""'TP# look up'!A:C""),3,0),"""")"),"")</f>
        <v/>
      </c>
      <c r="AH7625" s="49">
        <f>LEFT(J7625,2)</f>
        <v/>
      </c>
    </row>
    <row r="7626" ht="12.75" customHeight="1">
      <c r="H7626" s="43" t="n"/>
      <c r="AG7626" s="49">
        <f>IFERROR(__xludf.DUMMYFUNCTION("IFNA(vlookup(H7626,IMPORTRANGE(""1vUGwO1n0QQGx9kKbO0_M5gmuhXZ6-LaxQxgrmJnzgP0"",""'TP# look up'!A:C""),3,0),"""")"),"")</f>
        <v/>
      </c>
      <c r="AH7626" s="49">
        <f>LEFT(J7626,2)</f>
        <v/>
      </c>
    </row>
    <row r="7627" ht="12.75" customHeight="1">
      <c r="H7627" s="43" t="n"/>
      <c r="AG7627" s="49">
        <f>IFERROR(__xludf.DUMMYFUNCTION("IFNA(vlookup(H7627,IMPORTRANGE(""1vUGwO1n0QQGx9kKbO0_M5gmuhXZ6-LaxQxgrmJnzgP0"",""'TP# look up'!A:C""),3,0),"""")"),"")</f>
        <v/>
      </c>
      <c r="AH7627" s="49">
        <f>LEFT(J7627,2)</f>
        <v/>
      </c>
    </row>
    <row r="7628" ht="12.75" customHeight="1">
      <c r="H7628" s="43" t="n"/>
      <c r="AG7628" s="49">
        <f>IFERROR(__xludf.DUMMYFUNCTION("IFNA(vlookup(H7628,IMPORTRANGE(""1vUGwO1n0QQGx9kKbO0_M5gmuhXZ6-LaxQxgrmJnzgP0"",""'TP# look up'!A:C""),3,0),"""")"),"")</f>
        <v/>
      </c>
      <c r="AH7628" s="49">
        <f>LEFT(J7628,2)</f>
        <v/>
      </c>
    </row>
    <row r="7629" ht="12.75" customHeight="1">
      <c r="H7629" s="43" t="n"/>
      <c r="AG7629" s="49">
        <f>IFERROR(__xludf.DUMMYFUNCTION("IFNA(vlookup(H7629,IMPORTRANGE(""1vUGwO1n0QQGx9kKbO0_M5gmuhXZ6-LaxQxgrmJnzgP0"",""'TP# look up'!A:C""),3,0),"""")"),"")</f>
        <v/>
      </c>
      <c r="AH7629" s="49">
        <f>LEFT(J7629,2)</f>
        <v/>
      </c>
    </row>
    <row r="7630" ht="12.75" customHeight="1">
      <c r="H7630" s="43" t="n"/>
      <c r="AG7630" s="49">
        <f>IFERROR(__xludf.DUMMYFUNCTION("IFNA(vlookup(H7630,IMPORTRANGE(""1vUGwO1n0QQGx9kKbO0_M5gmuhXZ6-LaxQxgrmJnzgP0"",""'TP# look up'!A:C""),3,0),"""")"),"")</f>
        <v/>
      </c>
      <c r="AH7630" s="49">
        <f>LEFT(J7630,2)</f>
        <v/>
      </c>
    </row>
    <row r="7631" ht="12.75" customHeight="1">
      <c r="H7631" s="43" t="n"/>
      <c r="AG7631" s="49">
        <f>IFERROR(__xludf.DUMMYFUNCTION("IFNA(vlookup(H7631,IMPORTRANGE(""1vUGwO1n0QQGx9kKbO0_M5gmuhXZ6-LaxQxgrmJnzgP0"",""'TP# look up'!A:C""),3,0),"""")"),"")</f>
        <v/>
      </c>
      <c r="AH7631" s="49">
        <f>LEFT(J7631,2)</f>
        <v/>
      </c>
    </row>
    <row r="7632" ht="12.75" customHeight="1">
      <c r="H7632" s="43" t="n"/>
      <c r="AG7632" s="49">
        <f>IFERROR(__xludf.DUMMYFUNCTION("IFNA(vlookup(H7632,IMPORTRANGE(""1vUGwO1n0QQGx9kKbO0_M5gmuhXZ6-LaxQxgrmJnzgP0"",""'TP# look up'!A:C""),3,0),"""")"),"")</f>
        <v/>
      </c>
      <c r="AH7632" s="49">
        <f>LEFT(J7632,2)</f>
        <v/>
      </c>
    </row>
    <row r="7633" ht="12.75" customHeight="1">
      <c r="H7633" s="43" t="n"/>
      <c r="AG7633" s="49">
        <f>IFERROR(__xludf.DUMMYFUNCTION("IFNA(vlookup(H7633,IMPORTRANGE(""1vUGwO1n0QQGx9kKbO0_M5gmuhXZ6-LaxQxgrmJnzgP0"",""'TP# look up'!A:C""),3,0),"""")"),"")</f>
        <v/>
      </c>
      <c r="AH7633" s="49">
        <f>LEFT(J7633,2)</f>
        <v/>
      </c>
    </row>
    <row r="7634" ht="12.75" customHeight="1">
      <c r="H7634" s="43" t="n"/>
      <c r="AG7634" s="49">
        <f>IFERROR(__xludf.DUMMYFUNCTION("IFNA(vlookup(H7634,IMPORTRANGE(""1vUGwO1n0QQGx9kKbO0_M5gmuhXZ6-LaxQxgrmJnzgP0"",""'TP# look up'!A:C""),3,0),"""")"),"")</f>
        <v/>
      </c>
      <c r="AH7634" s="49">
        <f>LEFT(J7634,2)</f>
        <v/>
      </c>
    </row>
    <row r="7635" ht="12.75" customHeight="1">
      <c r="H7635" s="43" t="n"/>
      <c r="AG7635" s="49">
        <f>IFERROR(__xludf.DUMMYFUNCTION("IFNA(vlookup(H7635,IMPORTRANGE(""1vUGwO1n0QQGx9kKbO0_M5gmuhXZ6-LaxQxgrmJnzgP0"",""'TP# look up'!A:C""),3,0),"""")"),"")</f>
        <v/>
      </c>
      <c r="AH7635" s="49">
        <f>LEFT(J7635,2)</f>
        <v/>
      </c>
    </row>
    <row r="7636" ht="12.75" customHeight="1">
      <c r="H7636" s="43" t="n"/>
      <c r="AG7636" s="49">
        <f>IFERROR(__xludf.DUMMYFUNCTION("IFNA(vlookup(H7636,IMPORTRANGE(""1vUGwO1n0QQGx9kKbO0_M5gmuhXZ6-LaxQxgrmJnzgP0"",""'TP# look up'!A:C""),3,0),"""")"),"")</f>
        <v/>
      </c>
      <c r="AH7636" s="49">
        <f>LEFT(J7636,2)</f>
        <v/>
      </c>
    </row>
    <row r="7637" ht="12.75" customHeight="1">
      <c r="H7637" s="43" t="n"/>
      <c r="AG7637" s="49">
        <f>IFERROR(__xludf.DUMMYFUNCTION("IFNA(vlookup(H7637,IMPORTRANGE(""1vUGwO1n0QQGx9kKbO0_M5gmuhXZ6-LaxQxgrmJnzgP0"",""'TP# look up'!A:C""),3,0),"""")"),"")</f>
        <v/>
      </c>
      <c r="AH7637" s="49">
        <f>LEFT(J7637,2)</f>
        <v/>
      </c>
    </row>
    <row r="7638" ht="12.75" customHeight="1">
      <c r="H7638" s="43" t="n"/>
      <c r="AG7638" s="49">
        <f>IFERROR(__xludf.DUMMYFUNCTION("IFNA(vlookup(H7638,IMPORTRANGE(""1vUGwO1n0QQGx9kKbO0_M5gmuhXZ6-LaxQxgrmJnzgP0"",""'TP# look up'!A:C""),3,0),"""")"),"")</f>
        <v/>
      </c>
      <c r="AH7638" s="49">
        <f>LEFT(J7638,2)</f>
        <v/>
      </c>
    </row>
    <row r="7639" ht="12.75" customHeight="1">
      <c r="H7639" s="43" t="n"/>
      <c r="AG7639" s="49">
        <f>IFERROR(__xludf.DUMMYFUNCTION("IFNA(vlookup(H7639,IMPORTRANGE(""1vUGwO1n0QQGx9kKbO0_M5gmuhXZ6-LaxQxgrmJnzgP0"",""'TP# look up'!A:C""),3,0),"""")"),"")</f>
        <v/>
      </c>
      <c r="AH7639" s="49">
        <f>LEFT(J7639,2)</f>
        <v/>
      </c>
    </row>
    <row r="7640" ht="12.75" customHeight="1">
      <c r="H7640" s="43" t="n"/>
      <c r="AG7640" s="49">
        <f>IFERROR(__xludf.DUMMYFUNCTION("IFNA(vlookup(H7640,IMPORTRANGE(""1vUGwO1n0QQGx9kKbO0_M5gmuhXZ6-LaxQxgrmJnzgP0"",""'TP# look up'!A:C""),3,0),"""")"),"")</f>
        <v/>
      </c>
      <c r="AH7640" s="49">
        <f>LEFT(J7640,2)</f>
        <v/>
      </c>
    </row>
    <row r="7641" ht="12.75" customHeight="1">
      <c r="H7641" s="43" t="n"/>
      <c r="AG7641" s="49">
        <f>IFERROR(__xludf.DUMMYFUNCTION("IFNA(vlookup(H7641,IMPORTRANGE(""1vUGwO1n0QQGx9kKbO0_M5gmuhXZ6-LaxQxgrmJnzgP0"",""'TP# look up'!A:C""),3,0),"""")"),"")</f>
        <v/>
      </c>
      <c r="AH7641" s="49">
        <f>LEFT(J7641,2)</f>
        <v/>
      </c>
    </row>
    <row r="7642" ht="12.75" customHeight="1">
      <c r="H7642" s="43" t="n"/>
      <c r="AG7642" s="49">
        <f>IFERROR(__xludf.DUMMYFUNCTION("IFNA(vlookup(H7642,IMPORTRANGE(""1vUGwO1n0QQGx9kKbO0_M5gmuhXZ6-LaxQxgrmJnzgP0"",""'TP# look up'!A:C""),3,0),"""")"),"")</f>
        <v/>
      </c>
      <c r="AH7642" s="49">
        <f>LEFT(J7642,2)</f>
        <v/>
      </c>
    </row>
    <row r="7643" ht="12.75" customHeight="1">
      <c r="H7643" s="43" t="n"/>
      <c r="AG7643" s="49">
        <f>IFERROR(__xludf.DUMMYFUNCTION("IFNA(vlookup(H7643,IMPORTRANGE(""1vUGwO1n0QQGx9kKbO0_M5gmuhXZ6-LaxQxgrmJnzgP0"",""'TP# look up'!A:C""),3,0),"""")"),"")</f>
        <v/>
      </c>
      <c r="AH7643" s="49">
        <f>LEFT(J7643,2)</f>
        <v/>
      </c>
    </row>
    <row r="7644" ht="12.75" customHeight="1">
      <c r="H7644" s="43" t="n"/>
      <c r="AG7644" s="49">
        <f>IFERROR(__xludf.DUMMYFUNCTION("IFNA(vlookup(H7644,IMPORTRANGE(""1vUGwO1n0QQGx9kKbO0_M5gmuhXZ6-LaxQxgrmJnzgP0"",""'TP# look up'!A:C""),3,0),"""")"),"")</f>
        <v/>
      </c>
      <c r="AH7644" s="49">
        <f>LEFT(J7644,2)</f>
        <v/>
      </c>
    </row>
    <row r="7645" ht="12.75" customHeight="1">
      <c r="H7645" s="43" t="n"/>
      <c r="AG7645" s="49">
        <f>IFERROR(__xludf.DUMMYFUNCTION("IFNA(vlookup(H7645,IMPORTRANGE(""1vUGwO1n0QQGx9kKbO0_M5gmuhXZ6-LaxQxgrmJnzgP0"",""'TP# look up'!A:C""),3,0),"""")"),"")</f>
        <v/>
      </c>
      <c r="AH7645" s="49">
        <f>LEFT(J7645,2)</f>
        <v/>
      </c>
    </row>
    <row r="7646" ht="12.75" customHeight="1">
      <c r="H7646" s="43" t="n"/>
      <c r="AG7646" s="49">
        <f>IFERROR(__xludf.DUMMYFUNCTION("IFNA(vlookup(H7646,IMPORTRANGE(""1vUGwO1n0QQGx9kKbO0_M5gmuhXZ6-LaxQxgrmJnzgP0"",""'TP# look up'!A:C""),3,0),"""")"),"")</f>
        <v/>
      </c>
      <c r="AH7646" s="49">
        <f>LEFT(J7646,2)</f>
        <v/>
      </c>
    </row>
    <row r="7647" ht="12.75" customHeight="1">
      <c r="H7647" s="43" t="n"/>
      <c r="AG7647" s="49">
        <f>IFERROR(__xludf.DUMMYFUNCTION("IFNA(vlookup(H7647,IMPORTRANGE(""1vUGwO1n0QQGx9kKbO0_M5gmuhXZ6-LaxQxgrmJnzgP0"",""'TP# look up'!A:C""),3,0),"""")"),"")</f>
        <v/>
      </c>
      <c r="AH7647" s="49">
        <f>LEFT(J7647,2)</f>
        <v/>
      </c>
    </row>
    <row r="7648" ht="12.75" customHeight="1">
      <c r="H7648" s="43" t="n"/>
      <c r="AG7648" s="49">
        <f>IFERROR(__xludf.DUMMYFUNCTION("IFNA(vlookup(H7648,IMPORTRANGE(""1vUGwO1n0QQGx9kKbO0_M5gmuhXZ6-LaxQxgrmJnzgP0"",""'TP# look up'!A:C""),3,0),"""")"),"")</f>
        <v/>
      </c>
      <c r="AH7648" s="49">
        <f>LEFT(J7648,2)</f>
        <v/>
      </c>
    </row>
    <row r="7649" ht="12.75" customHeight="1">
      <c r="H7649" s="43" t="n"/>
      <c r="AG7649" s="49">
        <f>IFERROR(__xludf.DUMMYFUNCTION("IFNA(vlookup(H7649,IMPORTRANGE(""1vUGwO1n0QQGx9kKbO0_M5gmuhXZ6-LaxQxgrmJnzgP0"",""'TP# look up'!A:C""),3,0),"""")"),"")</f>
        <v/>
      </c>
      <c r="AH7649" s="49">
        <f>LEFT(J7649,2)</f>
        <v/>
      </c>
    </row>
    <row r="7650" ht="12.75" customHeight="1">
      <c r="H7650" s="43" t="n"/>
      <c r="AG7650" s="49">
        <f>IFERROR(__xludf.DUMMYFUNCTION("IFNA(vlookup(H7650,IMPORTRANGE(""1vUGwO1n0QQGx9kKbO0_M5gmuhXZ6-LaxQxgrmJnzgP0"",""'TP# look up'!A:C""),3,0),"""")"),"")</f>
        <v/>
      </c>
      <c r="AH7650" s="49">
        <f>LEFT(J7650,2)</f>
        <v/>
      </c>
    </row>
    <row r="7651" ht="12.75" customHeight="1">
      <c r="H7651" s="43" t="n"/>
      <c r="AG7651" s="49">
        <f>IFERROR(__xludf.DUMMYFUNCTION("IFNA(vlookup(H7651,IMPORTRANGE(""1vUGwO1n0QQGx9kKbO0_M5gmuhXZ6-LaxQxgrmJnzgP0"",""'TP# look up'!A:C""),3,0),"""")"),"")</f>
        <v/>
      </c>
      <c r="AH7651" s="49">
        <f>LEFT(J7651,2)</f>
        <v/>
      </c>
    </row>
    <row r="7652" ht="12.75" customHeight="1">
      <c r="H7652" s="43" t="n"/>
      <c r="AG7652" s="49">
        <f>IFERROR(__xludf.DUMMYFUNCTION("IFNA(vlookup(H7652,IMPORTRANGE(""1vUGwO1n0QQGx9kKbO0_M5gmuhXZ6-LaxQxgrmJnzgP0"",""'TP# look up'!A:C""),3,0),"""")"),"")</f>
        <v/>
      </c>
      <c r="AH7652" s="49">
        <f>LEFT(J7652,2)</f>
        <v/>
      </c>
    </row>
    <row r="7653" ht="12.75" customHeight="1">
      <c r="H7653" s="43" t="n"/>
      <c r="AG7653" s="49">
        <f>IFERROR(__xludf.DUMMYFUNCTION("IFNA(vlookup(H7653,IMPORTRANGE(""1vUGwO1n0QQGx9kKbO0_M5gmuhXZ6-LaxQxgrmJnzgP0"",""'TP# look up'!A:C""),3,0),"""")"),"")</f>
        <v/>
      </c>
      <c r="AH7653" s="49">
        <f>LEFT(J7653,2)</f>
        <v/>
      </c>
    </row>
    <row r="7654" ht="12.75" customHeight="1">
      <c r="H7654" s="43" t="n"/>
      <c r="AG7654" s="49">
        <f>IFERROR(__xludf.DUMMYFUNCTION("IFNA(vlookup(H7654,IMPORTRANGE(""1vUGwO1n0QQGx9kKbO0_M5gmuhXZ6-LaxQxgrmJnzgP0"",""'TP# look up'!A:C""),3,0),"""")"),"")</f>
        <v/>
      </c>
      <c r="AH7654" s="49">
        <f>LEFT(J7654,2)</f>
        <v/>
      </c>
    </row>
    <row r="7655" ht="12.75" customHeight="1">
      <c r="H7655" s="43" t="n"/>
      <c r="AG7655" s="49">
        <f>IFERROR(__xludf.DUMMYFUNCTION("IFNA(vlookup(H7655,IMPORTRANGE(""1vUGwO1n0QQGx9kKbO0_M5gmuhXZ6-LaxQxgrmJnzgP0"",""'TP# look up'!A:C""),3,0),"""")"),"")</f>
        <v/>
      </c>
      <c r="AH7655" s="49">
        <f>LEFT(J7655,2)</f>
        <v/>
      </c>
    </row>
    <row r="7656" ht="12.75" customHeight="1">
      <c r="H7656" s="43" t="n"/>
      <c r="AG7656" s="49">
        <f>IFERROR(__xludf.DUMMYFUNCTION("IFNA(vlookup(H7656,IMPORTRANGE(""1vUGwO1n0QQGx9kKbO0_M5gmuhXZ6-LaxQxgrmJnzgP0"",""'TP# look up'!A:C""),3,0),"""")"),"")</f>
        <v/>
      </c>
      <c r="AH7656" s="49">
        <f>LEFT(J7656,2)</f>
        <v/>
      </c>
    </row>
    <row r="7657" ht="12.75" customHeight="1">
      <c r="H7657" s="43" t="n"/>
      <c r="AG7657" s="49">
        <f>IFERROR(__xludf.DUMMYFUNCTION("IFNA(vlookup(H7657,IMPORTRANGE(""1vUGwO1n0QQGx9kKbO0_M5gmuhXZ6-LaxQxgrmJnzgP0"",""'TP# look up'!A:C""),3,0),"""")"),"")</f>
        <v/>
      </c>
      <c r="AH7657" s="49">
        <f>LEFT(J7657,2)</f>
        <v/>
      </c>
    </row>
    <row r="7658" ht="12.75" customHeight="1">
      <c r="H7658" s="43" t="n"/>
      <c r="AG7658" s="49">
        <f>IFERROR(__xludf.DUMMYFUNCTION("IFNA(vlookup(H7658,IMPORTRANGE(""1vUGwO1n0QQGx9kKbO0_M5gmuhXZ6-LaxQxgrmJnzgP0"",""'TP# look up'!A:C""),3,0),"""")"),"")</f>
        <v/>
      </c>
      <c r="AH7658" s="49">
        <f>LEFT(J7658,2)</f>
        <v/>
      </c>
    </row>
    <row r="7659" ht="12.75" customHeight="1">
      <c r="H7659" s="43" t="n"/>
      <c r="AG7659" s="49">
        <f>IFERROR(__xludf.DUMMYFUNCTION("IFNA(vlookup(H7659,IMPORTRANGE(""1vUGwO1n0QQGx9kKbO0_M5gmuhXZ6-LaxQxgrmJnzgP0"",""'TP# look up'!A:C""),3,0),"""")"),"")</f>
        <v/>
      </c>
      <c r="AH7659" s="49">
        <f>LEFT(J7659,2)</f>
        <v/>
      </c>
    </row>
    <row r="7660" ht="12.75" customHeight="1">
      <c r="H7660" s="43" t="n"/>
      <c r="AG7660" s="49">
        <f>IFERROR(__xludf.DUMMYFUNCTION("IFNA(vlookup(H7660,IMPORTRANGE(""1vUGwO1n0QQGx9kKbO0_M5gmuhXZ6-LaxQxgrmJnzgP0"",""'TP# look up'!A:C""),3,0),"""")"),"")</f>
        <v/>
      </c>
      <c r="AH7660" s="49">
        <f>LEFT(J7660,2)</f>
        <v/>
      </c>
    </row>
    <row r="7661" ht="12.75" customHeight="1">
      <c r="H7661" s="43" t="n"/>
      <c r="AG7661" s="49">
        <f>IFERROR(__xludf.DUMMYFUNCTION("IFNA(vlookup(H7661,IMPORTRANGE(""1vUGwO1n0QQGx9kKbO0_M5gmuhXZ6-LaxQxgrmJnzgP0"",""'TP# look up'!A:C""),3,0),"""")"),"")</f>
        <v/>
      </c>
      <c r="AH7661" s="49">
        <f>LEFT(J7661,2)</f>
        <v/>
      </c>
    </row>
    <row r="7662" ht="12.75" customHeight="1">
      <c r="H7662" s="43" t="n"/>
      <c r="AG7662" s="49">
        <f>IFERROR(__xludf.DUMMYFUNCTION("IFNA(vlookup(H7662,IMPORTRANGE(""1vUGwO1n0QQGx9kKbO0_M5gmuhXZ6-LaxQxgrmJnzgP0"",""'TP# look up'!A:C""),3,0),"""")"),"")</f>
        <v/>
      </c>
      <c r="AH7662" s="49">
        <f>LEFT(J7662,2)</f>
        <v/>
      </c>
    </row>
    <row r="7663" ht="12.75" customHeight="1">
      <c r="H7663" s="43" t="n"/>
      <c r="AG7663" s="49">
        <f>IFERROR(__xludf.DUMMYFUNCTION("IFNA(vlookup(H7663,IMPORTRANGE(""1vUGwO1n0QQGx9kKbO0_M5gmuhXZ6-LaxQxgrmJnzgP0"",""'TP# look up'!A:C""),3,0),"""")"),"")</f>
        <v/>
      </c>
      <c r="AH7663" s="49">
        <f>LEFT(J7663,2)</f>
        <v/>
      </c>
    </row>
    <row r="7664" ht="12.75" customHeight="1">
      <c r="H7664" s="43" t="n"/>
      <c r="AG7664" s="49">
        <f>IFERROR(__xludf.DUMMYFUNCTION("IFNA(vlookup(H7664,IMPORTRANGE(""1vUGwO1n0QQGx9kKbO0_M5gmuhXZ6-LaxQxgrmJnzgP0"",""'TP# look up'!A:C""),3,0),"""")"),"")</f>
        <v/>
      </c>
      <c r="AH7664" s="49">
        <f>LEFT(J7664,2)</f>
        <v/>
      </c>
    </row>
    <row r="7665" ht="12.75" customHeight="1">
      <c r="H7665" s="43" t="n"/>
      <c r="AG7665" s="49">
        <f>IFERROR(__xludf.DUMMYFUNCTION("IFNA(vlookup(H7665,IMPORTRANGE(""1vUGwO1n0QQGx9kKbO0_M5gmuhXZ6-LaxQxgrmJnzgP0"",""'TP# look up'!A:C""),3,0),"""")"),"")</f>
        <v/>
      </c>
      <c r="AH7665" s="49">
        <f>LEFT(J7665,2)</f>
        <v/>
      </c>
    </row>
    <row r="7666" ht="12.75" customHeight="1">
      <c r="H7666" s="43" t="n"/>
      <c r="AG7666" s="49">
        <f>IFERROR(__xludf.DUMMYFUNCTION("IFNA(vlookup(H7666,IMPORTRANGE(""1vUGwO1n0QQGx9kKbO0_M5gmuhXZ6-LaxQxgrmJnzgP0"",""'TP# look up'!A:C""),3,0),"""")"),"")</f>
        <v/>
      </c>
      <c r="AH7666" s="49">
        <f>LEFT(J7666,2)</f>
        <v/>
      </c>
    </row>
    <row r="7667" ht="12.75" customHeight="1">
      <c r="H7667" s="43" t="n"/>
      <c r="AG7667" s="49">
        <f>IFERROR(__xludf.DUMMYFUNCTION("IFNA(vlookup(H7667,IMPORTRANGE(""1vUGwO1n0QQGx9kKbO0_M5gmuhXZ6-LaxQxgrmJnzgP0"",""'TP# look up'!A:C""),3,0),"""")"),"")</f>
        <v/>
      </c>
      <c r="AH7667" s="49">
        <f>LEFT(J7667,2)</f>
        <v/>
      </c>
    </row>
    <row r="7668" ht="12.75" customHeight="1">
      <c r="H7668" s="43" t="n"/>
      <c r="AG7668" s="49">
        <f>IFERROR(__xludf.DUMMYFUNCTION("IFNA(vlookup(H7668,IMPORTRANGE(""1vUGwO1n0QQGx9kKbO0_M5gmuhXZ6-LaxQxgrmJnzgP0"",""'TP# look up'!A:C""),3,0),"""")"),"")</f>
        <v/>
      </c>
      <c r="AH7668" s="49">
        <f>LEFT(J7668,2)</f>
        <v/>
      </c>
    </row>
    <row r="7669" ht="12.75" customHeight="1">
      <c r="H7669" s="43" t="n"/>
      <c r="AG7669" s="49">
        <f>IFERROR(__xludf.DUMMYFUNCTION("IFNA(vlookup(H7669,IMPORTRANGE(""1vUGwO1n0QQGx9kKbO0_M5gmuhXZ6-LaxQxgrmJnzgP0"",""'TP# look up'!A:C""),3,0),"""")"),"")</f>
        <v/>
      </c>
      <c r="AH7669" s="49">
        <f>LEFT(J7669,2)</f>
        <v/>
      </c>
    </row>
    <row r="7670" ht="12.75" customHeight="1">
      <c r="H7670" s="43" t="n"/>
      <c r="AG7670" s="49">
        <f>IFERROR(__xludf.DUMMYFUNCTION("IFNA(vlookup(H7670,IMPORTRANGE(""1vUGwO1n0QQGx9kKbO0_M5gmuhXZ6-LaxQxgrmJnzgP0"",""'TP# look up'!A:C""),3,0),"""")"),"")</f>
        <v/>
      </c>
      <c r="AH7670" s="49">
        <f>LEFT(J7670,2)</f>
        <v/>
      </c>
    </row>
    <row r="7671" ht="12.75" customHeight="1">
      <c r="H7671" s="43" t="n"/>
      <c r="AG7671" s="49">
        <f>IFERROR(__xludf.DUMMYFUNCTION("IFNA(vlookup(H7671,IMPORTRANGE(""1vUGwO1n0QQGx9kKbO0_M5gmuhXZ6-LaxQxgrmJnzgP0"",""'TP# look up'!A:C""),3,0),"""")"),"")</f>
        <v/>
      </c>
      <c r="AH7671" s="49">
        <f>LEFT(J7671,2)</f>
        <v/>
      </c>
    </row>
    <row r="7672" ht="12.75" customHeight="1">
      <c r="H7672" s="43" t="n"/>
      <c r="AG7672" s="49">
        <f>IFERROR(__xludf.DUMMYFUNCTION("IFNA(vlookup(H7672,IMPORTRANGE(""1vUGwO1n0QQGx9kKbO0_M5gmuhXZ6-LaxQxgrmJnzgP0"",""'TP# look up'!A:C""),3,0),"""")"),"")</f>
        <v/>
      </c>
      <c r="AH7672" s="49">
        <f>LEFT(J7672,2)</f>
        <v/>
      </c>
    </row>
    <row r="7673" ht="12.75" customHeight="1">
      <c r="H7673" s="43" t="n"/>
      <c r="AG7673" s="49">
        <f>IFERROR(__xludf.DUMMYFUNCTION("IFNA(vlookup(H7673,IMPORTRANGE(""1vUGwO1n0QQGx9kKbO0_M5gmuhXZ6-LaxQxgrmJnzgP0"",""'TP# look up'!A:C""),3,0),"""")"),"")</f>
        <v/>
      </c>
      <c r="AH7673" s="49">
        <f>LEFT(J7673,2)</f>
        <v/>
      </c>
    </row>
    <row r="7674" ht="12.75" customHeight="1">
      <c r="H7674" s="43" t="n"/>
      <c r="AG7674" s="49">
        <f>IFERROR(__xludf.DUMMYFUNCTION("IFNA(vlookup(H7674,IMPORTRANGE(""1vUGwO1n0QQGx9kKbO0_M5gmuhXZ6-LaxQxgrmJnzgP0"",""'TP# look up'!A:C""),3,0),"""")"),"")</f>
        <v/>
      </c>
      <c r="AH7674" s="49">
        <f>LEFT(J7674,2)</f>
        <v/>
      </c>
    </row>
    <row r="7675" ht="12.75" customHeight="1">
      <c r="H7675" s="43" t="n"/>
      <c r="AG7675" s="49">
        <f>IFERROR(__xludf.DUMMYFUNCTION("IFNA(vlookup(H7675,IMPORTRANGE(""1vUGwO1n0QQGx9kKbO0_M5gmuhXZ6-LaxQxgrmJnzgP0"",""'TP# look up'!A:C""),3,0),"""")"),"")</f>
        <v/>
      </c>
      <c r="AH7675" s="49">
        <f>LEFT(J7675,2)</f>
        <v/>
      </c>
    </row>
    <row r="7676" ht="12.75" customHeight="1">
      <c r="H7676" s="43" t="n"/>
      <c r="AG7676" s="49">
        <f>IFERROR(__xludf.DUMMYFUNCTION("IFNA(vlookup(H7676,IMPORTRANGE(""1vUGwO1n0QQGx9kKbO0_M5gmuhXZ6-LaxQxgrmJnzgP0"",""'TP# look up'!A:C""),3,0),"""")"),"")</f>
        <v/>
      </c>
      <c r="AH7676" s="49">
        <f>LEFT(J7676,2)</f>
        <v/>
      </c>
    </row>
    <row r="7677" ht="12.75" customHeight="1">
      <c r="H7677" s="43" t="n"/>
      <c r="AG7677" s="49">
        <f>IFERROR(__xludf.DUMMYFUNCTION("IFNA(vlookup(H7677,IMPORTRANGE(""1vUGwO1n0QQGx9kKbO0_M5gmuhXZ6-LaxQxgrmJnzgP0"",""'TP# look up'!A:C""),3,0),"""")"),"")</f>
        <v/>
      </c>
      <c r="AH7677" s="49">
        <f>LEFT(J7677,2)</f>
        <v/>
      </c>
    </row>
    <row r="7678" ht="12.75" customHeight="1">
      <c r="H7678" s="43" t="n"/>
      <c r="AG7678" s="49">
        <f>IFERROR(__xludf.DUMMYFUNCTION("IFNA(vlookup(H7678,IMPORTRANGE(""1vUGwO1n0QQGx9kKbO0_M5gmuhXZ6-LaxQxgrmJnzgP0"",""'TP# look up'!A:C""),3,0),"""")"),"")</f>
        <v/>
      </c>
      <c r="AH7678" s="49">
        <f>LEFT(J7678,2)</f>
        <v/>
      </c>
    </row>
    <row r="7679" ht="12.75" customHeight="1">
      <c r="H7679" s="43" t="n"/>
      <c r="AG7679" s="49">
        <f>IFERROR(__xludf.DUMMYFUNCTION("IFNA(vlookup(H7679,IMPORTRANGE(""1vUGwO1n0QQGx9kKbO0_M5gmuhXZ6-LaxQxgrmJnzgP0"",""'TP# look up'!A:C""),3,0),"""")"),"")</f>
        <v/>
      </c>
      <c r="AH7679" s="49">
        <f>LEFT(J7679,2)</f>
        <v/>
      </c>
    </row>
    <row r="7680" ht="12.75" customHeight="1">
      <c r="H7680" s="43" t="n"/>
      <c r="AG7680" s="49">
        <f>IFERROR(__xludf.DUMMYFUNCTION("IFNA(vlookup(H7680,IMPORTRANGE(""1vUGwO1n0QQGx9kKbO0_M5gmuhXZ6-LaxQxgrmJnzgP0"",""'TP# look up'!A:C""),3,0),"""")"),"")</f>
        <v/>
      </c>
      <c r="AH7680" s="49">
        <f>LEFT(J7680,2)</f>
        <v/>
      </c>
    </row>
    <row r="7681" ht="12.75" customHeight="1">
      <c r="H7681" s="43" t="n"/>
      <c r="AG7681" s="49">
        <f>IFERROR(__xludf.DUMMYFUNCTION("IFNA(vlookup(H7681,IMPORTRANGE(""1vUGwO1n0QQGx9kKbO0_M5gmuhXZ6-LaxQxgrmJnzgP0"",""'TP# look up'!A:C""),3,0),"""")"),"")</f>
        <v/>
      </c>
      <c r="AH7681" s="49">
        <f>LEFT(J7681,2)</f>
        <v/>
      </c>
    </row>
    <row r="7682" ht="12.75" customHeight="1">
      <c r="H7682" s="43" t="n"/>
      <c r="AG7682" s="49">
        <f>IFERROR(__xludf.DUMMYFUNCTION("IFNA(vlookup(H7682,IMPORTRANGE(""1vUGwO1n0QQGx9kKbO0_M5gmuhXZ6-LaxQxgrmJnzgP0"",""'TP# look up'!A:C""),3,0),"""")"),"")</f>
        <v/>
      </c>
      <c r="AH7682" s="49">
        <f>LEFT(J7682,2)</f>
        <v/>
      </c>
    </row>
    <row r="7683" ht="12.75" customHeight="1">
      <c r="H7683" s="43" t="n"/>
      <c r="AG7683" s="49">
        <f>IFERROR(__xludf.DUMMYFUNCTION("IFNA(vlookup(H7683,IMPORTRANGE(""1vUGwO1n0QQGx9kKbO0_M5gmuhXZ6-LaxQxgrmJnzgP0"",""'TP# look up'!A:C""),3,0),"""")"),"")</f>
        <v/>
      </c>
      <c r="AH7683" s="49">
        <f>LEFT(J7683,2)</f>
        <v/>
      </c>
    </row>
    <row r="7684" ht="12.75" customHeight="1">
      <c r="H7684" s="43" t="n"/>
      <c r="AG7684" s="49">
        <f>IFERROR(__xludf.DUMMYFUNCTION("IFNA(vlookup(H7684,IMPORTRANGE(""1vUGwO1n0QQGx9kKbO0_M5gmuhXZ6-LaxQxgrmJnzgP0"",""'TP# look up'!A:C""),3,0),"""")"),"")</f>
        <v/>
      </c>
      <c r="AH7684" s="49">
        <f>LEFT(J7684,2)</f>
        <v/>
      </c>
    </row>
    <row r="7685" ht="12.75" customHeight="1">
      <c r="H7685" s="43" t="n"/>
      <c r="AG7685" s="49">
        <f>IFERROR(__xludf.DUMMYFUNCTION("IFNA(vlookup(H7685,IMPORTRANGE(""1vUGwO1n0QQGx9kKbO0_M5gmuhXZ6-LaxQxgrmJnzgP0"",""'TP# look up'!A:C""),3,0),"""")"),"")</f>
        <v/>
      </c>
      <c r="AH7685" s="49">
        <f>LEFT(J7685,2)</f>
        <v/>
      </c>
    </row>
    <row r="7686" ht="12.75" customHeight="1">
      <c r="H7686" s="43" t="n"/>
      <c r="AG7686" s="49">
        <f>IFERROR(__xludf.DUMMYFUNCTION("IFNA(vlookup(H7686,IMPORTRANGE(""1vUGwO1n0QQGx9kKbO0_M5gmuhXZ6-LaxQxgrmJnzgP0"",""'TP# look up'!A:C""),3,0),"""")"),"")</f>
        <v/>
      </c>
      <c r="AH7686" s="49">
        <f>LEFT(J7686,2)</f>
        <v/>
      </c>
    </row>
    <row r="7687" ht="12.75" customHeight="1">
      <c r="H7687" s="43" t="n"/>
      <c r="AG7687" s="49">
        <f>IFERROR(__xludf.DUMMYFUNCTION("IFNA(vlookup(H7687,IMPORTRANGE(""1vUGwO1n0QQGx9kKbO0_M5gmuhXZ6-LaxQxgrmJnzgP0"",""'TP# look up'!A:C""),3,0),"""")"),"")</f>
        <v/>
      </c>
      <c r="AH7687" s="49">
        <f>LEFT(J7687,2)</f>
        <v/>
      </c>
    </row>
    <row r="7688" ht="12.75" customHeight="1">
      <c r="H7688" s="43" t="n"/>
      <c r="AG7688" s="49">
        <f>IFERROR(__xludf.DUMMYFUNCTION("IFNA(vlookup(H7688,IMPORTRANGE(""1vUGwO1n0QQGx9kKbO0_M5gmuhXZ6-LaxQxgrmJnzgP0"",""'TP# look up'!A:C""),3,0),"""")"),"")</f>
        <v/>
      </c>
      <c r="AH7688" s="49">
        <f>LEFT(J7688,2)</f>
        <v/>
      </c>
    </row>
    <row r="7689" ht="12.75" customHeight="1">
      <c r="H7689" s="43" t="n"/>
      <c r="AG7689" s="49">
        <f>IFERROR(__xludf.DUMMYFUNCTION("IFNA(vlookup(H7689,IMPORTRANGE(""1vUGwO1n0QQGx9kKbO0_M5gmuhXZ6-LaxQxgrmJnzgP0"",""'TP# look up'!A:C""),3,0),"""")"),"")</f>
        <v/>
      </c>
      <c r="AH7689" s="49">
        <f>LEFT(J7689,2)</f>
        <v/>
      </c>
    </row>
    <row r="7690" ht="12.75" customHeight="1">
      <c r="H7690" s="43" t="n"/>
      <c r="AG7690" s="49">
        <f>IFERROR(__xludf.DUMMYFUNCTION("IFNA(vlookup(H7690,IMPORTRANGE(""1vUGwO1n0QQGx9kKbO0_M5gmuhXZ6-LaxQxgrmJnzgP0"",""'TP# look up'!A:C""),3,0),"""")"),"")</f>
        <v/>
      </c>
      <c r="AH7690" s="49">
        <f>LEFT(J7690,2)</f>
        <v/>
      </c>
    </row>
    <row r="7691" ht="12.75" customHeight="1">
      <c r="H7691" s="43" t="n"/>
      <c r="AG7691" s="49">
        <f>IFERROR(__xludf.DUMMYFUNCTION("IFNA(vlookup(H7691,IMPORTRANGE(""1vUGwO1n0QQGx9kKbO0_M5gmuhXZ6-LaxQxgrmJnzgP0"",""'TP# look up'!A:C""),3,0),"""")"),"")</f>
        <v/>
      </c>
      <c r="AH7691" s="49">
        <f>LEFT(J7691,2)</f>
        <v/>
      </c>
    </row>
    <row r="7692" ht="12.75" customHeight="1">
      <c r="H7692" s="43" t="n"/>
      <c r="AG7692" s="49">
        <f>IFERROR(__xludf.DUMMYFUNCTION("IFNA(vlookup(H7692,IMPORTRANGE(""1vUGwO1n0QQGx9kKbO0_M5gmuhXZ6-LaxQxgrmJnzgP0"",""'TP# look up'!A:C""),3,0),"""")"),"")</f>
        <v/>
      </c>
      <c r="AH7692" s="49">
        <f>LEFT(J7692,2)</f>
        <v/>
      </c>
    </row>
    <row r="7693" ht="12.75" customHeight="1">
      <c r="H7693" s="43" t="n"/>
      <c r="AG7693" s="49">
        <f>IFERROR(__xludf.DUMMYFUNCTION("IFNA(vlookup(H7693,IMPORTRANGE(""1vUGwO1n0QQGx9kKbO0_M5gmuhXZ6-LaxQxgrmJnzgP0"",""'TP# look up'!A:C""),3,0),"""")"),"")</f>
        <v/>
      </c>
      <c r="AH7693" s="49">
        <f>LEFT(J7693,2)</f>
        <v/>
      </c>
    </row>
    <row r="7694" ht="12.75" customHeight="1">
      <c r="H7694" s="43" t="n"/>
      <c r="AG7694" s="49">
        <f>IFERROR(__xludf.DUMMYFUNCTION("IFNA(vlookup(H7694,IMPORTRANGE(""1vUGwO1n0QQGx9kKbO0_M5gmuhXZ6-LaxQxgrmJnzgP0"",""'TP# look up'!A:C""),3,0),"""")"),"")</f>
        <v/>
      </c>
      <c r="AH7694" s="49">
        <f>LEFT(J7694,2)</f>
        <v/>
      </c>
    </row>
    <row r="7695" ht="12.75" customHeight="1">
      <c r="H7695" s="43" t="n"/>
      <c r="AG7695" s="49">
        <f>IFERROR(__xludf.DUMMYFUNCTION("IFNA(vlookup(H7695,IMPORTRANGE(""1vUGwO1n0QQGx9kKbO0_M5gmuhXZ6-LaxQxgrmJnzgP0"",""'TP# look up'!A:C""),3,0),"""")"),"")</f>
        <v/>
      </c>
      <c r="AH7695" s="49">
        <f>LEFT(J7695,2)</f>
        <v/>
      </c>
    </row>
    <row r="7696" ht="12.75" customHeight="1">
      <c r="H7696" s="43" t="n"/>
      <c r="AG7696" s="49">
        <f>IFERROR(__xludf.DUMMYFUNCTION("IFNA(vlookup(H7696,IMPORTRANGE(""1vUGwO1n0QQGx9kKbO0_M5gmuhXZ6-LaxQxgrmJnzgP0"",""'TP# look up'!A:C""),3,0),"""")"),"")</f>
        <v/>
      </c>
      <c r="AH7696" s="49">
        <f>LEFT(J7696,2)</f>
        <v/>
      </c>
    </row>
    <row r="7697" ht="12.75" customHeight="1">
      <c r="H7697" s="43" t="n"/>
      <c r="AG7697" s="49">
        <f>IFERROR(__xludf.DUMMYFUNCTION("IFNA(vlookup(H7697,IMPORTRANGE(""1vUGwO1n0QQGx9kKbO0_M5gmuhXZ6-LaxQxgrmJnzgP0"",""'TP# look up'!A:C""),3,0),"""")"),"")</f>
        <v/>
      </c>
      <c r="AH7697" s="49">
        <f>LEFT(J7697,2)</f>
        <v/>
      </c>
    </row>
    <row r="7698" ht="12.75" customHeight="1">
      <c r="H7698" s="43" t="n"/>
      <c r="AG7698" s="49">
        <f>IFERROR(__xludf.DUMMYFUNCTION("IFNA(vlookup(H7698,IMPORTRANGE(""1vUGwO1n0QQGx9kKbO0_M5gmuhXZ6-LaxQxgrmJnzgP0"",""'TP# look up'!A:C""),3,0),"""")"),"")</f>
        <v/>
      </c>
      <c r="AH7698" s="49">
        <f>LEFT(J7698,2)</f>
        <v/>
      </c>
    </row>
    <row r="7699" ht="12.75" customHeight="1">
      <c r="H7699" s="43" t="n"/>
      <c r="AG7699" s="49">
        <f>IFERROR(__xludf.DUMMYFUNCTION("IFNA(vlookup(H7699,IMPORTRANGE(""1vUGwO1n0QQGx9kKbO0_M5gmuhXZ6-LaxQxgrmJnzgP0"",""'TP# look up'!A:C""),3,0),"""")"),"")</f>
        <v/>
      </c>
      <c r="AH7699" s="49">
        <f>LEFT(J7699,2)</f>
        <v/>
      </c>
    </row>
    <row r="7700" ht="12.75" customHeight="1">
      <c r="H7700" s="43" t="n"/>
      <c r="AG7700" s="49">
        <f>IFERROR(__xludf.DUMMYFUNCTION("IFNA(vlookup(H7700,IMPORTRANGE(""1vUGwO1n0QQGx9kKbO0_M5gmuhXZ6-LaxQxgrmJnzgP0"",""'TP# look up'!A:C""),3,0),"""")"),"")</f>
        <v/>
      </c>
      <c r="AH7700" s="49">
        <f>LEFT(J7700,2)</f>
        <v/>
      </c>
    </row>
    <row r="7701" ht="12.75" customHeight="1">
      <c r="H7701" s="43" t="n"/>
      <c r="AG7701" s="49">
        <f>IFERROR(__xludf.DUMMYFUNCTION("IFNA(vlookup(H7701,IMPORTRANGE(""1vUGwO1n0QQGx9kKbO0_M5gmuhXZ6-LaxQxgrmJnzgP0"",""'TP# look up'!A:C""),3,0),"""")"),"")</f>
        <v/>
      </c>
      <c r="AH7701" s="49">
        <f>LEFT(J7701,2)</f>
        <v/>
      </c>
    </row>
    <row r="7702" ht="12.75" customHeight="1">
      <c r="H7702" s="43" t="n"/>
      <c r="AG7702" s="49">
        <f>IFERROR(__xludf.DUMMYFUNCTION("IFNA(vlookup(H7702,IMPORTRANGE(""1vUGwO1n0QQGx9kKbO0_M5gmuhXZ6-LaxQxgrmJnzgP0"",""'TP# look up'!A:C""),3,0),"""")"),"")</f>
        <v/>
      </c>
      <c r="AH7702" s="49">
        <f>LEFT(J7702,2)</f>
        <v/>
      </c>
    </row>
    <row r="7703" ht="12.75" customHeight="1">
      <c r="H7703" s="43" t="n"/>
      <c r="AG7703" s="49">
        <f>IFERROR(__xludf.DUMMYFUNCTION("IFNA(vlookup(H7703,IMPORTRANGE(""1vUGwO1n0QQGx9kKbO0_M5gmuhXZ6-LaxQxgrmJnzgP0"",""'TP# look up'!A:C""),3,0),"""")"),"")</f>
        <v/>
      </c>
      <c r="AH7703" s="49">
        <f>LEFT(J7703,2)</f>
        <v/>
      </c>
    </row>
    <row r="7704" ht="12.75" customHeight="1">
      <c r="H7704" s="43" t="n"/>
      <c r="AG7704" s="49">
        <f>IFERROR(__xludf.DUMMYFUNCTION("IFNA(vlookup(H7704,IMPORTRANGE(""1vUGwO1n0QQGx9kKbO0_M5gmuhXZ6-LaxQxgrmJnzgP0"",""'TP# look up'!A:C""),3,0),"""")"),"")</f>
        <v/>
      </c>
      <c r="AH7704" s="49">
        <f>LEFT(J7704,2)</f>
        <v/>
      </c>
    </row>
    <row r="7705" ht="12.75" customHeight="1">
      <c r="H7705" s="43" t="n"/>
      <c r="AG7705" s="49">
        <f>IFERROR(__xludf.DUMMYFUNCTION("IFNA(vlookup(H7705,IMPORTRANGE(""1vUGwO1n0QQGx9kKbO0_M5gmuhXZ6-LaxQxgrmJnzgP0"",""'TP# look up'!A:C""),3,0),"""")"),"")</f>
        <v/>
      </c>
      <c r="AH7705" s="49">
        <f>LEFT(J7705,2)</f>
        <v/>
      </c>
    </row>
    <row r="7706" ht="12.75" customHeight="1">
      <c r="H7706" s="43" t="n"/>
      <c r="AG7706" s="49">
        <f>IFERROR(__xludf.DUMMYFUNCTION("IFNA(vlookup(H7706,IMPORTRANGE(""1vUGwO1n0QQGx9kKbO0_M5gmuhXZ6-LaxQxgrmJnzgP0"",""'TP# look up'!A:C""),3,0),"""")"),"")</f>
        <v/>
      </c>
      <c r="AH7706" s="49">
        <f>LEFT(J7706,2)</f>
        <v/>
      </c>
    </row>
    <row r="7707" ht="12.75" customHeight="1">
      <c r="H7707" s="43" t="n"/>
      <c r="AG7707" s="49">
        <f>IFERROR(__xludf.DUMMYFUNCTION("IFNA(vlookup(H7707,IMPORTRANGE(""1vUGwO1n0QQGx9kKbO0_M5gmuhXZ6-LaxQxgrmJnzgP0"",""'TP# look up'!A:C""),3,0),"""")"),"")</f>
        <v/>
      </c>
      <c r="AH7707" s="49">
        <f>LEFT(J7707,2)</f>
        <v/>
      </c>
    </row>
    <row r="7708" ht="12.75" customHeight="1">
      <c r="H7708" s="43" t="n"/>
      <c r="AG7708" s="49">
        <f>IFERROR(__xludf.DUMMYFUNCTION("IFNA(vlookup(H7708,IMPORTRANGE(""1vUGwO1n0QQGx9kKbO0_M5gmuhXZ6-LaxQxgrmJnzgP0"",""'TP# look up'!A:C""),3,0),"""")"),"")</f>
        <v/>
      </c>
      <c r="AH7708" s="49">
        <f>LEFT(J7708,2)</f>
        <v/>
      </c>
    </row>
    <row r="7709" ht="12.75" customHeight="1">
      <c r="H7709" s="43" t="n"/>
      <c r="AG7709" s="49">
        <f>IFERROR(__xludf.DUMMYFUNCTION("IFNA(vlookup(H7709,IMPORTRANGE(""1vUGwO1n0QQGx9kKbO0_M5gmuhXZ6-LaxQxgrmJnzgP0"",""'TP# look up'!A:C""),3,0),"""")"),"")</f>
        <v/>
      </c>
      <c r="AH7709" s="49">
        <f>LEFT(J7709,2)</f>
        <v/>
      </c>
    </row>
    <row r="7710" ht="12.75" customHeight="1">
      <c r="H7710" s="43" t="n"/>
      <c r="AG7710" s="49">
        <f>IFERROR(__xludf.DUMMYFUNCTION("IFNA(vlookup(H7710,IMPORTRANGE(""1vUGwO1n0QQGx9kKbO0_M5gmuhXZ6-LaxQxgrmJnzgP0"",""'TP# look up'!A:C""),3,0),"""")"),"")</f>
        <v/>
      </c>
      <c r="AH7710" s="49">
        <f>LEFT(J7710,2)</f>
        <v/>
      </c>
    </row>
    <row r="7711" ht="12.75" customHeight="1">
      <c r="H7711" s="43" t="n"/>
      <c r="AG7711" s="49">
        <f>IFERROR(__xludf.DUMMYFUNCTION("IFNA(vlookup(H7711,IMPORTRANGE(""1vUGwO1n0QQGx9kKbO0_M5gmuhXZ6-LaxQxgrmJnzgP0"",""'TP# look up'!A:C""),3,0),"""")"),"")</f>
        <v/>
      </c>
      <c r="AH7711" s="49">
        <f>LEFT(J7711,2)</f>
        <v/>
      </c>
    </row>
    <row r="7712" ht="12.75" customHeight="1">
      <c r="H7712" s="43" t="n"/>
      <c r="AG7712" s="49">
        <f>IFERROR(__xludf.DUMMYFUNCTION("IFNA(vlookup(H7712,IMPORTRANGE(""1vUGwO1n0QQGx9kKbO0_M5gmuhXZ6-LaxQxgrmJnzgP0"",""'TP# look up'!A:C""),3,0),"""")"),"")</f>
        <v/>
      </c>
      <c r="AH7712" s="49">
        <f>LEFT(J7712,2)</f>
        <v/>
      </c>
    </row>
    <row r="7713" ht="12.75" customHeight="1">
      <c r="H7713" s="43" t="n"/>
      <c r="AG7713" s="49">
        <f>IFERROR(__xludf.DUMMYFUNCTION("IFNA(vlookup(H7713,IMPORTRANGE(""1vUGwO1n0QQGx9kKbO0_M5gmuhXZ6-LaxQxgrmJnzgP0"",""'TP# look up'!A:C""),3,0),"""")"),"")</f>
        <v/>
      </c>
      <c r="AH7713" s="49">
        <f>LEFT(J7713,2)</f>
        <v/>
      </c>
    </row>
    <row r="7714" ht="12.75" customHeight="1">
      <c r="H7714" s="43" t="n"/>
      <c r="AG7714" s="49">
        <f>IFERROR(__xludf.DUMMYFUNCTION("IFNA(vlookup(H7714,IMPORTRANGE(""1vUGwO1n0QQGx9kKbO0_M5gmuhXZ6-LaxQxgrmJnzgP0"",""'TP# look up'!A:C""),3,0),"""")"),"")</f>
        <v/>
      </c>
      <c r="AH7714" s="49">
        <f>LEFT(J7714,2)</f>
        <v/>
      </c>
    </row>
    <row r="7715" ht="12.75" customHeight="1">
      <c r="H7715" s="43" t="n"/>
      <c r="AG7715" s="49">
        <f>IFERROR(__xludf.DUMMYFUNCTION("IFNA(vlookup(H7715,IMPORTRANGE(""1vUGwO1n0QQGx9kKbO0_M5gmuhXZ6-LaxQxgrmJnzgP0"",""'TP# look up'!A:C""),3,0),"""")"),"")</f>
        <v/>
      </c>
      <c r="AH7715" s="49">
        <f>LEFT(J7715,2)</f>
        <v/>
      </c>
    </row>
    <row r="7716" ht="12.75" customHeight="1">
      <c r="H7716" s="43" t="n"/>
      <c r="AG7716" s="49">
        <f>IFERROR(__xludf.DUMMYFUNCTION("IFNA(vlookup(H7716,IMPORTRANGE(""1vUGwO1n0QQGx9kKbO0_M5gmuhXZ6-LaxQxgrmJnzgP0"",""'TP# look up'!A:C""),3,0),"""")"),"")</f>
        <v/>
      </c>
      <c r="AH7716" s="49">
        <f>LEFT(J7716,2)</f>
        <v/>
      </c>
    </row>
    <row r="7717" ht="12.75" customHeight="1">
      <c r="H7717" s="43" t="n"/>
      <c r="AG7717" s="49">
        <f>IFERROR(__xludf.DUMMYFUNCTION("IFNA(vlookup(H7717,IMPORTRANGE(""1vUGwO1n0QQGx9kKbO0_M5gmuhXZ6-LaxQxgrmJnzgP0"",""'TP# look up'!A:C""),3,0),"""")"),"")</f>
        <v/>
      </c>
      <c r="AH7717" s="49">
        <f>LEFT(J7717,2)</f>
        <v/>
      </c>
    </row>
    <row r="7718" ht="12.75" customHeight="1">
      <c r="H7718" s="43" t="n"/>
      <c r="AG7718" s="49">
        <f>IFERROR(__xludf.DUMMYFUNCTION("IFNA(vlookup(H7718,IMPORTRANGE(""1vUGwO1n0QQGx9kKbO0_M5gmuhXZ6-LaxQxgrmJnzgP0"",""'TP# look up'!A:C""),3,0),"""")"),"")</f>
        <v/>
      </c>
      <c r="AH7718" s="49">
        <f>LEFT(J7718,2)</f>
        <v/>
      </c>
    </row>
    <row r="7719" ht="12.75" customHeight="1">
      <c r="H7719" s="43" t="n"/>
      <c r="AG7719" s="49">
        <f>IFERROR(__xludf.DUMMYFUNCTION("IFNA(vlookup(H7719,IMPORTRANGE(""1vUGwO1n0QQGx9kKbO0_M5gmuhXZ6-LaxQxgrmJnzgP0"",""'TP# look up'!A:C""),3,0),"""")"),"")</f>
        <v/>
      </c>
      <c r="AH7719" s="49">
        <f>LEFT(J7719,2)</f>
        <v/>
      </c>
    </row>
    <row r="7720" ht="12.75" customHeight="1">
      <c r="H7720" s="43" t="n"/>
      <c r="AG7720" s="49">
        <f>IFERROR(__xludf.DUMMYFUNCTION("IFNA(vlookup(H7720,IMPORTRANGE(""1vUGwO1n0QQGx9kKbO0_M5gmuhXZ6-LaxQxgrmJnzgP0"",""'TP# look up'!A:C""),3,0),"""")"),"")</f>
        <v/>
      </c>
      <c r="AH7720" s="49">
        <f>LEFT(J7720,2)</f>
        <v/>
      </c>
    </row>
    <row r="7721" ht="12.75" customHeight="1">
      <c r="H7721" s="43" t="n"/>
      <c r="AG7721" s="49">
        <f>IFERROR(__xludf.DUMMYFUNCTION("IFNA(vlookup(H7721,IMPORTRANGE(""1vUGwO1n0QQGx9kKbO0_M5gmuhXZ6-LaxQxgrmJnzgP0"",""'TP# look up'!A:C""),3,0),"""")"),"")</f>
        <v/>
      </c>
      <c r="AH7721" s="49">
        <f>LEFT(J7721,2)</f>
        <v/>
      </c>
    </row>
    <row r="7722" ht="12.75" customHeight="1">
      <c r="H7722" s="43" t="n"/>
      <c r="AG7722" s="49">
        <f>IFERROR(__xludf.DUMMYFUNCTION("IFNA(vlookup(H7722,IMPORTRANGE(""1vUGwO1n0QQGx9kKbO0_M5gmuhXZ6-LaxQxgrmJnzgP0"",""'TP# look up'!A:C""),3,0),"""")"),"")</f>
        <v/>
      </c>
      <c r="AH7722" s="49">
        <f>LEFT(J7722,2)</f>
        <v/>
      </c>
    </row>
    <row r="7723" ht="12.75" customHeight="1">
      <c r="H7723" s="43" t="n"/>
      <c r="AG7723" s="49">
        <f>IFERROR(__xludf.DUMMYFUNCTION("IFNA(vlookup(H7723,IMPORTRANGE(""1vUGwO1n0QQGx9kKbO0_M5gmuhXZ6-LaxQxgrmJnzgP0"",""'TP# look up'!A:C""),3,0),"""")"),"")</f>
        <v/>
      </c>
      <c r="AH7723" s="49">
        <f>LEFT(J7723,2)</f>
        <v/>
      </c>
    </row>
    <row r="7724" ht="12.75" customHeight="1">
      <c r="H7724" s="43" t="n"/>
      <c r="AG7724" s="49">
        <f>IFERROR(__xludf.DUMMYFUNCTION("IFNA(vlookup(H7724,IMPORTRANGE(""1vUGwO1n0QQGx9kKbO0_M5gmuhXZ6-LaxQxgrmJnzgP0"",""'TP# look up'!A:C""),3,0),"""")"),"")</f>
        <v/>
      </c>
      <c r="AH7724" s="49">
        <f>LEFT(J7724,2)</f>
        <v/>
      </c>
    </row>
    <row r="7725" ht="12.75" customHeight="1">
      <c r="H7725" s="43" t="n"/>
      <c r="AG7725" s="49">
        <f>IFERROR(__xludf.DUMMYFUNCTION("IFNA(vlookup(H7725,IMPORTRANGE(""1vUGwO1n0QQGx9kKbO0_M5gmuhXZ6-LaxQxgrmJnzgP0"",""'TP# look up'!A:C""),3,0),"""")"),"")</f>
        <v/>
      </c>
      <c r="AH7725" s="49">
        <f>LEFT(J7725,2)</f>
        <v/>
      </c>
    </row>
    <row r="7726" ht="12.75" customHeight="1">
      <c r="H7726" s="43" t="n"/>
      <c r="AG7726" s="49">
        <f>IFERROR(__xludf.DUMMYFUNCTION("IFNA(vlookup(H7726,IMPORTRANGE(""1vUGwO1n0QQGx9kKbO0_M5gmuhXZ6-LaxQxgrmJnzgP0"",""'TP# look up'!A:C""),3,0),"""")"),"")</f>
        <v/>
      </c>
      <c r="AH7726" s="49">
        <f>LEFT(J7726,2)</f>
        <v/>
      </c>
    </row>
    <row r="7727" ht="12.75" customHeight="1">
      <c r="H7727" s="43" t="n"/>
      <c r="AG7727" s="49">
        <f>IFERROR(__xludf.DUMMYFUNCTION("IFNA(vlookup(H7727,IMPORTRANGE(""1vUGwO1n0QQGx9kKbO0_M5gmuhXZ6-LaxQxgrmJnzgP0"",""'TP# look up'!A:C""),3,0),"""")"),"")</f>
        <v/>
      </c>
      <c r="AH7727" s="49">
        <f>LEFT(J7727,2)</f>
        <v/>
      </c>
    </row>
    <row r="7728" ht="12.75" customHeight="1">
      <c r="H7728" s="43" t="n"/>
      <c r="AG7728" s="49">
        <f>IFERROR(__xludf.DUMMYFUNCTION("IFNA(vlookup(H7728,IMPORTRANGE(""1vUGwO1n0QQGx9kKbO0_M5gmuhXZ6-LaxQxgrmJnzgP0"",""'TP# look up'!A:C""),3,0),"""")"),"")</f>
        <v/>
      </c>
      <c r="AH7728" s="49">
        <f>LEFT(J7728,2)</f>
        <v/>
      </c>
    </row>
    <row r="7729" ht="12.75" customHeight="1">
      <c r="H7729" s="43" t="n"/>
      <c r="AG7729" s="49">
        <f>IFERROR(__xludf.DUMMYFUNCTION("IFNA(vlookup(H7729,IMPORTRANGE(""1vUGwO1n0QQGx9kKbO0_M5gmuhXZ6-LaxQxgrmJnzgP0"",""'TP# look up'!A:C""),3,0),"""")"),"")</f>
        <v/>
      </c>
      <c r="AH7729" s="49">
        <f>LEFT(J7729,2)</f>
        <v/>
      </c>
    </row>
    <row r="7730" ht="12.75" customHeight="1">
      <c r="H7730" s="43" t="n"/>
      <c r="AG7730" s="49">
        <f>IFERROR(__xludf.DUMMYFUNCTION("IFNA(vlookup(H7730,IMPORTRANGE(""1vUGwO1n0QQGx9kKbO0_M5gmuhXZ6-LaxQxgrmJnzgP0"",""'TP# look up'!A:C""),3,0),"""")"),"")</f>
        <v/>
      </c>
      <c r="AH7730" s="49">
        <f>LEFT(J7730,2)</f>
        <v/>
      </c>
    </row>
    <row r="7731" ht="12.75" customHeight="1">
      <c r="H7731" s="43" t="n"/>
      <c r="AG7731" s="49">
        <f>IFERROR(__xludf.DUMMYFUNCTION("IFNA(vlookup(H7731,IMPORTRANGE(""1vUGwO1n0QQGx9kKbO0_M5gmuhXZ6-LaxQxgrmJnzgP0"",""'TP# look up'!A:C""),3,0),"""")"),"")</f>
        <v/>
      </c>
      <c r="AH7731" s="49">
        <f>LEFT(J7731,2)</f>
        <v/>
      </c>
    </row>
    <row r="7732" ht="12.75" customHeight="1">
      <c r="H7732" s="43" t="n"/>
      <c r="AG7732" s="49">
        <f>IFERROR(__xludf.DUMMYFUNCTION("IFNA(vlookup(H7732,IMPORTRANGE(""1vUGwO1n0QQGx9kKbO0_M5gmuhXZ6-LaxQxgrmJnzgP0"",""'TP# look up'!A:C""),3,0),"""")"),"")</f>
        <v/>
      </c>
      <c r="AH7732" s="49">
        <f>LEFT(J7732,2)</f>
        <v/>
      </c>
    </row>
    <row r="7733" ht="12.75" customHeight="1">
      <c r="H7733" s="43" t="n"/>
      <c r="AG7733" s="49">
        <f>IFERROR(__xludf.DUMMYFUNCTION("IFNA(vlookup(H7733,IMPORTRANGE(""1vUGwO1n0QQGx9kKbO0_M5gmuhXZ6-LaxQxgrmJnzgP0"",""'TP# look up'!A:C""),3,0),"""")"),"")</f>
        <v/>
      </c>
      <c r="AH7733" s="49">
        <f>LEFT(J7733,2)</f>
        <v/>
      </c>
    </row>
    <row r="7734" ht="12.75" customHeight="1">
      <c r="H7734" s="43" t="n"/>
      <c r="AG7734" s="49">
        <f>IFERROR(__xludf.DUMMYFUNCTION("IFNA(vlookup(H7734,IMPORTRANGE(""1vUGwO1n0QQGx9kKbO0_M5gmuhXZ6-LaxQxgrmJnzgP0"",""'TP# look up'!A:C""),3,0),"""")"),"")</f>
        <v/>
      </c>
      <c r="AH7734" s="49">
        <f>LEFT(J7734,2)</f>
        <v/>
      </c>
    </row>
    <row r="7735" ht="12.75" customHeight="1">
      <c r="H7735" s="43" t="n"/>
      <c r="AG7735" s="49">
        <f>IFERROR(__xludf.DUMMYFUNCTION("IFNA(vlookup(H7735,IMPORTRANGE(""1vUGwO1n0QQGx9kKbO0_M5gmuhXZ6-LaxQxgrmJnzgP0"",""'TP# look up'!A:C""),3,0),"""")"),"")</f>
        <v/>
      </c>
      <c r="AH7735" s="49">
        <f>LEFT(J7735,2)</f>
        <v/>
      </c>
    </row>
    <row r="7736" ht="12.75" customHeight="1">
      <c r="H7736" s="43" t="n"/>
      <c r="AG7736" s="49">
        <f>IFERROR(__xludf.DUMMYFUNCTION("IFNA(vlookup(H7736,IMPORTRANGE(""1vUGwO1n0QQGx9kKbO0_M5gmuhXZ6-LaxQxgrmJnzgP0"",""'TP# look up'!A:C""),3,0),"""")"),"")</f>
        <v/>
      </c>
      <c r="AH7736" s="49">
        <f>LEFT(J7736,2)</f>
        <v/>
      </c>
    </row>
    <row r="7737" ht="12.75" customHeight="1">
      <c r="H7737" s="43" t="n"/>
      <c r="AG7737" s="49">
        <f>IFERROR(__xludf.DUMMYFUNCTION("IFNA(vlookup(H7737,IMPORTRANGE(""1vUGwO1n0QQGx9kKbO0_M5gmuhXZ6-LaxQxgrmJnzgP0"",""'TP# look up'!A:C""),3,0),"""")"),"")</f>
        <v/>
      </c>
      <c r="AH7737" s="49">
        <f>LEFT(J7737,2)</f>
        <v/>
      </c>
    </row>
    <row r="7738" ht="12.75" customHeight="1">
      <c r="H7738" s="43" t="n"/>
      <c r="AG7738" s="49">
        <f>IFERROR(__xludf.DUMMYFUNCTION("IFNA(vlookup(H7738,IMPORTRANGE(""1vUGwO1n0QQGx9kKbO0_M5gmuhXZ6-LaxQxgrmJnzgP0"",""'TP# look up'!A:C""),3,0),"""")"),"")</f>
        <v/>
      </c>
      <c r="AH7738" s="49">
        <f>LEFT(J7738,2)</f>
        <v/>
      </c>
    </row>
    <row r="7739" ht="12.75" customHeight="1">
      <c r="H7739" s="43" t="n"/>
      <c r="AG7739" s="49">
        <f>IFERROR(__xludf.DUMMYFUNCTION("IFNA(vlookup(H7739,IMPORTRANGE(""1vUGwO1n0QQGx9kKbO0_M5gmuhXZ6-LaxQxgrmJnzgP0"",""'TP# look up'!A:C""),3,0),"""")"),"")</f>
        <v/>
      </c>
      <c r="AH7739" s="49">
        <f>LEFT(J7739,2)</f>
        <v/>
      </c>
    </row>
    <row r="7740" ht="12.75" customHeight="1">
      <c r="H7740" s="43" t="n"/>
      <c r="AG7740" s="49">
        <f>IFERROR(__xludf.DUMMYFUNCTION("IFNA(vlookup(H7740,IMPORTRANGE(""1vUGwO1n0QQGx9kKbO0_M5gmuhXZ6-LaxQxgrmJnzgP0"",""'TP# look up'!A:C""),3,0),"""")"),"")</f>
        <v/>
      </c>
      <c r="AH7740" s="49">
        <f>LEFT(J7740,2)</f>
        <v/>
      </c>
    </row>
    <row r="7741" ht="12.75" customHeight="1">
      <c r="H7741" s="43" t="n"/>
      <c r="AG7741" s="49">
        <f>IFERROR(__xludf.DUMMYFUNCTION("IFNA(vlookup(H7741,IMPORTRANGE(""1vUGwO1n0QQGx9kKbO0_M5gmuhXZ6-LaxQxgrmJnzgP0"",""'TP# look up'!A:C""),3,0),"""")"),"")</f>
        <v/>
      </c>
      <c r="AH7741" s="49">
        <f>LEFT(J7741,2)</f>
        <v/>
      </c>
    </row>
    <row r="7742" ht="12.75" customHeight="1">
      <c r="H7742" s="43" t="n"/>
      <c r="AG7742" s="49">
        <f>IFERROR(__xludf.DUMMYFUNCTION("IFNA(vlookup(H7742,IMPORTRANGE(""1vUGwO1n0QQGx9kKbO0_M5gmuhXZ6-LaxQxgrmJnzgP0"",""'TP# look up'!A:C""),3,0),"""")"),"")</f>
        <v/>
      </c>
      <c r="AH7742" s="49">
        <f>LEFT(J7742,2)</f>
        <v/>
      </c>
    </row>
    <row r="7743" ht="12.75" customHeight="1">
      <c r="H7743" s="43" t="n"/>
      <c r="AG7743" s="49">
        <f>IFERROR(__xludf.DUMMYFUNCTION("IFNA(vlookup(H7743,IMPORTRANGE(""1vUGwO1n0QQGx9kKbO0_M5gmuhXZ6-LaxQxgrmJnzgP0"",""'TP# look up'!A:C""),3,0),"""")"),"")</f>
        <v/>
      </c>
      <c r="AH7743" s="49">
        <f>LEFT(J7743,2)</f>
        <v/>
      </c>
    </row>
    <row r="7744" ht="12.75" customHeight="1">
      <c r="H7744" s="43" t="n"/>
      <c r="AG7744" s="49">
        <f>IFERROR(__xludf.DUMMYFUNCTION("IFNA(vlookup(H7744,IMPORTRANGE(""1vUGwO1n0QQGx9kKbO0_M5gmuhXZ6-LaxQxgrmJnzgP0"",""'TP# look up'!A:C""),3,0),"""")"),"")</f>
        <v/>
      </c>
      <c r="AH7744" s="49">
        <f>LEFT(J7744,2)</f>
        <v/>
      </c>
    </row>
    <row r="7745" ht="12.75" customHeight="1">
      <c r="H7745" s="43" t="n"/>
      <c r="AG7745" s="49">
        <f>IFERROR(__xludf.DUMMYFUNCTION("IFNA(vlookup(H7745,IMPORTRANGE(""1vUGwO1n0QQGx9kKbO0_M5gmuhXZ6-LaxQxgrmJnzgP0"",""'TP# look up'!A:C""),3,0),"""")"),"")</f>
        <v/>
      </c>
      <c r="AH7745" s="49">
        <f>LEFT(J7745,2)</f>
        <v/>
      </c>
    </row>
    <row r="7746" ht="12.75" customHeight="1">
      <c r="H7746" s="43" t="n"/>
      <c r="AG7746" s="49">
        <f>IFERROR(__xludf.DUMMYFUNCTION("IFNA(vlookup(H7746,IMPORTRANGE(""1vUGwO1n0QQGx9kKbO0_M5gmuhXZ6-LaxQxgrmJnzgP0"",""'TP# look up'!A:C""),3,0),"""")"),"")</f>
        <v/>
      </c>
      <c r="AH7746" s="49">
        <f>LEFT(J7746,2)</f>
        <v/>
      </c>
    </row>
    <row r="7747" ht="12.75" customHeight="1">
      <c r="H7747" s="43" t="n"/>
      <c r="AG7747" s="49">
        <f>IFERROR(__xludf.DUMMYFUNCTION("IFNA(vlookup(H7747,IMPORTRANGE(""1vUGwO1n0QQGx9kKbO0_M5gmuhXZ6-LaxQxgrmJnzgP0"",""'TP# look up'!A:C""),3,0),"""")"),"")</f>
        <v/>
      </c>
      <c r="AH7747" s="49">
        <f>LEFT(J7747,2)</f>
        <v/>
      </c>
    </row>
    <row r="7748" ht="12.75" customHeight="1">
      <c r="H7748" s="43" t="n"/>
      <c r="AG7748" s="49">
        <f>IFERROR(__xludf.DUMMYFUNCTION("IFNA(vlookup(H7748,IMPORTRANGE(""1vUGwO1n0QQGx9kKbO0_M5gmuhXZ6-LaxQxgrmJnzgP0"",""'TP# look up'!A:C""),3,0),"""")"),"")</f>
        <v/>
      </c>
      <c r="AH7748" s="49">
        <f>LEFT(J7748,2)</f>
        <v/>
      </c>
    </row>
    <row r="7749" ht="12.75" customHeight="1">
      <c r="H7749" s="43" t="n"/>
      <c r="AG7749" s="49">
        <f>IFERROR(__xludf.DUMMYFUNCTION("IFNA(vlookup(H7749,IMPORTRANGE(""1vUGwO1n0QQGx9kKbO0_M5gmuhXZ6-LaxQxgrmJnzgP0"",""'TP# look up'!A:C""),3,0),"""")"),"")</f>
        <v/>
      </c>
      <c r="AH7749" s="49">
        <f>LEFT(J7749,2)</f>
        <v/>
      </c>
    </row>
    <row r="7750" ht="12.75" customHeight="1">
      <c r="H7750" s="43" t="n"/>
      <c r="AG7750" s="49">
        <f>IFERROR(__xludf.DUMMYFUNCTION("IFNA(vlookup(H7750,IMPORTRANGE(""1vUGwO1n0QQGx9kKbO0_M5gmuhXZ6-LaxQxgrmJnzgP0"",""'TP# look up'!A:C""),3,0),"""")"),"")</f>
        <v/>
      </c>
      <c r="AH7750" s="49">
        <f>LEFT(J7750,2)</f>
        <v/>
      </c>
    </row>
    <row r="7751" ht="12.75" customHeight="1">
      <c r="H7751" s="43" t="n"/>
      <c r="AG7751" s="49">
        <f>IFERROR(__xludf.DUMMYFUNCTION("IFNA(vlookup(H7751,IMPORTRANGE(""1vUGwO1n0QQGx9kKbO0_M5gmuhXZ6-LaxQxgrmJnzgP0"",""'TP# look up'!A:C""),3,0),"""")"),"")</f>
        <v/>
      </c>
      <c r="AH7751" s="49">
        <f>LEFT(J7751,2)</f>
        <v/>
      </c>
    </row>
    <row r="7752" ht="12.75" customHeight="1">
      <c r="H7752" s="43" t="n"/>
      <c r="AG7752" s="49">
        <f>IFERROR(__xludf.DUMMYFUNCTION("IFNA(vlookup(H7752,IMPORTRANGE(""1vUGwO1n0QQGx9kKbO0_M5gmuhXZ6-LaxQxgrmJnzgP0"",""'TP# look up'!A:C""),3,0),"""")"),"")</f>
        <v/>
      </c>
      <c r="AH7752" s="49">
        <f>LEFT(J7752,2)</f>
        <v/>
      </c>
    </row>
    <row r="7753" ht="12.75" customHeight="1">
      <c r="H7753" s="43" t="n"/>
      <c r="AG7753" s="49">
        <f>IFERROR(__xludf.DUMMYFUNCTION("IFNA(vlookup(H7753,IMPORTRANGE(""1vUGwO1n0QQGx9kKbO0_M5gmuhXZ6-LaxQxgrmJnzgP0"",""'TP# look up'!A:C""),3,0),"""")"),"")</f>
        <v/>
      </c>
      <c r="AH7753" s="49">
        <f>LEFT(J7753,2)</f>
        <v/>
      </c>
    </row>
    <row r="7754" ht="12.75" customHeight="1">
      <c r="H7754" s="43" t="n"/>
      <c r="AG7754" s="49">
        <f>IFERROR(__xludf.DUMMYFUNCTION("IFNA(vlookup(H7754,IMPORTRANGE(""1vUGwO1n0QQGx9kKbO0_M5gmuhXZ6-LaxQxgrmJnzgP0"",""'TP# look up'!A:C""),3,0),"""")"),"")</f>
        <v/>
      </c>
      <c r="AH7754" s="49">
        <f>LEFT(J7754,2)</f>
        <v/>
      </c>
    </row>
    <row r="7755" ht="12.75" customHeight="1">
      <c r="H7755" s="43" t="n"/>
      <c r="AG7755" s="49">
        <f>IFERROR(__xludf.DUMMYFUNCTION("IFNA(vlookup(H7755,IMPORTRANGE(""1vUGwO1n0QQGx9kKbO0_M5gmuhXZ6-LaxQxgrmJnzgP0"",""'TP# look up'!A:C""),3,0),"""")"),"")</f>
        <v/>
      </c>
      <c r="AH7755" s="49">
        <f>LEFT(J7755,2)</f>
        <v/>
      </c>
    </row>
    <row r="7756" ht="12.75" customHeight="1">
      <c r="H7756" s="43" t="n"/>
      <c r="AG7756" s="49">
        <f>IFERROR(__xludf.DUMMYFUNCTION("IFNA(vlookup(H7756,IMPORTRANGE(""1vUGwO1n0QQGx9kKbO0_M5gmuhXZ6-LaxQxgrmJnzgP0"",""'TP# look up'!A:C""),3,0),"""")"),"")</f>
        <v/>
      </c>
      <c r="AH7756" s="49">
        <f>LEFT(J7756,2)</f>
        <v/>
      </c>
    </row>
    <row r="7757" ht="12.75" customHeight="1">
      <c r="H7757" s="43" t="n"/>
      <c r="AG7757" s="49">
        <f>IFERROR(__xludf.DUMMYFUNCTION("IFNA(vlookup(H7757,IMPORTRANGE(""1vUGwO1n0QQGx9kKbO0_M5gmuhXZ6-LaxQxgrmJnzgP0"",""'TP# look up'!A:C""),3,0),"""")"),"")</f>
        <v/>
      </c>
      <c r="AH7757" s="49">
        <f>LEFT(J7757,2)</f>
        <v/>
      </c>
    </row>
    <row r="7758" ht="12.75" customHeight="1">
      <c r="H7758" s="43" t="n"/>
      <c r="AG7758" s="49">
        <f>IFERROR(__xludf.DUMMYFUNCTION("IFNA(vlookup(H7758,IMPORTRANGE(""1vUGwO1n0QQGx9kKbO0_M5gmuhXZ6-LaxQxgrmJnzgP0"",""'TP# look up'!A:C""),3,0),"""")"),"")</f>
        <v/>
      </c>
      <c r="AH7758" s="49">
        <f>LEFT(J7758,2)</f>
        <v/>
      </c>
    </row>
    <row r="7759" ht="12.75" customHeight="1">
      <c r="H7759" s="43" t="n"/>
      <c r="AG7759" s="49">
        <f>IFERROR(__xludf.DUMMYFUNCTION("IFNA(vlookup(H7759,IMPORTRANGE(""1vUGwO1n0QQGx9kKbO0_M5gmuhXZ6-LaxQxgrmJnzgP0"",""'TP# look up'!A:C""),3,0),"""")"),"")</f>
        <v/>
      </c>
      <c r="AH7759" s="49">
        <f>LEFT(J7759,2)</f>
        <v/>
      </c>
    </row>
    <row r="7760" ht="12.75" customHeight="1">
      <c r="H7760" s="43" t="n"/>
      <c r="AG7760" s="49">
        <f>IFERROR(__xludf.DUMMYFUNCTION("IFNA(vlookup(H7760,IMPORTRANGE(""1vUGwO1n0QQGx9kKbO0_M5gmuhXZ6-LaxQxgrmJnzgP0"",""'TP# look up'!A:C""),3,0),"""")"),"")</f>
        <v/>
      </c>
      <c r="AH7760" s="49">
        <f>LEFT(J7760,2)</f>
        <v/>
      </c>
    </row>
    <row r="7761" ht="12.75" customHeight="1">
      <c r="H7761" s="43" t="n"/>
      <c r="AG7761" s="49">
        <f>IFERROR(__xludf.DUMMYFUNCTION("IFNA(vlookup(H7761,IMPORTRANGE(""1vUGwO1n0QQGx9kKbO0_M5gmuhXZ6-LaxQxgrmJnzgP0"",""'TP# look up'!A:C""),3,0),"""")"),"")</f>
        <v/>
      </c>
      <c r="AH7761" s="49">
        <f>LEFT(J7761,2)</f>
        <v/>
      </c>
    </row>
    <row r="7762" ht="12.75" customHeight="1">
      <c r="H7762" s="43" t="n"/>
      <c r="AG7762" s="49">
        <f>IFERROR(__xludf.DUMMYFUNCTION("IFNA(vlookup(H7762,IMPORTRANGE(""1vUGwO1n0QQGx9kKbO0_M5gmuhXZ6-LaxQxgrmJnzgP0"",""'TP# look up'!A:C""),3,0),"""")"),"")</f>
        <v/>
      </c>
      <c r="AH7762" s="49">
        <f>LEFT(J7762,2)</f>
        <v/>
      </c>
    </row>
    <row r="7763" ht="12.75" customHeight="1">
      <c r="H7763" s="43" t="n"/>
      <c r="AG7763" s="49">
        <f>IFERROR(__xludf.DUMMYFUNCTION("IFNA(vlookup(H7763,IMPORTRANGE(""1vUGwO1n0QQGx9kKbO0_M5gmuhXZ6-LaxQxgrmJnzgP0"",""'TP# look up'!A:C""),3,0),"""")"),"")</f>
        <v/>
      </c>
      <c r="AH7763" s="49">
        <f>LEFT(J7763,2)</f>
        <v/>
      </c>
    </row>
    <row r="7764" ht="12.75" customHeight="1">
      <c r="H7764" s="43" t="n"/>
      <c r="AG7764" s="49">
        <f>IFERROR(__xludf.DUMMYFUNCTION("IFNA(vlookup(H7764,IMPORTRANGE(""1vUGwO1n0QQGx9kKbO0_M5gmuhXZ6-LaxQxgrmJnzgP0"",""'TP# look up'!A:C""),3,0),"""")"),"")</f>
        <v/>
      </c>
      <c r="AH7764" s="49">
        <f>LEFT(J7764,2)</f>
        <v/>
      </c>
    </row>
    <row r="7765" ht="12.75" customHeight="1">
      <c r="H7765" s="43" t="n"/>
      <c r="AG7765" s="49">
        <f>IFERROR(__xludf.DUMMYFUNCTION("IFNA(vlookup(H7765,IMPORTRANGE(""1vUGwO1n0QQGx9kKbO0_M5gmuhXZ6-LaxQxgrmJnzgP0"",""'TP# look up'!A:C""),3,0),"""")"),"")</f>
        <v/>
      </c>
      <c r="AH7765" s="49">
        <f>LEFT(J7765,2)</f>
        <v/>
      </c>
    </row>
    <row r="7766" ht="12.75" customHeight="1">
      <c r="H7766" s="43" t="n"/>
      <c r="AG7766" s="49">
        <f>IFERROR(__xludf.DUMMYFUNCTION("IFNA(vlookup(H7766,IMPORTRANGE(""1vUGwO1n0QQGx9kKbO0_M5gmuhXZ6-LaxQxgrmJnzgP0"",""'TP# look up'!A:C""),3,0),"""")"),"")</f>
        <v/>
      </c>
      <c r="AH7766" s="49">
        <f>LEFT(J7766,2)</f>
        <v/>
      </c>
    </row>
    <row r="7767" ht="12.75" customHeight="1">
      <c r="H7767" s="43" t="n"/>
      <c r="AG7767" s="49">
        <f>IFERROR(__xludf.DUMMYFUNCTION("IFNA(vlookup(H7767,IMPORTRANGE(""1vUGwO1n0QQGx9kKbO0_M5gmuhXZ6-LaxQxgrmJnzgP0"",""'TP# look up'!A:C""),3,0),"""")"),"")</f>
        <v/>
      </c>
      <c r="AH7767" s="49">
        <f>LEFT(J7767,2)</f>
        <v/>
      </c>
    </row>
    <row r="7768" ht="12.75" customHeight="1">
      <c r="H7768" s="43" t="n"/>
      <c r="AG7768" s="49">
        <f>IFERROR(__xludf.DUMMYFUNCTION("IFNA(vlookup(H7768,IMPORTRANGE(""1vUGwO1n0QQGx9kKbO0_M5gmuhXZ6-LaxQxgrmJnzgP0"",""'TP# look up'!A:C""),3,0),"""")"),"")</f>
        <v/>
      </c>
      <c r="AH7768" s="49">
        <f>LEFT(J7768,2)</f>
        <v/>
      </c>
    </row>
    <row r="7769" ht="12.75" customHeight="1">
      <c r="H7769" s="43" t="n"/>
      <c r="AG7769" s="49">
        <f>IFERROR(__xludf.DUMMYFUNCTION("IFNA(vlookup(H7769,IMPORTRANGE(""1vUGwO1n0QQGx9kKbO0_M5gmuhXZ6-LaxQxgrmJnzgP0"",""'TP# look up'!A:C""),3,0),"""")"),"")</f>
        <v/>
      </c>
      <c r="AH7769" s="49">
        <f>LEFT(J7769,2)</f>
        <v/>
      </c>
    </row>
    <row r="7770" ht="12.75" customHeight="1">
      <c r="H7770" s="43" t="n"/>
      <c r="AG7770" s="49">
        <f>IFERROR(__xludf.DUMMYFUNCTION("IFNA(vlookup(H7770,IMPORTRANGE(""1vUGwO1n0QQGx9kKbO0_M5gmuhXZ6-LaxQxgrmJnzgP0"",""'TP# look up'!A:C""),3,0),"""")"),"")</f>
        <v/>
      </c>
      <c r="AH7770" s="49">
        <f>LEFT(J7770,2)</f>
        <v/>
      </c>
    </row>
    <row r="7771" ht="12.75" customHeight="1">
      <c r="H7771" s="43" t="n"/>
      <c r="AG7771" s="49">
        <f>IFERROR(__xludf.DUMMYFUNCTION("IFNA(vlookup(H7771,IMPORTRANGE(""1vUGwO1n0QQGx9kKbO0_M5gmuhXZ6-LaxQxgrmJnzgP0"",""'TP# look up'!A:C""),3,0),"""")"),"")</f>
        <v/>
      </c>
      <c r="AH7771" s="49">
        <f>LEFT(J7771,2)</f>
        <v/>
      </c>
    </row>
    <row r="7772" ht="12.75" customHeight="1">
      <c r="H7772" s="43" t="n"/>
      <c r="AG7772" s="49">
        <f>IFERROR(__xludf.DUMMYFUNCTION("IFNA(vlookup(H7772,IMPORTRANGE(""1vUGwO1n0QQGx9kKbO0_M5gmuhXZ6-LaxQxgrmJnzgP0"",""'TP# look up'!A:C""),3,0),"""")"),"")</f>
        <v/>
      </c>
      <c r="AH7772" s="49">
        <f>LEFT(J7772,2)</f>
        <v/>
      </c>
    </row>
    <row r="7773" ht="12.75" customHeight="1">
      <c r="H7773" s="43" t="n"/>
      <c r="AG7773" s="49">
        <f>IFERROR(__xludf.DUMMYFUNCTION("IFNA(vlookup(H7773,IMPORTRANGE(""1vUGwO1n0QQGx9kKbO0_M5gmuhXZ6-LaxQxgrmJnzgP0"",""'TP# look up'!A:C""),3,0),"""")"),"")</f>
        <v/>
      </c>
      <c r="AH7773" s="49">
        <f>LEFT(J7773,2)</f>
        <v/>
      </c>
    </row>
    <row r="7774" ht="12.75" customHeight="1">
      <c r="H7774" s="43" t="n"/>
      <c r="AG7774" s="49">
        <f>IFERROR(__xludf.DUMMYFUNCTION("IFNA(vlookup(H7774,IMPORTRANGE(""1vUGwO1n0QQGx9kKbO0_M5gmuhXZ6-LaxQxgrmJnzgP0"",""'TP# look up'!A:C""),3,0),"""")"),"")</f>
        <v/>
      </c>
      <c r="AH7774" s="49">
        <f>LEFT(J7774,2)</f>
        <v/>
      </c>
    </row>
    <row r="7775" ht="12.75" customHeight="1">
      <c r="H7775" s="43" t="n"/>
      <c r="AG7775" s="49">
        <f>IFERROR(__xludf.DUMMYFUNCTION("IFNA(vlookup(H7775,IMPORTRANGE(""1vUGwO1n0QQGx9kKbO0_M5gmuhXZ6-LaxQxgrmJnzgP0"",""'TP# look up'!A:C""),3,0),"""")"),"")</f>
        <v/>
      </c>
      <c r="AH7775" s="49">
        <f>LEFT(J7775,2)</f>
        <v/>
      </c>
    </row>
    <row r="7776" ht="12.75" customHeight="1">
      <c r="H7776" s="43" t="n"/>
      <c r="AG7776" s="49">
        <f>IFERROR(__xludf.DUMMYFUNCTION("IFNA(vlookup(H7776,IMPORTRANGE(""1vUGwO1n0QQGx9kKbO0_M5gmuhXZ6-LaxQxgrmJnzgP0"",""'TP# look up'!A:C""),3,0),"""")"),"")</f>
        <v/>
      </c>
      <c r="AH7776" s="49">
        <f>LEFT(J7776,2)</f>
        <v/>
      </c>
    </row>
    <row r="7777" ht="12.75" customHeight="1">
      <c r="H7777" s="43" t="n"/>
      <c r="AG7777" s="49">
        <f>IFERROR(__xludf.DUMMYFUNCTION("IFNA(vlookup(H7777,IMPORTRANGE(""1vUGwO1n0QQGx9kKbO0_M5gmuhXZ6-LaxQxgrmJnzgP0"",""'TP# look up'!A:C""),3,0),"""")"),"")</f>
        <v/>
      </c>
      <c r="AH7777" s="49">
        <f>LEFT(J7777,2)</f>
        <v/>
      </c>
    </row>
    <row r="7778" ht="12.75" customHeight="1">
      <c r="H7778" s="43" t="n"/>
      <c r="AG7778" s="49">
        <f>IFERROR(__xludf.DUMMYFUNCTION("IFNA(vlookup(H7778,IMPORTRANGE(""1vUGwO1n0QQGx9kKbO0_M5gmuhXZ6-LaxQxgrmJnzgP0"",""'TP# look up'!A:C""),3,0),"""")"),"")</f>
        <v/>
      </c>
      <c r="AH7778" s="49">
        <f>LEFT(J7778,2)</f>
        <v/>
      </c>
    </row>
    <row r="7779" ht="12.75" customHeight="1">
      <c r="H7779" s="43" t="n"/>
      <c r="AG7779" s="49">
        <f>IFERROR(__xludf.DUMMYFUNCTION("IFNA(vlookup(H7779,IMPORTRANGE(""1vUGwO1n0QQGx9kKbO0_M5gmuhXZ6-LaxQxgrmJnzgP0"",""'TP# look up'!A:C""),3,0),"""")"),"")</f>
        <v/>
      </c>
      <c r="AH7779" s="49">
        <f>LEFT(J7779,2)</f>
        <v/>
      </c>
    </row>
    <row r="7780" ht="12.75" customHeight="1">
      <c r="H7780" s="43" t="n"/>
      <c r="AG7780" s="49">
        <f>IFERROR(__xludf.DUMMYFUNCTION("IFNA(vlookup(H7780,IMPORTRANGE(""1vUGwO1n0QQGx9kKbO0_M5gmuhXZ6-LaxQxgrmJnzgP0"",""'TP# look up'!A:C""),3,0),"""")"),"")</f>
        <v/>
      </c>
      <c r="AH7780" s="49">
        <f>LEFT(J7780,2)</f>
        <v/>
      </c>
    </row>
    <row r="7781" ht="12.75" customHeight="1">
      <c r="H7781" s="43" t="n"/>
      <c r="AG7781" s="49">
        <f>IFERROR(__xludf.DUMMYFUNCTION("IFNA(vlookup(H7781,IMPORTRANGE(""1vUGwO1n0QQGx9kKbO0_M5gmuhXZ6-LaxQxgrmJnzgP0"",""'TP# look up'!A:C""),3,0),"""")"),"")</f>
        <v/>
      </c>
      <c r="AH7781" s="49">
        <f>LEFT(J7781,2)</f>
        <v/>
      </c>
    </row>
    <row r="7782" ht="12.75" customHeight="1">
      <c r="H7782" s="43" t="n"/>
      <c r="AG7782" s="49">
        <f>IFERROR(__xludf.DUMMYFUNCTION("IFNA(vlookup(H7782,IMPORTRANGE(""1vUGwO1n0QQGx9kKbO0_M5gmuhXZ6-LaxQxgrmJnzgP0"",""'TP# look up'!A:C""),3,0),"""")"),"")</f>
        <v/>
      </c>
      <c r="AH7782" s="49">
        <f>LEFT(J7782,2)</f>
        <v/>
      </c>
    </row>
    <row r="7783" ht="12.75" customHeight="1">
      <c r="H7783" s="43" t="n"/>
      <c r="AG7783" s="49">
        <f>IFERROR(__xludf.DUMMYFUNCTION("IFNA(vlookup(H7783,IMPORTRANGE(""1vUGwO1n0QQGx9kKbO0_M5gmuhXZ6-LaxQxgrmJnzgP0"",""'TP# look up'!A:C""),3,0),"""")"),"")</f>
        <v/>
      </c>
      <c r="AH7783" s="49">
        <f>LEFT(J7783,2)</f>
        <v/>
      </c>
    </row>
    <row r="7784" ht="12.75" customHeight="1">
      <c r="H7784" s="43" t="n"/>
      <c r="AG7784" s="49">
        <f>IFERROR(__xludf.DUMMYFUNCTION("IFNA(vlookup(H7784,IMPORTRANGE(""1vUGwO1n0QQGx9kKbO0_M5gmuhXZ6-LaxQxgrmJnzgP0"",""'TP# look up'!A:C""),3,0),"""")"),"")</f>
        <v/>
      </c>
      <c r="AH7784" s="49">
        <f>LEFT(J7784,2)</f>
        <v/>
      </c>
    </row>
    <row r="7785" ht="12.75" customHeight="1">
      <c r="H7785" s="43" t="n"/>
      <c r="AG7785" s="49">
        <f>IFERROR(__xludf.DUMMYFUNCTION("IFNA(vlookup(H7785,IMPORTRANGE(""1vUGwO1n0QQGx9kKbO0_M5gmuhXZ6-LaxQxgrmJnzgP0"",""'TP# look up'!A:C""),3,0),"""")"),"")</f>
        <v/>
      </c>
      <c r="AH7785" s="49">
        <f>LEFT(J7785,2)</f>
        <v/>
      </c>
    </row>
    <row r="7786" ht="12.75" customHeight="1">
      <c r="H7786" s="43" t="n"/>
      <c r="AG7786" s="49">
        <f>IFERROR(__xludf.DUMMYFUNCTION("IFNA(vlookup(H7786,IMPORTRANGE(""1vUGwO1n0QQGx9kKbO0_M5gmuhXZ6-LaxQxgrmJnzgP0"",""'TP# look up'!A:C""),3,0),"""")"),"")</f>
        <v/>
      </c>
      <c r="AH7786" s="49">
        <f>LEFT(J7786,2)</f>
        <v/>
      </c>
    </row>
    <row r="7787" ht="12.75" customHeight="1">
      <c r="H7787" s="43" t="n"/>
      <c r="AG7787" s="49">
        <f>IFERROR(__xludf.DUMMYFUNCTION("IFNA(vlookup(H7787,IMPORTRANGE(""1vUGwO1n0QQGx9kKbO0_M5gmuhXZ6-LaxQxgrmJnzgP0"",""'TP# look up'!A:C""),3,0),"""")"),"")</f>
        <v/>
      </c>
      <c r="AH7787" s="49">
        <f>LEFT(J7787,2)</f>
        <v/>
      </c>
    </row>
    <row r="7788" ht="12.75" customHeight="1">
      <c r="H7788" s="43" t="n"/>
      <c r="AG7788" s="49">
        <f>IFERROR(__xludf.DUMMYFUNCTION("IFNA(vlookup(H7788,IMPORTRANGE(""1vUGwO1n0QQGx9kKbO0_M5gmuhXZ6-LaxQxgrmJnzgP0"",""'TP# look up'!A:C""),3,0),"""")"),"")</f>
        <v/>
      </c>
      <c r="AH7788" s="49">
        <f>LEFT(J7788,2)</f>
        <v/>
      </c>
    </row>
    <row r="7789" ht="12.75" customHeight="1">
      <c r="H7789" s="43" t="n"/>
      <c r="AG7789" s="49">
        <f>IFERROR(__xludf.DUMMYFUNCTION("IFNA(vlookup(H7789,IMPORTRANGE(""1vUGwO1n0QQGx9kKbO0_M5gmuhXZ6-LaxQxgrmJnzgP0"",""'TP# look up'!A:C""),3,0),"""")"),"")</f>
        <v/>
      </c>
      <c r="AH7789" s="49">
        <f>LEFT(J7789,2)</f>
        <v/>
      </c>
    </row>
    <row r="7790" ht="12.75" customHeight="1">
      <c r="H7790" s="43" t="n"/>
      <c r="AG7790" s="49">
        <f>IFERROR(__xludf.DUMMYFUNCTION("IFNA(vlookup(H7790,IMPORTRANGE(""1vUGwO1n0QQGx9kKbO0_M5gmuhXZ6-LaxQxgrmJnzgP0"",""'TP# look up'!A:C""),3,0),"""")"),"")</f>
        <v/>
      </c>
      <c r="AH7790" s="49">
        <f>LEFT(J7790,2)</f>
        <v/>
      </c>
    </row>
    <row r="7791" ht="12.75" customHeight="1">
      <c r="H7791" s="43" t="n"/>
      <c r="AG7791" s="49">
        <f>IFERROR(__xludf.DUMMYFUNCTION("IFNA(vlookup(H7791,IMPORTRANGE(""1vUGwO1n0QQGx9kKbO0_M5gmuhXZ6-LaxQxgrmJnzgP0"",""'TP# look up'!A:C""),3,0),"""")"),"")</f>
        <v/>
      </c>
      <c r="AH7791" s="49">
        <f>LEFT(J7791,2)</f>
        <v/>
      </c>
    </row>
    <row r="7792" ht="12.75" customHeight="1">
      <c r="H7792" s="43" t="n"/>
      <c r="AG7792" s="49">
        <f>IFERROR(__xludf.DUMMYFUNCTION("IFNA(vlookup(H7792,IMPORTRANGE(""1vUGwO1n0QQGx9kKbO0_M5gmuhXZ6-LaxQxgrmJnzgP0"",""'TP# look up'!A:C""),3,0),"""")"),"")</f>
        <v/>
      </c>
      <c r="AH7792" s="49">
        <f>LEFT(J7792,2)</f>
        <v/>
      </c>
    </row>
    <row r="7793" ht="12.75" customHeight="1">
      <c r="H7793" s="43" t="n"/>
      <c r="AG7793" s="49">
        <f>IFERROR(__xludf.DUMMYFUNCTION("IFNA(vlookup(H7793,IMPORTRANGE(""1vUGwO1n0QQGx9kKbO0_M5gmuhXZ6-LaxQxgrmJnzgP0"",""'TP# look up'!A:C""),3,0),"""")"),"")</f>
        <v/>
      </c>
      <c r="AH7793" s="49">
        <f>LEFT(J7793,2)</f>
        <v/>
      </c>
    </row>
    <row r="7794" ht="12.75" customHeight="1">
      <c r="H7794" s="43" t="n"/>
      <c r="AG7794" s="49">
        <f>IFERROR(__xludf.DUMMYFUNCTION("IFNA(vlookup(H7794,IMPORTRANGE(""1vUGwO1n0QQGx9kKbO0_M5gmuhXZ6-LaxQxgrmJnzgP0"",""'TP# look up'!A:C""),3,0),"""")"),"")</f>
        <v/>
      </c>
      <c r="AH7794" s="49">
        <f>LEFT(J7794,2)</f>
        <v/>
      </c>
    </row>
    <row r="7795" ht="12.75" customHeight="1">
      <c r="H7795" s="43" t="n"/>
      <c r="AG7795" s="49">
        <f>IFERROR(__xludf.DUMMYFUNCTION("IFNA(vlookup(H7795,IMPORTRANGE(""1vUGwO1n0QQGx9kKbO0_M5gmuhXZ6-LaxQxgrmJnzgP0"",""'TP# look up'!A:C""),3,0),"""")"),"")</f>
        <v/>
      </c>
      <c r="AH7795" s="49">
        <f>LEFT(J7795,2)</f>
        <v/>
      </c>
    </row>
    <row r="7796" ht="12.75" customHeight="1">
      <c r="H7796" s="43" t="n"/>
      <c r="AG7796" s="49">
        <f>IFERROR(__xludf.DUMMYFUNCTION("IFNA(vlookup(H7796,IMPORTRANGE(""1vUGwO1n0QQGx9kKbO0_M5gmuhXZ6-LaxQxgrmJnzgP0"",""'TP# look up'!A:C""),3,0),"""")"),"")</f>
        <v/>
      </c>
      <c r="AH7796" s="49">
        <f>LEFT(J7796,2)</f>
        <v/>
      </c>
    </row>
    <row r="7797" ht="12.75" customHeight="1">
      <c r="H7797" s="43" t="n"/>
      <c r="AG7797" s="49">
        <f>IFERROR(__xludf.DUMMYFUNCTION("IFNA(vlookup(H7797,IMPORTRANGE(""1vUGwO1n0QQGx9kKbO0_M5gmuhXZ6-LaxQxgrmJnzgP0"",""'TP# look up'!A:C""),3,0),"""")"),"")</f>
        <v/>
      </c>
      <c r="AH7797" s="49">
        <f>LEFT(J7797,2)</f>
        <v/>
      </c>
    </row>
    <row r="7798" ht="12.75" customHeight="1">
      <c r="H7798" s="43" t="n"/>
      <c r="AG7798" s="49">
        <f>IFERROR(__xludf.DUMMYFUNCTION("IFNA(vlookup(H7798,IMPORTRANGE(""1vUGwO1n0QQGx9kKbO0_M5gmuhXZ6-LaxQxgrmJnzgP0"",""'TP# look up'!A:C""),3,0),"""")"),"")</f>
        <v/>
      </c>
      <c r="AH7798" s="49">
        <f>LEFT(J7798,2)</f>
        <v/>
      </c>
    </row>
    <row r="7799" ht="12.75" customHeight="1">
      <c r="H7799" s="43" t="n"/>
      <c r="AG7799" s="49">
        <f>IFERROR(__xludf.DUMMYFUNCTION("IFNA(vlookup(H7799,IMPORTRANGE(""1vUGwO1n0QQGx9kKbO0_M5gmuhXZ6-LaxQxgrmJnzgP0"",""'TP# look up'!A:C""),3,0),"""")"),"")</f>
        <v/>
      </c>
      <c r="AH7799" s="49">
        <f>LEFT(J7799,2)</f>
        <v/>
      </c>
    </row>
    <row r="7800" ht="12.75" customHeight="1">
      <c r="H7800" s="43" t="n"/>
      <c r="AG7800" s="49">
        <f>IFERROR(__xludf.DUMMYFUNCTION("IFNA(vlookup(H7800,IMPORTRANGE(""1vUGwO1n0QQGx9kKbO0_M5gmuhXZ6-LaxQxgrmJnzgP0"",""'TP# look up'!A:C""),3,0),"""")"),"")</f>
        <v/>
      </c>
      <c r="AH7800" s="49">
        <f>LEFT(J7800,2)</f>
        <v/>
      </c>
    </row>
    <row r="7801" ht="12.75" customHeight="1">
      <c r="H7801" s="43" t="n"/>
      <c r="AG7801" s="49">
        <f>IFERROR(__xludf.DUMMYFUNCTION("IFNA(vlookup(H7801,IMPORTRANGE(""1vUGwO1n0QQGx9kKbO0_M5gmuhXZ6-LaxQxgrmJnzgP0"",""'TP# look up'!A:C""),3,0),"""")"),"")</f>
        <v/>
      </c>
      <c r="AH7801" s="49">
        <f>LEFT(J7801,2)</f>
        <v/>
      </c>
    </row>
    <row r="7802" ht="12.75" customHeight="1">
      <c r="H7802" s="43" t="n"/>
      <c r="AG7802" s="49">
        <f>IFERROR(__xludf.DUMMYFUNCTION("IFNA(vlookup(H7802,IMPORTRANGE(""1vUGwO1n0QQGx9kKbO0_M5gmuhXZ6-LaxQxgrmJnzgP0"",""'TP# look up'!A:C""),3,0),"""")"),"")</f>
        <v/>
      </c>
      <c r="AH7802" s="49">
        <f>LEFT(J7802,2)</f>
        <v/>
      </c>
    </row>
    <row r="7803" ht="12.75" customHeight="1">
      <c r="H7803" s="43" t="n"/>
      <c r="AG7803" s="49">
        <f>IFERROR(__xludf.DUMMYFUNCTION("IFNA(vlookup(H7803,IMPORTRANGE(""1vUGwO1n0QQGx9kKbO0_M5gmuhXZ6-LaxQxgrmJnzgP0"",""'TP# look up'!A:C""),3,0),"""")"),"")</f>
        <v/>
      </c>
      <c r="AH7803" s="49">
        <f>LEFT(J7803,2)</f>
        <v/>
      </c>
    </row>
    <row r="7804" ht="12.75" customHeight="1">
      <c r="H7804" s="43" t="n"/>
      <c r="AG7804" s="49">
        <f>IFERROR(__xludf.DUMMYFUNCTION("IFNA(vlookup(H7804,IMPORTRANGE(""1vUGwO1n0QQGx9kKbO0_M5gmuhXZ6-LaxQxgrmJnzgP0"",""'TP# look up'!A:C""),3,0),"""")"),"")</f>
        <v/>
      </c>
      <c r="AH7804" s="49">
        <f>LEFT(J7804,2)</f>
        <v/>
      </c>
    </row>
    <row r="7805" ht="12.75" customHeight="1">
      <c r="H7805" s="43" t="n"/>
      <c r="AG7805" s="49">
        <f>IFERROR(__xludf.DUMMYFUNCTION("IFNA(vlookup(H7805,IMPORTRANGE(""1vUGwO1n0QQGx9kKbO0_M5gmuhXZ6-LaxQxgrmJnzgP0"",""'TP# look up'!A:C""),3,0),"""")"),"")</f>
        <v/>
      </c>
      <c r="AH7805" s="49">
        <f>LEFT(J7805,2)</f>
        <v/>
      </c>
    </row>
    <row r="7806" ht="12.75" customHeight="1">
      <c r="H7806" s="43" t="n"/>
      <c r="AG7806" s="49">
        <f>IFERROR(__xludf.DUMMYFUNCTION("IFNA(vlookup(H7806,IMPORTRANGE(""1vUGwO1n0QQGx9kKbO0_M5gmuhXZ6-LaxQxgrmJnzgP0"",""'TP# look up'!A:C""),3,0),"""")"),"")</f>
        <v/>
      </c>
      <c r="AH7806" s="49">
        <f>LEFT(J7806,2)</f>
        <v/>
      </c>
    </row>
    <row r="7807" ht="12.75" customHeight="1">
      <c r="H7807" s="43" t="n"/>
      <c r="AG7807" s="49">
        <f>IFERROR(__xludf.DUMMYFUNCTION("IFNA(vlookup(H7807,IMPORTRANGE(""1vUGwO1n0QQGx9kKbO0_M5gmuhXZ6-LaxQxgrmJnzgP0"",""'TP# look up'!A:C""),3,0),"""")"),"")</f>
        <v/>
      </c>
      <c r="AH7807" s="49">
        <f>LEFT(J7807,2)</f>
        <v/>
      </c>
    </row>
    <row r="7808" ht="12.75" customHeight="1">
      <c r="H7808" s="43" t="n"/>
      <c r="AG7808" s="49">
        <f>IFERROR(__xludf.DUMMYFUNCTION("IFNA(vlookup(H7808,IMPORTRANGE(""1vUGwO1n0QQGx9kKbO0_M5gmuhXZ6-LaxQxgrmJnzgP0"",""'TP# look up'!A:C""),3,0),"""")"),"")</f>
        <v/>
      </c>
      <c r="AH7808" s="49">
        <f>LEFT(J7808,2)</f>
        <v/>
      </c>
    </row>
    <row r="7809" ht="12.75" customHeight="1">
      <c r="H7809" s="43" t="n"/>
      <c r="AG7809" s="49">
        <f>IFERROR(__xludf.DUMMYFUNCTION("IFNA(vlookup(H7809,IMPORTRANGE(""1vUGwO1n0QQGx9kKbO0_M5gmuhXZ6-LaxQxgrmJnzgP0"",""'TP# look up'!A:C""),3,0),"""")"),"")</f>
        <v/>
      </c>
      <c r="AH7809" s="49">
        <f>LEFT(J7809,2)</f>
        <v/>
      </c>
    </row>
    <row r="7810" ht="12.75" customHeight="1">
      <c r="H7810" s="43" t="n"/>
      <c r="AG7810" s="49">
        <f>IFERROR(__xludf.DUMMYFUNCTION("IFNA(vlookup(H7810,IMPORTRANGE(""1vUGwO1n0QQGx9kKbO0_M5gmuhXZ6-LaxQxgrmJnzgP0"",""'TP# look up'!A:C""),3,0),"""")"),"")</f>
        <v/>
      </c>
      <c r="AH7810" s="49">
        <f>LEFT(J7810,2)</f>
        <v/>
      </c>
    </row>
    <row r="7811" ht="12.75" customHeight="1">
      <c r="H7811" s="43" t="n"/>
      <c r="AG7811" s="49">
        <f>IFERROR(__xludf.DUMMYFUNCTION("IFNA(vlookup(H7811,IMPORTRANGE(""1vUGwO1n0QQGx9kKbO0_M5gmuhXZ6-LaxQxgrmJnzgP0"",""'TP# look up'!A:C""),3,0),"""")"),"")</f>
        <v/>
      </c>
      <c r="AH7811" s="49">
        <f>LEFT(J7811,2)</f>
        <v/>
      </c>
    </row>
    <row r="7812" ht="12.75" customHeight="1">
      <c r="H7812" s="43" t="n"/>
      <c r="AG7812" s="49">
        <f>IFERROR(__xludf.DUMMYFUNCTION("IFNA(vlookup(H7812,IMPORTRANGE(""1vUGwO1n0QQGx9kKbO0_M5gmuhXZ6-LaxQxgrmJnzgP0"",""'TP# look up'!A:C""),3,0),"""")"),"")</f>
        <v/>
      </c>
      <c r="AH7812" s="49">
        <f>LEFT(J7812,2)</f>
        <v/>
      </c>
    </row>
    <row r="7813" ht="12.75" customHeight="1">
      <c r="H7813" s="43" t="n"/>
      <c r="AG7813" s="49">
        <f>IFERROR(__xludf.DUMMYFUNCTION("IFNA(vlookup(H7813,IMPORTRANGE(""1vUGwO1n0QQGx9kKbO0_M5gmuhXZ6-LaxQxgrmJnzgP0"",""'TP# look up'!A:C""),3,0),"""")"),"")</f>
        <v/>
      </c>
      <c r="AH7813" s="49">
        <f>LEFT(J7813,2)</f>
        <v/>
      </c>
    </row>
    <row r="7814" ht="12.75" customHeight="1">
      <c r="H7814" s="43" t="n"/>
      <c r="AG7814" s="49">
        <f>IFERROR(__xludf.DUMMYFUNCTION("IFNA(vlookup(H7814,IMPORTRANGE(""1vUGwO1n0QQGx9kKbO0_M5gmuhXZ6-LaxQxgrmJnzgP0"",""'TP# look up'!A:C""),3,0),"""")"),"")</f>
        <v/>
      </c>
      <c r="AH7814" s="49">
        <f>LEFT(J7814,2)</f>
        <v/>
      </c>
    </row>
    <row r="7815" ht="12.75" customHeight="1">
      <c r="H7815" s="43" t="n"/>
      <c r="AG7815" s="49">
        <f>IFERROR(__xludf.DUMMYFUNCTION("IFNA(vlookup(H7815,IMPORTRANGE(""1vUGwO1n0QQGx9kKbO0_M5gmuhXZ6-LaxQxgrmJnzgP0"",""'TP# look up'!A:C""),3,0),"""")"),"")</f>
        <v/>
      </c>
      <c r="AH7815" s="49">
        <f>LEFT(J7815,2)</f>
        <v/>
      </c>
    </row>
    <row r="7816" ht="12.75" customHeight="1">
      <c r="H7816" s="43" t="n"/>
      <c r="AG7816" s="49">
        <f>IFERROR(__xludf.DUMMYFUNCTION("IFNA(vlookup(H7816,IMPORTRANGE(""1vUGwO1n0QQGx9kKbO0_M5gmuhXZ6-LaxQxgrmJnzgP0"",""'TP# look up'!A:C""),3,0),"""")"),"")</f>
        <v/>
      </c>
      <c r="AH7816" s="49">
        <f>LEFT(J7816,2)</f>
        <v/>
      </c>
    </row>
    <row r="7817" ht="12.75" customHeight="1">
      <c r="H7817" s="43" t="n"/>
      <c r="AG7817" s="49">
        <f>IFERROR(__xludf.DUMMYFUNCTION("IFNA(vlookup(H7817,IMPORTRANGE(""1vUGwO1n0QQGx9kKbO0_M5gmuhXZ6-LaxQxgrmJnzgP0"",""'TP# look up'!A:C""),3,0),"""")"),"")</f>
        <v/>
      </c>
      <c r="AH7817" s="49">
        <f>LEFT(J7817,2)</f>
        <v/>
      </c>
    </row>
    <row r="7818" ht="12.75" customHeight="1">
      <c r="H7818" s="43" t="n"/>
      <c r="AG7818" s="49">
        <f>IFERROR(__xludf.DUMMYFUNCTION("IFNA(vlookup(H7818,IMPORTRANGE(""1vUGwO1n0QQGx9kKbO0_M5gmuhXZ6-LaxQxgrmJnzgP0"",""'TP# look up'!A:C""),3,0),"""")"),"")</f>
        <v/>
      </c>
      <c r="AH7818" s="49">
        <f>LEFT(J7818,2)</f>
        <v/>
      </c>
    </row>
    <row r="7819" ht="12.75" customHeight="1">
      <c r="H7819" s="43" t="n"/>
      <c r="AG7819" s="49">
        <f>IFERROR(__xludf.DUMMYFUNCTION("IFNA(vlookup(H7819,IMPORTRANGE(""1vUGwO1n0QQGx9kKbO0_M5gmuhXZ6-LaxQxgrmJnzgP0"",""'TP# look up'!A:C""),3,0),"""")"),"")</f>
        <v/>
      </c>
      <c r="AH7819" s="49">
        <f>LEFT(J7819,2)</f>
        <v/>
      </c>
    </row>
    <row r="7820" ht="12.75" customHeight="1">
      <c r="H7820" s="43" t="n"/>
      <c r="AG7820" s="49">
        <f>IFERROR(__xludf.DUMMYFUNCTION("IFNA(vlookup(H7820,IMPORTRANGE(""1vUGwO1n0QQGx9kKbO0_M5gmuhXZ6-LaxQxgrmJnzgP0"",""'TP# look up'!A:C""),3,0),"""")"),"")</f>
        <v/>
      </c>
      <c r="AH7820" s="49">
        <f>LEFT(J7820,2)</f>
        <v/>
      </c>
    </row>
    <row r="7821" ht="12.75" customHeight="1">
      <c r="H7821" s="43" t="n"/>
      <c r="AG7821" s="49">
        <f>IFERROR(__xludf.DUMMYFUNCTION("IFNA(vlookup(H7821,IMPORTRANGE(""1vUGwO1n0QQGx9kKbO0_M5gmuhXZ6-LaxQxgrmJnzgP0"",""'TP# look up'!A:C""),3,0),"""")"),"")</f>
        <v/>
      </c>
      <c r="AH7821" s="49">
        <f>LEFT(J7821,2)</f>
        <v/>
      </c>
    </row>
    <row r="7822" ht="12.75" customHeight="1">
      <c r="H7822" s="43" t="n"/>
      <c r="AG7822" s="49">
        <f>IFERROR(__xludf.DUMMYFUNCTION("IFNA(vlookup(H7822,IMPORTRANGE(""1vUGwO1n0QQGx9kKbO0_M5gmuhXZ6-LaxQxgrmJnzgP0"",""'TP# look up'!A:C""),3,0),"""")"),"")</f>
        <v/>
      </c>
      <c r="AH7822" s="49">
        <f>LEFT(J7822,2)</f>
        <v/>
      </c>
    </row>
    <row r="7823" ht="12.75" customHeight="1">
      <c r="H7823" s="43" t="n"/>
      <c r="AG7823" s="49">
        <f>IFERROR(__xludf.DUMMYFUNCTION("IFNA(vlookup(H7823,IMPORTRANGE(""1vUGwO1n0QQGx9kKbO0_M5gmuhXZ6-LaxQxgrmJnzgP0"",""'TP# look up'!A:C""),3,0),"""")"),"")</f>
        <v/>
      </c>
      <c r="AH7823" s="49">
        <f>LEFT(J7823,2)</f>
        <v/>
      </c>
    </row>
    <row r="7824" ht="12.75" customHeight="1">
      <c r="H7824" s="43" t="n"/>
      <c r="AG7824" s="49">
        <f>IFERROR(__xludf.DUMMYFUNCTION("IFNA(vlookup(H7824,IMPORTRANGE(""1vUGwO1n0QQGx9kKbO0_M5gmuhXZ6-LaxQxgrmJnzgP0"",""'TP# look up'!A:C""),3,0),"""")"),"")</f>
        <v/>
      </c>
      <c r="AH7824" s="49">
        <f>LEFT(J7824,2)</f>
        <v/>
      </c>
    </row>
    <row r="7825" ht="12.75" customHeight="1">
      <c r="H7825" s="43" t="n"/>
      <c r="AG7825" s="49">
        <f>IFERROR(__xludf.DUMMYFUNCTION("IFNA(vlookup(H7825,IMPORTRANGE(""1vUGwO1n0QQGx9kKbO0_M5gmuhXZ6-LaxQxgrmJnzgP0"",""'TP# look up'!A:C""),3,0),"""")"),"")</f>
        <v/>
      </c>
      <c r="AH7825" s="49">
        <f>LEFT(J7825,2)</f>
        <v/>
      </c>
    </row>
    <row r="7826" ht="12.75" customHeight="1">
      <c r="H7826" s="43" t="n"/>
      <c r="AG7826" s="49">
        <f>IFERROR(__xludf.DUMMYFUNCTION("IFNA(vlookup(H7826,IMPORTRANGE(""1vUGwO1n0QQGx9kKbO0_M5gmuhXZ6-LaxQxgrmJnzgP0"",""'TP# look up'!A:C""),3,0),"""")"),"")</f>
        <v/>
      </c>
      <c r="AH7826" s="49">
        <f>LEFT(J7826,2)</f>
        <v/>
      </c>
    </row>
    <row r="7827" ht="12.75" customHeight="1">
      <c r="H7827" s="43" t="n"/>
      <c r="AG7827" s="49">
        <f>IFERROR(__xludf.DUMMYFUNCTION("IFNA(vlookup(H7827,IMPORTRANGE(""1vUGwO1n0QQGx9kKbO0_M5gmuhXZ6-LaxQxgrmJnzgP0"",""'TP# look up'!A:C""),3,0),"""")"),"")</f>
        <v/>
      </c>
      <c r="AH7827" s="49">
        <f>LEFT(J7827,2)</f>
        <v/>
      </c>
    </row>
    <row r="7828" ht="12.75" customHeight="1">
      <c r="H7828" s="43" t="n"/>
      <c r="AG7828" s="49">
        <f>IFERROR(__xludf.DUMMYFUNCTION("IFNA(vlookup(H7828,IMPORTRANGE(""1vUGwO1n0QQGx9kKbO0_M5gmuhXZ6-LaxQxgrmJnzgP0"",""'TP# look up'!A:C""),3,0),"""")"),"")</f>
        <v/>
      </c>
      <c r="AH7828" s="49">
        <f>LEFT(J7828,2)</f>
        <v/>
      </c>
    </row>
    <row r="7829" ht="12.75" customHeight="1">
      <c r="H7829" s="43" t="n"/>
      <c r="AG7829" s="49">
        <f>IFERROR(__xludf.DUMMYFUNCTION("IFNA(vlookup(H7829,IMPORTRANGE(""1vUGwO1n0QQGx9kKbO0_M5gmuhXZ6-LaxQxgrmJnzgP0"",""'TP# look up'!A:C""),3,0),"""")"),"")</f>
        <v/>
      </c>
      <c r="AH7829" s="49">
        <f>LEFT(J7829,2)</f>
        <v/>
      </c>
    </row>
    <row r="7830" ht="12.75" customHeight="1">
      <c r="H7830" s="43" t="n"/>
      <c r="AG7830" s="49">
        <f>IFERROR(__xludf.DUMMYFUNCTION("IFNA(vlookup(H7830,IMPORTRANGE(""1vUGwO1n0QQGx9kKbO0_M5gmuhXZ6-LaxQxgrmJnzgP0"",""'TP# look up'!A:C""),3,0),"""")"),"")</f>
        <v/>
      </c>
      <c r="AH7830" s="49">
        <f>LEFT(J7830,2)</f>
        <v/>
      </c>
    </row>
    <row r="7831" ht="12.75" customHeight="1">
      <c r="H7831" s="43" t="n"/>
      <c r="AG7831" s="49">
        <f>IFERROR(__xludf.DUMMYFUNCTION("IFNA(vlookup(H7831,IMPORTRANGE(""1vUGwO1n0QQGx9kKbO0_M5gmuhXZ6-LaxQxgrmJnzgP0"",""'TP# look up'!A:C""),3,0),"""")"),"")</f>
        <v/>
      </c>
      <c r="AH7831" s="49">
        <f>LEFT(J7831,2)</f>
        <v/>
      </c>
    </row>
    <row r="7832" ht="12.75" customHeight="1">
      <c r="H7832" s="43" t="n"/>
      <c r="AG7832" s="49">
        <f>IFERROR(__xludf.DUMMYFUNCTION("IFNA(vlookup(H7832,IMPORTRANGE(""1vUGwO1n0QQGx9kKbO0_M5gmuhXZ6-LaxQxgrmJnzgP0"",""'TP# look up'!A:C""),3,0),"""")"),"")</f>
        <v/>
      </c>
      <c r="AH7832" s="49">
        <f>LEFT(J7832,2)</f>
        <v/>
      </c>
    </row>
    <row r="7833" ht="12.75" customHeight="1">
      <c r="H7833" s="43" t="n"/>
      <c r="AG7833" s="49">
        <f>IFERROR(__xludf.DUMMYFUNCTION("IFNA(vlookup(H7833,IMPORTRANGE(""1vUGwO1n0QQGx9kKbO0_M5gmuhXZ6-LaxQxgrmJnzgP0"",""'TP# look up'!A:C""),3,0),"""")"),"")</f>
        <v/>
      </c>
      <c r="AH7833" s="49">
        <f>LEFT(J7833,2)</f>
        <v/>
      </c>
    </row>
    <row r="7834" ht="12.75" customHeight="1">
      <c r="H7834" s="43" t="n"/>
      <c r="AG7834" s="49">
        <f>IFERROR(__xludf.DUMMYFUNCTION("IFNA(vlookup(H7834,IMPORTRANGE(""1vUGwO1n0QQGx9kKbO0_M5gmuhXZ6-LaxQxgrmJnzgP0"",""'TP# look up'!A:C""),3,0),"""")"),"")</f>
        <v/>
      </c>
      <c r="AH7834" s="49">
        <f>LEFT(J7834,2)</f>
        <v/>
      </c>
    </row>
    <row r="7835" ht="12.75" customHeight="1">
      <c r="H7835" s="43" t="n"/>
      <c r="AG7835" s="49">
        <f>IFERROR(__xludf.DUMMYFUNCTION("IFNA(vlookup(H7835,IMPORTRANGE(""1vUGwO1n0QQGx9kKbO0_M5gmuhXZ6-LaxQxgrmJnzgP0"",""'TP# look up'!A:C""),3,0),"""")"),"")</f>
        <v/>
      </c>
      <c r="AH7835" s="49">
        <f>LEFT(J7835,2)</f>
        <v/>
      </c>
    </row>
    <row r="7836" ht="12.75" customHeight="1">
      <c r="H7836" s="43" t="n"/>
      <c r="AG7836" s="49">
        <f>IFERROR(__xludf.DUMMYFUNCTION("IFNA(vlookup(H7836,IMPORTRANGE(""1vUGwO1n0QQGx9kKbO0_M5gmuhXZ6-LaxQxgrmJnzgP0"",""'TP# look up'!A:C""),3,0),"""")"),"")</f>
        <v/>
      </c>
      <c r="AH7836" s="49">
        <f>LEFT(J7836,2)</f>
        <v/>
      </c>
    </row>
    <row r="7837" ht="12.75" customHeight="1">
      <c r="H7837" s="43" t="n"/>
      <c r="AG7837" s="49">
        <f>IFERROR(__xludf.DUMMYFUNCTION("IFNA(vlookup(H7837,IMPORTRANGE(""1vUGwO1n0QQGx9kKbO0_M5gmuhXZ6-LaxQxgrmJnzgP0"",""'TP# look up'!A:C""),3,0),"""")"),"")</f>
        <v/>
      </c>
      <c r="AH7837" s="49">
        <f>LEFT(J7837,2)</f>
        <v/>
      </c>
    </row>
    <row r="7838" ht="12.75" customHeight="1">
      <c r="H7838" s="43" t="n"/>
      <c r="AG7838" s="49">
        <f>IFERROR(__xludf.DUMMYFUNCTION("IFNA(vlookup(H7838,IMPORTRANGE(""1vUGwO1n0QQGx9kKbO0_M5gmuhXZ6-LaxQxgrmJnzgP0"",""'TP# look up'!A:C""),3,0),"""")"),"")</f>
        <v/>
      </c>
      <c r="AH7838" s="49">
        <f>LEFT(J7838,2)</f>
        <v/>
      </c>
    </row>
    <row r="7839" ht="12.75" customHeight="1">
      <c r="H7839" s="43" t="n"/>
      <c r="AG7839" s="49">
        <f>IFERROR(__xludf.DUMMYFUNCTION("IFNA(vlookup(H7839,IMPORTRANGE(""1vUGwO1n0QQGx9kKbO0_M5gmuhXZ6-LaxQxgrmJnzgP0"",""'TP# look up'!A:C""),3,0),"""")"),"")</f>
        <v/>
      </c>
      <c r="AH7839" s="49">
        <f>LEFT(J7839,2)</f>
        <v/>
      </c>
    </row>
    <row r="7840" ht="12.75" customHeight="1">
      <c r="H7840" s="43" t="n"/>
      <c r="AG7840" s="49">
        <f>IFERROR(__xludf.DUMMYFUNCTION("IFNA(vlookup(H7840,IMPORTRANGE(""1vUGwO1n0QQGx9kKbO0_M5gmuhXZ6-LaxQxgrmJnzgP0"",""'TP# look up'!A:C""),3,0),"""")"),"")</f>
        <v/>
      </c>
      <c r="AH7840" s="49">
        <f>LEFT(J7840,2)</f>
        <v/>
      </c>
    </row>
    <row r="7841" ht="12.75" customHeight="1">
      <c r="H7841" s="43" t="n"/>
      <c r="AG7841" s="49">
        <f>IFERROR(__xludf.DUMMYFUNCTION("IFNA(vlookup(H7841,IMPORTRANGE(""1vUGwO1n0QQGx9kKbO0_M5gmuhXZ6-LaxQxgrmJnzgP0"",""'TP# look up'!A:C""),3,0),"""")"),"")</f>
        <v/>
      </c>
      <c r="AH7841" s="49">
        <f>LEFT(J7841,2)</f>
        <v/>
      </c>
    </row>
    <row r="7842" ht="12.75" customHeight="1">
      <c r="H7842" s="43" t="n"/>
      <c r="AG7842" s="49">
        <f>IFERROR(__xludf.DUMMYFUNCTION("IFNA(vlookup(H7842,IMPORTRANGE(""1vUGwO1n0QQGx9kKbO0_M5gmuhXZ6-LaxQxgrmJnzgP0"",""'TP# look up'!A:C""),3,0),"""")"),"")</f>
        <v/>
      </c>
      <c r="AH7842" s="49">
        <f>LEFT(J7842,2)</f>
        <v/>
      </c>
    </row>
    <row r="7843" ht="12.75" customHeight="1">
      <c r="H7843" s="43" t="n"/>
      <c r="AG7843" s="49">
        <f>IFERROR(__xludf.DUMMYFUNCTION("IFNA(vlookup(H7843,IMPORTRANGE(""1vUGwO1n0QQGx9kKbO0_M5gmuhXZ6-LaxQxgrmJnzgP0"",""'TP# look up'!A:C""),3,0),"""")"),"")</f>
        <v/>
      </c>
      <c r="AH7843" s="49">
        <f>LEFT(J7843,2)</f>
        <v/>
      </c>
    </row>
    <row r="7844" ht="12.75" customHeight="1">
      <c r="H7844" s="43" t="n"/>
      <c r="AG7844" s="49">
        <f>IFERROR(__xludf.DUMMYFUNCTION("IFNA(vlookup(H7844,IMPORTRANGE(""1vUGwO1n0QQGx9kKbO0_M5gmuhXZ6-LaxQxgrmJnzgP0"",""'TP# look up'!A:C""),3,0),"""")"),"")</f>
        <v/>
      </c>
      <c r="AH7844" s="49">
        <f>LEFT(J7844,2)</f>
        <v/>
      </c>
    </row>
    <row r="7845" ht="12.75" customHeight="1">
      <c r="H7845" s="43" t="n"/>
      <c r="AG7845" s="49">
        <f>IFERROR(__xludf.DUMMYFUNCTION("IFNA(vlookup(H7845,IMPORTRANGE(""1vUGwO1n0QQGx9kKbO0_M5gmuhXZ6-LaxQxgrmJnzgP0"",""'TP# look up'!A:C""),3,0),"""")"),"")</f>
        <v/>
      </c>
      <c r="AH7845" s="49">
        <f>LEFT(J7845,2)</f>
        <v/>
      </c>
    </row>
    <row r="7846" ht="12.75" customHeight="1">
      <c r="H7846" s="43" t="n"/>
      <c r="AG7846" s="49">
        <f>IFERROR(__xludf.DUMMYFUNCTION("IFNA(vlookup(H7846,IMPORTRANGE(""1vUGwO1n0QQGx9kKbO0_M5gmuhXZ6-LaxQxgrmJnzgP0"",""'TP# look up'!A:C""),3,0),"""")"),"")</f>
        <v/>
      </c>
      <c r="AH7846" s="49">
        <f>LEFT(J7846,2)</f>
        <v/>
      </c>
    </row>
    <row r="7847" ht="12.75" customHeight="1">
      <c r="H7847" s="43" t="n"/>
      <c r="AG7847" s="49">
        <f>IFERROR(__xludf.DUMMYFUNCTION("IFNA(vlookup(H7847,IMPORTRANGE(""1vUGwO1n0QQGx9kKbO0_M5gmuhXZ6-LaxQxgrmJnzgP0"",""'TP# look up'!A:C""),3,0),"""")"),"")</f>
        <v/>
      </c>
      <c r="AH7847" s="49">
        <f>LEFT(J7847,2)</f>
        <v/>
      </c>
    </row>
    <row r="7848" ht="12.75" customHeight="1">
      <c r="H7848" s="43" t="n"/>
      <c r="AG7848" s="49">
        <f>IFERROR(__xludf.DUMMYFUNCTION("IFNA(vlookup(H7848,IMPORTRANGE(""1vUGwO1n0QQGx9kKbO0_M5gmuhXZ6-LaxQxgrmJnzgP0"",""'TP# look up'!A:C""),3,0),"""")"),"")</f>
        <v/>
      </c>
      <c r="AH7848" s="49">
        <f>LEFT(J7848,2)</f>
        <v/>
      </c>
    </row>
    <row r="7849" ht="12.75" customHeight="1">
      <c r="H7849" s="43" t="n"/>
      <c r="AG7849" s="49">
        <f>IFERROR(__xludf.DUMMYFUNCTION("IFNA(vlookup(H7849,IMPORTRANGE(""1vUGwO1n0QQGx9kKbO0_M5gmuhXZ6-LaxQxgrmJnzgP0"",""'TP# look up'!A:C""),3,0),"""")"),"")</f>
        <v/>
      </c>
      <c r="AH7849" s="49">
        <f>LEFT(J7849,2)</f>
        <v/>
      </c>
    </row>
    <row r="7850" ht="12.75" customHeight="1">
      <c r="H7850" s="43" t="n"/>
      <c r="AG7850" s="49">
        <f>IFERROR(__xludf.DUMMYFUNCTION("IFNA(vlookup(H7850,IMPORTRANGE(""1vUGwO1n0QQGx9kKbO0_M5gmuhXZ6-LaxQxgrmJnzgP0"",""'TP# look up'!A:C""),3,0),"""")"),"")</f>
        <v/>
      </c>
      <c r="AH7850" s="49">
        <f>LEFT(J7850,2)</f>
        <v/>
      </c>
    </row>
    <row r="7851" ht="12.75" customHeight="1">
      <c r="H7851" s="43" t="n"/>
      <c r="AG7851" s="49">
        <f>IFERROR(__xludf.DUMMYFUNCTION("IFNA(vlookup(H7851,IMPORTRANGE(""1vUGwO1n0QQGx9kKbO0_M5gmuhXZ6-LaxQxgrmJnzgP0"",""'TP# look up'!A:C""),3,0),"""")"),"")</f>
        <v/>
      </c>
      <c r="AH7851" s="49">
        <f>LEFT(J7851,2)</f>
        <v/>
      </c>
    </row>
    <row r="7852" ht="12.75" customHeight="1">
      <c r="H7852" s="43" t="n"/>
      <c r="AG7852" s="49">
        <f>IFERROR(__xludf.DUMMYFUNCTION("IFNA(vlookup(H7852,IMPORTRANGE(""1vUGwO1n0QQGx9kKbO0_M5gmuhXZ6-LaxQxgrmJnzgP0"",""'TP# look up'!A:C""),3,0),"""")"),"")</f>
        <v/>
      </c>
      <c r="AH7852" s="49">
        <f>LEFT(J7852,2)</f>
        <v/>
      </c>
    </row>
    <row r="7853" ht="12.75" customHeight="1">
      <c r="H7853" s="43" t="n"/>
      <c r="AG7853" s="49">
        <f>IFERROR(__xludf.DUMMYFUNCTION("IFNA(vlookup(H7853,IMPORTRANGE(""1vUGwO1n0QQGx9kKbO0_M5gmuhXZ6-LaxQxgrmJnzgP0"",""'TP# look up'!A:C""),3,0),"""")"),"")</f>
        <v/>
      </c>
      <c r="AH7853" s="49">
        <f>LEFT(J7853,2)</f>
        <v/>
      </c>
    </row>
    <row r="7854" ht="12.75" customHeight="1">
      <c r="H7854" s="43" t="n"/>
      <c r="AG7854" s="49">
        <f>IFERROR(__xludf.DUMMYFUNCTION("IFNA(vlookup(H7854,IMPORTRANGE(""1vUGwO1n0QQGx9kKbO0_M5gmuhXZ6-LaxQxgrmJnzgP0"",""'TP# look up'!A:C""),3,0),"""")"),"")</f>
        <v/>
      </c>
      <c r="AH7854" s="49">
        <f>LEFT(J7854,2)</f>
        <v/>
      </c>
    </row>
    <row r="7855" ht="12.75" customHeight="1">
      <c r="H7855" s="43" t="n"/>
      <c r="AG7855" s="49">
        <f>IFERROR(__xludf.DUMMYFUNCTION("IFNA(vlookup(H7855,IMPORTRANGE(""1vUGwO1n0QQGx9kKbO0_M5gmuhXZ6-LaxQxgrmJnzgP0"",""'TP# look up'!A:C""),3,0),"""")"),"")</f>
        <v/>
      </c>
      <c r="AH7855" s="49">
        <f>LEFT(J7855,2)</f>
        <v/>
      </c>
    </row>
    <row r="7856" ht="12.75" customHeight="1">
      <c r="H7856" s="43" t="n"/>
      <c r="AG7856" s="49">
        <f>IFERROR(__xludf.DUMMYFUNCTION("IFNA(vlookup(H7856,IMPORTRANGE(""1vUGwO1n0QQGx9kKbO0_M5gmuhXZ6-LaxQxgrmJnzgP0"",""'TP# look up'!A:C""),3,0),"""")"),"")</f>
        <v/>
      </c>
      <c r="AH7856" s="49">
        <f>LEFT(J7856,2)</f>
        <v/>
      </c>
    </row>
    <row r="7857" ht="12.75" customHeight="1">
      <c r="H7857" s="43" t="n"/>
      <c r="AG7857" s="49">
        <f>IFERROR(__xludf.DUMMYFUNCTION("IFNA(vlookup(H7857,IMPORTRANGE(""1vUGwO1n0QQGx9kKbO0_M5gmuhXZ6-LaxQxgrmJnzgP0"",""'TP# look up'!A:C""),3,0),"""")"),"")</f>
        <v/>
      </c>
      <c r="AH7857" s="49">
        <f>LEFT(J7857,2)</f>
        <v/>
      </c>
    </row>
    <row r="7858" ht="12.75" customHeight="1">
      <c r="H7858" s="43" t="n"/>
      <c r="AG7858" s="49">
        <f>IFERROR(__xludf.DUMMYFUNCTION("IFNA(vlookup(H7858,IMPORTRANGE(""1vUGwO1n0QQGx9kKbO0_M5gmuhXZ6-LaxQxgrmJnzgP0"",""'TP# look up'!A:C""),3,0),"""")"),"")</f>
        <v/>
      </c>
      <c r="AH7858" s="49">
        <f>LEFT(J7858,2)</f>
        <v/>
      </c>
    </row>
    <row r="7859" ht="12.75" customHeight="1">
      <c r="H7859" s="43" t="n"/>
      <c r="AG7859" s="49">
        <f>IFERROR(__xludf.DUMMYFUNCTION("IFNA(vlookup(H7859,IMPORTRANGE(""1vUGwO1n0QQGx9kKbO0_M5gmuhXZ6-LaxQxgrmJnzgP0"",""'TP# look up'!A:C""),3,0),"""")"),"")</f>
        <v/>
      </c>
      <c r="AH7859" s="49">
        <f>LEFT(J7859,2)</f>
        <v/>
      </c>
    </row>
    <row r="7860" ht="12.75" customHeight="1">
      <c r="H7860" s="43" t="n"/>
      <c r="AG7860" s="49">
        <f>IFERROR(__xludf.DUMMYFUNCTION("IFNA(vlookup(H7860,IMPORTRANGE(""1vUGwO1n0QQGx9kKbO0_M5gmuhXZ6-LaxQxgrmJnzgP0"",""'TP# look up'!A:C""),3,0),"""")"),"")</f>
        <v/>
      </c>
      <c r="AH7860" s="49">
        <f>LEFT(J7860,2)</f>
        <v/>
      </c>
    </row>
    <row r="7861" ht="12.75" customHeight="1">
      <c r="H7861" s="43" t="n"/>
      <c r="AG7861" s="49">
        <f>IFERROR(__xludf.DUMMYFUNCTION("IFNA(vlookup(H7861,IMPORTRANGE(""1vUGwO1n0QQGx9kKbO0_M5gmuhXZ6-LaxQxgrmJnzgP0"",""'TP# look up'!A:C""),3,0),"""")"),"")</f>
        <v/>
      </c>
      <c r="AH7861" s="49">
        <f>LEFT(J7861,2)</f>
        <v/>
      </c>
    </row>
    <row r="7862" ht="12.75" customHeight="1">
      <c r="H7862" s="43" t="n"/>
      <c r="AG7862" s="49">
        <f>IFERROR(__xludf.DUMMYFUNCTION("IFNA(vlookup(H7862,IMPORTRANGE(""1vUGwO1n0QQGx9kKbO0_M5gmuhXZ6-LaxQxgrmJnzgP0"",""'TP# look up'!A:C""),3,0),"""")"),"")</f>
        <v/>
      </c>
      <c r="AH7862" s="49">
        <f>LEFT(J7862,2)</f>
        <v/>
      </c>
    </row>
    <row r="7863" ht="12.75" customHeight="1">
      <c r="H7863" s="43" t="n"/>
      <c r="AG7863" s="49">
        <f>IFERROR(__xludf.DUMMYFUNCTION("IFNA(vlookup(H7863,IMPORTRANGE(""1vUGwO1n0QQGx9kKbO0_M5gmuhXZ6-LaxQxgrmJnzgP0"",""'TP# look up'!A:C""),3,0),"""")"),"")</f>
        <v/>
      </c>
      <c r="AH7863" s="49">
        <f>LEFT(J7863,2)</f>
        <v/>
      </c>
    </row>
    <row r="7864" ht="12.75" customHeight="1">
      <c r="H7864" s="43" t="n"/>
      <c r="AG7864" s="49">
        <f>IFERROR(__xludf.DUMMYFUNCTION("IFNA(vlookup(H7864,IMPORTRANGE(""1vUGwO1n0QQGx9kKbO0_M5gmuhXZ6-LaxQxgrmJnzgP0"",""'TP# look up'!A:C""),3,0),"""")"),"")</f>
        <v/>
      </c>
      <c r="AH7864" s="49">
        <f>LEFT(J7864,2)</f>
        <v/>
      </c>
    </row>
    <row r="7865" ht="12.75" customHeight="1">
      <c r="H7865" s="43" t="n"/>
      <c r="AG7865" s="49">
        <f>IFERROR(__xludf.DUMMYFUNCTION("IFNA(vlookup(H7865,IMPORTRANGE(""1vUGwO1n0QQGx9kKbO0_M5gmuhXZ6-LaxQxgrmJnzgP0"",""'TP# look up'!A:C""),3,0),"""")"),"")</f>
        <v/>
      </c>
      <c r="AH7865" s="49">
        <f>LEFT(J7865,2)</f>
        <v/>
      </c>
    </row>
    <row r="7866" ht="12.75" customHeight="1">
      <c r="H7866" s="43" t="n"/>
      <c r="AG7866" s="49">
        <f>IFERROR(__xludf.DUMMYFUNCTION("IFNA(vlookup(H7866,IMPORTRANGE(""1vUGwO1n0QQGx9kKbO0_M5gmuhXZ6-LaxQxgrmJnzgP0"",""'TP# look up'!A:C""),3,0),"""")"),"")</f>
        <v/>
      </c>
      <c r="AH7866" s="49">
        <f>LEFT(J7866,2)</f>
        <v/>
      </c>
    </row>
    <row r="7867" ht="12.75" customHeight="1">
      <c r="H7867" s="43" t="n"/>
      <c r="AG7867" s="49">
        <f>IFERROR(__xludf.DUMMYFUNCTION("IFNA(vlookup(H7867,IMPORTRANGE(""1vUGwO1n0QQGx9kKbO0_M5gmuhXZ6-LaxQxgrmJnzgP0"",""'TP# look up'!A:C""),3,0),"""")"),"")</f>
        <v/>
      </c>
      <c r="AH7867" s="49">
        <f>LEFT(J7867,2)</f>
        <v/>
      </c>
    </row>
    <row r="7868" ht="12.75" customHeight="1">
      <c r="H7868" s="43" t="n"/>
      <c r="AG7868" s="49">
        <f>IFERROR(__xludf.DUMMYFUNCTION("IFNA(vlookup(H7868,IMPORTRANGE(""1vUGwO1n0QQGx9kKbO0_M5gmuhXZ6-LaxQxgrmJnzgP0"",""'TP# look up'!A:C""),3,0),"""")"),"")</f>
        <v/>
      </c>
      <c r="AH7868" s="49">
        <f>LEFT(J7868,2)</f>
        <v/>
      </c>
    </row>
    <row r="7869" ht="12.75" customHeight="1">
      <c r="H7869" s="43" t="n"/>
      <c r="AG7869" s="49">
        <f>IFERROR(__xludf.DUMMYFUNCTION("IFNA(vlookup(H7869,IMPORTRANGE(""1vUGwO1n0QQGx9kKbO0_M5gmuhXZ6-LaxQxgrmJnzgP0"",""'TP# look up'!A:C""),3,0),"""")"),"")</f>
        <v/>
      </c>
      <c r="AH7869" s="49">
        <f>LEFT(J7869,2)</f>
        <v/>
      </c>
    </row>
    <row r="7870" ht="12.75" customHeight="1">
      <c r="H7870" s="43" t="n"/>
      <c r="AG7870" s="49">
        <f>IFERROR(__xludf.DUMMYFUNCTION("IFNA(vlookup(H7870,IMPORTRANGE(""1vUGwO1n0QQGx9kKbO0_M5gmuhXZ6-LaxQxgrmJnzgP0"",""'TP# look up'!A:C""),3,0),"""")"),"")</f>
        <v/>
      </c>
      <c r="AH7870" s="49">
        <f>LEFT(J7870,2)</f>
        <v/>
      </c>
    </row>
    <row r="7871" ht="12.75" customHeight="1">
      <c r="H7871" s="43" t="n"/>
      <c r="AG7871" s="49">
        <f>IFERROR(__xludf.DUMMYFUNCTION("IFNA(vlookup(H7871,IMPORTRANGE(""1vUGwO1n0QQGx9kKbO0_M5gmuhXZ6-LaxQxgrmJnzgP0"",""'TP# look up'!A:C""),3,0),"""")"),"")</f>
        <v/>
      </c>
      <c r="AH7871" s="49">
        <f>LEFT(J7871,2)</f>
        <v/>
      </c>
    </row>
    <row r="7872" ht="12.75" customHeight="1">
      <c r="H7872" s="43" t="n"/>
      <c r="AG7872" s="49">
        <f>IFERROR(__xludf.DUMMYFUNCTION("IFNA(vlookup(H7872,IMPORTRANGE(""1vUGwO1n0QQGx9kKbO0_M5gmuhXZ6-LaxQxgrmJnzgP0"",""'TP# look up'!A:C""),3,0),"""")"),"")</f>
        <v/>
      </c>
      <c r="AH7872" s="49">
        <f>LEFT(J7872,2)</f>
        <v/>
      </c>
    </row>
    <row r="7873" ht="12.75" customHeight="1">
      <c r="H7873" s="43" t="n"/>
      <c r="AG7873" s="49">
        <f>IFERROR(__xludf.DUMMYFUNCTION("IFNA(vlookup(H7873,IMPORTRANGE(""1vUGwO1n0QQGx9kKbO0_M5gmuhXZ6-LaxQxgrmJnzgP0"",""'TP# look up'!A:C""),3,0),"""")"),"")</f>
        <v/>
      </c>
      <c r="AH7873" s="49">
        <f>LEFT(J7873,2)</f>
        <v/>
      </c>
    </row>
    <row r="7874" ht="12.75" customHeight="1">
      <c r="H7874" s="43" t="n"/>
      <c r="AG7874" s="49">
        <f>IFERROR(__xludf.DUMMYFUNCTION("IFNA(vlookup(H7874,IMPORTRANGE(""1vUGwO1n0QQGx9kKbO0_M5gmuhXZ6-LaxQxgrmJnzgP0"",""'TP# look up'!A:C""),3,0),"""")"),"")</f>
        <v/>
      </c>
      <c r="AH7874" s="49">
        <f>LEFT(J7874,2)</f>
        <v/>
      </c>
    </row>
    <row r="7875" ht="12.75" customHeight="1">
      <c r="H7875" s="43" t="n"/>
      <c r="AG7875" s="49">
        <f>IFERROR(__xludf.DUMMYFUNCTION("IFNA(vlookup(H7875,IMPORTRANGE(""1vUGwO1n0QQGx9kKbO0_M5gmuhXZ6-LaxQxgrmJnzgP0"",""'TP# look up'!A:C""),3,0),"""")"),"")</f>
        <v/>
      </c>
      <c r="AH7875" s="49">
        <f>LEFT(J7875,2)</f>
        <v/>
      </c>
    </row>
    <row r="7876" ht="12.75" customHeight="1">
      <c r="H7876" s="43" t="n"/>
      <c r="AG7876" s="49">
        <f>IFERROR(__xludf.DUMMYFUNCTION("IFNA(vlookup(H7876,IMPORTRANGE(""1vUGwO1n0QQGx9kKbO0_M5gmuhXZ6-LaxQxgrmJnzgP0"",""'TP# look up'!A:C""),3,0),"""")"),"")</f>
        <v/>
      </c>
      <c r="AH7876" s="49">
        <f>LEFT(J7876,2)</f>
        <v/>
      </c>
    </row>
    <row r="7877" ht="12.75" customHeight="1">
      <c r="H7877" s="43" t="n"/>
      <c r="AG7877" s="49">
        <f>IFERROR(__xludf.DUMMYFUNCTION("IFNA(vlookup(H7877,IMPORTRANGE(""1vUGwO1n0QQGx9kKbO0_M5gmuhXZ6-LaxQxgrmJnzgP0"",""'TP# look up'!A:C""),3,0),"""")"),"")</f>
        <v/>
      </c>
      <c r="AH7877" s="49">
        <f>LEFT(J7877,2)</f>
        <v/>
      </c>
    </row>
    <row r="7878" ht="12.75" customHeight="1">
      <c r="H7878" s="43" t="n"/>
      <c r="AG7878" s="49">
        <f>IFERROR(__xludf.DUMMYFUNCTION("IFNA(vlookup(H7878,IMPORTRANGE(""1vUGwO1n0QQGx9kKbO0_M5gmuhXZ6-LaxQxgrmJnzgP0"",""'TP# look up'!A:C""),3,0),"""")"),"")</f>
        <v/>
      </c>
      <c r="AH7878" s="49">
        <f>LEFT(J7878,2)</f>
        <v/>
      </c>
    </row>
    <row r="7879" ht="12.75" customHeight="1">
      <c r="H7879" s="43" t="n"/>
      <c r="AG7879" s="49">
        <f>IFERROR(__xludf.DUMMYFUNCTION("IFNA(vlookup(H7879,IMPORTRANGE(""1vUGwO1n0QQGx9kKbO0_M5gmuhXZ6-LaxQxgrmJnzgP0"",""'TP# look up'!A:C""),3,0),"""")"),"")</f>
        <v/>
      </c>
      <c r="AH7879" s="49">
        <f>LEFT(J7879,2)</f>
        <v/>
      </c>
    </row>
    <row r="7880" ht="12.75" customHeight="1">
      <c r="H7880" s="43" t="n"/>
      <c r="AG7880" s="49">
        <f>IFERROR(__xludf.DUMMYFUNCTION("IFNA(vlookup(H7880,IMPORTRANGE(""1vUGwO1n0QQGx9kKbO0_M5gmuhXZ6-LaxQxgrmJnzgP0"",""'TP# look up'!A:C""),3,0),"""")"),"")</f>
        <v/>
      </c>
      <c r="AH7880" s="49">
        <f>LEFT(J7880,2)</f>
        <v/>
      </c>
    </row>
    <row r="7881" ht="12.75" customHeight="1">
      <c r="H7881" s="43" t="n"/>
      <c r="AG7881" s="49">
        <f>IFERROR(__xludf.DUMMYFUNCTION("IFNA(vlookup(H7881,IMPORTRANGE(""1vUGwO1n0QQGx9kKbO0_M5gmuhXZ6-LaxQxgrmJnzgP0"",""'TP# look up'!A:C""),3,0),"""")"),"")</f>
        <v/>
      </c>
      <c r="AH7881" s="49">
        <f>LEFT(J7881,2)</f>
        <v/>
      </c>
    </row>
    <row r="7882" ht="12.75" customHeight="1">
      <c r="H7882" s="43" t="n"/>
      <c r="AG7882" s="49">
        <f>IFERROR(__xludf.DUMMYFUNCTION("IFNA(vlookup(H7882,IMPORTRANGE(""1vUGwO1n0QQGx9kKbO0_M5gmuhXZ6-LaxQxgrmJnzgP0"",""'TP# look up'!A:C""),3,0),"""")"),"")</f>
        <v/>
      </c>
      <c r="AH7882" s="49">
        <f>LEFT(J7882,2)</f>
        <v/>
      </c>
    </row>
    <row r="7883" ht="12.75" customHeight="1">
      <c r="H7883" s="43" t="n"/>
      <c r="AG7883" s="49">
        <f>IFERROR(__xludf.DUMMYFUNCTION("IFNA(vlookup(H7883,IMPORTRANGE(""1vUGwO1n0QQGx9kKbO0_M5gmuhXZ6-LaxQxgrmJnzgP0"",""'TP# look up'!A:C""),3,0),"""")"),"")</f>
        <v/>
      </c>
      <c r="AH7883" s="49">
        <f>LEFT(J7883,2)</f>
        <v/>
      </c>
    </row>
    <row r="7884" ht="12.75" customHeight="1">
      <c r="H7884" s="43" t="n"/>
      <c r="AG7884" s="49">
        <f>IFERROR(__xludf.DUMMYFUNCTION("IFNA(vlookup(H7884,IMPORTRANGE(""1vUGwO1n0QQGx9kKbO0_M5gmuhXZ6-LaxQxgrmJnzgP0"",""'TP# look up'!A:C""),3,0),"""")"),"")</f>
        <v/>
      </c>
      <c r="AH7884" s="49">
        <f>LEFT(J7884,2)</f>
        <v/>
      </c>
    </row>
    <row r="7885" ht="12.75" customHeight="1">
      <c r="H7885" s="43" t="n"/>
      <c r="AG7885" s="49">
        <f>IFERROR(__xludf.DUMMYFUNCTION("IFNA(vlookup(H7885,IMPORTRANGE(""1vUGwO1n0QQGx9kKbO0_M5gmuhXZ6-LaxQxgrmJnzgP0"",""'TP# look up'!A:C""),3,0),"""")"),"")</f>
        <v/>
      </c>
      <c r="AH7885" s="49">
        <f>LEFT(J7885,2)</f>
        <v/>
      </c>
    </row>
    <row r="7886" ht="12.75" customHeight="1">
      <c r="H7886" s="43" t="n"/>
      <c r="AG7886" s="49">
        <f>IFERROR(__xludf.DUMMYFUNCTION("IFNA(vlookup(H7886,IMPORTRANGE(""1vUGwO1n0QQGx9kKbO0_M5gmuhXZ6-LaxQxgrmJnzgP0"",""'TP# look up'!A:C""),3,0),"""")"),"")</f>
        <v/>
      </c>
      <c r="AH7886" s="49">
        <f>LEFT(J7886,2)</f>
        <v/>
      </c>
    </row>
    <row r="7887" ht="12.75" customHeight="1">
      <c r="H7887" s="43" t="n"/>
      <c r="AG7887" s="49">
        <f>IFERROR(__xludf.DUMMYFUNCTION("IFNA(vlookup(H7887,IMPORTRANGE(""1vUGwO1n0QQGx9kKbO0_M5gmuhXZ6-LaxQxgrmJnzgP0"",""'TP# look up'!A:C""),3,0),"""")"),"")</f>
        <v/>
      </c>
      <c r="AH7887" s="49">
        <f>LEFT(J7887,2)</f>
        <v/>
      </c>
    </row>
    <row r="7888" ht="12.75" customHeight="1">
      <c r="H7888" s="43" t="n"/>
      <c r="AG7888" s="49">
        <f>IFERROR(__xludf.DUMMYFUNCTION("IFNA(vlookup(H7888,IMPORTRANGE(""1vUGwO1n0QQGx9kKbO0_M5gmuhXZ6-LaxQxgrmJnzgP0"",""'TP# look up'!A:C""),3,0),"""")"),"")</f>
        <v/>
      </c>
      <c r="AH7888" s="49">
        <f>LEFT(J7888,2)</f>
        <v/>
      </c>
    </row>
    <row r="7889" ht="12.75" customHeight="1">
      <c r="H7889" s="43" t="n"/>
      <c r="AG7889" s="49">
        <f>IFERROR(__xludf.DUMMYFUNCTION("IFNA(vlookup(H7889,IMPORTRANGE(""1vUGwO1n0QQGx9kKbO0_M5gmuhXZ6-LaxQxgrmJnzgP0"",""'TP# look up'!A:C""),3,0),"""")"),"")</f>
        <v/>
      </c>
      <c r="AH7889" s="49">
        <f>LEFT(J7889,2)</f>
        <v/>
      </c>
    </row>
    <row r="7890" ht="12.75" customHeight="1">
      <c r="H7890" s="43" t="n"/>
      <c r="AG7890" s="49">
        <f>IFERROR(__xludf.DUMMYFUNCTION("IFNA(vlookup(H7890,IMPORTRANGE(""1vUGwO1n0QQGx9kKbO0_M5gmuhXZ6-LaxQxgrmJnzgP0"",""'TP# look up'!A:C""),3,0),"""")"),"")</f>
        <v/>
      </c>
      <c r="AH7890" s="49">
        <f>LEFT(J7890,2)</f>
        <v/>
      </c>
    </row>
    <row r="7891" ht="12.75" customHeight="1">
      <c r="H7891" s="43" t="n"/>
      <c r="AG7891" s="49">
        <f>IFERROR(__xludf.DUMMYFUNCTION("IFNA(vlookup(H7891,IMPORTRANGE(""1vUGwO1n0QQGx9kKbO0_M5gmuhXZ6-LaxQxgrmJnzgP0"",""'TP# look up'!A:C""),3,0),"""")"),"")</f>
        <v/>
      </c>
      <c r="AH7891" s="49">
        <f>LEFT(J7891,2)</f>
        <v/>
      </c>
    </row>
    <row r="7892" ht="12.75" customHeight="1">
      <c r="H7892" s="43" t="n"/>
      <c r="AG7892" s="49">
        <f>IFERROR(__xludf.DUMMYFUNCTION("IFNA(vlookup(H7892,IMPORTRANGE(""1vUGwO1n0QQGx9kKbO0_M5gmuhXZ6-LaxQxgrmJnzgP0"",""'TP# look up'!A:C""),3,0),"""")"),"")</f>
        <v/>
      </c>
      <c r="AH7892" s="49">
        <f>LEFT(J7892,2)</f>
        <v/>
      </c>
    </row>
    <row r="7893" ht="12.75" customHeight="1">
      <c r="H7893" s="43" t="n"/>
      <c r="AG7893" s="49">
        <f>IFERROR(__xludf.DUMMYFUNCTION("IFNA(vlookup(H7893,IMPORTRANGE(""1vUGwO1n0QQGx9kKbO0_M5gmuhXZ6-LaxQxgrmJnzgP0"",""'TP# look up'!A:C""),3,0),"""")"),"")</f>
        <v/>
      </c>
      <c r="AH7893" s="49">
        <f>LEFT(J7893,2)</f>
        <v/>
      </c>
    </row>
    <row r="7894" ht="12.75" customHeight="1">
      <c r="H7894" s="43" t="n"/>
      <c r="AG7894" s="49">
        <f>IFERROR(__xludf.DUMMYFUNCTION("IFNA(vlookup(H7894,IMPORTRANGE(""1vUGwO1n0QQGx9kKbO0_M5gmuhXZ6-LaxQxgrmJnzgP0"",""'TP# look up'!A:C""),3,0),"""")"),"")</f>
        <v/>
      </c>
      <c r="AH7894" s="49">
        <f>LEFT(J7894,2)</f>
        <v/>
      </c>
    </row>
    <row r="7895" ht="12.75" customHeight="1">
      <c r="H7895" s="43" t="n"/>
      <c r="AG7895" s="49">
        <f>IFERROR(__xludf.DUMMYFUNCTION("IFNA(vlookup(H7895,IMPORTRANGE(""1vUGwO1n0QQGx9kKbO0_M5gmuhXZ6-LaxQxgrmJnzgP0"",""'TP# look up'!A:C""),3,0),"""")"),"")</f>
        <v/>
      </c>
      <c r="AH7895" s="49">
        <f>LEFT(J7895,2)</f>
        <v/>
      </c>
    </row>
    <row r="7896" ht="12.75" customHeight="1">
      <c r="H7896" s="43" t="n"/>
      <c r="AG7896" s="49">
        <f>IFERROR(__xludf.DUMMYFUNCTION("IFNA(vlookup(H7896,IMPORTRANGE(""1vUGwO1n0QQGx9kKbO0_M5gmuhXZ6-LaxQxgrmJnzgP0"",""'TP# look up'!A:C""),3,0),"""")"),"")</f>
        <v/>
      </c>
      <c r="AH7896" s="49">
        <f>LEFT(J7896,2)</f>
        <v/>
      </c>
    </row>
    <row r="7897" ht="12.75" customHeight="1">
      <c r="H7897" s="43" t="n"/>
      <c r="AG7897" s="49">
        <f>IFERROR(__xludf.DUMMYFUNCTION("IFNA(vlookup(H7897,IMPORTRANGE(""1vUGwO1n0QQGx9kKbO0_M5gmuhXZ6-LaxQxgrmJnzgP0"",""'TP# look up'!A:C""),3,0),"""")"),"")</f>
        <v/>
      </c>
      <c r="AH7897" s="49">
        <f>LEFT(J7897,2)</f>
        <v/>
      </c>
    </row>
    <row r="7898" ht="12.75" customHeight="1">
      <c r="H7898" s="43" t="n"/>
      <c r="AG7898" s="49">
        <f>IFERROR(__xludf.DUMMYFUNCTION("IFNA(vlookup(H7898,IMPORTRANGE(""1vUGwO1n0QQGx9kKbO0_M5gmuhXZ6-LaxQxgrmJnzgP0"",""'TP# look up'!A:C""),3,0),"""")"),"")</f>
        <v/>
      </c>
      <c r="AH7898" s="49">
        <f>LEFT(J7898,2)</f>
        <v/>
      </c>
    </row>
    <row r="7899" ht="12.75" customHeight="1">
      <c r="H7899" s="43" t="n"/>
      <c r="AG7899" s="49">
        <f>IFERROR(__xludf.DUMMYFUNCTION("IFNA(vlookup(H7899,IMPORTRANGE(""1vUGwO1n0QQGx9kKbO0_M5gmuhXZ6-LaxQxgrmJnzgP0"",""'TP# look up'!A:C""),3,0),"""")"),"")</f>
        <v/>
      </c>
      <c r="AH7899" s="49">
        <f>LEFT(J7899,2)</f>
        <v/>
      </c>
    </row>
    <row r="7900" ht="12.75" customHeight="1">
      <c r="H7900" s="43" t="n"/>
      <c r="AG7900" s="49">
        <f>IFERROR(__xludf.DUMMYFUNCTION("IFNA(vlookup(H7900,IMPORTRANGE(""1vUGwO1n0QQGx9kKbO0_M5gmuhXZ6-LaxQxgrmJnzgP0"",""'TP# look up'!A:C""),3,0),"""")"),"")</f>
        <v/>
      </c>
      <c r="AH7900" s="49">
        <f>LEFT(J7900,2)</f>
        <v/>
      </c>
    </row>
    <row r="7901" ht="12.75" customHeight="1">
      <c r="H7901" s="43" t="n"/>
      <c r="AG7901" s="49">
        <f>IFERROR(__xludf.DUMMYFUNCTION("IFNA(vlookup(H7901,IMPORTRANGE(""1vUGwO1n0QQGx9kKbO0_M5gmuhXZ6-LaxQxgrmJnzgP0"",""'TP# look up'!A:C""),3,0),"""")"),"")</f>
        <v/>
      </c>
      <c r="AH7901" s="49">
        <f>LEFT(J7901,2)</f>
        <v/>
      </c>
    </row>
    <row r="7902" ht="12.75" customHeight="1">
      <c r="H7902" s="43" t="n"/>
      <c r="AG7902" s="49">
        <f>IFERROR(__xludf.DUMMYFUNCTION("IFNA(vlookup(H7902,IMPORTRANGE(""1vUGwO1n0QQGx9kKbO0_M5gmuhXZ6-LaxQxgrmJnzgP0"",""'TP# look up'!A:C""),3,0),"""")"),"")</f>
        <v/>
      </c>
      <c r="AH7902" s="49">
        <f>LEFT(J7902,2)</f>
        <v/>
      </c>
    </row>
    <row r="7903" ht="12.75" customHeight="1">
      <c r="H7903" s="43" t="n"/>
      <c r="AG7903" s="49">
        <f>IFERROR(__xludf.DUMMYFUNCTION("IFNA(vlookup(H7903,IMPORTRANGE(""1vUGwO1n0QQGx9kKbO0_M5gmuhXZ6-LaxQxgrmJnzgP0"",""'TP# look up'!A:C""),3,0),"""")"),"")</f>
        <v/>
      </c>
      <c r="AH7903" s="49">
        <f>LEFT(J7903,2)</f>
        <v/>
      </c>
    </row>
    <row r="7904" ht="12.75" customHeight="1">
      <c r="H7904" s="43" t="n"/>
      <c r="AG7904" s="49">
        <f>IFERROR(__xludf.DUMMYFUNCTION("IFNA(vlookup(H7904,IMPORTRANGE(""1vUGwO1n0QQGx9kKbO0_M5gmuhXZ6-LaxQxgrmJnzgP0"",""'TP# look up'!A:C""),3,0),"""")"),"")</f>
        <v/>
      </c>
      <c r="AH7904" s="49">
        <f>LEFT(J7904,2)</f>
        <v/>
      </c>
    </row>
    <row r="7905" ht="12.75" customHeight="1">
      <c r="H7905" s="43" t="n"/>
      <c r="AG7905" s="49">
        <f>IFERROR(__xludf.DUMMYFUNCTION("IFNA(vlookup(H7905,IMPORTRANGE(""1vUGwO1n0QQGx9kKbO0_M5gmuhXZ6-LaxQxgrmJnzgP0"",""'TP# look up'!A:C""),3,0),"""")"),"")</f>
        <v/>
      </c>
      <c r="AH7905" s="49">
        <f>LEFT(J7905,2)</f>
        <v/>
      </c>
    </row>
    <row r="7906" ht="12.75" customHeight="1">
      <c r="H7906" s="43" t="n"/>
      <c r="AG7906" s="49">
        <f>IFERROR(__xludf.DUMMYFUNCTION("IFNA(vlookup(H7906,IMPORTRANGE(""1vUGwO1n0QQGx9kKbO0_M5gmuhXZ6-LaxQxgrmJnzgP0"",""'TP# look up'!A:C""),3,0),"""")"),"")</f>
        <v/>
      </c>
      <c r="AH7906" s="49">
        <f>LEFT(J7906,2)</f>
        <v/>
      </c>
    </row>
    <row r="7907" ht="12.75" customHeight="1">
      <c r="H7907" s="43" t="n"/>
      <c r="AG7907" s="49">
        <f>IFERROR(__xludf.DUMMYFUNCTION("IFNA(vlookup(H7907,IMPORTRANGE(""1vUGwO1n0QQGx9kKbO0_M5gmuhXZ6-LaxQxgrmJnzgP0"",""'TP# look up'!A:C""),3,0),"""")"),"")</f>
        <v/>
      </c>
      <c r="AH7907" s="49">
        <f>LEFT(J7907,2)</f>
        <v/>
      </c>
    </row>
    <row r="7908" ht="12.75" customHeight="1">
      <c r="H7908" s="43" t="n"/>
      <c r="AG7908" s="49">
        <f>IFERROR(__xludf.DUMMYFUNCTION("IFNA(vlookup(H7908,IMPORTRANGE(""1vUGwO1n0QQGx9kKbO0_M5gmuhXZ6-LaxQxgrmJnzgP0"",""'TP# look up'!A:C""),3,0),"""")"),"")</f>
        <v/>
      </c>
      <c r="AH7908" s="49">
        <f>LEFT(J7908,2)</f>
        <v/>
      </c>
    </row>
    <row r="7909" ht="12.75" customHeight="1">
      <c r="H7909" s="43" t="n"/>
      <c r="AG7909" s="49">
        <f>IFERROR(__xludf.DUMMYFUNCTION("IFNA(vlookup(H7909,IMPORTRANGE(""1vUGwO1n0QQGx9kKbO0_M5gmuhXZ6-LaxQxgrmJnzgP0"",""'TP# look up'!A:C""),3,0),"""")"),"")</f>
        <v/>
      </c>
      <c r="AH7909" s="49">
        <f>LEFT(J7909,2)</f>
        <v/>
      </c>
    </row>
    <row r="7910" ht="12.75" customHeight="1">
      <c r="H7910" s="43" t="n"/>
      <c r="AG7910" s="49">
        <f>IFERROR(__xludf.DUMMYFUNCTION("IFNA(vlookup(H7910,IMPORTRANGE(""1vUGwO1n0QQGx9kKbO0_M5gmuhXZ6-LaxQxgrmJnzgP0"",""'TP# look up'!A:C""),3,0),"""")"),"")</f>
        <v/>
      </c>
      <c r="AH7910" s="49">
        <f>LEFT(J7910,2)</f>
        <v/>
      </c>
    </row>
    <row r="7911" ht="12.75" customHeight="1">
      <c r="H7911" s="43" t="n"/>
      <c r="AG7911" s="49">
        <f>IFERROR(__xludf.DUMMYFUNCTION("IFNA(vlookup(H7911,IMPORTRANGE(""1vUGwO1n0QQGx9kKbO0_M5gmuhXZ6-LaxQxgrmJnzgP0"",""'TP# look up'!A:C""),3,0),"""")"),"")</f>
        <v/>
      </c>
      <c r="AH7911" s="49">
        <f>LEFT(J7911,2)</f>
        <v/>
      </c>
    </row>
    <row r="7912" ht="12.75" customHeight="1">
      <c r="H7912" s="43" t="n"/>
      <c r="AG7912" s="49">
        <f>IFERROR(__xludf.DUMMYFUNCTION("IFNA(vlookup(H7912,IMPORTRANGE(""1vUGwO1n0QQGx9kKbO0_M5gmuhXZ6-LaxQxgrmJnzgP0"",""'TP# look up'!A:C""),3,0),"""")"),"")</f>
        <v/>
      </c>
      <c r="AH7912" s="49">
        <f>LEFT(J7912,2)</f>
        <v/>
      </c>
    </row>
    <row r="7913" ht="12.75" customHeight="1">
      <c r="H7913" s="43" t="n"/>
      <c r="AG7913" s="49">
        <f>IFERROR(__xludf.DUMMYFUNCTION("IFNA(vlookup(H7913,IMPORTRANGE(""1vUGwO1n0QQGx9kKbO0_M5gmuhXZ6-LaxQxgrmJnzgP0"",""'TP# look up'!A:C""),3,0),"""")"),"")</f>
        <v/>
      </c>
      <c r="AH7913" s="49">
        <f>LEFT(J7913,2)</f>
        <v/>
      </c>
    </row>
    <row r="7914" ht="12.75" customHeight="1">
      <c r="H7914" s="43" t="n"/>
      <c r="AG7914" s="49">
        <f>IFERROR(__xludf.DUMMYFUNCTION("IFNA(vlookup(H7914,IMPORTRANGE(""1vUGwO1n0QQGx9kKbO0_M5gmuhXZ6-LaxQxgrmJnzgP0"",""'TP# look up'!A:C""),3,0),"""")"),"")</f>
        <v/>
      </c>
      <c r="AH7914" s="49">
        <f>LEFT(J7914,2)</f>
        <v/>
      </c>
    </row>
    <row r="7915" ht="12.75" customHeight="1">
      <c r="H7915" s="43" t="n"/>
      <c r="AG7915" s="49">
        <f>IFERROR(__xludf.DUMMYFUNCTION("IFNA(vlookup(H7915,IMPORTRANGE(""1vUGwO1n0QQGx9kKbO0_M5gmuhXZ6-LaxQxgrmJnzgP0"",""'TP# look up'!A:C""),3,0),"""")"),"")</f>
        <v/>
      </c>
      <c r="AH7915" s="49">
        <f>LEFT(J7915,2)</f>
        <v/>
      </c>
    </row>
    <row r="7916" ht="12.75" customHeight="1">
      <c r="H7916" s="43" t="n"/>
      <c r="AG7916" s="49">
        <f>IFERROR(__xludf.DUMMYFUNCTION("IFNA(vlookup(H7916,IMPORTRANGE(""1vUGwO1n0QQGx9kKbO0_M5gmuhXZ6-LaxQxgrmJnzgP0"",""'TP# look up'!A:C""),3,0),"""")"),"")</f>
        <v/>
      </c>
      <c r="AH7916" s="49">
        <f>LEFT(J7916,2)</f>
        <v/>
      </c>
    </row>
    <row r="7917" ht="12.75" customHeight="1">
      <c r="H7917" s="43" t="n"/>
      <c r="AG7917" s="49">
        <f>IFERROR(__xludf.DUMMYFUNCTION("IFNA(vlookup(H7917,IMPORTRANGE(""1vUGwO1n0QQGx9kKbO0_M5gmuhXZ6-LaxQxgrmJnzgP0"",""'TP# look up'!A:C""),3,0),"""")"),"")</f>
        <v/>
      </c>
      <c r="AH7917" s="49">
        <f>LEFT(J7917,2)</f>
        <v/>
      </c>
    </row>
    <row r="7918" ht="12.75" customHeight="1">
      <c r="H7918" s="43" t="n"/>
      <c r="AG7918" s="49">
        <f>IFERROR(__xludf.DUMMYFUNCTION("IFNA(vlookup(H7918,IMPORTRANGE(""1vUGwO1n0QQGx9kKbO0_M5gmuhXZ6-LaxQxgrmJnzgP0"",""'TP# look up'!A:C""),3,0),"""")"),"")</f>
        <v/>
      </c>
      <c r="AH7918" s="49">
        <f>LEFT(J7918,2)</f>
        <v/>
      </c>
    </row>
    <row r="7919" ht="12.75" customHeight="1">
      <c r="H7919" s="43" t="n"/>
      <c r="AG7919" s="49">
        <f>IFERROR(__xludf.DUMMYFUNCTION("IFNA(vlookup(H7919,IMPORTRANGE(""1vUGwO1n0QQGx9kKbO0_M5gmuhXZ6-LaxQxgrmJnzgP0"",""'TP# look up'!A:C""),3,0),"""")"),"")</f>
        <v/>
      </c>
      <c r="AH7919" s="49">
        <f>LEFT(J7919,2)</f>
        <v/>
      </c>
    </row>
    <row r="7920" ht="12.75" customHeight="1">
      <c r="H7920" s="43" t="n"/>
      <c r="AG7920" s="49">
        <f>IFERROR(__xludf.DUMMYFUNCTION("IFNA(vlookup(H7920,IMPORTRANGE(""1vUGwO1n0QQGx9kKbO0_M5gmuhXZ6-LaxQxgrmJnzgP0"",""'TP# look up'!A:C""),3,0),"""")"),"")</f>
        <v/>
      </c>
      <c r="AH7920" s="49">
        <f>LEFT(J7920,2)</f>
        <v/>
      </c>
    </row>
    <row r="7921" ht="12.75" customHeight="1">
      <c r="H7921" s="43" t="n"/>
      <c r="AG7921" s="49">
        <f>IFERROR(__xludf.DUMMYFUNCTION("IFNA(vlookup(H7921,IMPORTRANGE(""1vUGwO1n0QQGx9kKbO0_M5gmuhXZ6-LaxQxgrmJnzgP0"",""'TP# look up'!A:C""),3,0),"""")"),"")</f>
        <v/>
      </c>
      <c r="AH7921" s="49">
        <f>LEFT(J7921,2)</f>
        <v/>
      </c>
    </row>
    <row r="7922" ht="12.75" customHeight="1">
      <c r="H7922" s="43" t="n"/>
      <c r="AG7922" s="49">
        <f>IFERROR(__xludf.DUMMYFUNCTION("IFNA(vlookup(H7922,IMPORTRANGE(""1vUGwO1n0QQGx9kKbO0_M5gmuhXZ6-LaxQxgrmJnzgP0"",""'TP# look up'!A:C""),3,0),"""")"),"")</f>
        <v/>
      </c>
      <c r="AH7922" s="49">
        <f>LEFT(J7922,2)</f>
        <v/>
      </c>
    </row>
    <row r="7923" ht="12.75" customHeight="1">
      <c r="H7923" s="43" t="n"/>
      <c r="AG7923" s="49">
        <f>IFERROR(__xludf.DUMMYFUNCTION("IFNA(vlookup(H7923,IMPORTRANGE(""1vUGwO1n0QQGx9kKbO0_M5gmuhXZ6-LaxQxgrmJnzgP0"",""'TP# look up'!A:C""),3,0),"""")"),"")</f>
        <v/>
      </c>
      <c r="AH7923" s="49">
        <f>LEFT(J7923,2)</f>
        <v/>
      </c>
    </row>
    <row r="7924" ht="12.75" customHeight="1">
      <c r="H7924" s="43" t="n"/>
      <c r="AG7924" s="49">
        <f>IFERROR(__xludf.DUMMYFUNCTION("IFNA(vlookup(H7924,IMPORTRANGE(""1vUGwO1n0QQGx9kKbO0_M5gmuhXZ6-LaxQxgrmJnzgP0"",""'TP# look up'!A:C""),3,0),"""")"),"")</f>
        <v/>
      </c>
      <c r="AH7924" s="49">
        <f>LEFT(J7924,2)</f>
        <v/>
      </c>
    </row>
    <row r="7925" ht="12.75" customHeight="1">
      <c r="H7925" s="43" t="n"/>
      <c r="AG7925" s="49">
        <f>IFERROR(__xludf.DUMMYFUNCTION("IFNA(vlookup(H7925,IMPORTRANGE(""1vUGwO1n0QQGx9kKbO0_M5gmuhXZ6-LaxQxgrmJnzgP0"",""'TP# look up'!A:C""),3,0),"""")"),"")</f>
        <v/>
      </c>
      <c r="AH7925" s="49">
        <f>LEFT(J7925,2)</f>
        <v/>
      </c>
    </row>
    <row r="7926" ht="12.75" customHeight="1">
      <c r="H7926" s="43" t="n"/>
      <c r="AG7926" s="49">
        <f>IFERROR(__xludf.DUMMYFUNCTION("IFNA(vlookup(H7926,IMPORTRANGE(""1vUGwO1n0QQGx9kKbO0_M5gmuhXZ6-LaxQxgrmJnzgP0"",""'TP# look up'!A:C""),3,0),"""")"),"")</f>
        <v/>
      </c>
      <c r="AH7926" s="49">
        <f>LEFT(J7926,2)</f>
        <v/>
      </c>
    </row>
    <row r="7927" ht="12.75" customHeight="1">
      <c r="H7927" s="43" t="n"/>
      <c r="AG7927" s="49">
        <f>IFERROR(__xludf.DUMMYFUNCTION("IFNA(vlookup(H7927,IMPORTRANGE(""1vUGwO1n0QQGx9kKbO0_M5gmuhXZ6-LaxQxgrmJnzgP0"",""'TP# look up'!A:C""),3,0),"""")"),"")</f>
        <v/>
      </c>
      <c r="AH7927" s="49">
        <f>LEFT(J7927,2)</f>
        <v/>
      </c>
    </row>
    <row r="7928" ht="12.75" customHeight="1">
      <c r="H7928" s="43" t="n"/>
      <c r="AG7928" s="49">
        <f>IFERROR(__xludf.DUMMYFUNCTION("IFNA(vlookup(H7928,IMPORTRANGE(""1vUGwO1n0QQGx9kKbO0_M5gmuhXZ6-LaxQxgrmJnzgP0"",""'TP# look up'!A:C""),3,0),"""")"),"")</f>
        <v/>
      </c>
      <c r="AH7928" s="49">
        <f>LEFT(J7928,2)</f>
        <v/>
      </c>
    </row>
    <row r="7929" ht="12.75" customHeight="1">
      <c r="H7929" s="43" t="n"/>
      <c r="AG7929" s="49">
        <f>IFERROR(__xludf.DUMMYFUNCTION("IFNA(vlookup(H7929,IMPORTRANGE(""1vUGwO1n0QQGx9kKbO0_M5gmuhXZ6-LaxQxgrmJnzgP0"",""'TP# look up'!A:C""),3,0),"""")"),"")</f>
        <v/>
      </c>
      <c r="AH7929" s="49">
        <f>LEFT(J7929,2)</f>
        <v/>
      </c>
    </row>
    <row r="7930" ht="12.75" customHeight="1">
      <c r="H7930" s="43" t="n"/>
      <c r="AG7930" s="49">
        <f>IFERROR(__xludf.DUMMYFUNCTION("IFNA(vlookup(H7930,IMPORTRANGE(""1vUGwO1n0QQGx9kKbO0_M5gmuhXZ6-LaxQxgrmJnzgP0"",""'TP# look up'!A:C""),3,0),"""")"),"")</f>
        <v/>
      </c>
      <c r="AH7930" s="49">
        <f>LEFT(J7930,2)</f>
        <v/>
      </c>
    </row>
    <row r="7931" ht="12.75" customHeight="1">
      <c r="H7931" s="43" t="n"/>
      <c r="AG7931" s="49">
        <f>IFERROR(__xludf.DUMMYFUNCTION("IFNA(vlookup(H7931,IMPORTRANGE(""1vUGwO1n0QQGx9kKbO0_M5gmuhXZ6-LaxQxgrmJnzgP0"",""'TP# look up'!A:C""),3,0),"""")"),"")</f>
        <v/>
      </c>
      <c r="AH7931" s="49">
        <f>LEFT(J7931,2)</f>
        <v/>
      </c>
    </row>
    <row r="7932" ht="12.75" customHeight="1">
      <c r="H7932" s="43" t="n"/>
      <c r="AG7932" s="49">
        <f>IFERROR(__xludf.DUMMYFUNCTION("IFNA(vlookup(H7932,IMPORTRANGE(""1vUGwO1n0QQGx9kKbO0_M5gmuhXZ6-LaxQxgrmJnzgP0"",""'TP# look up'!A:C""),3,0),"""")"),"")</f>
        <v/>
      </c>
      <c r="AH7932" s="49">
        <f>LEFT(J7932,2)</f>
        <v/>
      </c>
    </row>
    <row r="7933" ht="12.75" customHeight="1">
      <c r="H7933" s="43" t="n"/>
      <c r="AG7933" s="49">
        <f>IFERROR(__xludf.DUMMYFUNCTION("IFNA(vlookup(H7933,IMPORTRANGE(""1vUGwO1n0QQGx9kKbO0_M5gmuhXZ6-LaxQxgrmJnzgP0"",""'TP# look up'!A:C""),3,0),"""")"),"")</f>
        <v/>
      </c>
      <c r="AH7933" s="49">
        <f>LEFT(J7933,2)</f>
        <v/>
      </c>
    </row>
    <row r="7934" ht="12.75" customHeight="1">
      <c r="H7934" s="43" t="n"/>
      <c r="AG7934" s="49">
        <f>IFERROR(__xludf.DUMMYFUNCTION("IFNA(vlookup(H7934,IMPORTRANGE(""1vUGwO1n0QQGx9kKbO0_M5gmuhXZ6-LaxQxgrmJnzgP0"",""'TP# look up'!A:C""),3,0),"""")"),"")</f>
        <v/>
      </c>
      <c r="AH7934" s="49">
        <f>LEFT(J7934,2)</f>
        <v/>
      </c>
    </row>
    <row r="7935" ht="12.75" customHeight="1">
      <c r="H7935" s="43" t="n"/>
      <c r="AG7935" s="49">
        <f>IFERROR(__xludf.DUMMYFUNCTION("IFNA(vlookup(H7935,IMPORTRANGE(""1vUGwO1n0QQGx9kKbO0_M5gmuhXZ6-LaxQxgrmJnzgP0"",""'TP# look up'!A:C""),3,0),"""")"),"")</f>
        <v/>
      </c>
      <c r="AH7935" s="49">
        <f>LEFT(J7935,2)</f>
        <v/>
      </c>
    </row>
    <row r="7936" ht="12.75" customHeight="1">
      <c r="H7936" s="43" t="n"/>
      <c r="AG7936" s="49">
        <f>IFERROR(__xludf.DUMMYFUNCTION("IFNA(vlookup(H7936,IMPORTRANGE(""1vUGwO1n0QQGx9kKbO0_M5gmuhXZ6-LaxQxgrmJnzgP0"",""'TP# look up'!A:C""),3,0),"""")"),"")</f>
        <v/>
      </c>
      <c r="AH7936" s="49">
        <f>LEFT(J7936,2)</f>
        <v/>
      </c>
    </row>
    <row r="7937" ht="12.75" customHeight="1">
      <c r="H7937" s="43" t="n"/>
      <c r="AG7937" s="49">
        <f>IFERROR(__xludf.DUMMYFUNCTION("IFNA(vlookup(H7937,IMPORTRANGE(""1vUGwO1n0QQGx9kKbO0_M5gmuhXZ6-LaxQxgrmJnzgP0"",""'TP# look up'!A:C""),3,0),"""")"),"")</f>
        <v/>
      </c>
      <c r="AH7937" s="49">
        <f>LEFT(J7937,2)</f>
        <v/>
      </c>
    </row>
    <row r="7938" ht="12.75" customHeight="1">
      <c r="H7938" s="43" t="n"/>
      <c r="AG7938" s="49">
        <f>IFERROR(__xludf.DUMMYFUNCTION("IFNA(vlookup(H7938,IMPORTRANGE(""1vUGwO1n0QQGx9kKbO0_M5gmuhXZ6-LaxQxgrmJnzgP0"",""'TP# look up'!A:C""),3,0),"""")"),"")</f>
        <v/>
      </c>
      <c r="AH7938" s="49">
        <f>LEFT(J7938,2)</f>
        <v/>
      </c>
    </row>
    <row r="7939" ht="12.75" customHeight="1">
      <c r="H7939" s="43" t="n"/>
      <c r="AG7939" s="49">
        <f>IFERROR(__xludf.DUMMYFUNCTION("IFNA(vlookup(H7939,IMPORTRANGE(""1vUGwO1n0QQGx9kKbO0_M5gmuhXZ6-LaxQxgrmJnzgP0"",""'TP# look up'!A:C""),3,0),"""")"),"")</f>
        <v/>
      </c>
      <c r="AH7939" s="49">
        <f>LEFT(J7939,2)</f>
        <v/>
      </c>
    </row>
    <row r="7940" ht="12.75" customHeight="1">
      <c r="H7940" s="43" t="n"/>
      <c r="AG7940" s="49">
        <f>IFERROR(__xludf.DUMMYFUNCTION("IFNA(vlookup(H7940,IMPORTRANGE(""1vUGwO1n0QQGx9kKbO0_M5gmuhXZ6-LaxQxgrmJnzgP0"",""'TP# look up'!A:C""),3,0),"""")"),"")</f>
        <v/>
      </c>
      <c r="AH7940" s="49">
        <f>LEFT(J7940,2)</f>
        <v/>
      </c>
    </row>
    <row r="7941" ht="12.75" customHeight="1">
      <c r="H7941" s="43" t="n"/>
      <c r="AG7941" s="49">
        <f>IFERROR(__xludf.DUMMYFUNCTION("IFNA(vlookup(H7941,IMPORTRANGE(""1vUGwO1n0QQGx9kKbO0_M5gmuhXZ6-LaxQxgrmJnzgP0"",""'TP# look up'!A:C""),3,0),"""")"),"")</f>
        <v/>
      </c>
      <c r="AH7941" s="49">
        <f>LEFT(J7941,2)</f>
        <v/>
      </c>
    </row>
    <row r="7942" ht="12.75" customHeight="1">
      <c r="H7942" s="43" t="n"/>
      <c r="AG7942" s="49">
        <f>IFERROR(__xludf.DUMMYFUNCTION("IFNA(vlookup(H7942,IMPORTRANGE(""1vUGwO1n0QQGx9kKbO0_M5gmuhXZ6-LaxQxgrmJnzgP0"",""'TP# look up'!A:C""),3,0),"""")"),"")</f>
        <v/>
      </c>
      <c r="AH7942" s="49">
        <f>LEFT(J7942,2)</f>
        <v/>
      </c>
    </row>
    <row r="7943" ht="12.75" customHeight="1">
      <c r="H7943" s="43" t="n"/>
      <c r="AG7943" s="49">
        <f>IFERROR(__xludf.DUMMYFUNCTION("IFNA(vlookup(H7943,IMPORTRANGE(""1vUGwO1n0QQGx9kKbO0_M5gmuhXZ6-LaxQxgrmJnzgP0"",""'TP# look up'!A:C""),3,0),"""")"),"")</f>
        <v/>
      </c>
      <c r="AH7943" s="49">
        <f>LEFT(J7943,2)</f>
        <v/>
      </c>
    </row>
    <row r="7944" ht="12.75" customHeight="1">
      <c r="H7944" s="43" t="n"/>
      <c r="AG7944" s="49">
        <f>IFERROR(__xludf.DUMMYFUNCTION("IFNA(vlookup(H7944,IMPORTRANGE(""1vUGwO1n0QQGx9kKbO0_M5gmuhXZ6-LaxQxgrmJnzgP0"",""'TP# look up'!A:C""),3,0),"""")"),"")</f>
        <v/>
      </c>
      <c r="AH7944" s="49">
        <f>LEFT(J7944,2)</f>
        <v/>
      </c>
    </row>
    <row r="7945" ht="12.75" customHeight="1">
      <c r="H7945" s="43" t="n"/>
      <c r="AG7945" s="49">
        <f>IFERROR(__xludf.DUMMYFUNCTION("IFNA(vlookup(H7945,IMPORTRANGE(""1vUGwO1n0QQGx9kKbO0_M5gmuhXZ6-LaxQxgrmJnzgP0"",""'TP# look up'!A:C""),3,0),"""")"),"")</f>
        <v/>
      </c>
      <c r="AH7945" s="49">
        <f>LEFT(J7945,2)</f>
        <v/>
      </c>
    </row>
    <row r="7946" ht="12.75" customHeight="1">
      <c r="H7946" s="43" t="n"/>
      <c r="AG7946" s="49">
        <f>IFERROR(__xludf.DUMMYFUNCTION("IFNA(vlookup(H7946,IMPORTRANGE(""1vUGwO1n0QQGx9kKbO0_M5gmuhXZ6-LaxQxgrmJnzgP0"",""'TP# look up'!A:C""),3,0),"""")"),"")</f>
        <v/>
      </c>
      <c r="AH7946" s="49">
        <f>LEFT(J7946,2)</f>
        <v/>
      </c>
    </row>
    <row r="7947" ht="12.75" customHeight="1">
      <c r="H7947" s="43" t="n"/>
      <c r="AG7947" s="49">
        <f>IFERROR(__xludf.DUMMYFUNCTION("IFNA(vlookup(H7947,IMPORTRANGE(""1vUGwO1n0QQGx9kKbO0_M5gmuhXZ6-LaxQxgrmJnzgP0"",""'TP# look up'!A:C""),3,0),"""")"),"")</f>
        <v/>
      </c>
      <c r="AH7947" s="49">
        <f>LEFT(J7947,2)</f>
        <v/>
      </c>
    </row>
    <row r="7948" ht="12.75" customHeight="1">
      <c r="H7948" s="43" t="n"/>
      <c r="AG7948" s="49">
        <f>IFERROR(__xludf.DUMMYFUNCTION("IFNA(vlookup(H7948,IMPORTRANGE(""1vUGwO1n0QQGx9kKbO0_M5gmuhXZ6-LaxQxgrmJnzgP0"",""'TP# look up'!A:C""),3,0),"""")"),"")</f>
        <v/>
      </c>
      <c r="AH7948" s="49">
        <f>LEFT(J7948,2)</f>
        <v/>
      </c>
    </row>
    <row r="7949" ht="12.75" customHeight="1">
      <c r="H7949" s="43" t="n"/>
      <c r="AG7949" s="49">
        <f>IFERROR(__xludf.DUMMYFUNCTION("IFNA(vlookup(H7949,IMPORTRANGE(""1vUGwO1n0QQGx9kKbO0_M5gmuhXZ6-LaxQxgrmJnzgP0"",""'TP# look up'!A:C""),3,0),"""")"),"")</f>
        <v/>
      </c>
      <c r="AH7949" s="49">
        <f>LEFT(J7949,2)</f>
        <v/>
      </c>
    </row>
    <row r="7950" ht="12.75" customHeight="1">
      <c r="H7950" s="43" t="n"/>
      <c r="AG7950" s="49">
        <f>IFERROR(__xludf.DUMMYFUNCTION("IFNA(vlookup(H7950,IMPORTRANGE(""1vUGwO1n0QQGx9kKbO0_M5gmuhXZ6-LaxQxgrmJnzgP0"",""'TP# look up'!A:C""),3,0),"""")"),"")</f>
        <v/>
      </c>
      <c r="AH7950" s="49">
        <f>LEFT(J7950,2)</f>
        <v/>
      </c>
    </row>
    <row r="7951" ht="12.75" customHeight="1">
      <c r="H7951" s="43" t="n"/>
      <c r="AG7951" s="49">
        <f>IFERROR(__xludf.DUMMYFUNCTION("IFNA(vlookup(H7951,IMPORTRANGE(""1vUGwO1n0QQGx9kKbO0_M5gmuhXZ6-LaxQxgrmJnzgP0"",""'TP# look up'!A:C""),3,0),"""")"),"")</f>
        <v/>
      </c>
      <c r="AH7951" s="49">
        <f>LEFT(J7951,2)</f>
        <v/>
      </c>
    </row>
    <row r="7952" ht="12.75" customHeight="1">
      <c r="H7952" s="43" t="n"/>
      <c r="AG7952" s="49">
        <f>IFERROR(__xludf.DUMMYFUNCTION("IFNA(vlookup(H7952,IMPORTRANGE(""1vUGwO1n0QQGx9kKbO0_M5gmuhXZ6-LaxQxgrmJnzgP0"",""'TP# look up'!A:C""),3,0),"""")"),"")</f>
        <v/>
      </c>
      <c r="AH7952" s="49">
        <f>LEFT(J7952,2)</f>
        <v/>
      </c>
    </row>
    <row r="7953" ht="12.75" customHeight="1">
      <c r="H7953" s="43" t="n"/>
      <c r="AG7953" s="49">
        <f>IFERROR(__xludf.DUMMYFUNCTION("IFNA(vlookup(H7953,IMPORTRANGE(""1vUGwO1n0QQGx9kKbO0_M5gmuhXZ6-LaxQxgrmJnzgP0"",""'TP# look up'!A:C""),3,0),"""")"),"")</f>
        <v/>
      </c>
      <c r="AH7953" s="49">
        <f>LEFT(J7953,2)</f>
        <v/>
      </c>
    </row>
    <row r="7954" ht="12.75" customHeight="1">
      <c r="H7954" s="43" t="n"/>
      <c r="AG7954" s="49">
        <f>IFERROR(__xludf.DUMMYFUNCTION("IFNA(vlookup(H7954,IMPORTRANGE(""1vUGwO1n0QQGx9kKbO0_M5gmuhXZ6-LaxQxgrmJnzgP0"",""'TP# look up'!A:C""),3,0),"""")"),"")</f>
        <v/>
      </c>
      <c r="AH7954" s="49">
        <f>LEFT(J7954,2)</f>
        <v/>
      </c>
    </row>
    <row r="7955" ht="12.75" customHeight="1">
      <c r="H7955" s="43" t="n"/>
      <c r="AG7955" s="49">
        <f>IFERROR(__xludf.DUMMYFUNCTION("IFNA(vlookup(H7955,IMPORTRANGE(""1vUGwO1n0QQGx9kKbO0_M5gmuhXZ6-LaxQxgrmJnzgP0"",""'TP# look up'!A:C""),3,0),"""")"),"")</f>
        <v/>
      </c>
      <c r="AH7955" s="49">
        <f>LEFT(J7955,2)</f>
        <v/>
      </c>
    </row>
    <row r="7956" ht="12.75" customHeight="1">
      <c r="H7956" s="43" t="n"/>
      <c r="AG7956" s="49">
        <f>IFERROR(__xludf.DUMMYFUNCTION("IFNA(vlookup(H7956,IMPORTRANGE(""1vUGwO1n0QQGx9kKbO0_M5gmuhXZ6-LaxQxgrmJnzgP0"",""'TP# look up'!A:C""),3,0),"""")"),"")</f>
        <v/>
      </c>
      <c r="AH7956" s="49">
        <f>LEFT(J7956,2)</f>
        <v/>
      </c>
    </row>
    <row r="7957" ht="12.75" customHeight="1">
      <c r="H7957" s="43" t="n"/>
      <c r="AG7957" s="49">
        <f>IFERROR(__xludf.DUMMYFUNCTION("IFNA(vlookup(H7957,IMPORTRANGE(""1vUGwO1n0QQGx9kKbO0_M5gmuhXZ6-LaxQxgrmJnzgP0"",""'TP# look up'!A:C""),3,0),"""")"),"")</f>
        <v/>
      </c>
      <c r="AH7957" s="49">
        <f>LEFT(J7957,2)</f>
        <v/>
      </c>
    </row>
    <row r="7958" ht="12.75" customHeight="1">
      <c r="H7958" s="43" t="n"/>
      <c r="AG7958" s="49">
        <f>IFERROR(__xludf.DUMMYFUNCTION("IFNA(vlookup(H7958,IMPORTRANGE(""1vUGwO1n0QQGx9kKbO0_M5gmuhXZ6-LaxQxgrmJnzgP0"",""'TP# look up'!A:C""),3,0),"""")"),"")</f>
        <v/>
      </c>
      <c r="AH7958" s="49">
        <f>LEFT(J7958,2)</f>
        <v/>
      </c>
    </row>
    <row r="7959" ht="12.75" customHeight="1">
      <c r="H7959" s="43" t="n"/>
      <c r="AG7959" s="49">
        <f>IFERROR(__xludf.DUMMYFUNCTION("IFNA(vlookup(H7959,IMPORTRANGE(""1vUGwO1n0QQGx9kKbO0_M5gmuhXZ6-LaxQxgrmJnzgP0"",""'TP# look up'!A:C""),3,0),"""")"),"")</f>
        <v/>
      </c>
      <c r="AH7959" s="49">
        <f>LEFT(J7959,2)</f>
        <v/>
      </c>
    </row>
    <row r="7960" ht="12.75" customHeight="1">
      <c r="H7960" s="43" t="n"/>
      <c r="AG7960" s="49">
        <f>IFERROR(__xludf.DUMMYFUNCTION("IFNA(vlookup(H7960,IMPORTRANGE(""1vUGwO1n0QQGx9kKbO0_M5gmuhXZ6-LaxQxgrmJnzgP0"",""'TP# look up'!A:C""),3,0),"""")"),"")</f>
        <v/>
      </c>
      <c r="AH7960" s="49">
        <f>LEFT(J7960,2)</f>
        <v/>
      </c>
    </row>
    <row r="7961" ht="12.75" customHeight="1">
      <c r="H7961" s="43" t="n"/>
      <c r="AG7961" s="49">
        <f>IFERROR(__xludf.DUMMYFUNCTION("IFNA(vlookup(H7961,IMPORTRANGE(""1vUGwO1n0QQGx9kKbO0_M5gmuhXZ6-LaxQxgrmJnzgP0"",""'TP# look up'!A:C""),3,0),"""")"),"")</f>
        <v/>
      </c>
      <c r="AH7961" s="49">
        <f>LEFT(J7961,2)</f>
        <v/>
      </c>
    </row>
    <row r="7962" ht="12.75" customHeight="1">
      <c r="H7962" s="43" t="n"/>
      <c r="AG7962" s="49">
        <f>IFERROR(__xludf.DUMMYFUNCTION("IFNA(vlookup(H7962,IMPORTRANGE(""1vUGwO1n0QQGx9kKbO0_M5gmuhXZ6-LaxQxgrmJnzgP0"",""'TP# look up'!A:C""),3,0),"""")"),"")</f>
        <v/>
      </c>
      <c r="AH7962" s="49">
        <f>LEFT(J7962,2)</f>
        <v/>
      </c>
    </row>
    <row r="7963" ht="12.75" customHeight="1">
      <c r="H7963" s="43" t="n"/>
      <c r="AG7963" s="49">
        <f>IFERROR(__xludf.DUMMYFUNCTION("IFNA(vlookup(H7963,IMPORTRANGE(""1vUGwO1n0QQGx9kKbO0_M5gmuhXZ6-LaxQxgrmJnzgP0"",""'TP# look up'!A:C""),3,0),"""")"),"")</f>
        <v/>
      </c>
      <c r="AH7963" s="49">
        <f>LEFT(J7963,2)</f>
        <v/>
      </c>
    </row>
    <row r="7964" ht="12.75" customHeight="1">
      <c r="H7964" s="43" t="n"/>
      <c r="AG7964" s="49">
        <f>IFERROR(__xludf.DUMMYFUNCTION("IFNA(vlookup(H7964,IMPORTRANGE(""1vUGwO1n0QQGx9kKbO0_M5gmuhXZ6-LaxQxgrmJnzgP0"",""'TP# look up'!A:C""),3,0),"""")"),"")</f>
        <v/>
      </c>
      <c r="AH7964" s="49">
        <f>LEFT(J7964,2)</f>
        <v/>
      </c>
    </row>
    <row r="7965" ht="12.75" customHeight="1">
      <c r="H7965" s="43" t="n"/>
      <c r="AG7965" s="49">
        <f>IFERROR(__xludf.DUMMYFUNCTION("IFNA(vlookup(H7965,IMPORTRANGE(""1vUGwO1n0QQGx9kKbO0_M5gmuhXZ6-LaxQxgrmJnzgP0"",""'TP# look up'!A:C""),3,0),"""")"),"")</f>
        <v/>
      </c>
      <c r="AH7965" s="49">
        <f>LEFT(J7965,2)</f>
        <v/>
      </c>
    </row>
    <row r="7966" ht="12.75" customHeight="1">
      <c r="H7966" s="43" t="n"/>
      <c r="AG7966" s="49">
        <f>IFERROR(__xludf.DUMMYFUNCTION("IFNA(vlookup(H7966,IMPORTRANGE(""1vUGwO1n0QQGx9kKbO0_M5gmuhXZ6-LaxQxgrmJnzgP0"",""'TP# look up'!A:C""),3,0),"""")"),"")</f>
        <v/>
      </c>
      <c r="AH7966" s="49">
        <f>LEFT(J7966,2)</f>
        <v/>
      </c>
    </row>
    <row r="7967" ht="12.75" customHeight="1">
      <c r="H7967" s="43" t="n"/>
      <c r="AG7967" s="49">
        <f>IFERROR(__xludf.DUMMYFUNCTION("IFNA(vlookup(H7967,IMPORTRANGE(""1vUGwO1n0QQGx9kKbO0_M5gmuhXZ6-LaxQxgrmJnzgP0"",""'TP# look up'!A:C""),3,0),"""")"),"")</f>
        <v/>
      </c>
      <c r="AH7967" s="49">
        <f>LEFT(J7967,2)</f>
        <v/>
      </c>
    </row>
    <row r="7968" ht="12.75" customHeight="1">
      <c r="H7968" s="43" t="n"/>
      <c r="AG7968" s="49">
        <f>IFERROR(__xludf.DUMMYFUNCTION("IFNA(vlookup(H7968,IMPORTRANGE(""1vUGwO1n0QQGx9kKbO0_M5gmuhXZ6-LaxQxgrmJnzgP0"",""'TP# look up'!A:C""),3,0),"""")"),"")</f>
        <v/>
      </c>
      <c r="AH7968" s="49">
        <f>LEFT(J7968,2)</f>
        <v/>
      </c>
    </row>
    <row r="7969" ht="12.75" customHeight="1">
      <c r="H7969" s="43" t="n"/>
      <c r="AG7969" s="49">
        <f>IFERROR(__xludf.DUMMYFUNCTION("IFNA(vlookup(H7969,IMPORTRANGE(""1vUGwO1n0QQGx9kKbO0_M5gmuhXZ6-LaxQxgrmJnzgP0"",""'TP# look up'!A:C""),3,0),"""")"),"")</f>
        <v/>
      </c>
      <c r="AH7969" s="49">
        <f>LEFT(J7969,2)</f>
        <v/>
      </c>
    </row>
    <row r="7970" ht="12.75" customHeight="1">
      <c r="H7970" s="43" t="n"/>
      <c r="AG7970" s="49">
        <f>IFERROR(__xludf.DUMMYFUNCTION("IFNA(vlookup(H7970,IMPORTRANGE(""1vUGwO1n0QQGx9kKbO0_M5gmuhXZ6-LaxQxgrmJnzgP0"",""'TP# look up'!A:C""),3,0),"""")"),"")</f>
        <v/>
      </c>
      <c r="AH7970" s="49">
        <f>LEFT(J7970,2)</f>
        <v/>
      </c>
    </row>
    <row r="7971" ht="12.75" customHeight="1">
      <c r="H7971" s="43" t="n"/>
      <c r="AG7971" s="49">
        <f>IFERROR(__xludf.DUMMYFUNCTION("IFNA(vlookup(H7971,IMPORTRANGE(""1vUGwO1n0QQGx9kKbO0_M5gmuhXZ6-LaxQxgrmJnzgP0"",""'TP# look up'!A:C""),3,0),"""")"),"")</f>
        <v/>
      </c>
      <c r="AH7971" s="49">
        <f>LEFT(J7971,2)</f>
        <v/>
      </c>
    </row>
    <row r="7972" ht="12.75" customHeight="1">
      <c r="H7972" s="43" t="n"/>
      <c r="AG7972" s="49">
        <f>IFERROR(__xludf.DUMMYFUNCTION("IFNA(vlookup(H7972,IMPORTRANGE(""1vUGwO1n0QQGx9kKbO0_M5gmuhXZ6-LaxQxgrmJnzgP0"",""'TP# look up'!A:C""),3,0),"""")"),"")</f>
        <v/>
      </c>
      <c r="AH7972" s="49">
        <f>LEFT(J7972,2)</f>
        <v/>
      </c>
    </row>
    <row r="7973" ht="12.75" customHeight="1">
      <c r="H7973" s="43" t="n"/>
      <c r="AG7973" s="49">
        <f>IFERROR(__xludf.DUMMYFUNCTION("IFNA(vlookup(H7973,IMPORTRANGE(""1vUGwO1n0QQGx9kKbO0_M5gmuhXZ6-LaxQxgrmJnzgP0"",""'TP# look up'!A:C""),3,0),"""")"),"")</f>
        <v/>
      </c>
      <c r="AH7973" s="49">
        <f>LEFT(J7973,2)</f>
        <v/>
      </c>
    </row>
    <row r="7974" ht="12.75" customHeight="1">
      <c r="H7974" s="43" t="n"/>
      <c r="AG7974" s="49">
        <f>IFERROR(__xludf.DUMMYFUNCTION("IFNA(vlookup(H7974,IMPORTRANGE(""1vUGwO1n0QQGx9kKbO0_M5gmuhXZ6-LaxQxgrmJnzgP0"",""'TP# look up'!A:C""),3,0),"""")"),"")</f>
        <v/>
      </c>
      <c r="AH7974" s="49">
        <f>LEFT(J7974,2)</f>
        <v/>
      </c>
    </row>
    <row r="7975" ht="12.75" customHeight="1">
      <c r="H7975" s="43" t="n"/>
      <c r="AG7975" s="49">
        <f>IFERROR(__xludf.DUMMYFUNCTION("IFNA(vlookup(H7975,IMPORTRANGE(""1vUGwO1n0QQGx9kKbO0_M5gmuhXZ6-LaxQxgrmJnzgP0"",""'TP# look up'!A:C""),3,0),"""")"),"")</f>
        <v/>
      </c>
      <c r="AH7975" s="49">
        <f>LEFT(J7975,2)</f>
        <v/>
      </c>
    </row>
    <row r="7976" ht="12.75" customHeight="1">
      <c r="H7976" s="43" t="n"/>
      <c r="AG7976" s="49">
        <f>IFERROR(__xludf.DUMMYFUNCTION("IFNA(vlookup(H7976,IMPORTRANGE(""1vUGwO1n0QQGx9kKbO0_M5gmuhXZ6-LaxQxgrmJnzgP0"",""'TP# look up'!A:C""),3,0),"""")"),"")</f>
        <v/>
      </c>
      <c r="AH7976" s="49">
        <f>LEFT(J7976,2)</f>
        <v/>
      </c>
    </row>
    <row r="7977" ht="12.75" customHeight="1">
      <c r="H7977" s="43" t="n"/>
      <c r="AG7977" s="49">
        <f>IFERROR(__xludf.DUMMYFUNCTION("IFNA(vlookup(H7977,IMPORTRANGE(""1vUGwO1n0QQGx9kKbO0_M5gmuhXZ6-LaxQxgrmJnzgP0"",""'TP# look up'!A:C""),3,0),"""")"),"")</f>
        <v/>
      </c>
      <c r="AH7977" s="49">
        <f>LEFT(J7977,2)</f>
        <v/>
      </c>
    </row>
    <row r="7978" ht="12.75" customHeight="1">
      <c r="H7978" s="43" t="n"/>
      <c r="AG7978" s="49">
        <f>IFERROR(__xludf.DUMMYFUNCTION("IFNA(vlookup(H7978,IMPORTRANGE(""1vUGwO1n0QQGx9kKbO0_M5gmuhXZ6-LaxQxgrmJnzgP0"",""'TP# look up'!A:C""),3,0),"""")"),"")</f>
        <v/>
      </c>
      <c r="AH7978" s="49">
        <f>LEFT(J7978,2)</f>
        <v/>
      </c>
    </row>
    <row r="7979" ht="12.75" customHeight="1">
      <c r="H7979" s="43" t="n"/>
      <c r="AG7979" s="49">
        <f>IFERROR(__xludf.DUMMYFUNCTION("IFNA(vlookup(H7979,IMPORTRANGE(""1vUGwO1n0QQGx9kKbO0_M5gmuhXZ6-LaxQxgrmJnzgP0"",""'TP# look up'!A:C""),3,0),"""")"),"")</f>
        <v/>
      </c>
      <c r="AH7979" s="49">
        <f>LEFT(J7979,2)</f>
        <v/>
      </c>
    </row>
    <row r="7980" ht="12.75" customHeight="1">
      <c r="H7980" s="43" t="n"/>
      <c r="AG7980" s="49">
        <f>IFERROR(__xludf.DUMMYFUNCTION("IFNA(vlookup(H7980,IMPORTRANGE(""1vUGwO1n0QQGx9kKbO0_M5gmuhXZ6-LaxQxgrmJnzgP0"",""'TP# look up'!A:C""),3,0),"""")"),"")</f>
        <v/>
      </c>
      <c r="AH7980" s="49">
        <f>LEFT(J7980,2)</f>
        <v/>
      </c>
    </row>
    <row r="7981" ht="12.75" customHeight="1">
      <c r="H7981" s="43" t="n"/>
      <c r="AG7981" s="49">
        <f>IFERROR(__xludf.DUMMYFUNCTION("IFNA(vlookup(H7981,IMPORTRANGE(""1vUGwO1n0QQGx9kKbO0_M5gmuhXZ6-LaxQxgrmJnzgP0"",""'TP# look up'!A:C""),3,0),"""")"),"")</f>
        <v/>
      </c>
      <c r="AH7981" s="49">
        <f>LEFT(J7981,2)</f>
        <v/>
      </c>
    </row>
    <row r="7982" ht="12.75" customHeight="1">
      <c r="H7982" s="43" t="n"/>
      <c r="AG7982" s="49">
        <f>IFERROR(__xludf.DUMMYFUNCTION("IFNA(vlookup(H7982,IMPORTRANGE(""1vUGwO1n0QQGx9kKbO0_M5gmuhXZ6-LaxQxgrmJnzgP0"",""'TP# look up'!A:C""),3,0),"""")"),"")</f>
        <v/>
      </c>
      <c r="AH7982" s="49">
        <f>LEFT(J7982,2)</f>
        <v/>
      </c>
    </row>
    <row r="7983" ht="12.75" customHeight="1">
      <c r="H7983" s="43" t="n"/>
      <c r="AG7983" s="49">
        <f>IFERROR(__xludf.DUMMYFUNCTION("IFNA(vlookup(H7983,IMPORTRANGE(""1vUGwO1n0QQGx9kKbO0_M5gmuhXZ6-LaxQxgrmJnzgP0"",""'TP# look up'!A:C""),3,0),"""")"),"")</f>
        <v/>
      </c>
      <c r="AH7983" s="49">
        <f>LEFT(J7983,2)</f>
        <v/>
      </c>
    </row>
    <row r="7984" ht="12.75" customHeight="1">
      <c r="H7984" s="43" t="n"/>
      <c r="AG7984" s="49">
        <f>IFERROR(__xludf.DUMMYFUNCTION("IFNA(vlookup(H7984,IMPORTRANGE(""1vUGwO1n0QQGx9kKbO0_M5gmuhXZ6-LaxQxgrmJnzgP0"",""'TP# look up'!A:C""),3,0),"""")"),"")</f>
        <v/>
      </c>
      <c r="AH7984" s="49">
        <f>LEFT(J7984,2)</f>
        <v/>
      </c>
    </row>
    <row r="7985" ht="12.75" customHeight="1">
      <c r="H7985" s="43" t="n"/>
      <c r="AG7985" s="49">
        <f>IFERROR(__xludf.DUMMYFUNCTION("IFNA(vlookup(H7985,IMPORTRANGE(""1vUGwO1n0QQGx9kKbO0_M5gmuhXZ6-LaxQxgrmJnzgP0"",""'TP# look up'!A:C""),3,0),"""")"),"")</f>
        <v/>
      </c>
      <c r="AH7985" s="49">
        <f>LEFT(J7985,2)</f>
        <v/>
      </c>
    </row>
    <row r="7986" ht="12.75" customHeight="1">
      <c r="H7986" s="43" t="n"/>
      <c r="AG7986" s="49">
        <f>IFERROR(__xludf.DUMMYFUNCTION("IFNA(vlookup(H7986,IMPORTRANGE(""1vUGwO1n0QQGx9kKbO0_M5gmuhXZ6-LaxQxgrmJnzgP0"",""'TP# look up'!A:C""),3,0),"""")"),"")</f>
        <v/>
      </c>
      <c r="AH7986" s="49">
        <f>LEFT(J7986,2)</f>
        <v/>
      </c>
    </row>
    <row r="7987" ht="12.75" customHeight="1">
      <c r="H7987" s="43" t="n"/>
      <c r="AG7987" s="49">
        <f>IFERROR(__xludf.DUMMYFUNCTION("IFNA(vlookup(H7987,IMPORTRANGE(""1vUGwO1n0QQGx9kKbO0_M5gmuhXZ6-LaxQxgrmJnzgP0"",""'TP# look up'!A:C""),3,0),"""")"),"")</f>
        <v/>
      </c>
      <c r="AH7987" s="49">
        <f>LEFT(J7987,2)</f>
        <v/>
      </c>
    </row>
    <row r="7988" ht="12.75" customHeight="1">
      <c r="H7988" s="43" t="n"/>
      <c r="AG7988" s="49">
        <f>IFERROR(__xludf.DUMMYFUNCTION("IFNA(vlookup(H7988,IMPORTRANGE(""1vUGwO1n0QQGx9kKbO0_M5gmuhXZ6-LaxQxgrmJnzgP0"",""'TP# look up'!A:C""),3,0),"""")"),"")</f>
        <v/>
      </c>
      <c r="AH7988" s="49">
        <f>LEFT(J7988,2)</f>
        <v/>
      </c>
    </row>
    <row r="7989" ht="12.75" customHeight="1">
      <c r="H7989" s="43" t="n"/>
      <c r="AG7989" s="49">
        <f>IFERROR(__xludf.DUMMYFUNCTION("IFNA(vlookup(H7989,IMPORTRANGE(""1vUGwO1n0QQGx9kKbO0_M5gmuhXZ6-LaxQxgrmJnzgP0"",""'TP# look up'!A:C""),3,0),"""")"),"")</f>
        <v/>
      </c>
      <c r="AH7989" s="49">
        <f>LEFT(J7989,2)</f>
        <v/>
      </c>
    </row>
    <row r="7990" ht="12.75" customHeight="1">
      <c r="H7990" s="43" t="n"/>
      <c r="AG7990" s="49">
        <f>IFERROR(__xludf.DUMMYFUNCTION("IFNA(vlookup(H7990,IMPORTRANGE(""1vUGwO1n0QQGx9kKbO0_M5gmuhXZ6-LaxQxgrmJnzgP0"",""'TP# look up'!A:C""),3,0),"""")"),"")</f>
        <v/>
      </c>
      <c r="AH7990" s="49">
        <f>LEFT(J7990,2)</f>
        <v/>
      </c>
    </row>
    <row r="7991" ht="12.75" customHeight="1">
      <c r="H7991" s="43" t="n"/>
      <c r="AG7991" s="49">
        <f>IFERROR(__xludf.DUMMYFUNCTION("IFNA(vlookup(H7991,IMPORTRANGE(""1vUGwO1n0QQGx9kKbO0_M5gmuhXZ6-LaxQxgrmJnzgP0"",""'TP# look up'!A:C""),3,0),"""")"),"")</f>
        <v/>
      </c>
      <c r="AH7991" s="49">
        <f>LEFT(J7991,2)</f>
        <v/>
      </c>
    </row>
    <row r="7992" ht="12.75" customHeight="1">
      <c r="H7992" s="43" t="n"/>
      <c r="AG7992" s="49">
        <f>IFERROR(__xludf.DUMMYFUNCTION("IFNA(vlookup(H7992,IMPORTRANGE(""1vUGwO1n0QQGx9kKbO0_M5gmuhXZ6-LaxQxgrmJnzgP0"",""'TP# look up'!A:C""),3,0),"""")"),"")</f>
        <v/>
      </c>
      <c r="AH7992" s="49">
        <f>LEFT(J7992,2)</f>
        <v/>
      </c>
    </row>
    <row r="7993" ht="12.75" customHeight="1">
      <c r="H7993" s="43" t="n"/>
      <c r="AG7993" s="49">
        <f>IFERROR(__xludf.DUMMYFUNCTION("IFNA(vlookup(H7993,IMPORTRANGE(""1vUGwO1n0QQGx9kKbO0_M5gmuhXZ6-LaxQxgrmJnzgP0"",""'TP# look up'!A:C""),3,0),"""")"),"")</f>
        <v/>
      </c>
      <c r="AH7993" s="49">
        <f>LEFT(J7993,2)</f>
        <v/>
      </c>
    </row>
    <row r="7994" ht="12.75" customHeight="1">
      <c r="H7994" s="43" t="n"/>
      <c r="AG7994" s="49">
        <f>IFERROR(__xludf.DUMMYFUNCTION("IFNA(vlookup(H7994,IMPORTRANGE(""1vUGwO1n0QQGx9kKbO0_M5gmuhXZ6-LaxQxgrmJnzgP0"",""'TP# look up'!A:C""),3,0),"""")"),"")</f>
        <v/>
      </c>
      <c r="AH7994" s="49">
        <f>LEFT(J7994,2)</f>
        <v/>
      </c>
    </row>
    <row r="7995" ht="12.75" customHeight="1">
      <c r="H7995" s="43" t="n"/>
      <c r="AG7995" s="49">
        <f>IFERROR(__xludf.DUMMYFUNCTION("IFNA(vlookup(H7995,IMPORTRANGE(""1vUGwO1n0QQGx9kKbO0_M5gmuhXZ6-LaxQxgrmJnzgP0"",""'TP# look up'!A:C""),3,0),"""")"),"")</f>
        <v/>
      </c>
      <c r="AH7995" s="49">
        <f>LEFT(J7995,2)</f>
        <v/>
      </c>
    </row>
    <row r="7996" ht="12.75" customHeight="1">
      <c r="H7996" s="43" t="n"/>
      <c r="AG7996" s="49">
        <f>IFERROR(__xludf.DUMMYFUNCTION("IFNA(vlookup(H7996,IMPORTRANGE(""1vUGwO1n0QQGx9kKbO0_M5gmuhXZ6-LaxQxgrmJnzgP0"",""'TP# look up'!A:C""),3,0),"""")"),"")</f>
        <v/>
      </c>
      <c r="AH7996" s="49">
        <f>LEFT(J7996,2)</f>
        <v/>
      </c>
    </row>
    <row r="7997" ht="12.75" customHeight="1">
      <c r="H7997" s="43" t="n"/>
      <c r="AG7997" s="49">
        <f>IFERROR(__xludf.DUMMYFUNCTION("IFNA(vlookup(H7997,IMPORTRANGE(""1vUGwO1n0QQGx9kKbO0_M5gmuhXZ6-LaxQxgrmJnzgP0"",""'TP# look up'!A:C""),3,0),"""")"),"")</f>
        <v/>
      </c>
      <c r="AH7997" s="49">
        <f>LEFT(J7997,2)</f>
        <v/>
      </c>
    </row>
    <row r="7998" ht="12.75" customHeight="1">
      <c r="H7998" s="43" t="n"/>
      <c r="AG7998" s="49">
        <f>IFERROR(__xludf.DUMMYFUNCTION("IFNA(vlookup(H7998,IMPORTRANGE(""1vUGwO1n0QQGx9kKbO0_M5gmuhXZ6-LaxQxgrmJnzgP0"",""'TP# look up'!A:C""),3,0),"""")"),"")</f>
        <v/>
      </c>
      <c r="AH7998" s="49">
        <f>LEFT(J7998,2)</f>
        <v/>
      </c>
    </row>
    <row r="7999" ht="12.75" customHeight="1">
      <c r="H7999" s="43" t="n"/>
      <c r="AG7999" s="49">
        <f>IFERROR(__xludf.DUMMYFUNCTION("IFNA(vlookup(H7999,IMPORTRANGE(""1vUGwO1n0QQGx9kKbO0_M5gmuhXZ6-LaxQxgrmJnzgP0"",""'TP# look up'!A:C""),3,0),"""")"),"")</f>
        <v/>
      </c>
      <c r="AH7999" s="49">
        <f>LEFT(J7999,2)</f>
        <v/>
      </c>
    </row>
    <row r="8000" ht="12.75" customHeight="1">
      <c r="H8000" s="43" t="n"/>
      <c r="AG8000" s="49">
        <f>IFERROR(__xludf.DUMMYFUNCTION("IFNA(vlookup(H8000,IMPORTRANGE(""1vUGwO1n0QQGx9kKbO0_M5gmuhXZ6-LaxQxgrmJnzgP0"",""'TP# look up'!A:C""),3,0),"""")"),"")</f>
        <v/>
      </c>
      <c r="AH8000" s="49">
        <f>LEFT(J8000,2)</f>
        <v/>
      </c>
    </row>
    <row r="8001" ht="12.75" customHeight="1">
      <c r="H8001" s="43" t="n"/>
      <c r="AG8001" s="49">
        <f>IFERROR(__xludf.DUMMYFUNCTION("IFNA(vlookup(H8001,IMPORTRANGE(""1vUGwO1n0QQGx9kKbO0_M5gmuhXZ6-LaxQxgrmJnzgP0"",""'TP# look up'!A:C""),3,0),"""")"),"")</f>
        <v/>
      </c>
      <c r="AH8001" s="49">
        <f>LEFT(J8001,2)</f>
        <v/>
      </c>
    </row>
    <row r="8002" ht="12.75" customHeight="1">
      <c r="H8002" s="43" t="n"/>
      <c r="AG8002" s="49">
        <f>IFERROR(__xludf.DUMMYFUNCTION("IFNA(vlookup(H8002,IMPORTRANGE(""1vUGwO1n0QQGx9kKbO0_M5gmuhXZ6-LaxQxgrmJnzgP0"",""'TP# look up'!A:C""),3,0),"""")"),"")</f>
        <v/>
      </c>
      <c r="AH8002" s="49">
        <f>LEFT(J8002,2)</f>
        <v/>
      </c>
    </row>
    <row r="8003" ht="12.75" customHeight="1">
      <c r="H8003" s="43" t="n"/>
      <c r="AG8003" s="49">
        <f>IFERROR(__xludf.DUMMYFUNCTION("IFNA(vlookup(H8003,IMPORTRANGE(""1vUGwO1n0QQGx9kKbO0_M5gmuhXZ6-LaxQxgrmJnzgP0"",""'TP# look up'!A:C""),3,0),"""")"),"")</f>
        <v/>
      </c>
      <c r="AH8003" s="49">
        <f>LEFT(J8003,2)</f>
        <v/>
      </c>
    </row>
    <row r="8004" ht="12.75" customHeight="1">
      <c r="H8004" s="43" t="n"/>
      <c r="AG8004" s="49">
        <f>IFERROR(__xludf.DUMMYFUNCTION("IFNA(vlookup(H8004,IMPORTRANGE(""1vUGwO1n0QQGx9kKbO0_M5gmuhXZ6-LaxQxgrmJnzgP0"",""'TP# look up'!A:C""),3,0),"""")"),"")</f>
        <v/>
      </c>
      <c r="AH8004" s="49">
        <f>LEFT(J8004,2)</f>
        <v/>
      </c>
    </row>
    <row r="8005" ht="12.75" customHeight="1">
      <c r="H8005" s="43" t="n"/>
      <c r="AG8005" s="49">
        <f>IFERROR(__xludf.DUMMYFUNCTION("IFNA(vlookup(H8005,IMPORTRANGE(""1vUGwO1n0QQGx9kKbO0_M5gmuhXZ6-LaxQxgrmJnzgP0"",""'TP# look up'!A:C""),3,0),"""")"),"")</f>
        <v/>
      </c>
      <c r="AH8005" s="49">
        <f>LEFT(J8005,2)</f>
        <v/>
      </c>
    </row>
    <row r="8006" ht="12.75" customHeight="1">
      <c r="H8006" s="43" t="n"/>
      <c r="AG8006" s="49">
        <f>IFERROR(__xludf.DUMMYFUNCTION("IFNA(vlookup(H8006,IMPORTRANGE(""1vUGwO1n0QQGx9kKbO0_M5gmuhXZ6-LaxQxgrmJnzgP0"",""'TP# look up'!A:C""),3,0),"""")"),"")</f>
        <v/>
      </c>
      <c r="AH8006" s="49">
        <f>LEFT(J8006,2)</f>
        <v/>
      </c>
    </row>
    <row r="8007" ht="12.75" customHeight="1">
      <c r="H8007" s="43" t="n"/>
      <c r="AG8007" s="49">
        <f>IFERROR(__xludf.DUMMYFUNCTION("IFNA(vlookup(H8007,IMPORTRANGE(""1vUGwO1n0QQGx9kKbO0_M5gmuhXZ6-LaxQxgrmJnzgP0"",""'TP# look up'!A:C""),3,0),"""")"),"")</f>
        <v/>
      </c>
      <c r="AH8007" s="49">
        <f>LEFT(J8007,2)</f>
        <v/>
      </c>
    </row>
    <row r="8008" ht="12.75" customHeight="1">
      <c r="H8008" s="43" t="n"/>
      <c r="AG8008" s="49">
        <f>IFERROR(__xludf.DUMMYFUNCTION("IFNA(vlookup(H8008,IMPORTRANGE(""1vUGwO1n0QQGx9kKbO0_M5gmuhXZ6-LaxQxgrmJnzgP0"",""'TP# look up'!A:C""),3,0),"""")"),"")</f>
        <v/>
      </c>
      <c r="AH8008" s="49">
        <f>LEFT(J8008,2)</f>
        <v/>
      </c>
    </row>
    <row r="8009" ht="12.75" customHeight="1">
      <c r="H8009" s="43" t="n"/>
      <c r="AG8009" s="49">
        <f>IFERROR(__xludf.DUMMYFUNCTION("IFNA(vlookup(H8009,IMPORTRANGE(""1vUGwO1n0QQGx9kKbO0_M5gmuhXZ6-LaxQxgrmJnzgP0"",""'TP# look up'!A:C""),3,0),"""")"),"")</f>
        <v/>
      </c>
      <c r="AH8009" s="49">
        <f>LEFT(J8009,2)</f>
        <v/>
      </c>
    </row>
    <row r="8010" ht="12.75" customHeight="1">
      <c r="H8010" s="43" t="n"/>
      <c r="AG8010" s="49">
        <f>IFERROR(__xludf.DUMMYFUNCTION("IFNA(vlookup(H8010,IMPORTRANGE(""1vUGwO1n0QQGx9kKbO0_M5gmuhXZ6-LaxQxgrmJnzgP0"",""'TP# look up'!A:C""),3,0),"""")"),"")</f>
        <v/>
      </c>
      <c r="AH8010" s="49">
        <f>LEFT(J8010,2)</f>
        <v/>
      </c>
    </row>
    <row r="8011" ht="12.75" customHeight="1">
      <c r="H8011" s="43" t="n"/>
      <c r="AG8011" s="49">
        <f>IFERROR(__xludf.DUMMYFUNCTION("IFNA(vlookup(H8011,IMPORTRANGE(""1vUGwO1n0QQGx9kKbO0_M5gmuhXZ6-LaxQxgrmJnzgP0"",""'TP# look up'!A:C""),3,0),"""")"),"")</f>
        <v/>
      </c>
      <c r="AH8011" s="49">
        <f>LEFT(J8011,2)</f>
        <v/>
      </c>
    </row>
    <row r="8012" ht="12.75" customHeight="1">
      <c r="H8012" s="43" t="n"/>
      <c r="AG8012" s="49">
        <f>IFERROR(__xludf.DUMMYFUNCTION("IFNA(vlookup(H8012,IMPORTRANGE(""1vUGwO1n0QQGx9kKbO0_M5gmuhXZ6-LaxQxgrmJnzgP0"",""'TP# look up'!A:C""),3,0),"""")"),"")</f>
        <v/>
      </c>
      <c r="AH8012" s="49">
        <f>LEFT(J8012,2)</f>
        <v/>
      </c>
    </row>
    <row r="8013" ht="12.75" customHeight="1">
      <c r="H8013" s="43" t="n"/>
      <c r="AG8013" s="49">
        <f>IFERROR(__xludf.DUMMYFUNCTION("IFNA(vlookup(H8013,IMPORTRANGE(""1vUGwO1n0QQGx9kKbO0_M5gmuhXZ6-LaxQxgrmJnzgP0"",""'TP# look up'!A:C""),3,0),"""")"),"")</f>
        <v/>
      </c>
      <c r="AH8013" s="49">
        <f>LEFT(J8013,2)</f>
        <v/>
      </c>
    </row>
    <row r="8014" ht="12.75" customHeight="1">
      <c r="H8014" s="43" t="n"/>
      <c r="AG8014" s="49">
        <f>IFERROR(__xludf.DUMMYFUNCTION("IFNA(vlookup(H8014,IMPORTRANGE(""1vUGwO1n0QQGx9kKbO0_M5gmuhXZ6-LaxQxgrmJnzgP0"",""'TP# look up'!A:C""),3,0),"""")"),"")</f>
        <v/>
      </c>
      <c r="AH8014" s="49">
        <f>LEFT(J8014,2)</f>
        <v/>
      </c>
    </row>
    <row r="8015" ht="12.75" customHeight="1">
      <c r="H8015" s="43" t="n"/>
      <c r="AG8015" s="49">
        <f>IFERROR(__xludf.DUMMYFUNCTION("IFNA(vlookup(H8015,IMPORTRANGE(""1vUGwO1n0QQGx9kKbO0_M5gmuhXZ6-LaxQxgrmJnzgP0"",""'TP# look up'!A:C""),3,0),"""")"),"")</f>
        <v/>
      </c>
      <c r="AH8015" s="49">
        <f>LEFT(J8015,2)</f>
        <v/>
      </c>
    </row>
    <row r="8016" ht="12.75" customHeight="1">
      <c r="H8016" s="43" t="n"/>
      <c r="AG8016" s="49">
        <f>IFERROR(__xludf.DUMMYFUNCTION("IFNA(vlookup(H8016,IMPORTRANGE(""1vUGwO1n0QQGx9kKbO0_M5gmuhXZ6-LaxQxgrmJnzgP0"",""'TP# look up'!A:C""),3,0),"""")"),"")</f>
        <v/>
      </c>
      <c r="AH8016" s="49">
        <f>LEFT(J8016,2)</f>
        <v/>
      </c>
    </row>
    <row r="8017" ht="12.75" customHeight="1">
      <c r="H8017" s="43" t="n"/>
      <c r="AG8017" s="49">
        <f>IFERROR(__xludf.DUMMYFUNCTION("IFNA(vlookup(H8017,IMPORTRANGE(""1vUGwO1n0QQGx9kKbO0_M5gmuhXZ6-LaxQxgrmJnzgP0"",""'TP# look up'!A:C""),3,0),"""")"),"")</f>
        <v/>
      </c>
      <c r="AH8017" s="49">
        <f>LEFT(J8017,2)</f>
        <v/>
      </c>
    </row>
    <row r="8018" ht="12.75" customHeight="1">
      <c r="H8018" s="43" t="n"/>
      <c r="AG8018" s="49">
        <f>IFERROR(__xludf.DUMMYFUNCTION("IFNA(vlookup(H8018,IMPORTRANGE(""1vUGwO1n0QQGx9kKbO0_M5gmuhXZ6-LaxQxgrmJnzgP0"",""'TP# look up'!A:C""),3,0),"""")"),"")</f>
        <v/>
      </c>
      <c r="AH8018" s="49">
        <f>LEFT(J8018,2)</f>
        <v/>
      </c>
    </row>
    <row r="8019" ht="12.75" customHeight="1">
      <c r="H8019" s="43" t="n"/>
      <c r="AG8019" s="49">
        <f>IFERROR(__xludf.DUMMYFUNCTION("IFNA(vlookup(H8019,IMPORTRANGE(""1vUGwO1n0QQGx9kKbO0_M5gmuhXZ6-LaxQxgrmJnzgP0"",""'TP# look up'!A:C""),3,0),"""")"),"")</f>
        <v/>
      </c>
      <c r="AH8019" s="49">
        <f>LEFT(J8019,2)</f>
        <v/>
      </c>
    </row>
    <row r="8020" ht="12.75" customHeight="1">
      <c r="H8020" s="43" t="n"/>
      <c r="AG8020" s="49">
        <f>IFERROR(__xludf.DUMMYFUNCTION("IFNA(vlookup(H8020,IMPORTRANGE(""1vUGwO1n0QQGx9kKbO0_M5gmuhXZ6-LaxQxgrmJnzgP0"",""'TP# look up'!A:C""),3,0),"""")"),"")</f>
        <v/>
      </c>
      <c r="AH8020" s="49">
        <f>LEFT(J8020,2)</f>
        <v/>
      </c>
    </row>
    <row r="8021" ht="12.75" customHeight="1">
      <c r="H8021" s="43" t="n"/>
      <c r="AG8021" s="49">
        <f>IFERROR(__xludf.DUMMYFUNCTION("IFNA(vlookup(H8021,IMPORTRANGE(""1vUGwO1n0QQGx9kKbO0_M5gmuhXZ6-LaxQxgrmJnzgP0"",""'TP# look up'!A:C""),3,0),"""")"),"")</f>
        <v/>
      </c>
      <c r="AH8021" s="49">
        <f>LEFT(J8021,2)</f>
        <v/>
      </c>
    </row>
    <row r="8022" ht="12.75" customHeight="1">
      <c r="H8022" s="43" t="n"/>
      <c r="AG8022" s="49">
        <f>IFERROR(__xludf.DUMMYFUNCTION("IFNA(vlookup(H8022,IMPORTRANGE(""1vUGwO1n0QQGx9kKbO0_M5gmuhXZ6-LaxQxgrmJnzgP0"",""'TP# look up'!A:C""),3,0),"""")"),"")</f>
        <v/>
      </c>
      <c r="AH8022" s="49">
        <f>LEFT(J8022,2)</f>
        <v/>
      </c>
    </row>
    <row r="8023" ht="12.75" customHeight="1">
      <c r="H8023" s="43" t="n"/>
      <c r="AG8023" s="49">
        <f>IFERROR(__xludf.DUMMYFUNCTION("IFNA(vlookup(H8023,IMPORTRANGE(""1vUGwO1n0QQGx9kKbO0_M5gmuhXZ6-LaxQxgrmJnzgP0"",""'TP# look up'!A:C""),3,0),"""")"),"")</f>
        <v/>
      </c>
      <c r="AH8023" s="49">
        <f>LEFT(J8023,2)</f>
        <v/>
      </c>
    </row>
    <row r="8024" ht="12.75" customHeight="1">
      <c r="H8024" s="43" t="n"/>
      <c r="AG8024" s="49">
        <f>IFERROR(__xludf.DUMMYFUNCTION("IFNA(vlookup(H8024,IMPORTRANGE(""1vUGwO1n0QQGx9kKbO0_M5gmuhXZ6-LaxQxgrmJnzgP0"",""'TP# look up'!A:C""),3,0),"""")"),"")</f>
        <v/>
      </c>
      <c r="AH8024" s="49">
        <f>LEFT(J8024,2)</f>
        <v/>
      </c>
    </row>
    <row r="8025" ht="12.75" customHeight="1">
      <c r="H8025" s="43" t="n"/>
      <c r="AG8025" s="49">
        <f>IFERROR(__xludf.DUMMYFUNCTION("IFNA(vlookup(H8025,IMPORTRANGE(""1vUGwO1n0QQGx9kKbO0_M5gmuhXZ6-LaxQxgrmJnzgP0"",""'TP# look up'!A:C""),3,0),"""")"),"")</f>
        <v/>
      </c>
      <c r="AH8025" s="49">
        <f>LEFT(J8025,2)</f>
        <v/>
      </c>
    </row>
    <row r="8026" ht="12.75" customHeight="1">
      <c r="H8026" s="43" t="n"/>
      <c r="AG8026" s="49">
        <f>IFERROR(__xludf.DUMMYFUNCTION("IFNA(vlookup(H8026,IMPORTRANGE(""1vUGwO1n0QQGx9kKbO0_M5gmuhXZ6-LaxQxgrmJnzgP0"",""'TP# look up'!A:C""),3,0),"""")"),"")</f>
        <v/>
      </c>
      <c r="AH8026" s="49">
        <f>LEFT(J8026,2)</f>
        <v/>
      </c>
    </row>
    <row r="8027" ht="12.75" customHeight="1">
      <c r="H8027" s="43" t="n"/>
      <c r="AG8027" s="49">
        <f>IFERROR(__xludf.DUMMYFUNCTION("IFNA(vlookup(H8027,IMPORTRANGE(""1vUGwO1n0QQGx9kKbO0_M5gmuhXZ6-LaxQxgrmJnzgP0"",""'TP# look up'!A:C""),3,0),"""")"),"")</f>
        <v/>
      </c>
      <c r="AH8027" s="49">
        <f>LEFT(J8027,2)</f>
        <v/>
      </c>
    </row>
    <row r="8028" ht="12.75" customHeight="1">
      <c r="H8028" s="43" t="n"/>
      <c r="AG8028" s="49">
        <f>IFERROR(__xludf.DUMMYFUNCTION("IFNA(vlookup(H8028,IMPORTRANGE(""1vUGwO1n0QQGx9kKbO0_M5gmuhXZ6-LaxQxgrmJnzgP0"",""'TP# look up'!A:C""),3,0),"""")"),"")</f>
        <v/>
      </c>
      <c r="AH8028" s="49">
        <f>LEFT(J8028,2)</f>
        <v/>
      </c>
    </row>
    <row r="8029" ht="12.75" customHeight="1">
      <c r="H8029" s="43" t="n"/>
      <c r="AG8029" s="49">
        <f>IFERROR(__xludf.DUMMYFUNCTION("IFNA(vlookup(H8029,IMPORTRANGE(""1vUGwO1n0QQGx9kKbO0_M5gmuhXZ6-LaxQxgrmJnzgP0"",""'TP# look up'!A:C""),3,0),"""")"),"")</f>
        <v/>
      </c>
      <c r="AH8029" s="49">
        <f>LEFT(J8029,2)</f>
        <v/>
      </c>
    </row>
    <row r="8030" ht="12.75" customHeight="1">
      <c r="H8030" s="43" t="n"/>
      <c r="AG8030" s="49">
        <f>IFERROR(__xludf.DUMMYFUNCTION("IFNA(vlookup(H8030,IMPORTRANGE(""1vUGwO1n0QQGx9kKbO0_M5gmuhXZ6-LaxQxgrmJnzgP0"",""'TP# look up'!A:C""),3,0),"""")"),"")</f>
        <v/>
      </c>
      <c r="AH8030" s="49">
        <f>LEFT(J8030,2)</f>
        <v/>
      </c>
    </row>
    <row r="8031" ht="12.75" customHeight="1">
      <c r="H8031" s="43" t="n"/>
      <c r="AG8031" s="49">
        <f>IFERROR(__xludf.DUMMYFUNCTION("IFNA(vlookup(H8031,IMPORTRANGE(""1vUGwO1n0QQGx9kKbO0_M5gmuhXZ6-LaxQxgrmJnzgP0"",""'TP# look up'!A:C""),3,0),"""")"),"")</f>
        <v/>
      </c>
      <c r="AH8031" s="49">
        <f>LEFT(J8031,2)</f>
        <v/>
      </c>
    </row>
    <row r="8032" ht="12.75" customHeight="1">
      <c r="H8032" s="43" t="n"/>
      <c r="AG8032" s="49">
        <f>IFERROR(__xludf.DUMMYFUNCTION("IFNA(vlookup(H8032,IMPORTRANGE(""1vUGwO1n0QQGx9kKbO0_M5gmuhXZ6-LaxQxgrmJnzgP0"",""'TP# look up'!A:C""),3,0),"""")"),"")</f>
        <v/>
      </c>
      <c r="AH8032" s="49">
        <f>LEFT(J8032,2)</f>
        <v/>
      </c>
    </row>
    <row r="8033" ht="12.75" customHeight="1">
      <c r="H8033" s="43" t="n"/>
      <c r="AG8033" s="49">
        <f>IFERROR(__xludf.DUMMYFUNCTION("IFNA(vlookup(H8033,IMPORTRANGE(""1vUGwO1n0QQGx9kKbO0_M5gmuhXZ6-LaxQxgrmJnzgP0"",""'TP# look up'!A:C""),3,0),"""")"),"")</f>
        <v/>
      </c>
      <c r="AH8033" s="49">
        <f>LEFT(J8033,2)</f>
        <v/>
      </c>
    </row>
    <row r="8034" ht="12.75" customHeight="1">
      <c r="H8034" s="43" t="n"/>
      <c r="AG8034" s="49">
        <f>IFERROR(__xludf.DUMMYFUNCTION("IFNA(vlookup(H8034,IMPORTRANGE(""1vUGwO1n0QQGx9kKbO0_M5gmuhXZ6-LaxQxgrmJnzgP0"",""'TP# look up'!A:C""),3,0),"""")"),"")</f>
        <v/>
      </c>
      <c r="AH8034" s="49">
        <f>LEFT(J8034,2)</f>
        <v/>
      </c>
    </row>
    <row r="8035" ht="12.75" customHeight="1">
      <c r="H8035" s="43" t="n"/>
      <c r="AG8035" s="49">
        <f>IFERROR(__xludf.DUMMYFUNCTION("IFNA(vlookup(H8035,IMPORTRANGE(""1vUGwO1n0QQGx9kKbO0_M5gmuhXZ6-LaxQxgrmJnzgP0"",""'TP# look up'!A:C""),3,0),"""")"),"")</f>
        <v/>
      </c>
      <c r="AH8035" s="49">
        <f>LEFT(J8035,2)</f>
        <v/>
      </c>
    </row>
    <row r="8036" ht="12.75" customHeight="1">
      <c r="H8036" s="43" t="n"/>
      <c r="AG8036" s="49">
        <f>IFERROR(__xludf.DUMMYFUNCTION("IFNA(vlookup(H8036,IMPORTRANGE(""1vUGwO1n0QQGx9kKbO0_M5gmuhXZ6-LaxQxgrmJnzgP0"",""'TP# look up'!A:C""),3,0),"""")"),"")</f>
        <v/>
      </c>
      <c r="AH8036" s="49">
        <f>LEFT(J8036,2)</f>
        <v/>
      </c>
    </row>
    <row r="8037" ht="12.75" customHeight="1">
      <c r="H8037" s="43" t="n"/>
      <c r="AG8037" s="49">
        <f>IFERROR(__xludf.DUMMYFUNCTION("IFNA(vlookup(H8037,IMPORTRANGE(""1vUGwO1n0QQGx9kKbO0_M5gmuhXZ6-LaxQxgrmJnzgP0"",""'TP# look up'!A:C""),3,0),"""")"),"")</f>
        <v/>
      </c>
      <c r="AH8037" s="49">
        <f>LEFT(J8037,2)</f>
        <v/>
      </c>
    </row>
    <row r="8038" ht="12.75" customHeight="1">
      <c r="H8038" s="43" t="n"/>
      <c r="AG8038" s="49">
        <f>IFERROR(__xludf.DUMMYFUNCTION("IFNA(vlookup(H8038,IMPORTRANGE(""1vUGwO1n0QQGx9kKbO0_M5gmuhXZ6-LaxQxgrmJnzgP0"",""'TP# look up'!A:C""),3,0),"""")"),"")</f>
        <v/>
      </c>
      <c r="AH8038" s="49">
        <f>LEFT(J8038,2)</f>
        <v/>
      </c>
    </row>
    <row r="8039" ht="12.75" customHeight="1">
      <c r="H8039" s="43" t="n"/>
      <c r="AG8039" s="49">
        <f>IFERROR(__xludf.DUMMYFUNCTION("IFNA(vlookup(H8039,IMPORTRANGE(""1vUGwO1n0QQGx9kKbO0_M5gmuhXZ6-LaxQxgrmJnzgP0"",""'TP# look up'!A:C""),3,0),"""")"),"")</f>
        <v/>
      </c>
      <c r="AH8039" s="49">
        <f>LEFT(J8039,2)</f>
        <v/>
      </c>
    </row>
    <row r="8040" ht="12.75" customHeight="1">
      <c r="H8040" s="43" t="n"/>
      <c r="AG8040" s="49">
        <f>IFERROR(__xludf.DUMMYFUNCTION("IFNA(vlookup(H8040,IMPORTRANGE(""1vUGwO1n0QQGx9kKbO0_M5gmuhXZ6-LaxQxgrmJnzgP0"",""'TP# look up'!A:C""),3,0),"""")"),"")</f>
        <v/>
      </c>
      <c r="AH8040" s="49">
        <f>LEFT(J8040,2)</f>
        <v/>
      </c>
    </row>
    <row r="8041" ht="12.75" customHeight="1">
      <c r="H8041" s="43" t="n"/>
      <c r="AG8041" s="49">
        <f>IFERROR(__xludf.DUMMYFUNCTION("IFNA(vlookup(H8041,IMPORTRANGE(""1vUGwO1n0QQGx9kKbO0_M5gmuhXZ6-LaxQxgrmJnzgP0"",""'TP# look up'!A:C""),3,0),"""")"),"")</f>
        <v/>
      </c>
      <c r="AH8041" s="49">
        <f>LEFT(J8041,2)</f>
        <v/>
      </c>
    </row>
    <row r="8042" ht="12.75" customHeight="1">
      <c r="H8042" s="43" t="n"/>
      <c r="AG8042" s="49">
        <f>IFERROR(__xludf.DUMMYFUNCTION("IFNA(vlookup(H8042,IMPORTRANGE(""1vUGwO1n0QQGx9kKbO0_M5gmuhXZ6-LaxQxgrmJnzgP0"",""'TP# look up'!A:C""),3,0),"""")"),"")</f>
        <v/>
      </c>
      <c r="AH8042" s="49">
        <f>LEFT(J8042,2)</f>
        <v/>
      </c>
    </row>
    <row r="8043" ht="12.75" customHeight="1">
      <c r="H8043" s="43" t="n"/>
      <c r="AG8043" s="49">
        <f>IFERROR(__xludf.DUMMYFUNCTION("IFNA(vlookup(H8043,IMPORTRANGE(""1vUGwO1n0QQGx9kKbO0_M5gmuhXZ6-LaxQxgrmJnzgP0"",""'TP# look up'!A:C""),3,0),"""")"),"")</f>
        <v/>
      </c>
      <c r="AH8043" s="49">
        <f>LEFT(J8043,2)</f>
        <v/>
      </c>
    </row>
    <row r="8044" ht="12.75" customHeight="1">
      <c r="H8044" s="43" t="n"/>
      <c r="AG8044" s="49">
        <f>IFERROR(__xludf.DUMMYFUNCTION("IFNA(vlookup(H8044,IMPORTRANGE(""1vUGwO1n0QQGx9kKbO0_M5gmuhXZ6-LaxQxgrmJnzgP0"",""'TP# look up'!A:C""),3,0),"""")"),"")</f>
        <v/>
      </c>
      <c r="AH8044" s="49">
        <f>LEFT(J8044,2)</f>
        <v/>
      </c>
    </row>
    <row r="8045" ht="12.75" customHeight="1">
      <c r="H8045" s="43" t="n"/>
      <c r="AG8045" s="49">
        <f>IFERROR(__xludf.DUMMYFUNCTION("IFNA(vlookup(H8045,IMPORTRANGE(""1vUGwO1n0QQGx9kKbO0_M5gmuhXZ6-LaxQxgrmJnzgP0"",""'TP# look up'!A:C""),3,0),"""")"),"")</f>
        <v/>
      </c>
      <c r="AH8045" s="49">
        <f>LEFT(J8045,2)</f>
        <v/>
      </c>
    </row>
    <row r="8046" ht="12.75" customHeight="1">
      <c r="H8046" s="43" t="n"/>
      <c r="AG8046" s="49">
        <f>IFERROR(__xludf.DUMMYFUNCTION("IFNA(vlookup(H8046,IMPORTRANGE(""1vUGwO1n0QQGx9kKbO0_M5gmuhXZ6-LaxQxgrmJnzgP0"",""'TP# look up'!A:C""),3,0),"""")"),"")</f>
        <v/>
      </c>
      <c r="AH8046" s="49">
        <f>LEFT(J8046,2)</f>
        <v/>
      </c>
    </row>
    <row r="8047" ht="12.75" customHeight="1">
      <c r="H8047" s="43" t="n"/>
      <c r="AG8047" s="49">
        <f>IFERROR(__xludf.DUMMYFUNCTION("IFNA(vlookup(H8047,IMPORTRANGE(""1vUGwO1n0QQGx9kKbO0_M5gmuhXZ6-LaxQxgrmJnzgP0"",""'TP# look up'!A:C""),3,0),"""")"),"")</f>
        <v/>
      </c>
      <c r="AH8047" s="49">
        <f>LEFT(J8047,2)</f>
        <v/>
      </c>
    </row>
    <row r="8048" ht="12.75" customHeight="1">
      <c r="H8048" s="43" t="n"/>
      <c r="AG8048" s="49">
        <f>IFERROR(__xludf.DUMMYFUNCTION("IFNA(vlookup(H8048,IMPORTRANGE(""1vUGwO1n0QQGx9kKbO0_M5gmuhXZ6-LaxQxgrmJnzgP0"",""'TP# look up'!A:C""),3,0),"""")"),"")</f>
        <v/>
      </c>
      <c r="AH8048" s="49">
        <f>LEFT(J8048,2)</f>
        <v/>
      </c>
    </row>
    <row r="8049" ht="12.75" customHeight="1">
      <c r="H8049" s="43" t="n"/>
      <c r="AG8049" s="49">
        <f>IFERROR(__xludf.DUMMYFUNCTION("IFNA(vlookup(H8049,IMPORTRANGE(""1vUGwO1n0QQGx9kKbO0_M5gmuhXZ6-LaxQxgrmJnzgP0"",""'TP# look up'!A:C""),3,0),"""")"),"")</f>
        <v/>
      </c>
      <c r="AH8049" s="49">
        <f>LEFT(J8049,2)</f>
        <v/>
      </c>
    </row>
    <row r="8050" ht="12.75" customHeight="1">
      <c r="H8050" s="43" t="n"/>
      <c r="AG8050" s="49">
        <f>IFERROR(__xludf.DUMMYFUNCTION("IFNA(vlookup(H8050,IMPORTRANGE(""1vUGwO1n0QQGx9kKbO0_M5gmuhXZ6-LaxQxgrmJnzgP0"",""'TP# look up'!A:C""),3,0),"""")"),"")</f>
        <v/>
      </c>
      <c r="AH8050" s="49">
        <f>LEFT(J8050,2)</f>
        <v/>
      </c>
    </row>
    <row r="8051" ht="12.75" customHeight="1">
      <c r="H8051" s="43" t="n"/>
      <c r="AG8051" s="49">
        <f>IFERROR(__xludf.DUMMYFUNCTION("IFNA(vlookup(H8051,IMPORTRANGE(""1vUGwO1n0QQGx9kKbO0_M5gmuhXZ6-LaxQxgrmJnzgP0"",""'TP# look up'!A:C""),3,0),"""")"),"")</f>
        <v/>
      </c>
      <c r="AH8051" s="49">
        <f>LEFT(J8051,2)</f>
        <v/>
      </c>
    </row>
    <row r="8052" ht="12.75" customHeight="1">
      <c r="H8052" s="43" t="n"/>
      <c r="AG8052" s="49">
        <f>IFERROR(__xludf.DUMMYFUNCTION("IFNA(vlookup(H8052,IMPORTRANGE(""1vUGwO1n0QQGx9kKbO0_M5gmuhXZ6-LaxQxgrmJnzgP0"",""'TP# look up'!A:C""),3,0),"""")"),"")</f>
        <v/>
      </c>
      <c r="AH8052" s="49">
        <f>LEFT(J8052,2)</f>
        <v/>
      </c>
    </row>
    <row r="8053" ht="12.75" customHeight="1">
      <c r="H8053" s="43" t="n"/>
      <c r="AG8053" s="49">
        <f>IFERROR(__xludf.DUMMYFUNCTION("IFNA(vlookup(H8053,IMPORTRANGE(""1vUGwO1n0QQGx9kKbO0_M5gmuhXZ6-LaxQxgrmJnzgP0"",""'TP# look up'!A:C""),3,0),"""")"),"")</f>
        <v/>
      </c>
      <c r="AH8053" s="49">
        <f>LEFT(J8053,2)</f>
        <v/>
      </c>
    </row>
    <row r="8054" ht="12.75" customHeight="1">
      <c r="H8054" s="43" t="n"/>
      <c r="AG8054" s="49">
        <f>IFERROR(__xludf.DUMMYFUNCTION("IFNA(vlookup(H8054,IMPORTRANGE(""1vUGwO1n0QQGx9kKbO0_M5gmuhXZ6-LaxQxgrmJnzgP0"",""'TP# look up'!A:C""),3,0),"""")"),"")</f>
        <v/>
      </c>
      <c r="AH8054" s="49">
        <f>LEFT(J8054,2)</f>
        <v/>
      </c>
    </row>
    <row r="8055" ht="12.75" customHeight="1">
      <c r="H8055" s="43" t="n"/>
      <c r="AG8055" s="49">
        <f>IFERROR(__xludf.DUMMYFUNCTION("IFNA(vlookup(H8055,IMPORTRANGE(""1vUGwO1n0QQGx9kKbO0_M5gmuhXZ6-LaxQxgrmJnzgP0"",""'TP# look up'!A:C""),3,0),"""")"),"")</f>
        <v/>
      </c>
      <c r="AH8055" s="49">
        <f>LEFT(J8055,2)</f>
        <v/>
      </c>
    </row>
    <row r="8056" ht="12.75" customHeight="1">
      <c r="H8056" s="43" t="n"/>
      <c r="AG8056" s="49">
        <f>IFERROR(__xludf.DUMMYFUNCTION("IFNA(vlookup(H8056,IMPORTRANGE(""1vUGwO1n0QQGx9kKbO0_M5gmuhXZ6-LaxQxgrmJnzgP0"",""'TP# look up'!A:C""),3,0),"""")"),"")</f>
        <v/>
      </c>
      <c r="AH8056" s="49">
        <f>LEFT(J8056,2)</f>
        <v/>
      </c>
    </row>
    <row r="8057" ht="12.75" customHeight="1">
      <c r="H8057" s="43" t="n"/>
      <c r="AG8057" s="49">
        <f>IFERROR(__xludf.DUMMYFUNCTION("IFNA(vlookup(H8057,IMPORTRANGE(""1vUGwO1n0QQGx9kKbO0_M5gmuhXZ6-LaxQxgrmJnzgP0"",""'TP# look up'!A:C""),3,0),"""")"),"")</f>
        <v/>
      </c>
      <c r="AH8057" s="49">
        <f>LEFT(J8057,2)</f>
        <v/>
      </c>
    </row>
    <row r="8058" ht="12.75" customHeight="1">
      <c r="H8058" s="43" t="n"/>
      <c r="AG8058" s="49">
        <f>IFERROR(__xludf.DUMMYFUNCTION("IFNA(vlookup(H8058,IMPORTRANGE(""1vUGwO1n0QQGx9kKbO0_M5gmuhXZ6-LaxQxgrmJnzgP0"",""'TP# look up'!A:C""),3,0),"""")"),"")</f>
        <v/>
      </c>
      <c r="AH8058" s="49">
        <f>LEFT(J8058,2)</f>
        <v/>
      </c>
    </row>
    <row r="8059" ht="12.75" customHeight="1">
      <c r="H8059" s="43" t="n"/>
      <c r="AG8059" s="49">
        <f>IFERROR(__xludf.DUMMYFUNCTION("IFNA(vlookup(H8059,IMPORTRANGE(""1vUGwO1n0QQGx9kKbO0_M5gmuhXZ6-LaxQxgrmJnzgP0"",""'TP# look up'!A:C""),3,0),"""")"),"")</f>
        <v/>
      </c>
      <c r="AH8059" s="49">
        <f>LEFT(J8059,2)</f>
        <v/>
      </c>
    </row>
    <row r="8060" ht="12.75" customHeight="1">
      <c r="H8060" s="43" t="n"/>
      <c r="AG8060" s="49">
        <f>IFERROR(__xludf.DUMMYFUNCTION("IFNA(vlookup(H8060,IMPORTRANGE(""1vUGwO1n0QQGx9kKbO0_M5gmuhXZ6-LaxQxgrmJnzgP0"",""'TP# look up'!A:C""),3,0),"""")"),"")</f>
        <v/>
      </c>
      <c r="AH8060" s="49">
        <f>LEFT(J8060,2)</f>
        <v/>
      </c>
    </row>
    <row r="8061" ht="12.75" customHeight="1">
      <c r="H8061" s="43" t="n"/>
      <c r="AG8061" s="49">
        <f>IFERROR(__xludf.DUMMYFUNCTION("IFNA(vlookup(H8061,IMPORTRANGE(""1vUGwO1n0QQGx9kKbO0_M5gmuhXZ6-LaxQxgrmJnzgP0"",""'TP# look up'!A:C""),3,0),"""")"),"")</f>
        <v/>
      </c>
      <c r="AH8061" s="49">
        <f>LEFT(J8061,2)</f>
        <v/>
      </c>
    </row>
    <row r="8062" ht="12.75" customHeight="1">
      <c r="H8062" s="43" t="n"/>
      <c r="AG8062" s="49">
        <f>IFERROR(__xludf.DUMMYFUNCTION("IFNA(vlookup(H8062,IMPORTRANGE(""1vUGwO1n0QQGx9kKbO0_M5gmuhXZ6-LaxQxgrmJnzgP0"",""'TP# look up'!A:C""),3,0),"""")"),"")</f>
        <v/>
      </c>
      <c r="AH8062" s="49">
        <f>LEFT(J8062,2)</f>
        <v/>
      </c>
    </row>
    <row r="8063" ht="12.75" customHeight="1">
      <c r="H8063" s="43" t="n"/>
      <c r="AG8063" s="49">
        <f>IFERROR(__xludf.DUMMYFUNCTION("IFNA(vlookup(H8063,IMPORTRANGE(""1vUGwO1n0QQGx9kKbO0_M5gmuhXZ6-LaxQxgrmJnzgP0"",""'TP# look up'!A:C""),3,0),"""")"),"")</f>
        <v/>
      </c>
      <c r="AH8063" s="49">
        <f>LEFT(J8063,2)</f>
        <v/>
      </c>
    </row>
    <row r="8064" ht="12.75" customHeight="1">
      <c r="H8064" s="43" t="n"/>
      <c r="AG8064" s="49">
        <f>IFERROR(__xludf.DUMMYFUNCTION("IFNA(vlookup(H8064,IMPORTRANGE(""1vUGwO1n0QQGx9kKbO0_M5gmuhXZ6-LaxQxgrmJnzgP0"",""'TP# look up'!A:C""),3,0),"""")"),"")</f>
        <v/>
      </c>
      <c r="AH8064" s="49">
        <f>LEFT(J8064,2)</f>
        <v/>
      </c>
    </row>
    <row r="8065" ht="12.75" customHeight="1">
      <c r="H8065" s="43" t="n"/>
      <c r="AG8065" s="49">
        <f>IFERROR(__xludf.DUMMYFUNCTION("IFNA(vlookup(H8065,IMPORTRANGE(""1vUGwO1n0QQGx9kKbO0_M5gmuhXZ6-LaxQxgrmJnzgP0"",""'TP# look up'!A:C""),3,0),"""")"),"")</f>
        <v/>
      </c>
      <c r="AH8065" s="49">
        <f>LEFT(J8065,2)</f>
        <v/>
      </c>
    </row>
    <row r="8066" ht="12.75" customHeight="1">
      <c r="H8066" s="43" t="n"/>
      <c r="AG8066" s="49">
        <f>IFERROR(__xludf.DUMMYFUNCTION("IFNA(vlookup(H8066,IMPORTRANGE(""1vUGwO1n0QQGx9kKbO0_M5gmuhXZ6-LaxQxgrmJnzgP0"",""'TP# look up'!A:C""),3,0),"""")"),"")</f>
        <v/>
      </c>
      <c r="AH8066" s="49">
        <f>LEFT(J8066,2)</f>
        <v/>
      </c>
    </row>
    <row r="8067" ht="12.75" customHeight="1">
      <c r="H8067" s="43" t="n"/>
      <c r="AG8067" s="49">
        <f>IFERROR(__xludf.DUMMYFUNCTION("IFNA(vlookup(H8067,IMPORTRANGE(""1vUGwO1n0QQGx9kKbO0_M5gmuhXZ6-LaxQxgrmJnzgP0"",""'TP# look up'!A:C""),3,0),"""")"),"")</f>
        <v/>
      </c>
      <c r="AH8067" s="49">
        <f>LEFT(J8067,2)</f>
        <v/>
      </c>
    </row>
    <row r="8068" ht="12.75" customHeight="1">
      <c r="H8068" s="43" t="n"/>
      <c r="AG8068" s="49">
        <f>IFERROR(__xludf.DUMMYFUNCTION("IFNA(vlookup(H8068,IMPORTRANGE(""1vUGwO1n0QQGx9kKbO0_M5gmuhXZ6-LaxQxgrmJnzgP0"",""'TP# look up'!A:C""),3,0),"""")"),"")</f>
        <v/>
      </c>
      <c r="AH8068" s="49">
        <f>LEFT(J8068,2)</f>
        <v/>
      </c>
    </row>
    <row r="8069" ht="12.75" customHeight="1">
      <c r="H8069" s="43" t="n"/>
      <c r="AG8069" s="49">
        <f>IFERROR(__xludf.DUMMYFUNCTION("IFNA(vlookup(H8069,IMPORTRANGE(""1vUGwO1n0QQGx9kKbO0_M5gmuhXZ6-LaxQxgrmJnzgP0"",""'TP# look up'!A:C""),3,0),"""")"),"")</f>
        <v/>
      </c>
      <c r="AH8069" s="49">
        <f>LEFT(J8069,2)</f>
        <v/>
      </c>
    </row>
    <row r="8070" ht="12.75" customHeight="1">
      <c r="H8070" s="43" t="n"/>
      <c r="AG8070" s="49">
        <f>IFERROR(__xludf.DUMMYFUNCTION("IFNA(vlookup(H8070,IMPORTRANGE(""1vUGwO1n0QQGx9kKbO0_M5gmuhXZ6-LaxQxgrmJnzgP0"",""'TP# look up'!A:C""),3,0),"""")"),"")</f>
        <v/>
      </c>
      <c r="AH8070" s="49">
        <f>LEFT(J8070,2)</f>
        <v/>
      </c>
    </row>
    <row r="8071" ht="12.75" customHeight="1">
      <c r="H8071" s="43" t="n"/>
      <c r="AG8071" s="49">
        <f>IFERROR(__xludf.DUMMYFUNCTION("IFNA(vlookup(H8071,IMPORTRANGE(""1vUGwO1n0QQGx9kKbO0_M5gmuhXZ6-LaxQxgrmJnzgP0"",""'TP# look up'!A:C""),3,0),"""")"),"")</f>
        <v/>
      </c>
      <c r="AH8071" s="49">
        <f>LEFT(J8071,2)</f>
        <v/>
      </c>
    </row>
    <row r="8072" ht="12.75" customHeight="1">
      <c r="H8072" s="43" t="n"/>
      <c r="AG8072" s="49">
        <f>IFERROR(__xludf.DUMMYFUNCTION("IFNA(vlookup(H8072,IMPORTRANGE(""1vUGwO1n0QQGx9kKbO0_M5gmuhXZ6-LaxQxgrmJnzgP0"",""'TP# look up'!A:C""),3,0),"""")"),"")</f>
        <v/>
      </c>
      <c r="AH8072" s="49">
        <f>LEFT(J8072,2)</f>
        <v/>
      </c>
    </row>
    <row r="8073" ht="12.75" customHeight="1">
      <c r="H8073" s="43" t="n"/>
      <c r="AG8073" s="49">
        <f>IFERROR(__xludf.DUMMYFUNCTION("IFNA(vlookup(H8073,IMPORTRANGE(""1vUGwO1n0QQGx9kKbO0_M5gmuhXZ6-LaxQxgrmJnzgP0"",""'TP# look up'!A:C""),3,0),"""")"),"")</f>
        <v/>
      </c>
      <c r="AH8073" s="49">
        <f>LEFT(J8073,2)</f>
        <v/>
      </c>
    </row>
    <row r="8074" ht="12.75" customHeight="1">
      <c r="H8074" s="43" t="n"/>
      <c r="AG8074" s="49">
        <f>IFERROR(__xludf.DUMMYFUNCTION("IFNA(vlookup(H8074,IMPORTRANGE(""1vUGwO1n0QQGx9kKbO0_M5gmuhXZ6-LaxQxgrmJnzgP0"",""'TP# look up'!A:C""),3,0),"""")"),"")</f>
        <v/>
      </c>
      <c r="AH8074" s="49">
        <f>LEFT(J8074,2)</f>
        <v/>
      </c>
    </row>
    <row r="8075" ht="12.75" customHeight="1">
      <c r="H8075" s="43" t="n"/>
      <c r="AG8075" s="49">
        <f>IFERROR(__xludf.DUMMYFUNCTION("IFNA(vlookup(H8075,IMPORTRANGE(""1vUGwO1n0QQGx9kKbO0_M5gmuhXZ6-LaxQxgrmJnzgP0"",""'TP# look up'!A:C""),3,0),"""")"),"")</f>
        <v/>
      </c>
      <c r="AH8075" s="49">
        <f>LEFT(J8075,2)</f>
        <v/>
      </c>
    </row>
    <row r="8076" ht="12.75" customHeight="1">
      <c r="H8076" s="43" t="n"/>
      <c r="AG8076" s="49">
        <f>IFERROR(__xludf.DUMMYFUNCTION("IFNA(vlookup(H8076,IMPORTRANGE(""1vUGwO1n0QQGx9kKbO0_M5gmuhXZ6-LaxQxgrmJnzgP0"",""'TP# look up'!A:C""),3,0),"""")"),"")</f>
        <v/>
      </c>
      <c r="AH8076" s="49">
        <f>LEFT(J8076,2)</f>
        <v/>
      </c>
    </row>
    <row r="8077" ht="12.75" customHeight="1">
      <c r="H8077" s="43" t="n"/>
      <c r="AG8077" s="49">
        <f>IFERROR(__xludf.DUMMYFUNCTION("IFNA(vlookup(H8077,IMPORTRANGE(""1vUGwO1n0QQGx9kKbO0_M5gmuhXZ6-LaxQxgrmJnzgP0"",""'TP# look up'!A:C""),3,0),"""")"),"")</f>
        <v/>
      </c>
      <c r="AH8077" s="49">
        <f>LEFT(J8077,2)</f>
        <v/>
      </c>
    </row>
    <row r="8078" ht="12.75" customHeight="1">
      <c r="H8078" s="43" t="n"/>
      <c r="AG8078" s="49">
        <f>IFERROR(__xludf.DUMMYFUNCTION("IFNA(vlookup(H8078,IMPORTRANGE(""1vUGwO1n0QQGx9kKbO0_M5gmuhXZ6-LaxQxgrmJnzgP0"",""'TP# look up'!A:C""),3,0),"""")"),"")</f>
        <v/>
      </c>
      <c r="AH8078" s="49">
        <f>LEFT(J8078,2)</f>
        <v/>
      </c>
    </row>
    <row r="8079" ht="12.75" customHeight="1">
      <c r="H8079" s="43" t="n"/>
      <c r="AG8079" s="49">
        <f>IFERROR(__xludf.DUMMYFUNCTION("IFNA(vlookup(H8079,IMPORTRANGE(""1vUGwO1n0QQGx9kKbO0_M5gmuhXZ6-LaxQxgrmJnzgP0"",""'TP# look up'!A:C""),3,0),"""")"),"")</f>
        <v/>
      </c>
      <c r="AH8079" s="49">
        <f>LEFT(J8079,2)</f>
        <v/>
      </c>
    </row>
    <row r="8080" ht="12.75" customHeight="1">
      <c r="H8080" s="43" t="n"/>
      <c r="AG8080" s="49">
        <f>IFERROR(__xludf.DUMMYFUNCTION("IFNA(vlookup(H8080,IMPORTRANGE(""1vUGwO1n0QQGx9kKbO0_M5gmuhXZ6-LaxQxgrmJnzgP0"",""'TP# look up'!A:C""),3,0),"""")"),"")</f>
        <v/>
      </c>
      <c r="AH8080" s="49">
        <f>LEFT(J8080,2)</f>
        <v/>
      </c>
    </row>
    <row r="8081" ht="12.75" customHeight="1">
      <c r="H8081" s="43" t="n"/>
      <c r="AG8081" s="49">
        <f>IFERROR(__xludf.DUMMYFUNCTION("IFNA(vlookup(H8081,IMPORTRANGE(""1vUGwO1n0QQGx9kKbO0_M5gmuhXZ6-LaxQxgrmJnzgP0"",""'TP# look up'!A:C""),3,0),"""")"),"")</f>
        <v/>
      </c>
      <c r="AH8081" s="49">
        <f>LEFT(J8081,2)</f>
        <v/>
      </c>
    </row>
    <row r="8082" ht="12.75" customHeight="1">
      <c r="H8082" s="43" t="n"/>
      <c r="AG8082" s="49">
        <f>IFERROR(__xludf.DUMMYFUNCTION("IFNA(vlookup(H8082,IMPORTRANGE(""1vUGwO1n0QQGx9kKbO0_M5gmuhXZ6-LaxQxgrmJnzgP0"",""'TP# look up'!A:C""),3,0),"""")"),"")</f>
        <v/>
      </c>
      <c r="AH8082" s="49">
        <f>LEFT(J8082,2)</f>
        <v/>
      </c>
    </row>
    <row r="8083" ht="12.75" customHeight="1">
      <c r="H8083" s="43" t="n"/>
      <c r="AG8083" s="49">
        <f>IFERROR(__xludf.DUMMYFUNCTION("IFNA(vlookup(H8083,IMPORTRANGE(""1vUGwO1n0QQGx9kKbO0_M5gmuhXZ6-LaxQxgrmJnzgP0"",""'TP# look up'!A:C""),3,0),"""")"),"")</f>
        <v/>
      </c>
      <c r="AH8083" s="49">
        <f>LEFT(J8083,2)</f>
        <v/>
      </c>
    </row>
    <row r="8084" ht="12.75" customHeight="1">
      <c r="H8084" s="43" t="n"/>
      <c r="AG8084" s="49">
        <f>IFERROR(__xludf.DUMMYFUNCTION("IFNA(vlookup(H8084,IMPORTRANGE(""1vUGwO1n0QQGx9kKbO0_M5gmuhXZ6-LaxQxgrmJnzgP0"",""'TP# look up'!A:C""),3,0),"""")"),"")</f>
        <v/>
      </c>
      <c r="AH8084" s="49">
        <f>LEFT(J8084,2)</f>
        <v/>
      </c>
    </row>
    <row r="8085" ht="12.75" customHeight="1">
      <c r="H8085" s="43" t="n"/>
      <c r="AG8085" s="49">
        <f>IFERROR(__xludf.DUMMYFUNCTION("IFNA(vlookup(H8085,IMPORTRANGE(""1vUGwO1n0QQGx9kKbO0_M5gmuhXZ6-LaxQxgrmJnzgP0"",""'TP# look up'!A:C""),3,0),"""")"),"")</f>
        <v/>
      </c>
      <c r="AH8085" s="49">
        <f>LEFT(J8085,2)</f>
        <v/>
      </c>
    </row>
    <row r="8086" ht="12.75" customHeight="1">
      <c r="H8086" s="43" t="n"/>
      <c r="AG8086" s="49">
        <f>IFERROR(__xludf.DUMMYFUNCTION("IFNA(vlookup(H8086,IMPORTRANGE(""1vUGwO1n0QQGx9kKbO0_M5gmuhXZ6-LaxQxgrmJnzgP0"",""'TP# look up'!A:C""),3,0),"""")"),"")</f>
        <v/>
      </c>
      <c r="AH8086" s="49">
        <f>LEFT(J8086,2)</f>
        <v/>
      </c>
    </row>
    <row r="8087" ht="12.75" customHeight="1">
      <c r="H8087" s="43" t="n"/>
      <c r="AG8087" s="49">
        <f>IFERROR(__xludf.DUMMYFUNCTION("IFNA(vlookup(H8087,IMPORTRANGE(""1vUGwO1n0QQGx9kKbO0_M5gmuhXZ6-LaxQxgrmJnzgP0"",""'TP# look up'!A:C""),3,0),"""")"),"")</f>
        <v/>
      </c>
      <c r="AH8087" s="49">
        <f>LEFT(J8087,2)</f>
        <v/>
      </c>
    </row>
    <row r="8088" ht="12.75" customHeight="1">
      <c r="H8088" s="43" t="n"/>
      <c r="AG8088" s="49">
        <f>IFERROR(__xludf.DUMMYFUNCTION("IFNA(vlookup(H8088,IMPORTRANGE(""1vUGwO1n0QQGx9kKbO0_M5gmuhXZ6-LaxQxgrmJnzgP0"",""'TP# look up'!A:C""),3,0),"""")"),"")</f>
        <v/>
      </c>
      <c r="AH8088" s="49">
        <f>LEFT(J8088,2)</f>
        <v/>
      </c>
    </row>
    <row r="8089" ht="12.75" customHeight="1">
      <c r="H8089" s="43" t="n"/>
      <c r="AG8089" s="49">
        <f>IFERROR(__xludf.DUMMYFUNCTION("IFNA(vlookup(H8089,IMPORTRANGE(""1vUGwO1n0QQGx9kKbO0_M5gmuhXZ6-LaxQxgrmJnzgP0"",""'TP# look up'!A:C""),3,0),"""")"),"")</f>
        <v/>
      </c>
      <c r="AH8089" s="49">
        <f>LEFT(J8089,2)</f>
        <v/>
      </c>
    </row>
    <row r="8090" ht="12.75" customHeight="1">
      <c r="H8090" s="43" t="n"/>
      <c r="AG8090" s="49">
        <f>IFERROR(__xludf.DUMMYFUNCTION("IFNA(vlookup(H8090,IMPORTRANGE(""1vUGwO1n0QQGx9kKbO0_M5gmuhXZ6-LaxQxgrmJnzgP0"",""'TP# look up'!A:C""),3,0),"""")"),"")</f>
        <v/>
      </c>
      <c r="AH8090" s="49">
        <f>LEFT(J8090,2)</f>
        <v/>
      </c>
    </row>
    <row r="8091" ht="12.75" customHeight="1">
      <c r="H8091" s="43" t="n"/>
      <c r="AG8091" s="49">
        <f>IFERROR(__xludf.DUMMYFUNCTION("IFNA(vlookup(H8091,IMPORTRANGE(""1vUGwO1n0QQGx9kKbO0_M5gmuhXZ6-LaxQxgrmJnzgP0"",""'TP# look up'!A:C""),3,0),"""")"),"")</f>
        <v/>
      </c>
      <c r="AH8091" s="49">
        <f>LEFT(J8091,2)</f>
        <v/>
      </c>
    </row>
    <row r="8092" ht="12.75" customHeight="1">
      <c r="H8092" s="43" t="n"/>
      <c r="AG8092" s="49">
        <f>IFERROR(__xludf.DUMMYFUNCTION("IFNA(vlookup(H8092,IMPORTRANGE(""1vUGwO1n0QQGx9kKbO0_M5gmuhXZ6-LaxQxgrmJnzgP0"",""'TP# look up'!A:C""),3,0),"""")"),"")</f>
        <v/>
      </c>
      <c r="AH8092" s="49">
        <f>LEFT(J8092,2)</f>
        <v/>
      </c>
    </row>
    <row r="8093" ht="12.75" customHeight="1">
      <c r="H8093" s="43" t="n"/>
      <c r="AG8093" s="49">
        <f>IFERROR(__xludf.DUMMYFUNCTION("IFNA(vlookup(H8093,IMPORTRANGE(""1vUGwO1n0QQGx9kKbO0_M5gmuhXZ6-LaxQxgrmJnzgP0"",""'TP# look up'!A:C""),3,0),"""")"),"")</f>
        <v/>
      </c>
      <c r="AH8093" s="49">
        <f>LEFT(J8093,2)</f>
        <v/>
      </c>
    </row>
    <row r="8094" ht="12.75" customHeight="1">
      <c r="H8094" s="43" t="n"/>
      <c r="AG8094" s="49">
        <f>IFERROR(__xludf.DUMMYFUNCTION("IFNA(vlookup(H8094,IMPORTRANGE(""1vUGwO1n0QQGx9kKbO0_M5gmuhXZ6-LaxQxgrmJnzgP0"",""'TP# look up'!A:C""),3,0),"""")"),"")</f>
        <v/>
      </c>
      <c r="AH8094" s="49">
        <f>LEFT(J8094,2)</f>
        <v/>
      </c>
    </row>
    <row r="8095" ht="12.75" customHeight="1">
      <c r="H8095" s="43" t="n"/>
      <c r="AG8095" s="49">
        <f>IFERROR(__xludf.DUMMYFUNCTION("IFNA(vlookup(H8095,IMPORTRANGE(""1vUGwO1n0QQGx9kKbO0_M5gmuhXZ6-LaxQxgrmJnzgP0"",""'TP# look up'!A:C""),3,0),"""")"),"")</f>
        <v/>
      </c>
      <c r="AH8095" s="49">
        <f>LEFT(J8095,2)</f>
        <v/>
      </c>
    </row>
    <row r="8096" ht="12.75" customHeight="1">
      <c r="H8096" s="43" t="n"/>
      <c r="AG8096" s="49">
        <f>IFERROR(__xludf.DUMMYFUNCTION("IFNA(vlookup(H8096,IMPORTRANGE(""1vUGwO1n0QQGx9kKbO0_M5gmuhXZ6-LaxQxgrmJnzgP0"",""'TP# look up'!A:C""),3,0),"""")"),"")</f>
        <v/>
      </c>
      <c r="AH8096" s="49">
        <f>LEFT(J8096,2)</f>
        <v/>
      </c>
    </row>
    <row r="8097" ht="12.75" customHeight="1">
      <c r="H8097" s="43" t="n"/>
      <c r="AG8097" s="49">
        <f>IFERROR(__xludf.DUMMYFUNCTION("IFNA(vlookup(H8097,IMPORTRANGE(""1vUGwO1n0QQGx9kKbO0_M5gmuhXZ6-LaxQxgrmJnzgP0"",""'TP# look up'!A:C""),3,0),"""")"),"")</f>
        <v/>
      </c>
      <c r="AH8097" s="49">
        <f>LEFT(J8097,2)</f>
        <v/>
      </c>
    </row>
    <row r="8098" ht="12.75" customHeight="1">
      <c r="H8098" s="43" t="n"/>
      <c r="AG8098" s="49">
        <f>IFERROR(__xludf.DUMMYFUNCTION("IFNA(vlookup(H8098,IMPORTRANGE(""1vUGwO1n0QQGx9kKbO0_M5gmuhXZ6-LaxQxgrmJnzgP0"",""'TP# look up'!A:C""),3,0),"""")"),"")</f>
        <v/>
      </c>
      <c r="AH8098" s="49">
        <f>LEFT(J8098,2)</f>
        <v/>
      </c>
    </row>
    <row r="8099" ht="12.75" customHeight="1">
      <c r="H8099" s="43" t="n"/>
      <c r="AG8099" s="49">
        <f>IFERROR(__xludf.DUMMYFUNCTION("IFNA(vlookup(H8099,IMPORTRANGE(""1vUGwO1n0QQGx9kKbO0_M5gmuhXZ6-LaxQxgrmJnzgP0"",""'TP# look up'!A:C""),3,0),"""")"),"")</f>
        <v/>
      </c>
      <c r="AH8099" s="49">
        <f>LEFT(J8099,2)</f>
        <v/>
      </c>
    </row>
    <row r="8100" ht="12.75" customHeight="1">
      <c r="H8100" s="43" t="n"/>
      <c r="AG8100" s="49">
        <f>IFERROR(__xludf.DUMMYFUNCTION("IFNA(vlookup(H8100,IMPORTRANGE(""1vUGwO1n0QQGx9kKbO0_M5gmuhXZ6-LaxQxgrmJnzgP0"",""'TP# look up'!A:C""),3,0),"""")"),"")</f>
        <v/>
      </c>
      <c r="AH8100" s="49">
        <f>LEFT(J8100,2)</f>
        <v/>
      </c>
    </row>
    <row r="8101" ht="12.75" customHeight="1">
      <c r="H8101" s="43" t="n"/>
      <c r="AG8101" s="49">
        <f>IFERROR(__xludf.DUMMYFUNCTION("IFNA(vlookup(H8101,IMPORTRANGE(""1vUGwO1n0QQGx9kKbO0_M5gmuhXZ6-LaxQxgrmJnzgP0"",""'TP# look up'!A:C""),3,0),"""")"),"")</f>
        <v/>
      </c>
      <c r="AH8101" s="49">
        <f>LEFT(J8101,2)</f>
        <v/>
      </c>
    </row>
    <row r="8102" ht="12.75" customHeight="1">
      <c r="H8102" s="43" t="n"/>
      <c r="AG8102" s="49">
        <f>IFERROR(__xludf.DUMMYFUNCTION("IFNA(vlookup(H8102,IMPORTRANGE(""1vUGwO1n0QQGx9kKbO0_M5gmuhXZ6-LaxQxgrmJnzgP0"",""'TP# look up'!A:C""),3,0),"""")"),"")</f>
        <v/>
      </c>
      <c r="AH8102" s="49">
        <f>LEFT(J8102,2)</f>
        <v/>
      </c>
    </row>
    <row r="8103" ht="12.75" customHeight="1">
      <c r="H8103" s="43" t="n"/>
      <c r="AG8103" s="49">
        <f>IFERROR(__xludf.DUMMYFUNCTION("IFNA(vlookup(H8103,IMPORTRANGE(""1vUGwO1n0QQGx9kKbO0_M5gmuhXZ6-LaxQxgrmJnzgP0"",""'TP# look up'!A:C""),3,0),"""")"),"")</f>
        <v/>
      </c>
      <c r="AH8103" s="49">
        <f>LEFT(J8103,2)</f>
        <v/>
      </c>
    </row>
    <row r="8104" ht="12.75" customHeight="1">
      <c r="H8104" s="43" t="n"/>
      <c r="AG8104" s="49">
        <f>IFERROR(__xludf.DUMMYFUNCTION("IFNA(vlookup(H8104,IMPORTRANGE(""1vUGwO1n0QQGx9kKbO0_M5gmuhXZ6-LaxQxgrmJnzgP0"",""'TP# look up'!A:C""),3,0),"""")"),"")</f>
        <v/>
      </c>
      <c r="AH8104" s="49">
        <f>LEFT(J8104,2)</f>
        <v/>
      </c>
    </row>
    <row r="8105" ht="12.75" customHeight="1">
      <c r="H8105" s="43" t="n"/>
      <c r="AG8105" s="49">
        <f>IFERROR(__xludf.DUMMYFUNCTION("IFNA(vlookup(H8105,IMPORTRANGE(""1vUGwO1n0QQGx9kKbO0_M5gmuhXZ6-LaxQxgrmJnzgP0"",""'TP# look up'!A:C""),3,0),"""")"),"")</f>
        <v/>
      </c>
      <c r="AH8105" s="49">
        <f>LEFT(J8105,2)</f>
        <v/>
      </c>
    </row>
    <row r="8106" ht="12.75" customHeight="1">
      <c r="H8106" s="43" t="n"/>
      <c r="AG8106" s="49">
        <f>IFERROR(__xludf.DUMMYFUNCTION("IFNA(vlookup(H8106,IMPORTRANGE(""1vUGwO1n0QQGx9kKbO0_M5gmuhXZ6-LaxQxgrmJnzgP0"",""'TP# look up'!A:C""),3,0),"""")"),"")</f>
        <v/>
      </c>
      <c r="AH8106" s="49">
        <f>LEFT(J8106,2)</f>
        <v/>
      </c>
    </row>
    <row r="8107" ht="12.75" customHeight="1">
      <c r="H8107" s="43" t="n"/>
      <c r="AG8107" s="49">
        <f>IFERROR(__xludf.DUMMYFUNCTION("IFNA(vlookup(H8107,IMPORTRANGE(""1vUGwO1n0QQGx9kKbO0_M5gmuhXZ6-LaxQxgrmJnzgP0"",""'TP# look up'!A:C""),3,0),"""")"),"")</f>
        <v/>
      </c>
      <c r="AH8107" s="49">
        <f>LEFT(J8107,2)</f>
        <v/>
      </c>
    </row>
    <row r="8108" ht="12.75" customHeight="1">
      <c r="H8108" s="43" t="n"/>
      <c r="AG8108" s="49">
        <f>IFERROR(__xludf.DUMMYFUNCTION("IFNA(vlookup(H8108,IMPORTRANGE(""1vUGwO1n0QQGx9kKbO0_M5gmuhXZ6-LaxQxgrmJnzgP0"",""'TP# look up'!A:C""),3,0),"""")"),"")</f>
        <v/>
      </c>
      <c r="AH8108" s="49">
        <f>LEFT(J8108,2)</f>
        <v/>
      </c>
    </row>
    <row r="8109" ht="12.75" customHeight="1">
      <c r="H8109" s="43" t="n"/>
      <c r="AG8109" s="49">
        <f>IFERROR(__xludf.DUMMYFUNCTION("IFNA(vlookup(H8109,IMPORTRANGE(""1vUGwO1n0QQGx9kKbO0_M5gmuhXZ6-LaxQxgrmJnzgP0"",""'TP# look up'!A:C""),3,0),"""")"),"")</f>
        <v/>
      </c>
      <c r="AH8109" s="49">
        <f>LEFT(J8109,2)</f>
        <v/>
      </c>
    </row>
    <row r="8110" ht="12.75" customHeight="1">
      <c r="H8110" s="43" t="n"/>
      <c r="AG8110" s="49">
        <f>IFERROR(__xludf.DUMMYFUNCTION("IFNA(vlookup(H8110,IMPORTRANGE(""1vUGwO1n0QQGx9kKbO0_M5gmuhXZ6-LaxQxgrmJnzgP0"",""'TP# look up'!A:C""),3,0),"""")"),"")</f>
        <v/>
      </c>
      <c r="AH8110" s="49">
        <f>LEFT(J8110,2)</f>
        <v/>
      </c>
    </row>
    <row r="8111" ht="12.75" customHeight="1">
      <c r="H8111" s="43" t="n"/>
      <c r="AG8111" s="49">
        <f>IFERROR(__xludf.DUMMYFUNCTION("IFNA(vlookup(H8111,IMPORTRANGE(""1vUGwO1n0QQGx9kKbO0_M5gmuhXZ6-LaxQxgrmJnzgP0"",""'TP# look up'!A:C""),3,0),"""")"),"")</f>
        <v/>
      </c>
      <c r="AH8111" s="49">
        <f>LEFT(J8111,2)</f>
        <v/>
      </c>
    </row>
    <row r="8112" ht="12.75" customHeight="1">
      <c r="H8112" s="43" t="n"/>
      <c r="AG8112" s="49">
        <f>IFERROR(__xludf.DUMMYFUNCTION("IFNA(vlookup(H8112,IMPORTRANGE(""1vUGwO1n0QQGx9kKbO0_M5gmuhXZ6-LaxQxgrmJnzgP0"",""'TP# look up'!A:C""),3,0),"""")"),"")</f>
        <v/>
      </c>
      <c r="AH8112" s="49">
        <f>LEFT(J8112,2)</f>
        <v/>
      </c>
    </row>
    <row r="8113" ht="12.75" customHeight="1">
      <c r="H8113" s="43" t="n"/>
      <c r="AG8113" s="49">
        <f>IFERROR(__xludf.DUMMYFUNCTION("IFNA(vlookup(H8113,IMPORTRANGE(""1vUGwO1n0QQGx9kKbO0_M5gmuhXZ6-LaxQxgrmJnzgP0"",""'TP# look up'!A:C""),3,0),"""")"),"")</f>
        <v/>
      </c>
      <c r="AH8113" s="49">
        <f>LEFT(J8113,2)</f>
        <v/>
      </c>
    </row>
    <row r="8114" ht="12.75" customHeight="1">
      <c r="H8114" s="43" t="n"/>
      <c r="AG8114" s="49">
        <f>IFERROR(__xludf.DUMMYFUNCTION("IFNA(vlookup(H8114,IMPORTRANGE(""1vUGwO1n0QQGx9kKbO0_M5gmuhXZ6-LaxQxgrmJnzgP0"",""'TP# look up'!A:C""),3,0),"""")"),"")</f>
        <v/>
      </c>
      <c r="AH8114" s="49">
        <f>LEFT(J8114,2)</f>
        <v/>
      </c>
    </row>
    <row r="8115" ht="12.75" customHeight="1">
      <c r="H8115" s="43" t="n"/>
      <c r="AG8115" s="49">
        <f>IFERROR(__xludf.DUMMYFUNCTION("IFNA(vlookup(H8115,IMPORTRANGE(""1vUGwO1n0QQGx9kKbO0_M5gmuhXZ6-LaxQxgrmJnzgP0"",""'TP# look up'!A:C""),3,0),"""")"),"")</f>
        <v/>
      </c>
      <c r="AH8115" s="49">
        <f>LEFT(J8115,2)</f>
        <v/>
      </c>
    </row>
    <row r="8116" ht="12.75" customHeight="1">
      <c r="H8116" s="43" t="n"/>
      <c r="AG8116" s="49">
        <f>IFERROR(__xludf.DUMMYFUNCTION("IFNA(vlookup(H8116,IMPORTRANGE(""1vUGwO1n0QQGx9kKbO0_M5gmuhXZ6-LaxQxgrmJnzgP0"",""'TP# look up'!A:C""),3,0),"""")"),"")</f>
        <v/>
      </c>
      <c r="AH8116" s="49">
        <f>LEFT(J8116,2)</f>
        <v/>
      </c>
    </row>
    <row r="8117" ht="12.75" customHeight="1">
      <c r="H8117" s="43" t="n"/>
      <c r="AG8117" s="49">
        <f>IFERROR(__xludf.DUMMYFUNCTION("IFNA(vlookup(H8117,IMPORTRANGE(""1vUGwO1n0QQGx9kKbO0_M5gmuhXZ6-LaxQxgrmJnzgP0"",""'TP# look up'!A:C""),3,0),"""")"),"")</f>
        <v/>
      </c>
      <c r="AH8117" s="49">
        <f>LEFT(J8117,2)</f>
        <v/>
      </c>
    </row>
    <row r="8118" ht="12.75" customHeight="1">
      <c r="H8118" s="43" t="n"/>
      <c r="AG8118" s="49">
        <f>IFERROR(__xludf.DUMMYFUNCTION("IFNA(vlookup(H8118,IMPORTRANGE(""1vUGwO1n0QQGx9kKbO0_M5gmuhXZ6-LaxQxgrmJnzgP0"",""'TP# look up'!A:C""),3,0),"""")"),"")</f>
        <v/>
      </c>
      <c r="AH8118" s="49">
        <f>LEFT(J8118,2)</f>
        <v/>
      </c>
    </row>
    <row r="8119" ht="12.75" customHeight="1">
      <c r="H8119" s="43" t="n"/>
      <c r="AG8119" s="49">
        <f>IFERROR(__xludf.DUMMYFUNCTION("IFNA(vlookup(H8119,IMPORTRANGE(""1vUGwO1n0QQGx9kKbO0_M5gmuhXZ6-LaxQxgrmJnzgP0"",""'TP# look up'!A:C""),3,0),"""")"),"")</f>
        <v/>
      </c>
      <c r="AH8119" s="49">
        <f>LEFT(J8119,2)</f>
        <v/>
      </c>
    </row>
    <row r="8120" ht="12.75" customHeight="1">
      <c r="H8120" s="43" t="n"/>
      <c r="AG8120" s="49">
        <f>IFERROR(__xludf.DUMMYFUNCTION("IFNA(vlookup(H8120,IMPORTRANGE(""1vUGwO1n0QQGx9kKbO0_M5gmuhXZ6-LaxQxgrmJnzgP0"",""'TP# look up'!A:C""),3,0),"""")"),"")</f>
        <v/>
      </c>
      <c r="AH8120" s="49">
        <f>LEFT(J8120,2)</f>
        <v/>
      </c>
    </row>
    <row r="8121" ht="12.75" customHeight="1">
      <c r="H8121" s="43" t="n"/>
      <c r="AG8121" s="49">
        <f>IFERROR(__xludf.DUMMYFUNCTION("IFNA(vlookup(H8121,IMPORTRANGE(""1vUGwO1n0QQGx9kKbO0_M5gmuhXZ6-LaxQxgrmJnzgP0"",""'TP# look up'!A:C""),3,0),"""")"),"")</f>
        <v/>
      </c>
      <c r="AH8121" s="49">
        <f>LEFT(J8121,2)</f>
        <v/>
      </c>
    </row>
    <row r="8122" ht="12.75" customHeight="1">
      <c r="H8122" s="43" t="n"/>
      <c r="AG8122" s="49">
        <f>IFERROR(__xludf.DUMMYFUNCTION("IFNA(vlookup(H8122,IMPORTRANGE(""1vUGwO1n0QQGx9kKbO0_M5gmuhXZ6-LaxQxgrmJnzgP0"",""'TP# look up'!A:C""),3,0),"""")"),"")</f>
        <v/>
      </c>
      <c r="AH8122" s="49">
        <f>LEFT(J8122,2)</f>
        <v/>
      </c>
    </row>
    <row r="8123" ht="12.75" customHeight="1">
      <c r="H8123" s="43" t="n"/>
      <c r="AG8123" s="49">
        <f>IFERROR(__xludf.DUMMYFUNCTION("IFNA(vlookup(H8123,IMPORTRANGE(""1vUGwO1n0QQGx9kKbO0_M5gmuhXZ6-LaxQxgrmJnzgP0"",""'TP# look up'!A:C""),3,0),"""")"),"")</f>
        <v/>
      </c>
      <c r="AH8123" s="49">
        <f>LEFT(J8123,2)</f>
        <v/>
      </c>
    </row>
    <row r="8124" ht="12.75" customHeight="1">
      <c r="H8124" s="43" t="n"/>
      <c r="AG8124" s="49">
        <f>IFERROR(__xludf.DUMMYFUNCTION("IFNA(vlookup(H8124,IMPORTRANGE(""1vUGwO1n0QQGx9kKbO0_M5gmuhXZ6-LaxQxgrmJnzgP0"",""'TP# look up'!A:C""),3,0),"""")"),"")</f>
        <v/>
      </c>
      <c r="AH8124" s="49">
        <f>LEFT(J8124,2)</f>
        <v/>
      </c>
    </row>
    <row r="8125" ht="12.75" customHeight="1">
      <c r="H8125" s="43" t="n"/>
      <c r="AG8125" s="49">
        <f>IFERROR(__xludf.DUMMYFUNCTION("IFNA(vlookup(H8125,IMPORTRANGE(""1vUGwO1n0QQGx9kKbO0_M5gmuhXZ6-LaxQxgrmJnzgP0"",""'TP# look up'!A:C""),3,0),"""")"),"")</f>
        <v/>
      </c>
      <c r="AH8125" s="49">
        <f>LEFT(J8125,2)</f>
        <v/>
      </c>
    </row>
    <row r="8126" ht="12.75" customHeight="1">
      <c r="H8126" s="43" t="n"/>
      <c r="AG8126" s="49">
        <f>IFERROR(__xludf.DUMMYFUNCTION("IFNA(vlookup(H8126,IMPORTRANGE(""1vUGwO1n0QQGx9kKbO0_M5gmuhXZ6-LaxQxgrmJnzgP0"",""'TP# look up'!A:C""),3,0),"""")"),"")</f>
        <v/>
      </c>
      <c r="AH8126" s="49">
        <f>LEFT(J8126,2)</f>
        <v/>
      </c>
    </row>
    <row r="8127" ht="12.75" customHeight="1">
      <c r="H8127" s="43" t="n"/>
      <c r="AG8127" s="49">
        <f>IFERROR(__xludf.DUMMYFUNCTION("IFNA(vlookup(H8127,IMPORTRANGE(""1vUGwO1n0QQGx9kKbO0_M5gmuhXZ6-LaxQxgrmJnzgP0"",""'TP# look up'!A:C""),3,0),"""")"),"")</f>
        <v/>
      </c>
      <c r="AH8127" s="49">
        <f>LEFT(J8127,2)</f>
        <v/>
      </c>
    </row>
    <row r="8128" ht="12.75" customHeight="1">
      <c r="H8128" s="43" t="n"/>
      <c r="AG8128" s="49">
        <f>IFERROR(__xludf.DUMMYFUNCTION("IFNA(vlookup(H8128,IMPORTRANGE(""1vUGwO1n0QQGx9kKbO0_M5gmuhXZ6-LaxQxgrmJnzgP0"",""'TP# look up'!A:C""),3,0),"""")"),"")</f>
        <v/>
      </c>
      <c r="AH8128" s="49">
        <f>LEFT(J8128,2)</f>
        <v/>
      </c>
    </row>
    <row r="8129" ht="12.75" customHeight="1">
      <c r="H8129" s="43" t="n"/>
      <c r="AG8129" s="49">
        <f>IFERROR(__xludf.DUMMYFUNCTION("IFNA(vlookup(H8129,IMPORTRANGE(""1vUGwO1n0QQGx9kKbO0_M5gmuhXZ6-LaxQxgrmJnzgP0"",""'TP# look up'!A:C""),3,0),"""")"),"")</f>
        <v/>
      </c>
      <c r="AH8129" s="49">
        <f>LEFT(J8129,2)</f>
        <v/>
      </c>
    </row>
    <row r="8130" ht="12.75" customHeight="1">
      <c r="H8130" s="43" t="n"/>
      <c r="AG8130" s="49">
        <f>IFERROR(__xludf.DUMMYFUNCTION("IFNA(vlookup(H8130,IMPORTRANGE(""1vUGwO1n0QQGx9kKbO0_M5gmuhXZ6-LaxQxgrmJnzgP0"",""'TP# look up'!A:C""),3,0),"""")"),"")</f>
        <v/>
      </c>
      <c r="AH8130" s="49">
        <f>LEFT(J8130,2)</f>
        <v/>
      </c>
    </row>
    <row r="8131" ht="12.75" customHeight="1">
      <c r="H8131" s="43" t="n"/>
      <c r="AG8131" s="49">
        <f>IFERROR(__xludf.DUMMYFUNCTION("IFNA(vlookup(H8131,IMPORTRANGE(""1vUGwO1n0QQGx9kKbO0_M5gmuhXZ6-LaxQxgrmJnzgP0"",""'TP# look up'!A:C""),3,0),"""")"),"")</f>
        <v/>
      </c>
      <c r="AH8131" s="49">
        <f>LEFT(J8131,2)</f>
        <v/>
      </c>
    </row>
    <row r="8132" ht="12.75" customHeight="1">
      <c r="H8132" s="43" t="n"/>
      <c r="AG8132" s="49">
        <f>IFERROR(__xludf.DUMMYFUNCTION("IFNA(vlookup(H8132,IMPORTRANGE(""1vUGwO1n0QQGx9kKbO0_M5gmuhXZ6-LaxQxgrmJnzgP0"",""'TP# look up'!A:C""),3,0),"""")"),"")</f>
        <v/>
      </c>
      <c r="AH8132" s="49">
        <f>LEFT(J8132,2)</f>
        <v/>
      </c>
    </row>
    <row r="8133" ht="12.75" customHeight="1">
      <c r="H8133" s="43" t="n"/>
      <c r="AG8133" s="49">
        <f>IFERROR(__xludf.DUMMYFUNCTION("IFNA(vlookup(H8133,IMPORTRANGE(""1vUGwO1n0QQGx9kKbO0_M5gmuhXZ6-LaxQxgrmJnzgP0"",""'TP# look up'!A:C""),3,0),"""")"),"")</f>
        <v/>
      </c>
      <c r="AH8133" s="49">
        <f>LEFT(J8133,2)</f>
        <v/>
      </c>
    </row>
    <row r="8134" ht="12.75" customHeight="1">
      <c r="H8134" s="43" t="n"/>
      <c r="AG8134" s="49">
        <f>IFERROR(__xludf.DUMMYFUNCTION("IFNA(vlookup(H8134,IMPORTRANGE(""1vUGwO1n0QQGx9kKbO0_M5gmuhXZ6-LaxQxgrmJnzgP0"",""'TP# look up'!A:C""),3,0),"""")"),"")</f>
        <v/>
      </c>
      <c r="AH8134" s="49">
        <f>LEFT(J8134,2)</f>
        <v/>
      </c>
    </row>
    <row r="8135" ht="12.75" customHeight="1">
      <c r="H8135" s="43" t="n"/>
      <c r="AG8135" s="49">
        <f>IFERROR(__xludf.DUMMYFUNCTION("IFNA(vlookup(H8135,IMPORTRANGE(""1vUGwO1n0QQGx9kKbO0_M5gmuhXZ6-LaxQxgrmJnzgP0"",""'TP# look up'!A:C""),3,0),"""")"),"")</f>
        <v/>
      </c>
      <c r="AH8135" s="49">
        <f>LEFT(J8135,2)</f>
        <v/>
      </c>
    </row>
    <row r="8136" ht="12.75" customHeight="1">
      <c r="H8136" s="43" t="n"/>
      <c r="AG8136" s="49">
        <f>IFERROR(__xludf.DUMMYFUNCTION("IFNA(vlookup(H8136,IMPORTRANGE(""1vUGwO1n0QQGx9kKbO0_M5gmuhXZ6-LaxQxgrmJnzgP0"",""'TP# look up'!A:C""),3,0),"""")"),"")</f>
        <v/>
      </c>
      <c r="AH8136" s="49">
        <f>LEFT(J8136,2)</f>
        <v/>
      </c>
    </row>
    <row r="8137" ht="12.75" customHeight="1">
      <c r="H8137" s="43" t="n"/>
      <c r="AG8137" s="49">
        <f>IFERROR(__xludf.DUMMYFUNCTION("IFNA(vlookup(H8137,IMPORTRANGE(""1vUGwO1n0QQGx9kKbO0_M5gmuhXZ6-LaxQxgrmJnzgP0"",""'TP# look up'!A:C""),3,0),"""")"),"")</f>
        <v/>
      </c>
      <c r="AH8137" s="49">
        <f>LEFT(J8137,2)</f>
        <v/>
      </c>
    </row>
    <row r="8138" ht="12.75" customHeight="1">
      <c r="H8138" s="43" t="n"/>
      <c r="AG8138" s="49">
        <f>IFERROR(__xludf.DUMMYFUNCTION("IFNA(vlookup(H8138,IMPORTRANGE(""1vUGwO1n0QQGx9kKbO0_M5gmuhXZ6-LaxQxgrmJnzgP0"",""'TP# look up'!A:C""),3,0),"""")"),"")</f>
        <v/>
      </c>
      <c r="AH8138" s="49">
        <f>LEFT(J8138,2)</f>
        <v/>
      </c>
    </row>
    <row r="8139" ht="12.75" customHeight="1">
      <c r="H8139" s="43" t="n"/>
      <c r="AG8139" s="49">
        <f>IFERROR(__xludf.DUMMYFUNCTION("IFNA(vlookup(H8139,IMPORTRANGE(""1vUGwO1n0QQGx9kKbO0_M5gmuhXZ6-LaxQxgrmJnzgP0"",""'TP# look up'!A:C""),3,0),"""")"),"")</f>
        <v/>
      </c>
      <c r="AH8139" s="49">
        <f>LEFT(J8139,2)</f>
        <v/>
      </c>
    </row>
    <row r="8140" ht="12.75" customHeight="1">
      <c r="H8140" s="43" t="n"/>
      <c r="AG8140" s="49">
        <f>IFERROR(__xludf.DUMMYFUNCTION("IFNA(vlookup(H8140,IMPORTRANGE(""1vUGwO1n0QQGx9kKbO0_M5gmuhXZ6-LaxQxgrmJnzgP0"",""'TP# look up'!A:C""),3,0),"""")"),"")</f>
        <v/>
      </c>
      <c r="AH8140" s="49">
        <f>LEFT(J8140,2)</f>
        <v/>
      </c>
    </row>
    <row r="8141" ht="12.75" customHeight="1">
      <c r="H8141" s="43" t="n"/>
      <c r="AG8141" s="49">
        <f>IFERROR(__xludf.DUMMYFUNCTION("IFNA(vlookup(H8141,IMPORTRANGE(""1vUGwO1n0QQGx9kKbO0_M5gmuhXZ6-LaxQxgrmJnzgP0"",""'TP# look up'!A:C""),3,0),"""")"),"")</f>
        <v/>
      </c>
      <c r="AH8141" s="49">
        <f>LEFT(J8141,2)</f>
        <v/>
      </c>
    </row>
    <row r="8142" ht="12.75" customHeight="1">
      <c r="H8142" s="43" t="n"/>
      <c r="AG8142" s="49">
        <f>IFERROR(__xludf.DUMMYFUNCTION("IFNA(vlookup(H8142,IMPORTRANGE(""1vUGwO1n0QQGx9kKbO0_M5gmuhXZ6-LaxQxgrmJnzgP0"",""'TP# look up'!A:C""),3,0),"""")"),"")</f>
        <v/>
      </c>
      <c r="AH8142" s="49">
        <f>LEFT(J8142,2)</f>
        <v/>
      </c>
    </row>
    <row r="8143" ht="12.75" customHeight="1">
      <c r="H8143" s="43" t="n"/>
      <c r="AG8143" s="49">
        <f>IFERROR(__xludf.DUMMYFUNCTION("IFNA(vlookup(H8143,IMPORTRANGE(""1vUGwO1n0QQGx9kKbO0_M5gmuhXZ6-LaxQxgrmJnzgP0"",""'TP# look up'!A:C""),3,0),"""")"),"")</f>
        <v/>
      </c>
      <c r="AH8143" s="49">
        <f>LEFT(J8143,2)</f>
        <v/>
      </c>
    </row>
    <row r="8144" ht="12.75" customHeight="1">
      <c r="H8144" s="43" t="n"/>
      <c r="AG8144" s="49">
        <f>IFERROR(__xludf.DUMMYFUNCTION("IFNA(vlookup(H8144,IMPORTRANGE(""1vUGwO1n0QQGx9kKbO0_M5gmuhXZ6-LaxQxgrmJnzgP0"",""'TP# look up'!A:C""),3,0),"""")"),"")</f>
        <v/>
      </c>
      <c r="AH8144" s="49">
        <f>LEFT(J8144,2)</f>
        <v/>
      </c>
    </row>
    <row r="8145" ht="12.75" customHeight="1">
      <c r="H8145" s="43" t="n"/>
      <c r="AG8145" s="49">
        <f>IFERROR(__xludf.DUMMYFUNCTION("IFNA(vlookup(H8145,IMPORTRANGE(""1vUGwO1n0QQGx9kKbO0_M5gmuhXZ6-LaxQxgrmJnzgP0"",""'TP# look up'!A:C""),3,0),"""")"),"")</f>
        <v/>
      </c>
      <c r="AH8145" s="49">
        <f>LEFT(J8145,2)</f>
        <v/>
      </c>
    </row>
    <row r="8146" ht="12.75" customHeight="1">
      <c r="H8146" s="43" t="n"/>
      <c r="AG8146" s="49">
        <f>IFERROR(__xludf.DUMMYFUNCTION("IFNA(vlookup(H8146,IMPORTRANGE(""1vUGwO1n0QQGx9kKbO0_M5gmuhXZ6-LaxQxgrmJnzgP0"",""'TP# look up'!A:C""),3,0),"""")"),"")</f>
        <v/>
      </c>
      <c r="AH8146" s="49">
        <f>LEFT(J8146,2)</f>
        <v/>
      </c>
    </row>
    <row r="8147" ht="12.75" customHeight="1">
      <c r="H8147" s="43" t="n"/>
      <c r="AG8147" s="49">
        <f>IFERROR(__xludf.DUMMYFUNCTION("IFNA(vlookup(H8147,IMPORTRANGE(""1vUGwO1n0QQGx9kKbO0_M5gmuhXZ6-LaxQxgrmJnzgP0"",""'TP# look up'!A:C""),3,0),"""")"),"")</f>
        <v/>
      </c>
      <c r="AH8147" s="49">
        <f>LEFT(J8147,2)</f>
        <v/>
      </c>
    </row>
    <row r="8148" ht="12.75" customHeight="1">
      <c r="H8148" s="43" t="n"/>
      <c r="AG8148" s="49">
        <f>IFERROR(__xludf.DUMMYFUNCTION("IFNA(vlookup(H8148,IMPORTRANGE(""1vUGwO1n0QQGx9kKbO0_M5gmuhXZ6-LaxQxgrmJnzgP0"",""'TP# look up'!A:C""),3,0),"""")"),"")</f>
        <v/>
      </c>
      <c r="AH8148" s="49">
        <f>LEFT(J8148,2)</f>
        <v/>
      </c>
    </row>
    <row r="8149" ht="12.75" customHeight="1">
      <c r="H8149" s="43" t="n"/>
      <c r="AG8149" s="49">
        <f>IFERROR(__xludf.DUMMYFUNCTION("IFNA(vlookup(H8149,IMPORTRANGE(""1vUGwO1n0QQGx9kKbO0_M5gmuhXZ6-LaxQxgrmJnzgP0"",""'TP# look up'!A:C""),3,0),"""")"),"")</f>
        <v/>
      </c>
      <c r="AH8149" s="49">
        <f>LEFT(J8149,2)</f>
        <v/>
      </c>
    </row>
    <row r="8150" ht="12.75" customHeight="1">
      <c r="H8150" s="43" t="n"/>
      <c r="AG8150" s="49">
        <f>IFERROR(__xludf.DUMMYFUNCTION("IFNA(vlookup(H8150,IMPORTRANGE(""1vUGwO1n0QQGx9kKbO0_M5gmuhXZ6-LaxQxgrmJnzgP0"",""'TP# look up'!A:C""),3,0),"""")"),"")</f>
        <v/>
      </c>
      <c r="AH8150" s="49">
        <f>LEFT(J8150,2)</f>
        <v/>
      </c>
    </row>
    <row r="8151" ht="12.75" customHeight="1">
      <c r="H8151" s="43" t="n"/>
      <c r="AG8151" s="49">
        <f>IFERROR(__xludf.DUMMYFUNCTION("IFNA(vlookup(H8151,IMPORTRANGE(""1vUGwO1n0QQGx9kKbO0_M5gmuhXZ6-LaxQxgrmJnzgP0"",""'TP# look up'!A:C""),3,0),"""")"),"")</f>
        <v/>
      </c>
      <c r="AH8151" s="49">
        <f>LEFT(J8151,2)</f>
        <v/>
      </c>
    </row>
    <row r="8152" ht="12.75" customHeight="1">
      <c r="H8152" s="43" t="n"/>
      <c r="AG8152" s="49">
        <f>IFERROR(__xludf.DUMMYFUNCTION("IFNA(vlookup(H8152,IMPORTRANGE(""1vUGwO1n0QQGx9kKbO0_M5gmuhXZ6-LaxQxgrmJnzgP0"",""'TP# look up'!A:C""),3,0),"""")"),"")</f>
        <v/>
      </c>
      <c r="AH8152" s="49">
        <f>LEFT(J8152,2)</f>
        <v/>
      </c>
    </row>
    <row r="8153" ht="12.75" customHeight="1">
      <c r="H8153" s="43" t="n"/>
      <c r="AG8153" s="49">
        <f>IFERROR(__xludf.DUMMYFUNCTION("IFNA(vlookup(H8153,IMPORTRANGE(""1vUGwO1n0QQGx9kKbO0_M5gmuhXZ6-LaxQxgrmJnzgP0"",""'TP# look up'!A:C""),3,0),"""")"),"")</f>
        <v/>
      </c>
      <c r="AH8153" s="49">
        <f>LEFT(J8153,2)</f>
        <v/>
      </c>
    </row>
    <row r="8154" ht="12.75" customHeight="1">
      <c r="H8154" s="43" t="n"/>
      <c r="AG8154" s="49">
        <f>IFERROR(__xludf.DUMMYFUNCTION("IFNA(vlookup(H8154,IMPORTRANGE(""1vUGwO1n0QQGx9kKbO0_M5gmuhXZ6-LaxQxgrmJnzgP0"",""'TP# look up'!A:C""),3,0),"""")"),"")</f>
        <v/>
      </c>
      <c r="AH8154" s="49">
        <f>LEFT(J8154,2)</f>
        <v/>
      </c>
    </row>
    <row r="8155" ht="12.75" customHeight="1">
      <c r="H8155" s="43" t="n"/>
      <c r="AG8155" s="49">
        <f>IFERROR(__xludf.DUMMYFUNCTION("IFNA(vlookup(H8155,IMPORTRANGE(""1vUGwO1n0QQGx9kKbO0_M5gmuhXZ6-LaxQxgrmJnzgP0"",""'TP# look up'!A:C""),3,0),"""")"),"")</f>
        <v/>
      </c>
      <c r="AH8155" s="49">
        <f>LEFT(J8155,2)</f>
        <v/>
      </c>
    </row>
    <row r="8156" ht="12.75" customHeight="1">
      <c r="H8156" s="43" t="n"/>
      <c r="AG8156" s="49">
        <f>IFERROR(__xludf.DUMMYFUNCTION("IFNA(vlookup(H8156,IMPORTRANGE(""1vUGwO1n0QQGx9kKbO0_M5gmuhXZ6-LaxQxgrmJnzgP0"",""'TP# look up'!A:C""),3,0),"""")"),"")</f>
        <v/>
      </c>
      <c r="AH8156" s="49">
        <f>LEFT(J8156,2)</f>
        <v/>
      </c>
    </row>
    <row r="8157" ht="12.75" customHeight="1">
      <c r="H8157" s="43" t="n"/>
      <c r="AG8157" s="49">
        <f>IFERROR(__xludf.DUMMYFUNCTION("IFNA(vlookup(H8157,IMPORTRANGE(""1vUGwO1n0QQGx9kKbO0_M5gmuhXZ6-LaxQxgrmJnzgP0"",""'TP# look up'!A:C""),3,0),"""")"),"")</f>
        <v/>
      </c>
      <c r="AH8157" s="49">
        <f>LEFT(J8157,2)</f>
        <v/>
      </c>
    </row>
    <row r="8158" ht="12.75" customHeight="1">
      <c r="H8158" s="43" t="n"/>
      <c r="AG8158" s="49">
        <f>IFERROR(__xludf.DUMMYFUNCTION("IFNA(vlookup(H8158,IMPORTRANGE(""1vUGwO1n0QQGx9kKbO0_M5gmuhXZ6-LaxQxgrmJnzgP0"",""'TP# look up'!A:C""),3,0),"""")"),"")</f>
        <v/>
      </c>
      <c r="AH8158" s="49">
        <f>LEFT(J8158,2)</f>
        <v/>
      </c>
    </row>
    <row r="8159" ht="12.75" customHeight="1">
      <c r="H8159" s="43" t="n"/>
      <c r="AG8159" s="49">
        <f>IFERROR(__xludf.DUMMYFUNCTION("IFNA(vlookup(H8159,IMPORTRANGE(""1vUGwO1n0QQGx9kKbO0_M5gmuhXZ6-LaxQxgrmJnzgP0"",""'TP# look up'!A:C""),3,0),"""")"),"")</f>
        <v/>
      </c>
      <c r="AH8159" s="49">
        <f>LEFT(J8159,2)</f>
        <v/>
      </c>
    </row>
    <row r="8160" ht="12.75" customHeight="1">
      <c r="H8160" s="43" t="n"/>
      <c r="AG8160" s="49">
        <f>IFERROR(__xludf.DUMMYFUNCTION("IFNA(vlookup(H8160,IMPORTRANGE(""1vUGwO1n0QQGx9kKbO0_M5gmuhXZ6-LaxQxgrmJnzgP0"",""'TP# look up'!A:C""),3,0),"""")"),"")</f>
        <v/>
      </c>
      <c r="AH8160" s="49">
        <f>LEFT(J8160,2)</f>
        <v/>
      </c>
    </row>
    <row r="8161" ht="12.75" customHeight="1">
      <c r="H8161" s="43" t="n"/>
      <c r="AG8161" s="49">
        <f>IFERROR(__xludf.DUMMYFUNCTION("IFNA(vlookup(H8161,IMPORTRANGE(""1vUGwO1n0QQGx9kKbO0_M5gmuhXZ6-LaxQxgrmJnzgP0"",""'TP# look up'!A:C""),3,0),"""")"),"")</f>
        <v/>
      </c>
      <c r="AH8161" s="49">
        <f>LEFT(J8161,2)</f>
        <v/>
      </c>
    </row>
    <row r="8162" ht="12.75" customHeight="1">
      <c r="H8162" s="43" t="n"/>
      <c r="AG8162" s="49">
        <f>IFERROR(__xludf.DUMMYFUNCTION("IFNA(vlookup(H8162,IMPORTRANGE(""1vUGwO1n0QQGx9kKbO0_M5gmuhXZ6-LaxQxgrmJnzgP0"",""'TP# look up'!A:C""),3,0),"""")"),"")</f>
        <v/>
      </c>
      <c r="AH8162" s="49">
        <f>LEFT(J8162,2)</f>
        <v/>
      </c>
    </row>
    <row r="8163" ht="12.75" customHeight="1">
      <c r="H8163" s="43" t="n"/>
      <c r="AG8163" s="49">
        <f>IFERROR(__xludf.DUMMYFUNCTION("IFNA(vlookup(H8163,IMPORTRANGE(""1vUGwO1n0QQGx9kKbO0_M5gmuhXZ6-LaxQxgrmJnzgP0"",""'TP# look up'!A:C""),3,0),"""")"),"")</f>
        <v/>
      </c>
      <c r="AH8163" s="49">
        <f>LEFT(J8163,2)</f>
        <v/>
      </c>
    </row>
    <row r="8164" ht="12.75" customHeight="1">
      <c r="H8164" s="43" t="n"/>
      <c r="AG8164" s="49">
        <f>IFERROR(__xludf.DUMMYFUNCTION("IFNA(vlookup(H8164,IMPORTRANGE(""1vUGwO1n0QQGx9kKbO0_M5gmuhXZ6-LaxQxgrmJnzgP0"",""'TP# look up'!A:C""),3,0),"""")"),"")</f>
        <v/>
      </c>
      <c r="AH8164" s="49">
        <f>LEFT(J8164,2)</f>
        <v/>
      </c>
    </row>
    <row r="8165" ht="12.75" customHeight="1">
      <c r="H8165" s="43" t="n"/>
      <c r="AG8165" s="49">
        <f>IFERROR(__xludf.DUMMYFUNCTION("IFNA(vlookup(H8165,IMPORTRANGE(""1vUGwO1n0QQGx9kKbO0_M5gmuhXZ6-LaxQxgrmJnzgP0"",""'TP# look up'!A:C""),3,0),"""")"),"")</f>
        <v/>
      </c>
      <c r="AH8165" s="49">
        <f>LEFT(J8165,2)</f>
        <v/>
      </c>
    </row>
    <row r="8166" ht="12.75" customHeight="1">
      <c r="H8166" s="43" t="n"/>
      <c r="AG8166" s="49">
        <f>IFERROR(__xludf.DUMMYFUNCTION("IFNA(vlookup(H8166,IMPORTRANGE(""1vUGwO1n0QQGx9kKbO0_M5gmuhXZ6-LaxQxgrmJnzgP0"",""'TP# look up'!A:C""),3,0),"""")"),"")</f>
        <v/>
      </c>
      <c r="AH8166" s="49">
        <f>LEFT(J8166,2)</f>
        <v/>
      </c>
    </row>
    <row r="8167" ht="12.75" customHeight="1">
      <c r="H8167" s="43" t="n"/>
      <c r="AG8167" s="49">
        <f>IFERROR(__xludf.DUMMYFUNCTION("IFNA(vlookup(H8167,IMPORTRANGE(""1vUGwO1n0QQGx9kKbO0_M5gmuhXZ6-LaxQxgrmJnzgP0"",""'TP# look up'!A:C""),3,0),"""")"),"")</f>
        <v/>
      </c>
      <c r="AH8167" s="49">
        <f>LEFT(J8167,2)</f>
        <v/>
      </c>
    </row>
    <row r="8168" ht="12.75" customHeight="1">
      <c r="H8168" s="43" t="n"/>
      <c r="AG8168" s="49">
        <f>IFERROR(__xludf.DUMMYFUNCTION("IFNA(vlookup(H8168,IMPORTRANGE(""1vUGwO1n0QQGx9kKbO0_M5gmuhXZ6-LaxQxgrmJnzgP0"",""'TP# look up'!A:C""),3,0),"""")"),"")</f>
        <v/>
      </c>
      <c r="AH8168" s="49">
        <f>LEFT(J8168,2)</f>
        <v/>
      </c>
    </row>
    <row r="8169" ht="12.75" customHeight="1">
      <c r="H8169" s="43" t="n"/>
      <c r="AG8169" s="49">
        <f>IFERROR(__xludf.DUMMYFUNCTION("IFNA(vlookup(H8169,IMPORTRANGE(""1vUGwO1n0QQGx9kKbO0_M5gmuhXZ6-LaxQxgrmJnzgP0"",""'TP# look up'!A:C""),3,0),"""")"),"")</f>
        <v/>
      </c>
      <c r="AH8169" s="49">
        <f>LEFT(J8169,2)</f>
        <v/>
      </c>
    </row>
    <row r="8170" ht="12.75" customHeight="1">
      <c r="H8170" s="43" t="n"/>
      <c r="AG8170" s="49">
        <f>IFERROR(__xludf.DUMMYFUNCTION("IFNA(vlookup(H8170,IMPORTRANGE(""1vUGwO1n0QQGx9kKbO0_M5gmuhXZ6-LaxQxgrmJnzgP0"",""'TP# look up'!A:C""),3,0),"""")"),"")</f>
        <v/>
      </c>
      <c r="AH8170" s="49">
        <f>LEFT(J8170,2)</f>
        <v/>
      </c>
    </row>
    <row r="8171" ht="12.75" customHeight="1">
      <c r="H8171" s="43" t="n"/>
      <c r="AG8171" s="49">
        <f>IFERROR(__xludf.DUMMYFUNCTION("IFNA(vlookup(H8171,IMPORTRANGE(""1vUGwO1n0QQGx9kKbO0_M5gmuhXZ6-LaxQxgrmJnzgP0"",""'TP# look up'!A:C""),3,0),"""")"),"")</f>
        <v/>
      </c>
      <c r="AH8171" s="49">
        <f>LEFT(J8171,2)</f>
        <v/>
      </c>
    </row>
    <row r="8172" ht="12.75" customHeight="1">
      <c r="H8172" s="43" t="n"/>
      <c r="AG8172" s="49">
        <f>IFERROR(__xludf.DUMMYFUNCTION("IFNA(vlookup(H8172,IMPORTRANGE(""1vUGwO1n0QQGx9kKbO0_M5gmuhXZ6-LaxQxgrmJnzgP0"",""'TP# look up'!A:C""),3,0),"""")"),"")</f>
        <v/>
      </c>
      <c r="AH8172" s="49">
        <f>LEFT(J8172,2)</f>
        <v/>
      </c>
    </row>
    <row r="8173" ht="12.75" customHeight="1">
      <c r="H8173" s="43" t="n"/>
      <c r="AG8173" s="49">
        <f>IFERROR(__xludf.DUMMYFUNCTION("IFNA(vlookup(H8173,IMPORTRANGE(""1vUGwO1n0QQGx9kKbO0_M5gmuhXZ6-LaxQxgrmJnzgP0"",""'TP# look up'!A:C""),3,0),"""")"),"")</f>
        <v/>
      </c>
      <c r="AH8173" s="49">
        <f>LEFT(J8173,2)</f>
        <v/>
      </c>
    </row>
    <row r="8174" ht="12.75" customHeight="1">
      <c r="H8174" s="43" t="n"/>
      <c r="AG8174" s="49">
        <f>IFERROR(__xludf.DUMMYFUNCTION("IFNA(vlookup(H8174,IMPORTRANGE(""1vUGwO1n0QQGx9kKbO0_M5gmuhXZ6-LaxQxgrmJnzgP0"",""'TP# look up'!A:C""),3,0),"""")"),"")</f>
        <v/>
      </c>
      <c r="AH8174" s="49">
        <f>LEFT(J8174,2)</f>
        <v/>
      </c>
    </row>
    <row r="8175" ht="12.75" customHeight="1">
      <c r="H8175" s="43" t="n"/>
      <c r="AG8175" s="49">
        <f>IFERROR(__xludf.DUMMYFUNCTION("IFNA(vlookup(H8175,IMPORTRANGE(""1vUGwO1n0QQGx9kKbO0_M5gmuhXZ6-LaxQxgrmJnzgP0"",""'TP# look up'!A:C""),3,0),"""")"),"")</f>
        <v/>
      </c>
      <c r="AH8175" s="49">
        <f>LEFT(J8175,2)</f>
        <v/>
      </c>
    </row>
    <row r="8176" ht="12.75" customHeight="1">
      <c r="H8176" s="43" t="n"/>
      <c r="AG8176" s="49">
        <f>IFERROR(__xludf.DUMMYFUNCTION("IFNA(vlookup(H8176,IMPORTRANGE(""1vUGwO1n0QQGx9kKbO0_M5gmuhXZ6-LaxQxgrmJnzgP0"",""'TP# look up'!A:C""),3,0),"""")"),"")</f>
        <v/>
      </c>
      <c r="AH8176" s="49">
        <f>LEFT(J8176,2)</f>
        <v/>
      </c>
    </row>
    <row r="8177" ht="12.75" customHeight="1">
      <c r="H8177" s="43" t="n"/>
      <c r="AG8177" s="49">
        <f>IFERROR(__xludf.DUMMYFUNCTION("IFNA(vlookup(H8177,IMPORTRANGE(""1vUGwO1n0QQGx9kKbO0_M5gmuhXZ6-LaxQxgrmJnzgP0"",""'TP# look up'!A:C""),3,0),"""")"),"")</f>
        <v/>
      </c>
      <c r="AH8177" s="49">
        <f>LEFT(J8177,2)</f>
        <v/>
      </c>
    </row>
    <row r="8178" ht="12.75" customHeight="1">
      <c r="H8178" s="43" t="n"/>
      <c r="AG8178" s="49">
        <f>IFERROR(__xludf.DUMMYFUNCTION("IFNA(vlookup(H8178,IMPORTRANGE(""1vUGwO1n0QQGx9kKbO0_M5gmuhXZ6-LaxQxgrmJnzgP0"",""'TP# look up'!A:C""),3,0),"""")"),"")</f>
        <v/>
      </c>
      <c r="AH8178" s="49">
        <f>LEFT(J8178,2)</f>
        <v/>
      </c>
    </row>
    <row r="8179" ht="12.75" customHeight="1">
      <c r="H8179" s="43" t="n"/>
      <c r="AG8179" s="49">
        <f>IFERROR(__xludf.DUMMYFUNCTION("IFNA(vlookup(H8179,IMPORTRANGE(""1vUGwO1n0QQGx9kKbO0_M5gmuhXZ6-LaxQxgrmJnzgP0"",""'TP# look up'!A:C""),3,0),"""")"),"")</f>
        <v/>
      </c>
      <c r="AH8179" s="49">
        <f>LEFT(J8179,2)</f>
        <v/>
      </c>
    </row>
    <row r="8180" ht="12.75" customHeight="1">
      <c r="H8180" s="43" t="n"/>
      <c r="AG8180" s="49">
        <f>IFERROR(__xludf.DUMMYFUNCTION("IFNA(vlookup(H8180,IMPORTRANGE(""1vUGwO1n0QQGx9kKbO0_M5gmuhXZ6-LaxQxgrmJnzgP0"",""'TP# look up'!A:C""),3,0),"""")"),"")</f>
        <v/>
      </c>
      <c r="AH8180" s="49">
        <f>LEFT(J8180,2)</f>
        <v/>
      </c>
    </row>
    <row r="8181" ht="12.75" customHeight="1">
      <c r="H8181" s="43" t="n"/>
      <c r="AG8181" s="49">
        <f>IFERROR(__xludf.DUMMYFUNCTION("IFNA(vlookup(H8181,IMPORTRANGE(""1vUGwO1n0QQGx9kKbO0_M5gmuhXZ6-LaxQxgrmJnzgP0"",""'TP# look up'!A:C""),3,0),"""")"),"")</f>
        <v/>
      </c>
      <c r="AH8181" s="49">
        <f>LEFT(J8181,2)</f>
        <v/>
      </c>
    </row>
    <row r="8182" ht="12.75" customHeight="1">
      <c r="H8182" s="43" t="n"/>
      <c r="AG8182" s="49">
        <f>IFERROR(__xludf.DUMMYFUNCTION("IFNA(vlookup(H8182,IMPORTRANGE(""1vUGwO1n0QQGx9kKbO0_M5gmuhXZ6-LaxQxgrmJnzgP0"",""'TP# look up'!A:C""),3,0),"""")"),"")</f>
        <v/>
      </c>
      <c r="AH8182" s="49">
        <f>LEFT(J8182,2)</f>
        <v/>
      </c>
    </row>
    <row r="8183" ht="12.75" customHeight="1">
      <c r="H8183" s="43" t="n"/>
      <c r="AG8183" s="49">
        <f>IFERROR(__xludf.DUMMYFUNCTION("IFNA(vlookup(H8183,IMPORTRANGE(""1vUGwO1n0QQGx9kKbO0_M5gmuhXZ6-LaxQxgrmJnzgP0"",""'TP# look up'!A:C""),3,0),"""")"),"")</f>
        <v/>
      </c>
      <c r="AH8183" s="49">
        <f>LEFT(J8183,2)</f>
        <v/>
      </c>
    </row>
    <row r="8184" ht="12.75" customHeight="1">
      <c r="H8184" s="43" t="n"/>
      <c r="AG8184" s="49">
        <f>IFERROR(__xludf.DUMMYFUNCTION("IFNA(vlookup(H8184,IMPORTRANGE(""1vUGwO1n0QQGx9kKbO0_M5gmuhXZ6-LaxQxgrmJnzgP0"",""'TP# look up'!A:C""),3,0),"""")"),"")</f>
        <v/>
      </c>
      <c r="AH8184" s="49">
        <f>LEFT(J8184,2)</f>
        <v/>
      </c>
    </row>
    <row r="8185" ht="12.75" customHeight="1">
      <c r="H8185" s="43" t="n"/>
      <c r="AG8185" s="49">
        <f>IFERROR(__xludf.DUMMYFUNCTION("IFNA(vlookup(H8185,IMPORTRANGE(""1vUGwO1n0QQGx9kKbO0_M5gmuhXZ6-LaxQxgrmJnzgP0"",""'TP# look up'!A:C""),3,0),"""")"),"")</f>
        <v/>
      </c>
      <c r="AH8185" s="49">
        <f>LEFT(J8185,2)</f>
        <v/>
      </c>
    </row>
    <row r="8186" ht="12.75" customHeight="1">
      <c r="H8186" s="43" t="n"/>
      <c r="AG8186" s="49">
        <f>IFERROR(__xludf.DUMMYFUNCTION("IFNA(vlookup(H8186,IMPORTRANGE(""1vUGwO1n0QQGx9kKbO0_M5gmuhXZ6-LaxQxgrmJnzgP0"",""'TP# look up'!A:C""),3,0),"""")"),"")</f>
        <v/>
      </c>
      <c r="AH8186" s="49">
        <f>LEFT(J8186,2)</f>
        <v/>
      </c>
    </row>
    <row r="8187" ht="12.75" customHeight="1">
      <c r="H8187" s="43" t="n"/>
      <c r="AG8187" s="49">
        <f>IFERROR(__xludf.DUMMYFUNCTION("IFNA(vlookup(H8187,IMPORTRANGE(""1vUGwO1n0QQGx9kKbO0_M5gmuhXZ6-LaxQxgrmJnzgP0"",""'TP# look up'!A:C""),3,0),"""")"),"")</f>
        <v/>
      </c>
      <c r="AH8187" s="49">
        <f>LEFT(J8187,2)</f>
        <v/>
      </c>
    </row>
    <row r="8188" ht="12.75" customHeight="1">
      <c r="H8188" s="43" t="n"/>
      <c r="AG8188" s="49">
        <f>IFERROR(__xludf.DUMMYFUNCTION("IFNA(vlookup(H8188,IMPORTRANGE(""1vUGwO1n0QQGx9kKbO0_M5gmuhXZ6-LaxQxgrmJnzgP0"",""'TP# look up'!A:C""),3,0),"""")"),"")</f>
        <v/>
      </c>
      <c r="AH8188" s="49">
        <f>LEFT(J8188,2)</f>
        <v/>
      </c>
    </row>
    <row r="8189" ht="12.75" customHeight="1">
      <c r="H8189" s="43" t="n"/>
      <c r="AG8189" s="49">
        <f>IFERROR(__xludf.DUMMYFUNCTION("IFNA(vlookup(H8189,IMPORTRANGE(""1vUGwO1n0QQGx9kKbO0_M5gmuhXZ6-LaxQxgrmJnzgP0"",""'TP# look up'!A:C""),3,0),"""")"),"")</f>
        <v/>
      </c>
      <c r="AH8189" s="49">
        <f>LEFT(J8189,2)</f>
        <v/>
      </c>
    </row>
    <row r="8190" ht="12.75" customHeight="1">
      <c r="H8190" s="43" t="n"/>
      <c r="AG8190" s="49">
        <f>IFERROR(__xludf.DUMMYFUNCTION("IFNA(vlookup(H8190,IMPORTRANGE(""1vUGwO1n0QQGx9kKbO0_M5gmuhXZ6-LaxQxgrmJnzgP0"",""'TP# look up'!A:C""),3,0),"""")"),"")</f>
        <v/>
      </c>
      <c r="AH8190" s="49">
        <f>LEFT(J8190,2)</f>
        <v/>
      </c>
    </row>
    <row r="8191" ht="12.75" customHeight="1">
      <c r="H8191" s="43" t="n"/>
      <c r="AG8191" s="49">
        <f>IFERROR(__xludf.DUMMYFUNCTION("IFNA(vlookup(H8191,IMPORTRANGE(""1vUGwO1n0QQGx9kKbO0_M5gmuhXZ6-LaxQxgrmJnzgP0"",""'TP# look up'!A:C""),3,0),"""")"),"")</f>
        <v/>
      </c>
      <c r="AH8191" s="49">
        <f>LEFT(J8191,2)</f>
        <v/>
      </c>
    </row>
    <row r="8192" ht="12.75" customHeight="1">
      <c r="H8192" s="43" t="n"/>
      <c r="AG8192" s="49">
        <f>IFERROR(__xludf.DUMMYFUNCTION("IFNA(vlookup(H8192,IMPORTRANGE(""1vUGwO1n0QQGx9kKbO0_M5gmuhXZ6-LaxQxgrmJnzgP0"",""'TP# look up'!A:C""),3,0),"""")"),"")</f>
        <v/>
      </c>
      <c r="AH8192" s="49">
        <f>LEFT(J8192,2)</f>
        <v/>
      </c>
    </row>
    <row r="8193" ht="12.75" customHeight="1">
      <c r="H8193" s="43" t="n"/>
      <c r="AG8193" s="49">
        <f>IFERROR(__xludf.DUMMYFUNCTION("IFNA(vlookup(H8193,IMPORTRANGE(""1vUGwO1n0QQGx9kKbO0_M5gmuhXZ6-LaxQxgrmJnzgP0"",""'TP# look up'!A:C""),3,0),"""")"),"")</f>
        <v/>
      </c>
      <c r="AH8193" s="49">
        <f>LEFT(J8193,2)</f>
        <v/>
      </c>
    </row>
    <row r="8194" ht="12.75" customHeight="1">
      <c r="H8194" s="43" t="n"/>
      <c r="AG8194" s="49">
        <f>IFERROR(__xludf.DUMMYFUNCTION("IFNA(vlookup(H8194,IMPORTRANGE(""1vUGwO1n0QQGx9kKbO0_M5gmuhXZ6-LaxQxgrmJnzgP0"",""'TP# look up'!A:C""),3,0),"""")"),"")</f>
        <v/>
      </c>
      <c r="AH8194" s="49">
        <f>LEFT(J8194,2)</f>
        <v/>
      </c>
    </row>
    <row r="8195" ht="12.75" customHeight="1">
      <c r="H8195" s="43" t="n"/>
      <c r="AG8195" s="49">
        <f>IFERROR(__xludf.DUMMYFUNCTION("IFNA(vlookup(H8195,IMPORTRANGE(""1vUGwO1n0QQGx9kKbO0_M5gmuhXZ6-LaxQxgrmJnzgP0"",""'TP# look up'!A:C""),3,0),"""")"),"")</f>
        <v/>
      </c>
      <c r="AH8195" s="49">
        <f>LEFT(J8195,2)</f>
        <v/>
      </c>
    </row>
    <row r="8196" ht="12.75" customHeight="1">
      <c r="H8196" s="43" t="n"/>
      <c r="AG8196" s="49">
        <f>IFERROR(__xludf.DUMMYFUNCTION("IFNA(vlookup(H8196,IMPORTRANGE(""1vUGwO1n0QQGx9kKbO0_M5gmuhXZ6-LaxQxgrmJnzgP0"",""'TP# look up'!A:C""),3,0),"""")"),"")</f>
        <v/>
      </c>
      <c r="AH8196" s="49">
        <f>LEFT(J8196,2)</f>
        <v/>
      </c>
    </row>
    <row r="8197" ht="12.75" customHeight="1">
      <c r="H8197" s="43" t="n"/>
      <c r="AG8197" s="49">
        <f>IFERROR(__xludf.DUMMYFUNCTION("IFNA(vlookup(H8197,IMPORTRANGE(""1vUGwO1n0QQGx9kKbO0_M5gmuhXZ6-LaxQxgrmJnzgP0"",""'TP# look up'!A:C""),3,0),"""")"),"")</f>
        <v/>
      </c>
      <c r="AH8197" s="49">
        <f>LEFT(J8197,2)</f>
        <v/>
      </c>
    </row>
    <row r="8198" ht="12.75" customHeight="1">
      <c r="H8198" s="43" t="n"/>
      <c r="AG8198" s="49">
        <f>IFERROR(__xludf.DUMMYFUNCTION("IFNA(vlookup(H8198,IMPORTRANGE(""1vUGwO1n0QQGx9kKbO0_M5gmuhXZ6-LaxQxgrmJnzgP0"",""'TP# look up'!A:C""),3,0),"""")"),"")</f>
        <v/>
      </c>
      <c r="AH8198" s="49">
        <f>LEFT(J8198,2)</f>
        <v/>
      </c>
    </row>
    <row r="8199" ht="12.75" customHeight="1">
      <c r="H8199" s="43" t="n"/>
      <c r="AG8199" s="49">
        <f>IFERROR(__xludf.DUMMYFUNCTION("IFNA(vlookup(H8199,IMPORTRANGE(""1vUGwO1n0QQGx9kKbO0_M5gmuhXZ6-LaxQxgrmJnzgP0"",""'TP# look up'!A:C""),3,0),"""")"),"")</f>
        <v/>
      </c>
      <c r="AH8199" s="49">
        <f>LEFT(J8199,2)</f>
        <v/>
      </c>
    </row>
    <row r="8200" ht="12.75" customHeight="1">
      <c r="H8200" s="43" t="n"/>
      <c r="AG8200" s="49">
        <f>IFERROR(__xludf.DUMMYFUNCTION("IFNA(vlookup(H8200,IMPORTRANGE(""1vUGwO1n0QQGx9kKbO0_M5gmuhXZ6-LaxQxgrmJnzgP0"",""'TP# look up'!A:C""),3,0),"""")"),"")</f>
        <v/>
      </c>
      <c r="AH8200" s="49">
        <f>LEFT(J8200,2)</f>
        <v/>
      </c>
    </row>
    <row r="8201" ht="12.75" customHeight="1">
      <c r="H8201" s="43" t="n"/>
      <c r="AG8201" s="49">
        <f>IFERROR(__xludf.DUMMYFUNCTION("IFNA(vlookup(H8201,IMPORTRANGE(""1vUGwO1n0QQGx9kKbO0_M5gmuhXZ6-LaxQxgrmJnzgP0"",""'TP# look up'!A:C""),3,0),"""")"),"")</f>
        <v/>
      </c>
      <c r="AH8201" s="49">
        <f>LEFT(J8201,2)</f>
        <v/>
      </c>
    </row>
    <row r="8202" ht="12.75" customHeight="1">
      <c r="H8202" s="43" t="n"/>
      <c r="AG8202" s="49">
        <f>IFERROR(__xludf.DUMMYFUNCTION("IFNA(vlookup(H8202,IMPORTRANGE(""1vUGwO1n0QQGx9kKbO0_M5gmuhXZ6-LaxQxgrmJnzgP0"",""'TP# look up'!A:C""),3,0),"""")"),"")</f>
        <v/>
      </c>
      <c r="AH8202" s="49">
        <f>LEFT(J8202,2)</f>
        <v/>
      </c>
    </row>
    <row r="8203" ht="12.75" customHeight="1">
      <c r="H8203" s="43" t="n"/>
      <c r="AG8203" s="49">
        <f>IFERROR(__xludf.DUMMYFUNCTION("IFNA(vlookup(H8203,IMPORTRANGE(""1vUGwO1n0QQGx9kKbO0_M5gmuhXZ6-LaxQxgrmJnzgP0"",""'TP# look up'!A:C""),3,0),"""")"),"")</f>
        <v/>
      </c>
      <c r="AH8203" s="49">
        <f>LEFT(J8203,2)</f>
        <v/>
      </c>
    </row>
    <row r="8204" ht="12.75" customHeight="1">
      <c r="H8204" s="43" t="n"/>
      <c r="AG8204" s="49">
        <f>IFERROR(__xludf.DUMMYFUNCTION("IFNA(vlookup(H8204,IMPORTRANGE(""1vUGwO1n0QQGx9kKbO0_M5gmuhXZ6-LaxQxgrmJnzgP0"",""'TP# look up'!A:C""),3,0),"""")"),"")</f>
        <v/>
      </c>
      <c r="AH8204" s="49">
        <f>LEFT(J8204,2)</f>
        <v/>
      </c>
    </row>
    <row r="8205" ht="12.75" customHeight="1">
      <c r="H8205" s="43" t="n"/>
      <c r="AG8205" s="49">
        <f>IFERROR(__xludf.DUMMYFUNCTION("IFNA(vlookup(H8205,IMPORTRANGE(""1vUGwO1n0QQGx9kKbO0_M5gmuhXZ6-LaxQxgrmJnzgP0"",""'TP# look up'!A:C""),3,0),"""")"),"")</f>
        <v/>
      </c>
      <c r="AH8205" s="49">
        <f>LEFT(J8205,2)</f>
        <v/>
      </c>
    </row>
    <row r="8206" ht="12.75" customHeight="1">
      <c r="H8206" s="43" t="n"/>
      <c r="AG8206" s="49">
        <f>IFERROR(__xludf.DUMMYFUNCTION("IFNA(vlookup(H8206,IMPORTRANGE(""1vUGwO1n0QQGx9kKbO0_M5gmuhXZ6-LaxQxgrmJnzgP0"",""'TP# look up'!A:C""),3,0),"""")"),"")</f>
        <v/>
      </c>
      <c r="AH8206" s="49">
        <f>LEFT(J8206,2)</f>
        <v/>
      </c>
    </row>
    <row r="8207" ht="12.75" customHeight="1">
      <c r="H8207" s="43" t="n"/>
      <c r="AG8207" s="49">
        <f>IFERROR(__xludf.DUMMYFUNCTION("IFNA(vlookup(H8207,IMPORTRANGE(""1vUGwO1n0QQGx9kKbO0_M5gmuhXZ6-LaxQxgrmJnzgP0"",""'TP# look up'!A:C""),3,0),"""")"),"")</f>
        <v/>
      </c>
      <c r="AH8207" s="49">
        <f>LEFT(J8207,2)</f>
        <v/>
      </c>
    </row>
    <row r="8208" ht="12.75" customHeight="1">
      <c r="H8208" s="43" t="n"/>
      <c r="AG8208" s="49">
        <f>IFERROR(__xludf.DUMMYFUNCTION("IFNA(vlookup(H8208,IMPORTRANGE(""1vUGwO1n0QQGx9kKbO0_M5gmuhXZ6-LaxQxgrmJnzgP0"",""'TP# look up'!A:C""),3,0),"""")"),"")</f>
        <v/>
      </c>
      <c r="AH8208" s="49">
        <f>LEFT(J8208,2)</f>
        <v/>
      </c>
    </row>
    <row r="8209" ht="12.75" customHeight="1">
      <c r="H8209" s="43" t="n"/>
      <c r="AG8209" s="49">
        <f>IFERROR(__xludf.DUMMYFUNCTION("IFNA(vlookup(H8209,IMPORTRANGE(""1vUGwO1n0QQGx9kKbO0_M5gmuhXZ6-LaxQxgrmJnzgP0"",""'TP# look up'!A:C""),3,0),"""")"),"")</f>
        <v/>
      </c>
      <c r="AH8209" s="49">
        <f>LEFT(J8209,2)</f>
        <v/>
      </c>
    </row>
    <row r="8210" ht="12.75" customHeight="1">
      <c r="H8210" s="43" t="n"/>
      <c r="AG8210" s="49">
        <f>IFERROR(__xludf.DUMMYFUNCTION("IFNA(vlookup(H8210,IMPORTRANGE(""1vUGwO1n0QQGx9kKbO0_M5gmuhXZ6-LaxQxgrmJnzgP0"",""'TP# look up'!A:C""),3,0),"""")"),"")</f>
        <v/>
      </c>
      <c r="AH8210" s="49">
        <f>LEFT(J8210,2)</f>
        <v/>
      </c>
    </row>
    <row r="8211" ht="12.75" customHeight="1">
      <c r="H8211" s="43" t="n"/>
      <c r="AG8211" s="49">
        <f>IFERROR(__xludf.DUMMYFUNCTION("IFNA(vlookup(H8211,IMPORTRANGE(""1vUGwO1n0QQGx9kKbO0_M5gmuhXZ6-LaxQxgrmJnzgP0"",""'TP# look up'!A:C""),3,0),"""")"),"")</f>
        <v/>
      </c>
      <c r="AH8211" s="49">
        <f>LEFT(J8211,2)</f>
        <v/>
      </c>
    </row>
    <row r="8212" ht="12.75" customHeight="1">
      <c r="H8212" s="43" t="n"/>
      <c r="AG8212" s="49">
        <f>IFERROR(__xludf.DUMMYFUNCTION("IFNA(vlookup(H8212,IMPORTRANGE(""1vUGwO1n0QQGx9kKbO0_M5gmuhXZ6-LaxQxgrmJnzgP0"",""'TP# look up'!A:C""),3,0),"""")"),"")</f>
        <v/>
      </c>
      <c r="AH8212" s="49">
        <f>LEFT(J8212,2)</f>
        <v/>
      </c>
    </row>
    <row r="8213" ht="12.75" customHeight="1">
      <c r="H8213" s="43" t="n"/>
      <c r="AG8213" s="49">
        <f>IFERROR(__xludf.DUMMYFUNCTION("IFNA(vlookup(H8213,IMPORTRANGE(""1vUGwO1n0QQGx9kKbO0_M5gmuhXZ6-LaxQxgrmJnzgP0"",""'TP# look up'!A:C""),3,0),"""")"),"")</f>
        <v/>
      </c>
      <c r="AH8213" s="49">
        <f>LEFT(J8213,2)</f>
        <v/>
      </c>
    </row>
    <row r="8214" ht="12.75" customHeight="1">
      <c r="H8214" s="43" t="n"/>
      <c r="AG8214" s="49">
        <f>IFERROR(__xludf.DUMMYFUNCTION("IFNA(vlookup(H8214,IMPORTRANGE(""1vUGwO1n0QQGx9kKbO0_M5gmuhXZ6-LaxQxgrmJnzgP0"",""'TP# look up'!A:C""),3,0),"""")"),"")</f>
        <v/>
      </c>
      <c r="AH8214" s="49">
        <f>LEFT(J8214,2)</f>
        <v/>
      </c>
    </row>
    <row r="8215" ht="12.75" customHeight="1">
      <c r="H8215" s="43" t="n"/>
      <c r="AG8215" s="49">
        <f>IFERROR(__xludf.DUMMYFUNCTION("IFNA(vlookup(H8215,IMPORTRANGE(""1vUGwO1n0QQGx9kKbO0_M5gmuhXZ6-LaxQxgrmJnzgP0"",""'TP# look up'!A:C""),3,0),"""")"),"")</f>
        <v/>
      </c>
      <c r="AH8215" s="49">
        <f>LEFT(J8215,2)</f>
        <v/>
      </c>
    </row>
    <row r="8216" ht="12.75" customHeight="1">
      <c r="H8216" s="43" t="n"/>
      <c r="AG8216" s="49">
        <f>IFERROR(__xludf.DUMMYFUNCTION("IFNA(vlookup(H8216,IMPORTRANGE(""1vUGwO1n0QQGx9kKbO0_M5gmuhXZ6-LaxQxgrmJnzgP0"",""'TP# look up'!A:C""),3,0),"""")"),"")</f>
        <v/>
      </c>
      <c r="AH8216" s="49">
        <f>LEFT(J8216,2)</f>
        <v/>
      </c>
    </row>
    <row r="8217" ht="12.75" customHeight="1">
      <c r="H8217" s="43" t="n"/>
      <c r="AG8217" s="49">
        <f>IFERROR(__xludf.DUMMYFUNCTION("IFNA(vlookup(H8217,IMPORTRANGE(""1vUGwO1n0QQGx9kKbO0_M5gmuhXZ6-LaxQxgrmJnzgP0"",""'TP# look up'!A:C""),3,0),"""")"),"")</f>
        <v/>
      </c>
      <c r="AH8217" s="49">
        <f>LEFT(J8217,2)</f>
        <v/>
      </c>
    </row>
    <row r="8218" ht="12.75" customHeight="1">
      <c r="H8218" s="43" t="n"/>
      <c r="AG8218" s="49">
        <f>IFERROR(__xludf.DUMMYFUNCTION("IFNA(vlookup(H8218,IMPORTRANGE(""1vUGwO1n0QQGx9kKbO0_M5gmuhXZ6-LaxQxgrmJnzgP0"",""'TP# look up'!A:C""),3,0),"""")"),"")</f>
        <v/>
      </c>
      <c r="AH8218" s="49">
        <f>LEFT(J8218,2)</f>
        <v/>
      </c>
    </row>
    <row r="8219" ht="12.75" customHeight="1">
      <c r="H8219" s="43" t="n"/>
      <c r="AG8219" s="49">
        <f>IFERROR(__xludf.DUMMYFUNCTION("IFNA(vlookup(H8219,IMPORTRANGE(""1vUGwO1n0QQGx9kKbO0_M5gmuhXZ6-LaxQxgrmJnzgP0"",""'TP# look up'!A:C""),3,0),"""")"),"")</f>
        <v/>
      </c>
      <c r="AH8219" s="49">
        <f>LEFT(J8219,2)</f>
        <v/>
      </c>
    </row>
    <row r="8220" ht="12.75" customHeight="1">
      <c r="H8220" s="43" t="n"/>
      <c r="AG8220" s="49">
        <f>IFERROR(__xludf.DUMMYFUNCTION("IFNA(vlookup(H8220,IMPORTRANGE(""1vUGwO1n0QQGx9kKbO0_M5gmuhXZ6-LaxQxgrmJnzgP0"",""'TP# look up'!A:C""),3,0),"""")"),"")</f>
        <v/>
      </c>
      <c r="AH8220" s="49">
        <f>LEFT(J8220,2)</f>
        <v/>
      </c>
    </row>
    <row r="8221" ht="12.75" customHeight="1">
      <c r="H8221" s="43" t="n"/>
      <c r="AG8221" s="49">
        <f>IFERROR(__xludf.DUMMYFUNCTION("IFNA(vlookup(H8221,IMPORTRANGE(""1vUGwO1n0QQGx9kKbO0_M5gmuhXZ6-LaxQxgrmJnzgP0"",""'TP# look up'!A:C""),3,0),"""")"),"")</f>
        <v/>
      </c>
      <c r="AH8221" s="49">
        <f>LEFT(J8221,2)</f>
        <v/>
      </c>
    </row>
    <row r="8222" ht="12.75" customHeight="1">
      <c r="H8222" s="43" t="n"/>
      <c r="AG8222" s="49">
        <f>IFERROR(__xludf.DUMMYFUNCTION("IFNA(vlookup(H8222,IMPORTRANGE(""1vUGwO1n0QQGx9kKbO0_M5gmuhXZ6-LaxQxgrmJnzgP0"",""'TP# look up'!A:C""),3,0),"""")"),"")</f>
        <v/>
      </c>
      <c r="AH8222" s="49">
        <f>LEFT(J8222,2)</f>
        <v/>
      </c>
    </row>
    <row r="8223" ht="12.75" customHeight="1">
      <c r="H8223" s="43" t="n"/>
      <c r="AG8223" s="49">
        <f>IFERROR(__xludf.DUMMYFUNCTION("IFNA(vlookup(H8223,IMPORTRANGE(""1vUGwO1n0QQGx9kKbO0_M5gmuhXZ6-LaxQxgrmJnzgP0"",""'TP# look up'!A:C""),3,0),"""")"),"")</f>
        <v/>
      </c>
      <c r="AH8223" s="49">
        <f>LEFT(J8223,2)</f>
        <v/>
      </c>
    </row>
    <row r="8224" ht="12.75" customHeight="1">
      <c r="H8224" s="43" t="n"/>
      <c r="AG8224" s="49">
        <f>IFERROR(__xludf.DUMMYFUNCTION("IFNA(vlookup(H8224,IMPORTRANGE(""1vUGwO1n0QQGx9kKbO0_M5gmuhXZ6-LaxQxgrmJnzgP0"",""'TP# look up'!A:C""),3,0),"""")"),"")</f>
        <v/>
      </c>
      <c r="AH8224" s="49">
        <f>LEFT(J8224,2)</f>
        <v/>
      </c>
    </row>
    <row r="8225" ht="12.75" customHeight="1">
      <c r="H8225" s="43" t="n"/>
      <c r="AG8225" s="49">
        <f>IFERROR(__xludf.DUMMYFUNCTION("IFNA(vlookup(H8225,IMPORTRANGE(""1vUGwO1n0QQGx9kKbO0_M5gmuhXZ6-LaxQxgrmJnzgP0"",""'TP# look up'!A:C""),3,0),"""")"),"")</f>
        <v/>
      </c>
      <c r="AH8225" s="49">
        <f>LEFT(J8225,2)</f>
        <v/>
      </c>
    </row>
    <row r="8226" ht="12.75" customHeight="1">
      <c r="H8226" s="43" t="n"/>
      <c r="AG8226" s="49">
        <f>IFERROR(__xludf.DUMMYFUNCTION("IFNA(vlookup(H8226,IMPORTRANGE(""1vUGwO1n0QQGx9kKbO0_M5gmuhXZ6-LaxQxgrmJnzgP0"",""'TP# look up'!A:C""),3,0),"""")"),"")</f>
        <v/>
      </c>
      <c r="AH8226" s="49">
        <f>LEFT(J8226,2)</f>
        <v/>
      </c>
    </row>
    <row r="8227" ht="12.75" customHeight="1">
      <c r="H8227" s="43" t="n"/>
      <c r="AG8227" s="49">
        <f>IFERROR(__xludf.DUMMYFUNCTION("IFNA(vlookup(H8227,IMPORTRANGE(""1vUGwO1n0QQGx9kKbO0_M5gmuhXZ6-LaxQxgrmJnzgP0"",""'TP# look up'!A:C""),3,0),"""")"),"")</f>
        <v/>
      </c>
      <c r="AH8227" s="49">
        <f>LEFT(J8227,2)</f>
        <v/>
      </c>
    </row>
    <row r="8228" ht="12.75" customHeight="1">
      <c r="H8228" s="43" t="n"/>
      <c r="AG8228" s="49">
        <f>IFERROR(__xludf.DUMMYFUNCTION("IFNA(vlookup(H8228,IMPORTRANGE(""1vUGwO1n0QQGx9kKbO0_M5gmuhXZ6-LaxQxgrmJnzgP0"",""'TP# look up'!A:C""),3,0),"""")"),"")</f>
        <v/>
      </c>
      <c r="AH8228" s="49">
        <f>LEFT(J8228,2)</f>
        <v/>
      </c>
    </row>
    <row r="8229" ht="12.75" customHeight="1">
      <c r="H8229" s="43" t="n"/>
      <c r="AG8229" s="49">
        <f>IFERROR(__xludf.DUMMYFUNCTION("IFNA(vlookup(H8229,IMPORTRANGE(""1vUGwO1n0QQGx9kKbO0_M5gmuhXZ6-LaxQxgrmJnzgP0"",""'TP# look up'!A:C""),3,0),"""")"),"")</f>
        <v/>
      </c>
      <c r="AH8229" s="49">
        <f>LEFT(J8229,2)</f>
        <v/>
      </c>
    </row>
    <row r="8230" ht="12.75" customHeight="1">
      <c r="H8230" s="43" t="n"/>
      <c r="AG8230" s="49">
        <f>IFERROR(__xludf.DUMMYFUNCTION("IFNA(vlookup(H8230,IMPORTRANGE(""1vUGwO1n0QQGx9kKbO0_M5gmuhXZ6-LaxQxgrmJnzgP0"",""'TP# look up'!A:C""),3,0),"""")"),"")</f>
        <v/>
      </c>
      <c r="AH8230" s="49">
        <f>LEFT(J8230,2)</f>
        <v/>
      </c>
    </row>
    <row r="8231" ht="12.75" customHeight="1">
      <c r="H8231" s="43" t="n"/>
      <c r="AG8231" s="49">
        <f>IFERROR(__xludf.DUMMYFUNCTION("IFNA(vlookup(H8231,IMPORTRANGE(""1vUGwO1n0QQGx9kKbO0_M5gmuhXZ6-LaxQxgrmJnzgP0"",""'TP# look up'!A:C""),3,0),"""")"),"")</f>
        <v/>
      </c>
      <c r="AH8231" s="49">
        <f>LEFT(J8231,2)</f>
        <v/>
      </c>
    </row>
    <row r="8232" ht="12.75" customHeight="1">
      <c r="H8232" s="43" t="n"/>
      <c r="AG8232" s="49">
        <f>IFERROR(__xludf.DUMMYFUNCTION("IFNA(vlookup(H8232,IMPORTRANGE(""1vUGwO1n0QQGx9kKbO0_M5gmuhXZ6-LaxQxgrmJnzgP0"",""'TP# look up'!A:C""),3,0),"""")"),"")</f>
        <v/>
      </c>
      <c r="AH8232" s="49">
        <f>LEFT(J8232,2)</f>
        <v/>
      </c>
    </row>
    <row r="8233" ht="12.75" customHeight="1">
      <c r="H8233" s="43" t="n"/>
      <c r="AG8233" s="49">
        <f>IFERROR(__xludf.DUMMYFUNCTION("IFNA(vlookup(H8233,IMPORTRANGE(""1vUGwO1n0QQGx9kKbO0_M5gmuhXZ6-LaxQxgrmJnzgP0"",""'TP# look up'!A:C""),3,0),"""")"),"")</f>
        <v/>
      </c>
      <c r="AH8233" s="49">
        <f>LEFT(J8233,2)</f>
        <v/>
      </c>
    </row>
    <row r="8234" ht="12.75" customHeight="1">
      <c r="H8234" s="43" t="n"/>
      <c r="AG8234" s="49">
        <f>IFERROR(__xludf.DUMMYFUNCTION("IFNA(vlookup(H8234,IMPORTRANGE(""1vUGwO1n0QQGx9kKbO0_M5gmuhXZ6-LaxQxgrmJnzgP0"",""'TP# look up'!A:C""),3,0),"""")"),"")</f>
        <v/>
      </c>
      <c r="AH8234" s="49">
        <f>LEFT(J8234,2)</f>
        <v/>
      </c>
    </row>
    <row r="8235" ht="12.75" customHeight="1">
      <c r="H8235" s="43" t="n"/>
      <c r="AG8235" s="49">
        <f>IFERROR(__xludf.DUMMYFUNCTION("IFNA(vlookup(H8235,IMPORTRANGE(""1vUGwO1n0QQGx9kKbO0_M5gmuhXZ6-LaxQxgrmJnzgP0"",""'TP# look up'!A:C""),3,0),"""")"),"")</f>
        <v/>
      </c>
      <c r="AH8235" s="49">
        <f>LEFT(J8235,2)</f>
        <v/>
      </c>
    </row>
    <row r="8236" ht="12.75" customHeight="1">
      <c r="H8236" s="43" t="n"/>
      <c r="AG8236" s="49">
        <f>IFERROR(__xludf.DUMMYFUNCTION("IFNA(vlookup(H8236,IMPORTRANGE(""1vUGwO1n0QQGx9kKbO0_M5gmuhXZ6-LaxQxgrmJnzgP0"",""'TP# look up'!A:C""),3,0),"""")"),"")</f>
        <v/>
      </c>
      <c r="AH8236" s="49">
        <f>LEFT(J8236,2)</f>
        <v/>
      </c>
    </row>
    <row r="8237" ht="12.75" customHeight="1">
      <c r="H8237" s="43" t="n"/>
      <c r="AG8237" s="49">
        <f>IFERROR(__xludf.DUMMYFUNCTION("IFNA(vlookup(H8237,IMPORTRANGE(""1vUGwO1n0QQGx9kKbO0_M5gmuhXZ6-LaxQxgrmJnzgP0"",""'TP# look up'!A:C""),3,0),"""")"),"")</f>
        <v/>
      </c>
      <c r="AH8237" s="49">
        <f>LEFT(J8237,2)</f>
        <v/>
      </c>
    </row>
    <row r="8238" ht="12.75" customHeight="1">
      <c r="H8238" s="43" t="n"/>
      <c r="AG8238" s="49">
        <f>IFERROR(__xludf.DUMMYFUNCTION("IFNA(vlookup(H8238,IMPORTRANGE(""1vUGwO1n0QQGx9kKbO0_M5gmuhXZ6-LaxQxgrmJnzgP0"",""'TP# look up'!A:C""),3,0),"""")"),"")</f>
        <v/>
      </c>
      <c r="AH8238" s="49">
        <f>LEFT(J8238,2)</f>
        <v/>
      </c>
    </row>
    <row r="8239" ht="12.75" customHeight="1">
      <c r="H8239" s="43" t="n"/>
      <c r="AG8239" s="49">
        <f>IFERROR(__xludf.DUMMYFUNCTION("IFNA(vlookup(H8239,IMPORTRANGE(""1vUGwO1n0QQGx9kKbO0_M5gmuhXZ6-LaxQxgrmJnzgP0"",""'TP# look up'!A:C""),3,0),"""")"),"")</f>
        <v/>
      </c>
      <c r="AH8239" s="49">
        <f>LEFT(J8239,2)</f>
        <v/>
      </c>
    </row>
    <row r="8240" ht="12.75" customHeight="1">
      <c r="H8240" s="43" t="n"/>
      <c r="AG8240" s="49">
        <f>IFERROR(__xludf.DUMMYFUNCTION("IFNA(vlookup(H8240,IMPORTRANGE(""1vUGwO1n0QQGx9kKbO0_M5gmuhXZ6-LaxQxgrmJnzgP0"",""'TP# look up'!A:C""),3,0),"""")"),"")</f>
        <v/>
      </c>
      <c r="AH8240" s="49">
        <f>LEFT(J8240,2)</f>
        <v/>
      </c>
    </row>
    <row r="8241" ht="12.75" customHeight="1">
      <c r="H8241" s="43" t="n"/>
      <c r="AG8241" s="49">
        <f>IFERROR(__xludf.DUMMYFUNCTION("IFNA(vlookup(H8241,IMPORTRANGE(""1vUGwO1n0QQGx9kKbO0_M5gmuhXZ6-LaxQxgrmJnzgP0"",""'TP# look up'!A:C""),3,0),"""")"),"")</f>
        <v/>
      </c>
      <c r="AH8241" s="49">
        <f>LEFT(J8241,2)</f>
        <v/>
      </c>
    </row>
    <row r="8242" ht="12.75" customHeight="1">
      <c r="H8242" s="43" t="n"/>
      <c r="AG8242" s="49">
        <f>IFERROR(__xludf.DUMMYFUNCTION("IFNA(vlookup(H8242,IMPORTRANGE(""1vUGwO1n0QQGx9kKbO0_M5gmuhXZ6-LaxQxgrmJnzgP0"",""'TP# look up'!A:C""),3,0),"""")"),"")</f>
        <v/>
      </c>
      <c r="AH8242" s="49">
        <f>LEFT(J8242,2)</f>
        <v/>
      </c>
    </row>
    <row r="8243" ht="12.75" customHeight="1">
      <c r="H8243" s="43" t="n"/>
      <c r="AG8243" s="49">
        <f>IFERROR(__xludf.DUMMYFUNCTION("IFNA(vlookup(H8243,IMPORTRANGE(""1vUGwO1n0QQGx9kKbO0_M5gmuhXZ6-LaxQxgrmJnzgP0"",""'TP# look up'!A:C""),3,0),"""")"),"")</f>
        <v/>
      </c>
      <c r="AH8243" s="49">
        <f>LEFT(J8243,2)</f>
        <v/>
      </c>
    </row>
    <row r="8244" ht="12.75" customHeight="1">
      <c r="H8244" s="43" t="n"/>
      <c r="AG8244" s="49">
        <f>IFERROR(__xludf.DUMMYFUNCTION("IFNA(vlookup(H8244,IMPORTRANGE(""1vUGwO1n0QQGx9kKbO0_M5gmuhXZ6-LaxQxgrmJnzgP0"",""'TP# look up'!A:C""),3,0),"""")"),"")</f>
        <v/>
      </c>
      <c r="AH8244" s="49">
        <f>LEFT(J8244,2)</f>
        <v/>
      </c>
    </row>
    <row r="8245" ht="12.75" customHeight="1">
      <c r="H8245" s="43" t="n"/>
      <c r="AG8245" s="49">
        <f>IFERROR(__xludf.DUMMYFUNCTION("IFNA(vlookup(H8245,IMPORTRANGE(""1vUGwO1n0QQGx9kKbO0_M5gmuhXZ6-LaxQxgrmJnzgP0"",""'TP# look up'!A:C""),3,0),"""")"),"")</f>
        <v/>
      </c>
      <c r="AH8245" s="49">
        <f>LEFT(J8245,2)</f>
        <v/>
      </c>
    </row>
    <row r="8246" ht="12.75" customHeight="1">
      <c r="H8246" s="43" t="n"/>
      <c r="AG8246" s="49">
        <f>IFERROR(__xludf.DUMMYFUNCTION("IFNA(vlookup(H8246,IMPORTRANGE(""1vUGwO1n0QQGx9kKbO0_M5gmuhXZ6-LaxQxgrmJnzgP0"",""'TP# look up'!A:C""),3,0),"""")"),"")</f>
        <v/>
      </c>
      <c r="AH8246" s="49">
        <f>LEFT(J8246,2)</f>
        <v/>
      </c>
    </row>
    <row r="8247" ht="12.75" customHeight="1">
      <c r="H8247" s="43" t="n"/>
      <c r="AG8247" s="49">
        <f>IFERROR(__xludf.DUMMYFUNCTION("IFNA(vlookup(H8247,IMPORTRANGE(""1vUGwO1n0QQGx9kKbO0_M5gmuhXZ6-LaxQxgrmJnzgP0"",""'TP# look up'!A:C""),3,0),"""")"),"")</f>
        <v/>
      </c>
      <c r="AH8247" s="49">
        <f>LEFT(J8247,2)</f>
        <v/>
      </c>
    </row>
    <row r="8248" ht="12.75" customHeight="1">
      <c r="H8248" s="43" t="n"/>
      <c r="AG8248" s="49">
        <f>IFERROR(__xludf.DUMMYFUNCTION("IFNA(vlookup(H8248,IMPORTRANGE(""1vUGwO1n0QQGx9kKbO0_M5gmuhXZ6-LaxQxgrmJnzgP0"",""'TP# look up'!A:C""),3,0),"""")"),"")</f>
        <v/>
      </c>
      <c r="AH8248" s="49">
        <f>LEFT(J8248,2)</f>
        <v/>
      </c>
    </row>
    <row r="8249" ht="12.75" customHeight="1">
      <c r="H8249" s="43" t="n"/>
      <c r="AG8249" s="49">
        <f>IFERROR(__xludf.DUMMYFUNCTION("IFNA(vlookup(H8249,IMPORTRANGE(""1vUGwO1n0QQGx9kKbO0_M5gmuhXZ6-LaxQxgrmJnzgP0"",""'TP# look up'!A:C""),3,0),"""")"),"")</f>
        <v/>
      </c>
      <c r="AH8249" s="49">
        <f>LEFT(J8249,2)</f>
        <v/>
      </c>
    </row>
    <row r="8250" ht="12.75" customHeight="1">
      <c r="H8250" s="43" t="n"/>
      <c r="AG8250" s="49">
        <f>IFERROR(__xludf.DUMMYFUNCTION("IFNA(vlookup(H8250,IMPORTRANGE(""1vUGwO1n0QQGx9kKbO0_M5gmuhXZ6-LaxQxgrmJnzgP0"",""'TP# look up'!A:C""),3,0),"""")"),"")</f>
        <v/>
      </c>
      <c r="AH8250" s="49">
        <f>LEFT(J8250,2)</f>
        <v/>
      </c>
    </row>
    <row r="8251" ht="12.75" customHeight="1">
      <c r="H8251" s="43" t="n"/>
      <c r="AG8251" s="49">
        <f>IFERROR(__xludf.DUMMYFUNCTION("IFNA(vlookup(H8251,IMPORTRANGE(""1vUGwO1n0QQGx9kKbO0_M5gmuhXZ6-LaxQxgrmJnzgP0"",""'TP# look up'!A:C""),3,0),"""")"),"")</f>
        <v/>
      </c>
      <c r="AH8251" s="49">
        <f>LEFT(J8251,2)</f>
        <v/>
      </c>
    </row>
    <row r="8252" ht="12.75" customHeight="1">
      <c r="H8252" s="43" t="n"/>
      <c r="AG8252" s="49">
        <f>IFERROR(__xludf.DUMMYFUNCTION("IFNA(vlookup(H8252,IMPORTRANGE(""1vUGwO1n0QQGx9kKbO0_M5gmuhXZ6-LaxQxgrmJnzgP0"",""'TP# look up'!A:C""),3,0),"""")"),"")</f>
        <v/>
      </c>
      <c r="AH8252" s="49">
        <f>LEFT(J8252,2)</f>
        <v/>
      </c>
    </row>
    <row r="8253" ht="12.75" customHeight="1">
      <c r="H8253" s="43" t="n"/>
      <c r="AG8253" s="49">
        <f>IFERROR(__xludf.DUMMYFUNCTION("IFNA(vlookup(H8253,IMPORTRANGE(""1vUGwO1n0QQGx9kKbO0_M5gmuhXZ6-LaxQxgrmJnzgP0"",""'TP# look up'!A:C""),3,0),"""")"),"")</f>
        <v/>
      </c>
      <c r="AH8253" s="49">
        <f>LEFT(J8253,2)</f>
        <v/>
      </c>
    </row>
    <row r="8254" ht="12.75" customHeight="1">
      <c r="H8254" s="43" t="n"/>
      <c r="AG8254" s="49">
        <f>IFERROR(__xludf.DUMMYFUNCTION("IFNA(vlookup(H8254,IMPORTRANGE(""1vUGwO1n0QQGx9kKbO0_M5gmuhXZ6-LaxQxgrmJnzgP0"",""'TP# look up'!A:C""),3,0),"""")"),"")</f>
        <v/>
      </c>
      <c r="AH8254" s="49">
        <f>LEFT(J8254,2)</f>
        <v/>
      </c>
    </row>
    <row r="8255" ht="12.75" customHeight="1">
      <c r="H8255" s="43" t="n"/>
      <c r="AG8255" s="49">
        <f>IFERROR(__xludf.DUMMYFUNCTION("IFNA(vlookup(H8255,IMPORTRANGE(""1vUGwO1n0QQGx9kKbO0_M5gmuhXZ6-LaxQxgrmJnzgP0"",""'TP# look up'!A:C""),3,0),"""")"),"")</f>
        <v/>
      </c>
      <c r="AH8255" s="49">
        <f>LEFT(J8255,2)</f>
        <v/>
      </c>
    </row>
    <row r="8256" ht="12.75" customHeight="1">
      <c r="H8256" s="43" t="n"/>
      <c r="AG8256" s="49">
        <f>IFERROR(__xludf.DUMMYFUNCTION("IFNA(vlookup(H8256,IMPORTRANGE(""1vUGwO1n0QQGx9kKbO0_M5gmuhXZ6-LaxQxgrmJnzgP0"",""'TP# look up'!A:C""),3,0),"""")"),"")</f>
        <v/>
      </c>
      <c r="AH8256" s="49">
        <f>LEFT(J8256,2)</f>
        <v/>
      </c>
    </row>
    <row r="8257" ht="12.75" customHeight="1">
      <c r="H8257" s="43" t="n"/>
      <c r="AG8257" s="49">
        <f>IFERROR(__xludf.DUMMYFUNCTION("IFNA(vlookup(H8257,IMPORTRANGE(""1vUGwO1n0QQGx9kKbO0_M5gmuhXZ6-LaxQxgrmJnzgP0"",""'TP# look up'!A:C""),3,0),"""")"),"")</f>
        <v/>
      </c>
      <c r="AH8257" s="49">
        <f>LEFT(J8257,2)</f>
        <v/>
      </c>
    </row>
    <row r="8258" ht="12.75" customHeight="1">
      <c r="H8258" s="43" t="n"/>
      <c r="AG8258" s="49">
        <f>IFERROR(__xludf.DUMMYFUNCTION("IFNA(vlookup(H8258,IMPORTRANGE(""1vUGwO1n0QQGx9kKbO0_M5gmuhXZ6-LaxQxgrmJnzgP0"",""'TP# look up'!A:C""),3,0),"""")"),"")</f>
        <v/>
      </c>
      <c r="AH8258" s="49">
        <f>LEFT(J8258,2)</f>
        <v/>
      </c>
    </row>
    <row r="8259" ht="12.75" customHeight="1">
      <c r="H8259" s="43" t="n"/>
      <c r="AG8259" s="49">
        <f>IFERROR(__xludf.DUMMYFUNCTION("IFNA(vlookup(H8259,IMPORTRANGE(""1vUGwO1n0QQGx9kKbO0_M5gmuhXZ6-LaxQxgrmJnzgP0"",""'TP# look up'!A:C""),3,0),"""")"),"")</f>
        <v/>
      </c>
      <c r="AH8259" s="49">
        <f>LEFT(J8259,2)</f>
        <v/>
      </c>
    </row>
    <row r="8260" ht="12.75" customHeight="1">
      <c r="H8260" s="43" t="n"/>
      <c r="AG8260" s="49">
        <f>IFERROR(__xludf.DUMMYFUNCTION("IFNA(vlookup(H8260,IMPORTRANGE(""1vUGwO1n0QQGx9kKbO0_M5gmuhXZ6-LaxQxgrmJnzgP0"",""'TP# look up'!A:C""),3,0),"""")"),"")</f>
        <v/>
      </c>
      <c r="AH8260" s="49">
        <f>LEFT(J8260,2)</f>
        <v/>
      </c>
    </row>
    <row r="8261" ht="12.75" customHeight="1">
      <c r="H8261" s="43" t="n"/>
      <c r="AG8261" s="49">
        <f>IFERROR(__xludf.DUMMYFUNCTION("IFNA(vlookup(H8261,IMPORTRANGE(""1vUGwO1n0QQGx9kKbO0_M5gmuhXZ6-LaxQxgrmJnzgP0"",""'TP# look up'!A:C""),3,0),"""")"),"")</f>
        <v/>
      </c>
      <c r="AH8261" s="49">
        <f>LEFT(J8261,2)</f>
        <v/>
      </c>
    </row>
    <row r="8262" ht="12.75" customHeight="1">
      <c r="H8262" s="43" t="n"/>
      <c r="AG8262" s="49">
        <f>IFERROR(__xludf.DUMMYFUNCTION("IFNA(vlookup(H8262,IMPORTRANGE(""1vUGwO1n0QQGx9kKbO0_M5gmuhXZ6-LaxQxgrmJnzgP0"",""'TP# look up'!A:C""),3,0),"""")"),"")</f>
        <v/>
      </c>
      <c r="AH8262" s="49">
        <f>LEFT(J8262,2)</f>
        <v/>
      </c>
    </row>
    <row r="8263" ht="12.75" customHeight="1">
      <c r="H8263" s="43" t="n"/>
      <c r="AG8263" s="49">
        <f>IFERROR(__xludf.DUMMYFUNCTION("IFNA(vlookup(H8263,IMPORTRANGE(""1vUGwO1n0QQGx9kKbO0_M5gmuhXZ6-LaxQxgrmJnzgP0"",""'TP# look up'!A:C""),3,0),"""")"),"")</f>
        <v/>
      </c>
      <c r="AH8263" s="49">
        <f>LEFT(J8263,2)</f>
        <v/>
      </c>
    </row>
    <row r="8264" ht="12.75" customHeight="1">
      <c r="H8264" s="43" t="n"/>
      <c r="AG8264" s="49">
        <f>IFERROR(__xludf.DUMMYFUNCTION("IFNA(vlookup(H8264,IMPORTRANGE(""1vUGwO1n0QQGx9kKbO0_M5gmuhXZ6-LaxQxgrmJnzgP0"",""'TP# look up'!A:C""),3,0),"""")"),"")</f>
        <v/>
      </c>
      <c r="AH8264" s="49">
        <f>LEFT(J8264,2)</f>
        <v/>
      </c>
    </row>
    <row r="8265" ht="12.75" customHeight="1">
      <c r="H8265" s="43" t="n"/>
      <c r="AG8265" s="49">
        <f>IFERROR(__xludf.DUMMYFUNCTION("IFNA(vlookup(H8265,IMPORTRANGE(""1vUGwO1n0QQGx9kKbO0_M5gmuhXZ6-LaxQxgrmJnzgP0"",""'TP# look up'!A:C""),3,0),"""")"),"")</f>
        <v/>
      </c>
      <c r="AH8265" s="49">
        <f>LEFT(J8265,2)</f>
        <v/>
      </c>
    </row>
    <row r="8266" ht="12.75" customHeight="1">
      <c r="H8266" s="43" t="n"/>
      <c r="AG8266" s="49">
        <f>IFERROR(__xludf.DUMMYFUNCTION("IFNA(vlookup(H8266,IMPORTRANGE(""1vUGwO1n0QQGx9kKbO0_M5gmuhXZ6-LaxQxgrmJnzgP0"",""'TP# look up'!A:C""),3,0),"""")"),"")</f>
        <v/>
      </c>
      <c r="AH8266" s="49">
        <f>LEFT(J8266,2)</f>
        <v/>
      </c>
    </row>
    <row r="8267" ht="12.75" customHeight="1">
      <c r="H8267" s="43" t="n"/>
      <c r="AG8267" s="49">
        <f>IFERROR(__xludf.DUMMYFUNCTION("IFNA(vlookup(H8267,IMPORTRANGE(""1vUGwO1n0QQGx9kKbO0_M5gmuhXZ6-LaxQxgrmJnzgP0"",""'TP# look up'!A:C""),3,0),"""")"),"")</f>
        <v/>
      </c>
      <c r="AH8267" s="49">
        <f>LEFT(J8267,2)</f>
        <v/>
      </c>
    </row>
    <row r="8268" ht="12.75" customHeight="1">
      <c r="H8268" s="43" t="n"/>
      <c r="AG8268" s="49">
        <f>IFERROR(__xludf.DUMMYFUNCTION("IFNA(vlookup(H8268,IMPORTRANGE(""1vUGwO1n0QQGx9kKbO0_M5gmuhXZ6-LaxQxgrmJnzgP0"",""'TP# look up'!A:C""),3,0),"""")"),"")</f>
        <v/>
      </c>
      <c r="AH8268" s="49">
        <f>LEFT(J8268,2)</f>
        <v/>
      </c>
    </row>
    <row r="8269" ht="12.75" customHeight="1">
      <c r="H8269" s="43" t="n"/>
      <c r="AG8269" s="49">
        <f>IFERROR(__xludf.DUMMYFUNCTION("IFNA(vlookup(H8269,IMPORTRANGE(""1vUGwO1n0QQGx9kKbO0_M5gmuhXZ6-LaxQxgrmJnzgP0"",""'TP# look up'!A:C""),3,0),"""")"),"")</f>
        <v/>
      </c>
      <c r="AH8269" s="49">
        <f>LEFT(J8269,2)</f>
        <v/>
      </c>
    </row>
    <row r="8270" ht="12.75" customHeight="1">
      <c r="H8270" s="43" t="n"/>
      <c r="AG8270" s="49">
        <f>IFERROR(__xludf.DUMMYFUNCTION("IFNA(vlookup(H8270,IMPORTRANGE(""1vUGwO1n0QQGx9kKbO0_M5gmuhXZ6-LaxQxgrmJnzgP0"",""'TP# look up'!A:C""),3,0),"""")"),"")</f>
        <v/>
      </c>
      <c r="AH8270" s="49">
        <f>LEFT(J8270,2)</f>
        <v/>
      </c>
    </row>
    <row r="8271" ht="12.75" customHeight="1">
      <c r="H8271" s="43" t="n"/>
      <c r="AG8271" s="49">
        <f>IFERROR(__xludf.DUMMYFUNCTION("IFNA(vlookup(H8271,IMPORTRANGE(""1vUGwO1n0QQGx9kKbO0_M5gmuhXZ6-LaxQxgrmJnzgP0"",""'TP# look up'!A:C""),3,0),"""")"),"")</f>
        <v/>
      </c>
      <c r="AH8271" s="49">
        <f>LEFT(J8271,2)</f>
        <v/>
      </c>
    </row>
    <row r="8272" ht="12.75" customHeight="1">
      <c r="H8272" s="43" t="n"/>
      <c r="AG8272" s="49">
        <f>IFERROR(__xludf.DUMMYFUNCTION("IFNA(vlookup(H8272,IMPORTRANGE(""1vUGwO1n0QQGx9kKbO0_M5gmuhXZ6-LaxQxgrmJnzgP0"",""'TP# look up'!A:C""),3,0),"""")"),"")</f>
        <v/>
      </c>
      <c r="AH8272" s="49">
        <f>LEFT(J8272,2)</f>
        <v/>
      </c>
    </row>
    <row r="8273" ht="12.75" customHeight="1">
      <c r="H8273" s="43" t="n"/>
      <c r="AG8273" s="49">
        <f>IFERROR(__xludf.DUMMYFUNCTION("IFNA(vlookup(H8273,IMPORTRANGE(""1vUGwO1n0QQGx9kKbO0_M5gmuhXZ6-LaxQxgrmJnzgP0"",""'TP# look up'!A:C""),3,0),"""")"),"")</f>
        <v/>
      </c>
      <c r="AH8273" s="49">
        <f>LEFT(J8273,2)</f>
        <v/>
      </c>
    </row>
    <row r="8274" ht="12.75" customHeight="1">
      <c r="H8274" s="43" t="n"/>
      <c r="AG8274" s="49">
        <f>IFERROR(__xludf.DUMMYFUNCTION("IFNA(vlookup(H8274,IMPORTRANGE(""1vUGwO1n0QQGx9kKbO0_M5gmuhXZ6-LaxQxgrmJnzgP0"",""'TP# look up'!A:C""),3,0),"""")"),"")</f>
        <v/>
      </c>
      <c r="AH8274" s="49">
        <f>LEFT(J8274,2)</f>
        <v/>
      </c>
    </row>
    <row r="8275" ht="12.75" customHeight="1">
      <c r="H8275" s="43" t="n"/>
      <c r="AG8275" s="49">
        <f>IFERROR(__xludf.DUMMYFUNCTION("IFNA(vlookup(H8275,IMPORTRANGE(""1vUGwO1n0QQGx9kKbO0_M5gmuhXZ6-LaxQxgrmJnzgP0"",""'TP# look up'!A:C""),3,0),"""")"),"")</f>
        <v/>
      </c>
      <c r="AH8275" s="49">
        <f>LEFT(J8275,2)</f>
        <v/>
      </c>
    </row>
    <row r="8276" ht="12.75" customHeight="1">
      <c r="H8276" s="43" t="n"/>
      <c r="AG8276" s="49">
        <f>IFERROR(__xludf.DUMMYFUNCTION("IFNA(vlookup(H8276,IMPORTRANGE(""1vUGwO1n0QQGx9kKbO0_M5gmuhXZ6-LaxQxgrmJnzgP0"",""'TP# look up'!A:C""),3,0),"""")"),"")</f>
        <v/>
      </c>
      <c r="AH8276" s="49">
        <f>LEFT(J8276,2)</f>
        <v/>
      </c>
    </row>
    <row r="8277" ht="12.75" customHeight="1">
      <c r="H8277" s="43" t="n"/>
      <c r="AG8277" s="49">
        <f>IFERROR(__xludf.DUMMYFUNCTION("IFNA(vlookup(H8277,IMPORTRANGE(""1vUGwO1n0QQGx9kKbO0_M5gmuhXZ6-LaxQxgrmJnzgP0"",""'TP# look up'!A:C""),3,0),"""")"),"")</f>
        <v/>
      </c>
      <c r="AH8277" s="49">
        <f>LEFT(J8277,2)</f>
        <v/>
      </c>
    </row>
    <row r="8278" ht="12.75" customHeight="1">
      <c r="H8278" s="43" t="n"/>
      <c r="AG8278" s="49">
        <f>IFERROR(__xludf.DUMMYFUNCTION("IFNA(vlookup(H8278,IMPORTRANGE(""1vUGwO1n0QQGx9kKbO0_M5gmuhXZ6-LaxQxgrmJnzgP0"",""'TP# look up'!A:C""),3,0),"""")"),"")</f>
        <v/>
      </c>
      <c r="AH8278" s="49">
        <f>LEFT(J8278,2)</f>
        <v/>
      </c>
    </row>
    <row r="8279" ht="12.75" customHeight="1">
      <c r="H8279" s="43" t="n"/>
      <c r="AG8279" s="49">
        <f>IFERROR(__xludf.DUMMYFUNCTION("IFNA(vlookup(H8279,IMPORTRANGE(""1vUGwO1n0QQGx9kKbO0_M5gmuhXZ6-LaxQxgrmJnzgP0"",""'TP# look up'!A:C""),3,0),"""")"),"")</f>
        <v/>
      </c>
      <c r="AH8279" s="49">
        <f>LEFT(J8279,2)</f>
        <v/>
      </c>
    </row>
    <row r="8280" ht="12.75" customHeight="1">
      <c r="H8280" s="43" t="n"/>
      <c r="AG8280" s="49">
        <f>IFERROR(__xludf.DUMMYFUNCTION("IFNA(vlookup(H8280,IMPORTRANGE(""1vUGwO1n0QQGx9kKbO0_M5gmuhXZ6-LaxQxgrmJnzgP0"",""'TP# look up'!A:C""),3,0),"""")"),"")</f>
        <v/>
      </c>
      <c r="AH8280" s="49">
        <f>LEFT(J8280,2)</f>
        <v/>
      </c>
    </row>
    <row r="8281" ht="12.75" customHeight="1">
      <c r="H8281" s="43" t="n"/>
      <c r="AG8281" s="49">
        <f>IFERROR(__xludf.DUMMYFUNCTION("IFNA(vlookup(H8281,IMPORTRANGE(""1vUGwO1n0QQGx9kKbO0_M5gmuhXZ6-LaxQxgrmJnzgP0"",""'TP# look up'!A:C""),3,0),"""")"),"")</f>
        <v/>
      </c>
      <c r="AH8281" s="49">
        <f>LEFT(J8281,2)</f>
        <v/>
      </c>
    </row>
    <row r="8282" ht="12.75" customHeight="1">
      <c r="H8282" s="43" t="n"/>
      <c r="AG8282" s="49">
        <f>IFERROR(__xludf.DUMMYFUNCTION("IFNA(vlookup(H8282,IMPORTRANGE(""1vUGwO1n0QQGx9kKbO0_M5gmuhXZ6-LaxQxgrmJnzgP0"",""'TP# look up'!A:C""),3,0),"""")"),"")</f>
        <v/>
      </c>
      <c r="AH8282" s="49">
        <f>LEFT(J8282,2)</f>
        <v/>
      </c>
    </row>
    <row r="8283" ht="12.75" customHeight="1">
      <c r="H8283" s="43" t="n"/>
      <c r="AG8283" s="49">
        <f>IFERROR(__xludf.DUMMYFUNCTION("IFNA(vlookup(H8283,IMPORTRANGE(""1vUGwO1n0QQGx9kKbO0_M5gmuhXZ6-LaxQxgrmJnzgP0"",""'TP# look up'!A:C""),3,0),"""")"),"")</f>
        <v/>
      </c>
      <c r="AH8283" s="49">
        <f>LEFT(J8283,2)</f>
        <v/>
      </c>
    </row>
    <row r="8284" ht="12.75" customHeight="1">
      <c r="H8284" s="43" t="n"/>
      <c r="AG8284" s="49">
        <f>IFERROR(__xludf.DUMMYFUNCTION("IFNA(vlookup(H8284,IMPORTRANGE(""1vUGwO1n0QQGx9kKbO0_M5gmuhXZ6-LaxQxgrmJnzgP0"",""'TP# look up'!A:C""),3,0),"""")"),"")</f>
        <v/>
      </c>
      <c r="AH8284" s="49">
        <f>LEFT(J8284,2)</f>
        <v/>
      </c>
    </row>
    <row r="8285" ht="12.75" customHeight="1">
      <c r="H8285" s="43" t="n"/>
      <c r="AG8285" s="49">
        <f>IFERROR(__xludf.DUMMYFUNCTION("IFNA(vlookup(H8285,IMPORTRANGE(""1vUGwO1n0QQGx9kKbO0_M5gmuhXZ6-LaxQxgrmJnzgP0"",""'TP# look up'!A:C""),3,0),"""")"),"")</f>
        <v/>
      </c>
      <c r="AH8285" s="49">
        <f>LEFT(J8285,2)</f>
        <v/>
      </c>
    </row>
    <row r="8286" ht="12.75" customHeight="1">
      <c r="H8286" s="43" t="n"/>
      <c r="AG8286" s="49">
        <f>IFERROR(__xludf.DUMMYFUNCTION("IFNA(vlookup(H8286,IMPORTRANGE(""1vUGwO1n0QQGx9kKbO0_M5gmuhXZ6-LaxQxgrmJnzgP0"",""'TP# look up'!A:C""),3,0),"""")"),"")</f>
        <v/>
      </c>
      <c r="AH8286" s="49">
        <f>LEFT(J8286,2)</f>
        <v/>
      </c>
    </row>
    <row r="8287" ht="12.75" customHeight="1">
      <c r="H8287" s="43" t="n"/>
      <c r="AG8287" s="49">
        <f>IFERROR(__xludf.DUMMYFUNCTION("IFNA(vlookup(H8287,IMPORTRANGE(""1vUGwO1n0QQGx9kKbO0_M5gmuhXZ6-LaxQxgrmJnzgP0"",""'TP# look up'!A:C""),3,0),"""")"),"")</f>
        <v/>
      </c>
      <c r="AH8287" s="49">
        <f>LEFT(J8287,2)</f>
        <v/>
      </c>
    </row>
    <row r="8288" ht="12.75" customHeight="1">
      <c r="H8288" s="43" t="n"/>
      <c r="AG8288" s="49">
        <f>IFERROR(__xludf.DUMMYFUNCTION("IFNA(vlookup(H8288,IMPORTRANGE(""1vUGwO1n0QQGx9kKbO0_M5gmuhXZ6-LaxQxgrmJnzgP0"",""'TP# look up'!A:C""),3,0),"""")"),"")</f>
        <v/>
      </c>
      <c r="AH8288" s="49">
        <f>LEFT(J8288,2)</f>
        <v/>
      </c>
    </row>
    <row r="8289" ht="12.75" customHeight="1">
      <c r="H8289" s="43" t="n"/>
      <c r="AG8289" s="49">
        <f>IFERROR(__xludf.DUMMYFUNCTION("IFNA(vlookup(H8289,IMPORTRANGE(""1vUGwO1n0QQGx9kKbO0_M5gmuhXZ6-LaxQxgrmJnzgP0"",""'TP# look up'!A:C""),3,0),"""")"),"")</f>
        <v/>
      </c>
      <c r="AH8289" s="49">
        <f>LEFT(J8289,2)</f>
        <v/>
      </c>
    </row>
    <row r="8290" ht="12.75" customHeight="1">
      <c r="H8290" s="43" t="n"/>
      <c r="AG8290" s="49">
        <f>IFERROR(__xludf.DUMMYFUNCTION("IFNA(vlookup(H8290,IMPORTRANGE(""1vUGwO1n0QQGx9kKbO0_M5gmuhXZ6-LaxQxgrmJnzgP0"",""'TP# look up'!A:C""),3,0),"""")"),"")</f>
        <v/>
      </c>
      <c r="AH8290" s="49">
        <f>LEFT(J8290,2)</f>
        <v/>
      </c>
    </row>
    <row r="8291" ht="12.75" customHeight="1">
      <c r="H8291" s="43" t="n"/>
      <c r="AG8291" s="49">
        <f>IFERROR(__xludf.DUMMYFUNCTION("IFNA(vlookup(H8291,IMPORTRANGE(""1vUGwO1n0QQGx9kKbO0_M5gmuhXZ6-LaxQxgrmJnzgP0"",""'TP# look up'!A:C""),3,0),"""")"),"")</f>
        <v/>
      </c>
      <c r="AH8291" s="49">
        <f>LEFT(J8291,2)</f>
        <v/>
      </c>
    </row>
    <row r="8292" ht="12.75" customHeight="1">
      <c r="H8292" s="43" t="n"/>
      <c r="AG8292" s="49">
        <f>IFERROR(__xludf.DUMMYFUNCTION("IFNA(vlookup(H8292,IMPORTRANGE(""1vUGwO1n0QQGx9kKbO0_M5gmuhXZ6-LaxQxgrmJnzgP0"",""'TP# look up'!A:C""),3,0),"""")"),"")</f>
        <v/>
      </c>
      <c r="AH8292" s="49">
        <f>LEFT(J8292,2)</f>
        <v/>
      </c>
    </row>
    <row r="8293" ht="12.75" customHeight="1">
      <c r="H8293" s="43" t="n"/>
      <c r="AG8293" s="49">
        <f>IFERROR(__xludf.DUMMYFUNCTION("IFNA(vlookup(H8293,IMPORTRANGE(""1vUGwO1n0QQGx9kKbO0_M5gmuhXZ6-LaxQxgrmJnzgP0"",""'TP# look up'!A:C""),3,0),"""")"),"")</f>
        <v/>
      </c>
      <c r="AH8293" s="49">
        <f>LEFT(J8293,2)</f>
        <v/>
      </c>
    </row>
    <row r="8294" ht="12.75" customHeight="1">
      <c r="H8294" s="43" t="n"/>
      <c r="AG8294" s="49">
        <f>IFERROR(__xludf.DUMMYFUNCTION("IFNA(vlookup(H8294,IMPORTRANGE(""1vUGwO1n0QQGx9kKbO0_M5gmuhXZ6-LaxQxgrmJnzgP0"",""'TP# look up'!A:C""),3,0),"""")"),"")</f>
        <v/>
      </c>
      <c r="AH8294" s="49">
        <f>LEFT(J8294,2)</f>
        <v/>
      </c>
    </row>
    <row r="8295" ht="12.75" customHeight="1">
      <c r="H8295" s="43" t="n"/>
      <c r="AG8295" s="49">
        <f>IFERROR(__xludf.DUMMYFUNCTION("IFNA(vlookup(H8295,IMPORTRANGE(""1vUGwO1n0QQGx9kKbO0_M5gmuhXZ6-LaxQxgrmJnzgP0"",""'TP# look up'!A:C""),3,0),"""")"),"")</f>
        <v/>
      </c>
      <c r="AH8295" s="49">
        <f>LEFT(J8295,2)</f>
        <v/>
      </c>
    </row>
    <row r="8296" ht="12.75" customHeight="1">
      <c r="H8296" s="43" t="n"/>
      <c r="AG8296" s="49">
        <f>IFERROR(__xludf.DUMMYFUNCTION("IFNA(vlookup(H8296,IMPORTRANGE(""1vUGwO1n0QQGx9kKbO0_M5gmuhXZ6-LaxQxgrmJnzgP0"",""'TP# look up'!A:C""),3,0),"""")"),"")</f>
        <v/>
      </c>
      <c r="AH8296" s="49">
        <f>LEFT(J8296,2)</f>
        <v/>
      </c>
    </row>
    <row r="8297" ht="12.75" customHeight="1">
      <c r="H8297" s="43" t="n"/>
      <c r="AG8297" s="49">
        <f>IFERROR(__xludf.DUMMYFUNCTION("IFNA(vlookup(H8297,IMPORTRANGE(""1vUGwO1n0QQGx9kKbO0_M5gmuhXZ6-LaxQxgrmJnzgP0"",""'TP# look up'!A:C""),3,0),"""")"),"")</f>
        <v/>
      </c>
      <c r="AH8297" s="49">
        <f>LEFT(J8297,2)</f>
        <v/>
      </c>
    </row>
    <row r="8298" ht="12.75" customHeight="1">
      <c r="H8298" s="43" t="n"/>
      <c r="AG8298" s="49">
        <f>IFERROR(__xludf.DUMMYFUNCTION("IFNA(vlookup(H8298,IMPORTRANGE(""1vUGwO1n0QQGx9kKbO0_M5gmuhXZ6-LaxQxgrmJnzgP0"",""'TP# look up'!A:C""),3,0),"""")"),"")</f>
        <v/>
      </c>
      <c r="AH8298" s="49">
        <f>LEFT(J8298,2)</f>
        <v/>
      </c>
    </row>
    <row r="8299" ht="12.75" customHeight="1">
      <c r="H8299" s="43" t="n"/>
      <c r="AG8299" s="49">
        <f>IFERROR(__xludf.DUMMYFUNCTION("IFNA(vlookup(H8299,IMPORTRANGE(""1vUGwO1n0QQGx9kKbO0_M5gmuhXZ6-LaxQxgrmJnzgP0"",""'TP# look up'!A:C""),3,0),"""")"),"")</f>
        <v/>
      </c>
      <c r="AH8299" s="49">
        <f>LEFT(J8299,2)</f>
        <v/>
      </c>
    </row>
    <row r="8300" ht="12.75" customHeight="1">
      <c r="H8300" s="43" t="n"/>
      <c r="AG8300" s="49">
        <f>IFERROR(__xludf.DUMMYFUNCTION("IFNA(vlookup(H8300,IMPORTRANGE(""1vUGwO1n0QQGx9kKbO0_M5gmuhXZ6-LaxQxgrmJnzgP0"",""'TP# look up'!A:C""),3,0),"""")"),"")</f>
        <v/>
      </c>
      <c r="AH8300" s="49">
        <f>LEFT(J8300,2)</f>
        <v/>
      </c>
    </row>
    <row r="8301" ht="12.75" customHeight="1">
      <c r="H8301" s="43" t="n"/>
      <c r="AG8301" s="49">
        <f>IFERROR(__xludf.DUMMYFUNCTION("IFNA(vlookup(H8301,IMPORTRANGE(""1vUGwO1n0QQGx9kKbO0_M5gmuhXZ6-LaxQxgrmJnzgP0"",""'TP# look up'!A:C""),3,0),"""")"),"")</f>
        <v/>
      </c>
      <c r="AH8301" s="49">
        <f>LEFT(J8301,2)</f>
        <v/>
      </c>
    </row>
    <row r="8302" ht="12.75" customHeight="1">
      <c r="H8302" s="43" t="n"/>
      <c r="AG8302" s="49">
        <f>IFERROR(__xludf.DUMMYFUNCTION("IFNA(vlookup(H8302,IMPORTRANGE(""1vUGwO1n0QQGx9kKbO0_M5gmuhXZ6-LaxQxgrmJnzgP0"",""'TP# look up'!A:C""),3,0),"""")"),"")</f>
        <v/>
      </c>
      <c r="AH8302" s="49">
        <f>LEFT(J8302,2)</f>
        <v/>
      </c>
    </row>
    <row r="8303" ht="12.75" customHeight="1">
      <c r="H8303" s="43" t="n"/>
      <c r="AG8303" s="49">
        <f>IFERROR(__xludf.DUMMYFUNCTION("IFNA(vlookup(H8303,IMPORTRANGE(""1vUGwO1n0QQGx9kKbO0_M5gmuhXZ6-LaxQxgrmJnzgP0"",""'TP# look up'!A:C""),3,0),"""")"),"")</f>
        <v/>
      </c>
      <c r="AH8303" s="49">
        <f>LEFT(J8303,2)</f>
        <v/>
      </c>
    </row>
    <row r="8304" ht="12.75" customHeight="1">
      <c r="H8304" s="43" t="n"/>
      <c r="AG8304" s="49">
        <f>IFERROR(__xludf.DUMMYFUNCTION("IFNA(vlookup(H8304,IMPORTRANGE(""1vUGwO1n0QQGx9kKbO0_M5gmuhXZ6-LaxQxgrmJnzgP0"",""'TP# look up'!A:C""),3,0),"""")"),"")</f>
        <v/>
      </c>
      <c r="AH8304" s="49">
        <f>LEFT(J8304,2)</f>
        <v/>
      </c>
    </row>
    <row r="8305" ht="12.75" customHeight="1">
      <c r="H8305" s="43" t="n"/>
      <c r="AG8305" s="49">
        <f>IFERROR(__xludf.DUMMYFUNCTION("IFNA(vlookup(H8305,IMPORTRANGE(""1vUGwO1n0QQGx9kKbO0_M5gmuhXZ6-LaxQxgrmJnzgP0"",""'TP# look up'!A:C""),3,0),"""")"),"")</f>
        <v/>
      </c>
      <c r="AH8305" s="49">
        <f>LEFT(J8305,2)</f>
        <v/>
      </c>
    </row>
    <row r="8306" ht="12.75" customHeight="1">
      <c r="H8306" s="43" t="n"/>
      <c r="AG8306" s="49">
        <f>IFERROR(__xludf.DUMMYFUNCTION("IFNA(vlookup(H8306,IMPORTRANGE(""1vUGwO1n0QQGx9kKbO0_M5gmuhXZ6-LaxQxgrmJnzgP0"",""'TP# look up'!A:C""),3,0),"""")"),"")</f>
        <v/>
      </c>
      <c r="AH8306" s="49">
        <f>LEFT(J8306,2)</f>
        <v/>
      </c>
    </row>
    <row r="8307" ht="12.75" customHeight="1">
      <c r="H8307" s="43" t="n"/>
      <c r="AG8307" s="49">
        <f>IFERROR(__xludf.DUMMYFUNCTION("IFNA(vlookup(H8307,IMPORTRANGE(""1vUGwO1n0QQGx9kKbO0_M5gmuhXZ6-LaxQxgrmJnzgP0"",""'TP# look up'!A:C""),3,0),"""")"),"")</f>
        <v/>
      </c>
      <c r="AH8307" s="49">
        <f>LEFT(J8307,2)</f>
        <v/>
      </c>
    </row>
    <row r="8308" ht="12.75" customHeight="1">
      <c r="H8308" s="43" t="n"/>
      <c r="AG8308" s="49">
        <f>IFERROR(__xludf.DUMMYFUNCTION("IFNA(vlookup(H8308,IMPORTRANGE(""1vUGwO1n0QQGx9kKbO0_M5gmuhXZ6-LaxQxgrmJnzgP0"",""'TP# look up'!A:C""),3,0),"""")"),"")</f>
        <v/>
      </c>
      <c r="AH8308" s="49">
        <f>LEFT(J8308,2)</f>
        <v/>
      </c>
    </row>
    <row r="8309" ht="12.75" customHeight="1">
      <c r="H8309" s="43" t="n"/>
      <c r="AG8309" s="49">
        <f>IFERROR(__xludf.DUMMYFUNCTION("IFNA(vlookup(H8309,IMPORTRANGE(""1vUGwO1n0QQGx9kKbO0_M5gmuhXZ6-LaxQxgrmJnzgP0"",""'TP# look up'!A:C""),3,0),"""")"),"")</f>
        <v/>
      </c>
      <c r="AH8309" s="49">
        <f>LEFT(J8309,2)</f>
        <v/>
      </c>
    </row>
    <row r="8310" ht="12.75" customHeight="1">
      <c r="H8310" s="43" t="n"/>
      <c r="AG8310" s="49">
        <f>IFERROR(__xludf.DUMMYFUNCTION("IFNA(vlookup(H8310,IMPORTRANGE(""1vUGwO1n0QQGx9kKbO0_M5gmuhXZ6-LaxQxgrmJnzgP0"",""'TP# look up'!A:C""),3,0),"""")"),"")</f>
        <v/>
      </c>
      <c r="AH8310" s="49">
        <f>LEFT(J8310,2)</f>
        <v/>
      </c>
    </row>
    <row r="8311" ht="12.75" customHeight="1">
      <c r="H8311" s="43" t="n"/>
      <c r="AG8311" s="49">
        <f>IFERROR(__xludf.DUMMYFUNCTION("IFNA(vlookup(H8311,IMPORTRANGE(""1vUGwO1n0QQGx9kKbO0_M5gmuhXZ6-LaxQxgrmJnzgP0"",""'TP# look up'!A:C""),3,0),"""")"),"")</f>
        <v/>
      </c>
      <c r="AH8311" s="49">
        <f>LEFT(J8311,2)</f>
        <v/>
      </c>
    </row>
    <row r="8312" ht="12.75" customHeight="1">
      <c r="H8312" s="43" t="n"/>
      <c r="AG8312" s="49">
        <f>IFERROR(__xludf.DUMMYFUNCTION("IFNA(vlookup(H8312,IMPORTRANGE(""1vUGwO1n0QQGx9kKbO0_M5gmuhXZ6-LaxQxgrmJnzgP0"",""'TP# look up'!A:C""),3,0),"""")"),"")</f>
        <v/>
      </c>
      <c r="AH8312" s="49">
        <f>LEFT(J8312,2)</f>
        <v/>
      </c>
    </row>
    <row r="8313" ht="12.75" customHeight="1">
      <c r="H8313" s="43" t="n"/>
      <c r="AG8313" s="49">
        <f>IFERROR(__xludf.DUMMYFUNCTION("IFNA(vlookup(H8313,IMPORTRANGE(""1vUGwO1n0QQGx9kKbO0_M5gmuhXZ6-LaxQxgrmJnzgP0"",""'TP# look up'!A:C""),3,0),"""")"),"")</f>
        <v/>
      </c>
      <c r="AH8313" s="49">
        <f>LEFT(J8313,2)</f>
        <v/>
      </c>
    </row>
    <row r="8314" ht="12.75" customHeight="1">
      <c r="H8314" s="43" t="n"/>
      <c r="AG8314" s="49">
        <f>IFERROR(__xludf.DUMMYFUNCTION("IFNA(vlookup(H8314,IMPORTRANGE(""1vUGwO1n0QQGx9kKbO0_M5gmuhXZ6-LaxQxgrmJnzgP0"",""'TP# look up'!A:C""),3,0),"""")"),"")</f>
        <v/>
      </c>
      <c r="AH8314" s="49">
        <f>LEFT(J8314,2)</f>
        <v/>
      </c>
    </row>
    <row r="8315" ht="12.75" customHeight="1">
      <c r="H8315" s="43" t="n"/>
      <c r="AG8315" s="49">
        <f>IFERROR(__xludf.DUMMYFUNCTION("IFNA(vlookup(H8315,IMPORTRANGE(""1vUGwO1n0QQGx9kKbO0_M5gmuhXZ6-LaxQxgrmJnzgP0"",""'TP# look up'!A:C""),3,0),"""")"),"")</f>
        <v/>
      </c>
      <c r="AH8315" s="49">
        <f>LEFT(J8315,2)</f>
        <v/>
      </c>
    </row>
    <row r="8316" ht="12.75" customHeight="1">
      <c r="H8316" s="43" t="n"/>
      <c r="AG8316" s="49">
        <f>IFERROR(__xludf.DUMMYFUNCTION("IFNA(vlookup(H8316,IMPORTRANGE(""1vUGwO1n0QQGx9kKbO0_M5gmuhXZ6-LaxQxgrmJnzgP0"",""'TP# look up'!A:C""),3,0),"""")"),"")</f>
        <v/>
      </c>
      <c r="AH8316" s="49">
        <f>LEFT(J8316,2)</f>
        <v/>
      </c>
    </row>
    <row r="8317" ht="12.75" customHeight="1">
      <c r="H8317" s="43" t="n"/>
      <c r="AG8317" s="49">
        <f>IFERROR(__xludf.DUMMYFUNCTION("IFNA(vlookup(H8317,IMPORTRANGE(""1vUGwO1n0QQGx9kKbO0_M5gmuhXZ6-LaxQxgrmJnzgP0"",""'TP# look up'!A:C""),3,0),"""")"),"")</f>
        <v/>
      </c>
      <c r="AH8317" s="49">
        <f>LEFT(J8317,2)</f>
        <v/>
      </c>
    </row>
    <row r="8318" ht="12.75" customHeight="1">
      <c r="H8318" s="43" t="n"/>
      <c r="AG8318" s="49">
        <f>IFERROR(__xludf.DUMMYFUNCTION("IFNA(vlookup(H8318,IMPORTRANGE(""1vUGwO1n0QQGx9kKbO0_M5gmuhXZ6-LaxQxgrmJnzgP0"",""'TP# look up'!A:C""),3,0),"""")"),"")</f>
        <v/>
      </c>
      <c r="AH8318" s="49">
        <f>LEFT(J8318,2)</f>
        <v/>
      </c>
    </row>
    <row r="8319" ht="12.75" customHeight="1">
      <c r="H8319" s="43" t="n"/>
      <c r="AG8319" s="49">
        <f>IFERROR(__xludf.DUMMYFUNCTION("IFNA(vlookup(H8319,IMPORTRANGE(""1vUGwO1n0QQGx9kKbO0_M5gmuhXZ6-LaxQxgrmJnzgP0"",""'TP# look up'!A:C""),3,0),"""")"),"")</f>
        <v/>
      </c>
      <c r="AH8319" s="49">
        <f>LEFT(J8319,2)</f>
        <v/>
      </c>
    </row>
    <row r="8320" ht="12.75" customHeight="1">
      <c r="H8320" s="43" t="n"/>
      <c r="AG8320" s="49">
        <f>IFERROR(__xludf.DUMMYFUNCTION("IFNA(vlookup(H8320,IMPORTRANGE(""1vUGwO1n0QQGx9kKbO0_M5gmuhXZ6-LaxQxgrmJnzgP0"",""'TP# look up'!A:C""),3,0),"""")"),"")</f>
        <v/>
      </c>
      <c r="AH8320" s="49">
        <f>LEFT(J8320,2)</f>
        <v/>
      </c>
    </row>
    <row r="8321" ht="12.75" customHeight="1">
      <c r="H8321" s="43" t="n"/>
      <c r="AG8321" s="49">
        <f>IFERROR(__xludf.DUMMYFUNCTION("IFNA(vlookup(H8321,IMPORTRANGE(""1vUGwO1n0QQGx9kKbO0_M5gmuhXZ6-LaxQxgrmJnzgP0"",""'TP# look up'!A:C""),3,0),"""")"),"")</f>
        <v/>
      </c>
      <c r="AH8321" s="49">
        <f>LEFT(J8321,2)</f>
        <v/>
      </c>
    </row>
    <row r="8322" ht="12.75" customHeight="1">
      <c r="H8322" s="43" t="n"/>
      <c r="AG8322" s="49">
        <f>IFERROR(__xludf.DUMMYFUNCTION("IFNA(vlookup(H8322,IMPORTRANGE(""1vUGwO1n0QQGx9kKbO0_M5gmuhXZ6-LaxQxgrmJnzgP0"",""'TP# look up'!A:C""),3,0),"""")"),"")</f>
        <v/>
      </c>
      <c r="AH8322" s="49">
        <f>LEFT(J8322,2)</f>
        <v/>
      </c>
    </row>
    <row r="8323" ht="12.75" customHeight="1">
      <c r="H8323" s="43" t="n"/>
      <c r="AG8323" s="49">
        <f>IFERROR(__xludf.DUMMYFUNCTION("IFNA(vlookup(H8323,IMPORTRANGE(""1vUGwO1n0QQGx9kKbO0_M5gmuhXZ6-LaxQxgrmJnzgP0"",""'TP# look up'!A:C""),3,0),"""")"),"")</f>
        <v/>
      </c>
      <c r="AH8323" s="49">
        <f>LEFT(J8323,2)</f>
        <v/>
      </c>
    </row>
    <row r="8324" ht="12.75" customHeight="1">
      <c r="H8324" s="43" t="n"/>
      <c r="AG8324" s="49">
        <f>IFERROR(__xludf.DUMMYFUNCTION("IFNA(vlookup(H8324,IMPORTRANGE(""1vUGwO1n0QQGx9kKbO0_M5gmuhXZ6-LaxQxgrmJnzgP0"",""'TP# look up'!A:C""),3,0),"""")"),"")</f>
        <v/>
      </c>
      <c r="AH8324" s="49">
        <f>LEFT(J8324,2)</f>
        <v/>
      </c>
    </row>
    <row r="8325" ht="12.75" customHeight="1">
      <c r="H8325" s="43" t="n"/>
      <c r="AG8325" s="49">
        <f>IFERROR(__xludf.DUMMYFUNCTION("IFNA(vlookup(H8325,IMPORTRANGE(""1vUGwO1n0QQGx9kKbO0_M5gmuhXZ6-LaxQxgrmJnzgP0"",""'TP# look up'!A:C""),3,0),"""")"),"")</f>
        <v/>
      </c>
      <c r="AH8325" s="49">
        <f>LEFT(J8325,2)</f>
        <v/>
      </c>
    </row>
    <row r="8326" ht="12.75" customHeight="1">
      <c r="H8326" s="43" t="n"/>
      <c r="AG8326" s="49">
        <f>IFERROR(__xludf.DUMMYFUNCTION("IFNA(vlookup(H8326,IMPORTRANGE(""1vUGwO1n0QQGx9kKbO0_M5gmuhXZ6-LaxQxgrmJnzgP0"",""'TP# look up'!A:C""),3,0),"""")"),"")</f>
        <v/>
      </c>
      <c r="AH8326" s="49">
        <f>LEFT(J8326,2)</f>
        <v/>
      </c>
    </row>
    <row r="8327" ht="12.75" customHeight="1">
      <c r="H8327" s="43" t="n"/>
      <c r="AG8327" s="49">
        <f>IFERROR(__xludf.DUMMYFUNCTION("IFNA(vlookup(H8327,IMPORTRANGE(""1vUGwO1n0QQGx9kKbO0_M5gmuhXZ6-LaxQxgrmJnzgP0"",""'TP# look up'!A:C""),3,0),"""")"),"")</f>
        <v/>
      </c>
      <c r="AH8327" s="49">
        <f>LEFT(J8327,2)</f>
        <v/>
      </c>
    </row>
    <row r="8328" ht="12.75" customHeight="1">
      <c r="H8328" s="43" t="n"/>
      <c r="AG8328" s="49">
        <f>IFERROR(__xludf.DUMMYFUNCTION("IFNA(vlookup(H8328,IMPORTRANGE(""1vUGwO1n0QQGx9kKbO0_M5gmuhXZ6-LaxQxgrmJnzgP0"",""'TP# look up'!A:C""),3,0),"""")"),"")</f>
        <v/>
      </c>
      <c r="AH8328" s="49">
        <f>LEFT(J8328,2)</f>
        <v/>
      </c>
    </row>
    <row r="8329" ht="12.75" customHeight="1">
      <c r="H8329" s="43" t="n"/>
      <c r="AG8329" s="49">
        <f>IFERROR(__xludf.DUMMYFUNCTION("IFNA(vlookup(H8329,IMPORTRANGE(""1vUGwO1n0QQGx9kKbO0_M5gmuhXZ6-LaxQxgrmJnzgP0"",""'TP# look up'!A:C""),3,0),"""")"),"")</f>
        <v/>
      </c>
      <c r="AH8329" s="49">
        <f>LEFT(J8329,2)</f>
        <v/>
      </c>
    </row>
    <row r="8330" ht="12.75" customHeight="1">
      <c r="H8330" s="43" t="n"/>
      <c r="AG8330" s="49">
        <f>IFERROR(__xludf.DUMMYFUNCTION("IFNA(vlookup(H8330,IMPORTRANGE(""1vUGwO1n0QQGx9kKbO0_M5gmuhXZ6-LaxQxgrmJnzgP0"",""'TP# look up'!A:C""),3,0),"""")"),"")</f>
        <v/>
      </c>
      <c r="AH8330" s="49">
        <f>LEFT(J8330,2)</f>
        <v/>
      </c>
    </row>
    <row r="8331" ht="12.75" customHeight="1">
      <c r="H8331" s="43" t="n"/>
      <c r="AG8331" s="49">
        <f>IFERROR(__xludf.DUMMYFUNCTION("IFNA(vlookup(H8331,IMPORTRANGE(""1vUGwO1n0QQGx9kKbO0_M5gmuhXZ6-LaxQxgrmJnzgP0"",""'TP# look up'!A:C""),3,0),"""")"),"")</f>
        <v/>
      </c>
      <c r="AH8331" s="49">
        <f>LEFT(J8331,2)</f>
        <v/>
      </c>
    </row>
    <row r="8332" ht="12.75" customHeight="1">
      <c r="H8332" s="43" t="n"/>
      <c r="AG8332" s="49">
        <f>IFERROR(__xludf.DUMMYFUNCTION("IFNA(vlookup(H8332,IMPORTRANGE(""1vUGwO1n0QQGx9kKbO0_M5gmuhXZ6-LaxQxgrmJnzgP0"",""'TP# look up'!A:C""),3,0),"""")"),"")</f>
        <v/>
      </c>
      <c r="AH8332" s="49">
        <f>LEFT(J8332,2)</f>
        <v/>
      </c>
    </row>
    <row r="8333" ht="12.75" customHeight="1">
      <c r="H8333" s="43" t="n"/>
      <c r="AG8333" s="49">
        <f>IFERROR(__xludf.DUMMYFUNCTION("IFNA(vlookup(H8333,IMPORTRANGE(""1vUGwO1n0QQGx9kKbO0_M5gmuhXZ6-LaxQxgrmJnzgP0"",""'TP# look up'!A:C""),3,0),"""")"),"")</f>
        <v/>
      </c>
      <c r="AH8333" s="49">
        <f>LEFT(J8333,2)</f>
        <v/>
      </c>
    </row>
    <row r="8334" ht="12.75" customHeight="1">
      <c r="H8334" s="43" t="n"/>
      <c r="AG8334" s="49">
        <f>IFERROR(__xludf.DUMMYFUNCTION("IFNA(vlookup(H8334,IMPORTRANGE(""1vUGwO1n0QQGx9kKbO0_M5gmuhXZ6-LaxQxgrmJnzgP0"",""'TP# look up'!A:C""),3,0),"""")"),"")</f>
        <v/>
      </c>
      <c r="AH8334" s="49">
        <f>LEFT(J8334,2)</f>
        <v/>
      </c>
    </row>
    <row r="8335" ht="12.75" customHeight="1">
      <c r="H8335" s="43" t="n"/>
      <c r="AG8335" s="49">
        <f>IFERROR(__xludf.DUMMYFUNCTION("IFNA(vlookup(H8335,IMPORTRANGE(""1vUGwO1n0QQGx9kKbO0_M5gmuhXZ6-LaxQxgrmJnzgP0"",""'TP# look up'!A:C""),3,0),"""")"),"")</f>
        <v/>
      </c>
      <c r="AH8335" s="49">
        <f>LEFT(J8335,2)</f>
        <v/>
      </c>
    </row>
    <row r="8336" ht="12.75" customHeight="1">
      <c r="H8336" s="43" t="n"/>
      <c r="AG8336" s="49">
        <f>IFERROR(__xludf.DUMMYFUNCTION("IFNA(vlookup(H8336,IMPORTRANGE(""1vUGwO1n0QQGx9kKbO0_M5gmuhXZ6-LaxQxgrmJnzgP0"",""'TP# look up'!A:C""),3,0),"""")"),"")</f>
        <v/>
      </c>
      <c r="AH8336" s="49">
        <f>LEFT(J8336,2)</f>
        <v/>
      </c>
    </row>
    <row r="8337" ht="12.75" customHeight="1">
      <c r="H8337" s="43" t="n"/>
      <c r="AG8337" s="49">
        <f>IFERROR(__xludf.DUMMYFUNCTION("IFNA(vlookup(H8337,IMPORTRANGE(""1vUGwO1n0QQGx9kKbO0_M5gmuhXZ6-LaxQxgrmJnzgP0"",""'TP# look up'!A:C""),3,0),"""")"),"")</f>
        <v/>
      </c>
      <c r="AH8337" s="49">
        <f>LEFT(J8337,2)</f>
        <v/>
      </c>
    </row>
    <row r="8338" ht="12.75" customHeight="1">
      <c r="H8338" s="43" t="n"/>
      <c r="AG8338" s="49">
        <f>IFERROR(__xludf.DUMMYFUNCTION("IFNA(vlookup(H8338,IMPORTRANGE(""1vUGwO1n0QQGx9kKbO0_M5gmuhXZ6-LaxQxgrmJnzgP0"",""'TP# look up'!A:C""),3,0),"""")"),"")</f>
        <v/>
      </c>
      <c r="AH8338" s="49">
        <f>LEFT(J8338,2)</f>
        <v/>
      </c>
    </row>
    <row r="8339" ht="12.75" customHeight="1">
      <c r="H8339" s="43" t="n"/>
      <c r="AG8339" s="49">
        <f>IFERROR(__xludf.DUMMYFUNCTION("IFNA(vlookup(H8339,IMPORTRANGE(""1vUGwO1n0QQGx9kKbO0_M5gmuhXZ6-LaxQxgrmJnzgP0"",""'TP# look up'!A:C""),3,0),"""")"),"")</f>
        <v/>
      </c>
      <c r="AH8339" s="49">
        <f>LEFT(J8339,2)</f>
        <v/>
      </c>
    </row>
    <row r="8340" ht="12.75" customHeight="1">
      <c r="H8340" s="43" t="n"/>
      <c r="AG8340" s="49">
        <f>IFERROR(__xludf.DUMMYFUNCTION("IFNA(vlookup(H8340,IMPORTRANGE(""1vUGwO1n0QQGx9kKbO0_M5gmuhXZ6-LaxQxgrmJnzgP0"",""'TP# look up'!A:C""),3,0),"""")"),"")</f>
        <v/>
      </c>
      <c r="AH8340" s="49">
        <f>LEFT(J8340,2)</f>
        <v/>
      </c>
    </row>
    <row r="8341" ht="12.75" customHeight="1">
      <c r="H8341" s="43" t="n"/>
      <c r="AG8341" s="49">
        <f>IFERROR(__xludf.DUMMYFUNCTION("IFNA(vlookup(H8341,IMPORTRANGE(""1vUGwO1n0QQGx9kKbO0_M5gmuhXZ6-LaxQxgrmJnzgP0"",""'TP# look up'!A:C""),3,0),"""")"),"")</f>
        <v/>
      </c>
      <c r="AH8341" s="49">
        <f>LEFT(J8341,2)</f>
        <v/>
      </c>
    </row>
    <row r="8342" ht="12.75" customHeight="1">
      <c r="H8342" s="43" t="n"/>
      <c r="AG8342" s="49">
        <f>IFERROR(__xludf.DUMMYFUNCTION("IFNA(vlookup(H8342,IMPORTRANGE(""1vUGwO1n0QQGx9kKbO0_M5gmuhXZ6-LaxQxgrmJnzgP0"",""'TP# look up'!A:C""),3,0),"""")"),"")</f>
        <v/>
      </c>
      <c r="AH8342" s="49">
        <f>LEFT(J8342,2)</f>
        <v/>
      </c>
    </row>
    <row r="8343" ht="12.75" customHeight="1">
      <c r="H8343" s="43" t="n"/>
      <c r="AG8343" s="49">
        <f>IFERROR(__xludf.DUMMYFUNCTION("IFNA(vlookup(H8343,IMPORTRANGE(""1vUGwO1n0QQGx9kKbO0_M5gmuhXZ6-LaxQxgrmJnzgP0"",""'TP# look up'!A:C""),3,0),"""")"),"")</f>
        <v/>
      </c>
      <c r="AH8343" s="49">
        <f>LEFT(J8343,2)</f>
        <v/>
      </c>
    </row>
    <row r="8344" ht="12.75" customHeight="1">
      <c r="H8344" s="43" t="n"/>
      <c r="AG8344" s="49">
        <f>IFERROR(__xludf.DUMMYFUNCTION("IFNA(vlookup(H8344,IMPORTRANGE(""1vUGwO1n0QQGx9kKbO0_M5gmuhXZ6-LaxQxgrmJnzgP0"",""'TP# look up'!A:C""),3,0),"""")"),"")</f>
        <v/>
      </c>
      <c r="AH8344" s="49">
        <f>LEFT(J8344,2)</f>
        <v/>
      </c>
    </row>
    <row r="8345" ht="12.75" customHeight="1">
      <c r="H8345" s="43" t="n"/>
      <c r="AG8345" s="49">
        <f>IFERROR(__xludf.DUMMYFUNCTION("IFNA(vlookup(H8345,IMPORTRANGE(""1vUGwO1n0QQGx9kKbO0_M5gmuhXZ6-LaxQxgrmJnzgP0"",""'TP# look up'!A:C""),3,0),"""")"),"")</f>
        <v/>
      </c>
      <c r="AH8345" s="49">
        <f>LEFT(J8345,2)</f>
        <v/>
      </c>
    </row>
    <row r="8346" ht="12.75" customHeight="1">
      <c r="H8346" s="43" t="n"/>
      <c r="AG8346" s="49">
        <f>IFERROR(__xludf.DUMMYFUNCTION("IFNA(vlookup(H8346,IMPORTRANGE(""1vUGwO1n0QQGx9kKbO0_M5gmuhXZ6-LaxQxgrmJnzgP0"",""'TP# look up'!A:C""),3,0),"""")"),"")</f>
        <v/>
      </c>
      <c r="AH8346" s="49">
        <f>LEFT(J8346,2)</f>
        <v/>
      </c>
    </row>
    <row r="8347" ht="12.75" customHeight="1">
      <c r="H8347" s="43" t="n"/>
      <c r="AG8347" s="49">
        <f>IFERROR(__xludf.DUMMYFUNCTION("IFNA(vlookup(H8347,IMPORTRANGE(""1vUGwO1n0QQGx9kKbO0_M5gmuhXZ6-LaxQxgrmJnzgP0"",""'TP# look up'!A:C""),3,0),"""")"),"")</f>
        <v/>
      </c>
      <c r="AH8347" s="49">
        <f>LEFT(J8347,2)</f>
        <v/>
      </c>
    </row>
    <row r="8348" ht="12.75" customHeight="1">
      <c r="H8348" s="43" t="n"/>
      <c r="AG8348" s="49">
        <f>IFERROR(__xludf.DUMMYFUNCTION("IFNA(vlookup(H8348,IMPORTRANGE(""1vUGwO1n0QQGx9kKbO0_M5gmuhXZ6-LaxQxgrmJnzgP0"",""'TP# look up'!A:C""),3,0),"""")"),"")</f>
        <v/>
      </c>
      <c r="AH8348" s="49">
        <f>LEFT(J8348,2)</f>
        <v/>
      </c>
    </row>
    <row r="8349" ht="12.75" customHeight="1">
      <c r="H8349" s="43" t="n"/>
      <c r="AG8349" s="49">
        <f>IFERROR(__xludf.DUMMYFUNCTION("IFNA(vlookup(H8349,IMPORTRANGE(""1vUGwO1n0QQGx9kKbO0_M5gmuhXZ6-LaxQxgrmJnzgP0"",""'TP# look up'!A:C""),3,0),"""")"),"")</f>
        <v/>
      </c>
      <c r="AH8349" s="49">
        <f>LEFT(J8349,2)</f>
        <v/>
      </c>
    </row>
    <row r="8350" ht="12.75" customHeight="1">
      <c r="H8350" s="43" t="n"/>
      <c r="AG8350" s="49">
        <f>IFERROR(__xludf.DUMMYFUNCTION("IFNA(vlookup(H8350,IMPORTRANGE(""1vUGwO1n0QQGx9kKbO0_M5gmuhXZ6-LaxQxgrmJnzgP0"",""'TP# look up'!A:C""),3,0),"""")"),"")</f>
        <v/>
      </c>
      <c r="AH8350" s="49">
        <f>LEFT(J8350,2)</f>
        <v/>
      </c>
    </row>
    <row r="8351" ht="12.75" customHeight="1">
      <c r="H8351" s="43" t="n"/>
      <c r="AG8351" s="49">
        <f>IFERROR(__xludf.DUMMYFUNCTION("IFNA(vlookup(H8351,IMPORTRANGE(""1vUGwO1n0QQGx9kKbO0_M5gmuhXZ6-LaxQxgrmJnzgP0"",""'TP# look up'!A:C""),3,0),"""")"),"")</f>
        <v/>
      </c>
      <c r="AH8351" s="49">
        <f>LEFT(J8351,2)</f>
        <v/>
      </c>
    </row>
    <row r="8352" ht="12.75" customHeight="1">
      <c r="H8352" s="43" t="n"/>
      <c r="AG8352" s="49">
        <f>IFERROR(__xludf.DUMMYFUNCTION("IFNA(vlookup(H8352,IMPORTRANGE(""1vUGwO1n0QQGx9kKbO0_M5gmuhXZ6-LaxQxgrmJnzgP0"",""'TP# look up'!A:C""),3,0),"""")"),"")</f>
        <v/>
      </c>
      <c r="AH8352" s="49">
        <f>LEFT(J8352,2)</f>
        <v/>
      </c>
    </row>
    <row r="8353" ht="12.75" customHeight="1">
      <c r="H8353" s="43" t="n"/>
      <c r="AG8353" s="49">
        <f>IFERROR(__xludf.DUMMYFUNCTION("IFNA(vlookup(H8353,IMPORTRANGE(""1vUGwO1n0QQGx9kKbO0_M5gmuhXZ6-LaxQxgrmJnzgP0"",""'TP# look up'!A:C""),3,0),"""")"),"")</f>
        <v/>
      </c>
      <c r="AH8353" s="49">
        <f>LEFT(J8353,2)</f>
        <v/>
      </c>
    </row>
    <row r="8354" ht="12.75" customHeight="1">
      <c r="H8354" s="43" t="n"/>
      <c r="AG8354" s="49">
        <f>IFERROR(__xludf.DUMMYFUNCTION("IFNA(vlookup(H8354,IMPORTRANGE(""1vUGwO1n0QQGx9kKbO0_M5gmuhXZ6-LaxQxgrmJnzgP0"",""'TP# look up'!A:C""),3,0),"""")"),"")</f>
        <v/>
      </c>
      <c r="AH8354" s="49">
        <f>LEFT(J8354,2)</f>
        <v/>
      </c>
    </row>
    <row r="8355" ht="12.75" customHeight="1">
      <c r="H8355" s="43" t="n"/>
      <c r="AG8355" s="49">
        <f>IFERROR(__xludf.DUMMYFUNCTION("IFNA(vlookup(H8355,IMPORTRANGE(""1vUGwO1n0QQGx9kKbO0_M5gmuhXZ6-LaxQxgrmJnzgP0"",""'TP# look up'!A:C""),3,0),"""")"),"")</f>
        <v/>
      </c>
      <c r="AH8355" s="49">
        <f>LEFT(J8355,2)</f>
        <v/>
      </c>
    </row>
    <row r="8356" ht="12.75" customHeight="1">
      <c r="H8356" s="43" t="n"/>
      <c r="AG8356" s="49">
        <f>IFERROR(__xludf.DUMMYFUNCTION("IFNA(vlookup(H8356,IMPORTRANGE(""1vUGwO1n0QQGx9kKbO0_M5gmuhXZ6-LaxQxgrmJnzgP0"",""'TP# look up'!A:C""),3,0),"""")"),"")</f>
        <v/>
      </c>
      <c r="AH8356" s="49">
        <f>LEFT(J8356,2)</f>
        <v/>
      </c>
    </row>
    <row r="8357" ht="12.75" customHeight="1">
      <c r="H8357" s="43" t="n"/>
      <c r="AG8357" s="49">
        <f>IFERROR(__xludf.DUMMYFUNCTION("IFNA(vlookup(H8357,IMPORTRANGE(""1vUGwO1n0QQGx9kKbO0_M5gmuhXZ6-LaxQxgrmJnzgP0"",""'TP# look up'!A:C""),3,0),"""")"),"")</f>
        <v/>
      </c>
      <c r="AH8357" s="49">
        <f>LEFT(J8357,2)</f>
        <v/>
      </c>
    </row>
    <row r="8358" ht="12.75" customHeight="1">
      <c r="H8358" s="43" t="n"/>
      <c r="AG8358" s="49">
        <f>IFERROR(__xludf.DUMMYFUNCTION("IFNA(vlookup(H8358,IMPORTRANGE(""1vUGwO1n0QQGx9kKbO0_M5gmuhXZ6-LaxQxgrmJnzgP0"",""'TP# look up'!A:C""),3,0),"""")"),"")</f>
        <v/>
      </c>
      <c r="AH8358" s="49">
        <f>LEFT(J8358,2)</f>
        <v/>
      </c>
    </row>
    <row r="8359" ht="12.75" customHeight="1">
      <c r="H8359" s="43" t="n"/>
      <c r="AG8359" s="49">
        <f>IFERROR(__xludf.DUMMYFUNCTION("IFNA(vlookup(H8359,IMPORTRANGE(""1vUGwO1n0QQGx9kKbO0_M5gmuhXZ6-LaxQxgrmJnzgP0"",""'TP# look up'!A:C""),3,0),"""")"),"")</f>
        <v/>
      </c>
      <c r="AH8359" s="49">
        <f>LEFT(J8359,2)</f>
        <v/>
      </c>
    </row>
    <row r="8360" ht="12.75" customHeight="1">
      <c r="H8360" s="43" t="n"/>
      <c r="AG8360" s="49">
        <f>IFERROR(__xludf.DUMMYFUNCTION("IFNA(vlookup(H8360,IMPORTRANGE(""1vUGwO1n0QQGx9kKbO0_M5gmuhXZ6-LaxQxgrmJnzgP0"",""'TP# look up'!A:C""),3,0),"""")"),"")</f>
        <v/>
      </c>
      <c r="AH8360" s="49">
        <f>LEFT(J8360,2)</f>
        <v/>
      </c>
    </row>
    <row r="8361" ht="12.75" customHeight="1">
      <c r="H8361" s="43" t="n"/>
      <c r="AG8361" s="49">
        <f>IFERROR(__xludf.DUMMYFUNCTION("IFNA(vlookup(H8361,IMPORTRANGE(""1vUGwO1n0QQGx9kKbO0_M5gmuhXZ6-LaxQxgrmJnzgP0"",""'TP# look up'!A:C""),3,0),"""")"),"")</f>
        <v/>
      </c>
      <c r="AH8361" s="49">
        <f>LEFT(J8361,2)</f>
        <v/>
      </c>
    </row>
    <row r="8362" ht="12.75" customHeight="1">
      <c r="H8362" s="43" t="n"/>
      <c r="AG8362" s="49">
        <f>IFERROR(__xludf.DUMMYFUNCTION("IFNA(vlookup(H8362,IMPORTRANGE(""1vUGwO1n0QQGx9kKbO0_M5gmuhXZ6-LaxQxgrmJnzgP0"",""'TP# look up'!A:C""),3,0),"""")"),"")</f>
        <v/>
      </c>
      <c r="AH8362" s="49">
        <f>LEFT(J8362,2)</f>
        <v/>
      </c>
    </row>
    <row r="8363" ht="12.75" customHeight="1">
      <c r="H8363" s="43" t="n"/>
      <c r="AG8363" s="49">
        <f>IFERROR(__xludf.DUMMYFUNCTION("IFNA(vlookup(H8363,IMPORTRANGE(""1vUGwO1n0QQGx9kKbO0_M5gmuhXZ6-LaxQxgrmJnzgP0"",""'TP# look up'!A:C""),3,0),"""")"),"")</f>
        <v/>
      </c>
      <c r="AH8363" s="49">
        <f>LEFT(J8363,2)</f>
        <v/>
      </c>
    </row>
    <row r="8364" ht="12.75" customHeight="1">
      <c r="H8364" s="43" t="n"/>
      <c r="AG8364" s="49">
        <f>IFERROR(__xludf.DUMMYFUNCTION("IFNA(vlookup(H8364,IMPORTRANGE(""1vUGwO1n0QQGx9kKbO0_M5gmuhXZ6-LaxQxgrmJnzgP0"",""'TP# look up'!A:C""),3,0),"""")"),"")</f>
        <v/>
      </c>
      <c r="AH8364" s="49">
        <f>LEFT(J8364,2)</f>
        <v/>
      </c>
    </row>
    <row r="8365" ht="12.75" customHeight="1">
      <c r="H8365" s="43" t="n"/>
      <c r="AG8365" s="49">
        <f>IFERROR(__xludf.DUMMYFUNCTION("IFNA(vlookup(H8365,IMPORTRANGE(""1vUGwO1n0QQGx9kKbO0_M5gmuhXZ6-LaxQxgrmJnzgP0"",""'TP# look up'!A:C""),3,0),"""")"),"")</f>
        <v/>
      </c>
      <c r="AH8365" s="49">
        <f>LEFT(J8365,2)</f>
        <v/>
      </c>
    </row>
    <row r="8366" ht="12.75" customHeight="1">
      <c r="H8366" s="43" t="n"/>
      <c r="AG8366" s="49">
        <f>IFERROR(__xludf.DUMMYFUNCTION("IFNA(vlookup(H8366,IMPORTRANGE(""1vUGwO1n0QQGx9kKbO0_M5gmuhXZ6-LaxQxgrmJnzgP0"",""'TP# look up'!A:C""),3,0),"""")"),"")</f>
        <v/>
      </c>
      <c r="AH8366" s="49">
        <f>LEFT(J8366,2)</f>
        <v/>
      </c>
    </row>
    <row r="8367" ht="12.75" customHeight="1">
      <c r="H8367" s="43" t="n"/>
      <c r="AG8367" s="49">
        <f>IFERROR(__xludf.DUMMYFUNCTION("IFNA(vlookup(H8367,IMPORTRANGE(""1vUGwO1n0QQGx9kKbO0_M5gmuhXZ6-LaxQxgrmJnzgP0"",""'TP# look up'!A:C""),3,0),"""")"),"")</f>
        <v/>
      </c>
      <c r="AH8367" s="49">
        <f>LEFT(J8367,2)</f>
        <v/>
      </c>
    </row>
    <row r="8368" ht="12.75" customHeight="1">
      <c r="H8368" s="43" t="n"/>
      <c r="AG8368" s="49">
        <f>IFERROR(__xludf.DUMMYFUNCTION("IFNA(vlookup(H8368,IMPORTRANGE(""1vUGwO1n0QQGx9kKbO0_M5gmuhXZ6-LaxQxgrmJnzgP0"",""'TP# look up'!A:C""),3,0),"""")"),"")</f>
        <v/>
      </c>
      <c r="AH8368" s="49">
        <f>LEFT(J8368,2)</f>
        <v/>
      </c>
    </row>
    <row r="8369" ht="12.75" customHeight="1">
      <c r="H8369" s="43" t="n"/>
      <c r="AG8369" s="49">
        <f>IFERROR(__xludf.DUMMYFUNCTION("IFNA(vlookup(H8369,IMPORTRANGE(""1vUGwO1n0QQGx9kKbO0_M5gmuhXZ6-LaxQxgrmJnzgP0"",""'TP# look up'!A:C""),3,0),"""")"),"")</f>
        <v/>
      </c>
      <c r="AH8369" s="49">
        <f>LEFT(J8369,2)</f>
        <v/>
      </c>
    </row>
    <row r="8370" ht="12.75" customHeight="1">
      <c r="H8370" s="43" t="n"/>
      <c r="AG8370" s="49">
        <f>IFERROR(__xludf.DUMMYFUNCTION("IFNA(vlookup(H8370,IMPORTRANGE(""1vUGwO1n0QQGx9kKbO0_M5gmuhXZ6-LaxQxgrmJnzgP0"",""'TP# look up'!A:C""),3,0),"""")"),"")</f>
        <v/>
      </c>
      <c r="AH8370" s="49">
        <f>LEFT(J8370,2)</f>
        <v/>
      </c>
    </row>
    <row r="8371" ht="12.75" customHeight="1">
      <c r="H8371" s="43" t="n"/>
      <c r="AG8371" s="49">
        <f>IFERROR(__xludf.DUMMYFUNCTION("IFNA(vlookup(H8371,IMPORTRANGE(""1vUGwO1n0QQGx9kKbO0_M5gmuhXZ6-LaxQxgrmJnzgP0"",""'TP# look up'!A:C""),3,0),"""")"),"")</f>
        <v/>
      </c>
      <c r="AH8371" s="49">
        <f>LEFT(J8371,2)</f>
        <v/>
      </c>
    </row>
    <row r="8372" ht="12.75" customHeight="1">
      <c r="H8372" s="43" t="n"/>
      <c r="AG8372" s="49">
        <f>IFERROR(__xludf.DUMMYFUNCTION("IFNA(vlookup(H8372,IMPORTRANGE(""1vUGwO1n0QQGx9kKbO0_M5gmuhXZ6-LaxQxgrmJnzgP0"",""'TP# look up'!A:C""),3,0),"""")"),"")</f>
        <v/>
      </c>
      <c r="AH8372" s="49">
        <f>LEFT(J8372,2)</f>
        <v/>
      </c>
    </row>
    <row r="8373" ht="12.75" customHeight="1">
      <c r="H8373" s="43" t="n"/>
      <c r="AG8373" s="49">
        <f>IFERROR(__xludf.DUMMYFUNCTION("IFNA(vlookup(H8373,IMPORTRANGE(""1vUGwO1n0QQGx9kKbO0_M5gmuhXZ6-LaxQxgrmJnzgP0"",""'TP# look up'!A:C""),3,0),"""")"),"")</f>
        <v/>
      </c>
      <c r="AH8373" s="49">
        <f>LEFT(J8373,2)</f>
        <v/>
      </c>
    </row>
    <row r="8374" ht="12.75" customHeight="1">
      <c r="H8374" s="43" t="n"/>
      <c r="AG8374" s="49">
        <f>IFERROR(__xludf.DUMMYFUNCTION("IFNA(vlookup(H8374,IMPORTRANGE(""1vUGwO1n0QQGx9kKbO0_M5gmuhXZ6-LaxQxgrmJnzgP0"",""'TP# look up'!A:C""),3,0),"""")"),"")</f>
        <v/>
      </c>
      <c r="AH8374" s="49">
        <f>LEFT(J8374,2)</f>
        <v/>
      </c>
    </row>
    <row r="8375" ht="12.75" customHeight="1">
      <c r="H8375" s="43" t="n"/>
      <c r="AG8375" s="49">
        <f>IFERROR(__xludf.DUMMYFUNCTION("IFNA(vlookup(H8375,IMPORTRANGE(""1vUGwO1n0QQGx9kKbO0_M5gmuhXZ6-LaxQxgrmJnzgP0"",""'TP# look up'!A:C""),3,0),"""")"),"")</f>
        <v/>
      </c>
      <c r="AH8375" s="49">
        <f>LEFT(J8375,2)</f>
        <v/>
      </c>
    </row>
    <row r="8376" ht="12.75" customHeight="1">
      <c r="H8376" s="43" t="n"/>
      <c r="AG8376" s="49">
        <f>IFERROR(__xludf.DUMMYFUNCTION("IFNA(vlookup(H8376,IMPORTRANGE(""1vUGwO1n0QQGx9kKbO0_M5gmuhXZ6-LaxQxgrmJnzgP0"",""'TP# look up'!A:C""),3,0),"""")"),"")</f>
        <v/>
      </c>
      <c r="AH8376" s="49">
        <f>LEFT(J8376,2)</f>
        <v/>
      </c>
    </row>
    <row r="8377" ht="12.75" customHeight="1">
      <c r="H8377" s="43" t="n"/>
      <c r="AG8377" s="49">
        <f>IFERROR(__xludf.DUMMYFUNCTION("IFNA(vlookup(H8377,IMPORTRANGE(""1vUGwO1n0QQGx9kKbO0_M5gmuhXZ6-LaxQxgrmJnzgP0"",""'TP# look up'!A:C""),3,0),"""")"),"")</f>
        <v/>
      </c>
      <c r="AH8377" s="49">
        <f>LEFT(J8377,2)</f>
        <v/>
      </c>
    </row>
    <row r="8378" ht="12.75" customHeight="1">
      <c r="H8378" s="43" t="n"/>
      <c r="AG8378" s="49">
        <f>IFERROR(__xludf.DUMMYFUNCTION("IFNA(vlookup(H8378,IMPORTRANGE(""1vUGwO1n0QQGx9kKbO0_M5gmuhXZ6-LaxQxgrmJnzgP0"",""'TP# look up'!A:C""),3,0),"""")"),"")</f>
        <v/>
      </c>
      <c r="AH8378" s="49">
        <f>LEFT(J8378,2)</f>
        <v/>
      </c>
    </row>
    <row r="8379" ht="12.75" customHeight="1">
      <c r="H8379" s="43" t="n"/>
      <c r="AG8379" s="49">
        <f>IFERROR(__xludf.DUMMYFUNCTION("IFNA(vlookup(H8379,IMPORTRANGE(""1vUGwO1n0QQGx9kKbO0_M5gmuhXZ6-LaxQxgrmJnzgP0"",""'TP# look up'!A:C""),3,0),"""")"),"")</f>
        <v/>
      </c>
      <c r="AH8379" s="49">
        <f>LEFT(J8379,2)</f>
        <v/>
      </c>
    </row>
    <row r="8380" ht="12.75" customHeight="1">
      <c r="H8380" s="43" t="n"/>
      <c r="AG8380" s="49">
        <f>IFERROR(__xludf.DUMMYFUNCTION("IFNA(vlookup(H8380,IMPORTRANGE(""1vUGwO1n0QQGx9kKbO0_M5gmuhXZ6-LaxQxgrmJnzgP0"",""'TP# look up'!A:C""),3,0),"""")"),"")</f>
        <v/>
      </c>
      <c r="AH8380" s="49">
        <f>LEFT(J8380,2)</f>
        <v/>
      </c>
    </row>
    <row r="8381" ht="12.75" customHeight="1">
      <c r="H8381" s="43" t="n"/>
      <c r="AG8381" s="49">
        <f>IFERROR(__xludf.DUMMYFUNCTION("IFNA(vlookup(H8381,IMPORTRANGE(""1vUGwO1n0QQGx9kKbO0_M5gmuhXZ6-LaxQxgrmJnzgP0"",""'TP# look up'!A:C""),3,0),"""")"),"")</f>
        <v/>
      </c>
      <c r="AH8381" s="49">
        <f>LEFT(J8381,2)</f>
        <v/>
      </c>
    </row>
    <row r="8382" ht="12.75" customHeight="1">
      <c r="H8382" s="43" t="n"/>
      <c r="AG8382" s="49">
        <f>IFERROR(__xludf.DUMMYFUNCTION("IFNA(vlookup(H8382,IMPORTRANGE(""1vUGwO1n0QQGx9kKbO0_M5gmuhXZ6-LaxQxgrmJnzgP0"",""'TP# look up'!A:C""),3,0),"""")"),"")</f>
        <v/>
      </c>
      <c r="AH8382" s="49">
        <f>LEFT(J8382,2)</f>
        <v/>
      </c>
    </row>
    <row r="8383" ht="12.75" customHeight="1">
      <c r="H8383" s="43" t="n"/>
      <c r="AG8383" s="49">
        <f>IFERROR(__xludf.DUMMYFUNCTION("IFNA(vlookup(H8383,IMPORTRANGE(""1vUGwO1n0QQGx9kKbO0_M5gmuhXZ6-LaxQxgrmJnzgP0"",""'TP# look up'!A:C""),3,0),"""")"),"")</f>
        <v/>
      </c>
      <c r="AH8383" s="49">
        <f>LEFT(J8383,2)</f>
        <v/>
      </c>
    </row>
    <row r="8384" ht="12.75" customHeight="1">
      <c r="H8384" s="43" t="n"/>
      <c r="AG8384" s="49">
        <f>IFERROR(__xludf.DUMMYFUNCTION("IFNA(vlookup(H8384,IMPORTRANGE(""1vUGwO1n0QQGx9kKbO0_M5gmuhXZ6-LaxQxgrmJnzgP0"",""'TP# look up'!A:C""),3,0),"""")"),"")</f>
        <v/>
      </c>
      <c r="AH8384" s="49">
        <f>LEFT(J8384,2)</f>
        <v/>
      </c>
    </row>
    <row r="8385" ht="12.75" customHeight="1">
      <c r="H8385" s="43" t="n"/>
      <c r="AG8385" s="49">
        <f>IFERROR(__xludf.DUMMYFUNCTION("IFNA(vlookup(H8385,IMPORTRANGE(""1vUGwO1n0QQGx9kKbO0_M5gmuhXZ6-LaxQxgrmJnzgP0"",""'TP# look up'!A:C""),3,0),"""")"),"")</f>
        <v/>
      </c>
      <c r="AH8385" s="49">
        <f>LEFT(J8385,2)</f>
        <v/>
      </c>
    </row>
    <row r="8386" ht="12.75" customHeight="1">
      <c r="H8386" s="43" t="n"/>
      <c r="AG8386" s="49">
        <f>IFERROR(__xludf.DUMMYFUNCTION("IFNA(vlookup(H8386,IMPORTRANGE(""1vUGwO1n0QQGx9kKbO0_M5gmuhXZ6-LaxQxgrmJnzgP0"",""'TP# look up'!A:C""),3,0),"""")"),"")</f>
        <v/>
      </c>
      <c r="AH8386" s="49">
        <f>LEFT(J8386,2)</f>
        <v/>
      </c>
    </row>
    <row r="8387" ht="12.75" customHeight="1">
      <c r="H8387" s="43" t="n"/>
      <c r="AG8387" s="49">
        <f>IFERROR(__xludf.DUMMYFUNCTION("IFNA(vlookup(H8387,IMPORTRANGE(""1vUGwO1n0QQGx9kKbO0_M5gmuhXZ6-LaxQxgrmJnzgP0"",""'TP# look up'!A:C""),3,0),"""")"),"")</f>
        <v/>
      </c>
      <c r="AH8387" s="49">
        <f>LEFT(J8387,2)</f>
        <v/>
      </c>
    </row>
    <row r="8388" ht="12.75" customHeight="1">
      <c r="H8388" s="43" t="n"/>
      <c r="AG8388" s="49">
        <f>IFERROR(__xludf.DUMMYFUNCTION("IFNA(vlookup(H8388,IMPORTRANGE(""1vUGwO1n0QQGx9kKbO0_M5gmuhXZ6-LaxQxgrmJnzgP0"",""'TP# look up'!A:C""),3,0),"""")"),"")</f>
        <v/>
      </c>
      <c r="AH8388" s="49">
        <f>LEFT(J8388,2)</f>
        <v/>
      </c>
    </row>
    <row r="8389" ht="12.75" customHeight="1">
      <c r="H8389" s="43" t="n"/>
      <c r="AG8389" s="49">
        <f>IFERROR(__xludf.DUMMYFUNCTION("IFNA(vlookup(H8389,IMPORTRANGE(""1vUGwO1n0QQGx9kKbO0_M5gmuhXZ6-LaxQxgrmJnzgP0"",""'TP# look up'!A:C""),3,0),"""")"),"")</f>
        <v/>
      </c>
      <c r="AH8389" s="49">
        <f>LEFT(J8389,2)</f>
        <v/>
      </c>
    </row>
    <row r="8390" ht="12.75" customHeight="1">
      <c r="H8390" s="43" t="n"/>
      <c r="AG8390" s="49">
        <f>IFERROR(__xludf.DUMMYFUNCTION("IFNA(vlookup(H8390,IMPORTRANGE(""1vUGwO1n0QQGx9kKbO0_M5gmuhXZ6-LaxQxgrmJnzgP0"",""'TP# look up'!A:C""),3,0),"""")"),"")</f>
        <v/>
      </c>
      <c r="AH8390" s="49">
        <f>LEFT(J8390,2)</f>
        <v/>
      </c>
    </row>
    <row r="8391" ht="12.75" customHeight="1">
      <c r="H8391" s="43" t="n"/>
      <c r="AG8391" s="49">
        <f>IFERROR(__xludf.DUMMYFUNCTION("IFNA(vlookup(H8391,IMPORTRANGE(""1vUGwO1n0QQGx9kKbO0_M5gmuhXZ6-LaxQxgrmJnzgP0"",""'TP# look up'!A:C""),3,0),"""")"),"")</f>
        <v/>
      </c>
      <c r="AH8391" s="49">
        <f>LEFT(J8391,2)</f>
        <v/>
      </c>
    </row>
    <row r="8392" ht="12.75" customHeight="1">
      <c r="H8392" s="43" t="n"/>
      <c r="AG8392" s="49">
        <f>IFERROR(__xludf.DUMMYFUNCTION("IFNA(vlookup(H8392,IMPORTRANGE(""1vUGwO1n0QQGx9kKbO0_M5gmuhXZ6-LaxQxgrmJnzgP0"",""'TP# look up'!A:C""),3,0),"""")"),"")</f>
        <v/>
      </c>
      <c r="AH8392" s="49">
        <f>LEFT(J8392,2)</f>
        <v/>
      </c>
    </row>
    <row r="8393" ht="12.75" customHeight="1">
      <c r="H8393" s="43" t="n"/>
      <c r="AG8393" s="49">
        <f>IFERROR(__xludf.DUMMYFUNCTION("IFNA(vlookup(H8393,IMPORTRANGE(""1vUGwO1n0QQGx9kKbO0_M5gmuhXZ6-LaxQxgrmJnzgP0"",""'TP# look up'!A:C""),3,0),"""")"),"")</f>
        <v/>
      </c>
      <c r="AH8393" s="49">
        <f>LEFT(J8393,2)</f>
        <v/>
      </c>
    </row>
    <row r="8394" ht="12.75" customHeight="1">
      <c r="H8394" s="43" t="n"/>
      <c r="AG8394" s="49">
        <f>IFERROR(__xludf.DUMMYFUNCTION("IFNA(vlookup(H8394,IMPORTRANGE(""1vUGwO1n0QQGx9kKbO0_M5gmuhXZ6-LaxQxgrmJnzgP0"",""'TP# look up'!A:C""),3,0),"""")"),"")</f>
        <v/>
      </c>
      <c r="AH8394" s="49">
        <f>LEFT(J8394,2)</f>
        <v/>
      </c>
    </row>
    <row r="8395" ht="12.75" customHeight="1">
      <c r="H8395" s="43" t="n"/>
      <c r="AG8395" s="49">
        <f>IFERROR(__xludf.DUMMYFUNCTION("IFNA(vlookup(H8395,IMPORTRANGE(""1vUGwO1n0QQGx9kKbO0_M5gmuhXZ6-LaxQxgrmJnzgP0"",""'TP# look up'!A:C""),3,0),"""")"),"")</f>
        <v/>
      </c>
      <c r="AH8395" s="49">
        <f>LEFT(J8395,2)</f>
        <v/>
      </c>
    </row>
    <row r="8396" ht="12.75" customHeight="1">
      <c r="H8396" s="43" t="n"/>
      <c r="AG8396" s="49">
        <f>IFERROR(__xludf.DUMMYFUNCTION("IFNA(vlookup(H8396,IMPORTRANGE(""1vUGwO1n0QQGx9kKbO0_M5gmuhXZ6-LaxQxgrmJnzgP0"",""'TP# look up'!A:C""),3,0),"""")"),"")</f>
        <v/>
      </c>
      <c r="AH8396" s="49">
        <f>LEFT(J8396,2)</f>
        <v/>
      </c>
    </row>
    <row r="8397" ht="12.75" customHeight="1">
      <c r="H8397" s="43" t="n"/>
      <c r="AG8397" s="49">
        <f>IFERROR(__xludf.DUMMYFUNCTION("IFNA(vlookup(H8397,IMPORTRANGE(""1vUGwO1n0QQGx9kKbO0_M5gmuhXZ6-LaxQxgrmJnzgP0"",""'TP# look up'!A:C""),3,0),"""")"),"")</f>
        <v/>
      </c>
      <c r="AH8397" s="49">
        <f>LEFT(J8397,2)</f>
        <v/>
      </c>
    </row>
    <row r="8398" ht="12.75" customHeight="1">
      <c r="H8398" s="43" t="n"/>
      <c r="AG8398" s="49">
        <f>IFERROR(__xludf.DUMMYFUNCTION("IFNA(vlookup(H8398,IMPORTRANGE(""1vUGwO1n0QQGx9kKbO0_M5gmuhXZ6-LaxQxgrmJnzgP0"",""'TP# look up'!A:C""),3,0),"""")"),"")</f>
        <v/>
      </c>
      <c r="AH8398" s="49">
        <f>LEFT(J8398,2)</f>
        <v/>
      </c>
    </row>
    <row r="8399" ht="12.75" customHeight="1">
      <c r="H8399" s="43" t="n"/>
      <c r="AG8399" s="49">
        <f>IFERROR(__xludf.DUMMYFUNCTION("IFNA(vlookup(H8399,IMPORTRANGE(""1vUGwO1n0QQGx9kKbO0_M5gmuhXZ6-LaxQxgrmJnzgP0"",""'TP# look up'!A:C""),3,0),"""")"),"")</f>
        <v/>
      </c>
      <c r="AH8399" s="49">
        <f>LEFT(J8399,2)</f>
        <v/>
      </c>
    </row>
    <row r="8400" ht="12.75" customHeight="1">
      <c r="H8400" s="43" t="n"/>
      <c r="AG8400" s="49">
        <f>IFERROR(__xludf.DUMMYFUNCTION("IFNA(vlookup(H8400,IMPORTRANGE(""1vUGwO1n0QQGx9kKbO0_M5gmuhXZ6-LaxQxgrmJnzgP0"",""'TP# look up'!A:C""),3,0),"""")"),"")</f>
        <v/>
      </c>
      <c r="AH8400" s="49">
        <f>LEFT(J8400,2)</f>
        <v/>
      </c>
    </row>
    <row r="8401" ht="12.75" customHeight="1">
      <c r="H8401" s="43" t="n"/>
      <c r="AG8401" s="49">
        <f>IFERROR(__xludf.DUMMYFUNCTION("IFNA(vlookup(H8401,IMPORTRANGE(""1vUGwO1n0QQGx9kKbO0_M5gmuhXZ6-LaxQxgrmJnzgP0"",""'TP# look up'!A:C""),3,0),"""")"),"")</f>
        <v/>
      </c>
      <c r="AH8401" s="49">
        <f>LEFT(J8401,2)</f>
        <v/>
      </c>
    </row>
    <row r="8402" ht="12.75" customHeight="1">
      <c r="H8402" s="43" t="n"/>
      <c r="AG8402" s="49">
        <f>IFERROR(__xludf.DUMMYFUNCTION("IFNA(vlookup(H8402,IMPORTRANGE(""1vUGwO1n0QQGx9kKbO0_M5gmuhXZ6-LaxQxgrmJnzgP0"",""'TP# look up'!A:C""),3,0),"""")"),"")</f>
        <v/>
      </c>
      <c r="AH8402" s="49">
        <f>LEFT(J8402,2)</f>
        <v/>
      </c>
    </row>
    <row r="8403" ht="12.75" customHeight="1">
      <c r="H8403" s="43" t="n"/>
      <c r="AG8403" s="49">
        <f>IFERROR(__xludf.DUMMYFUNCTION("IFNA(vlookup(H8403,IMPORTRANGE(""1vUGwO1n0QQGx9kKbO0_M5gmuhXZ6-LaxQxgrmJnzgP0"",""'TP# look up'!A:C""),3,0),"""")"),"")</f>
        <v/>
      </c>
      <c r="AH8403" s="49">
        <f>LEFT(J8403,2)</f>
        <v/>
      </c>
    </row>
    <row r="8404" ht="12.75" customHeight="1">
      <c r="H8404" s="43" t="n"/>
      <c r="AG8404" s="49">
        <f>IFERROR(__xludf.DUMMYFUNCTION("IFNA(vlookup(H8404,IMPORTRANGE(""1vUGwO1n0QQGx9kKbO0_M5gmuhXZ6-LaxQxgrmJnzgP0"",""'TP# look up'!A:C""),3,0),"""")"),"")</f>
        <v/>
      </c>
      <c r="AH8404" s="49">
        <f>LEFT(J8404,2)</f>
        <v/>
      </c>
    </row>
    <row r="8405" ht="12.75" customHeight="1">
      <c r="H8405" s="43" t="n"/>
      <c r="AG8405" s="49">
        <f>IFERROR(__xludf.DUMMYFUNCTION("IFNA(vlookup(H8405,IMPORTRANGE(""1vUGwO1n0QQGx9kKbO0_M5gmuhXZ6-LaxQxgrmJnzgP0"",""'TP# look up'!A:C""),3,0),"""")"),"")</f>
        <v/>
      </c>
      <c r="AH8405" s="49">
        <f>LEFT(J8405,2)</f>
        <v/>
      </c>
    </row>
    <row r="8406" ht="12.75" customHeight="1">
      <c r="H8406" s="43" t="n"/>
      <c r="AG8406" s="49">
        <f>IFERROR(__xludf.DUMMYFUNCTION("IFNA(vlookup(H8406,IMPORTRANGE(""1vUGwO1n0QQGx9kKbO0_M5gmuhXZ6-LaxQxgrmJnzgP0"",""'TP# look up'!A:C""),3,0),"""")"),"")</f>
        <v/>
      </c>
      <c r="AH8406" s="49">
        <f>LEFT(J8406,2)</f>
        <v/>
      </c>
    </row>
    <row r="8407" ht="12.75" customHeight="1">
      <c r="H8407" s="43" t="n"/>
      <c r="AG8407" s="49">
        <f>IFERROR(__xludf.DUMMYFUNCTION("IFNA(vlookup(H8407,IMPORTRANGE(""1vUGwO1n0QQGx9kKbO0_M5gmuhXZ6-LaxQxgrmJnzgP0"",""'TP# look up'!A:C""),3,0),"""")"),"")</f>
        <v/>
      </c>
      <c r="AH8407" s="49">
        <f>LEFT(J8407,2)</f>
        <v/>
      </c>
    </row>
    <row r="8408" ht="12.75" customHeight="1">
      <c r="H8408" s="43" t="n"/>
      <c r="AG8408" s="49">
        <f>IFERROR(__xludf.DUMMYFUNCTION("IFNA(vlookup(H8408,IMPORTRANGE(""1vUGwO1n0QQGx9kKbO0_M5gmuhXZ6-LaxQxgrmJnzgP0"",""'TP# look up'!A:C""),3,0),"""")"),"")</f>
        <v/>
      </c>
      <c r="AH8408" s="49">
        <f>LEFT(J8408,2)</f>
        <v/>
      </c>
    </row>
    <row r="8409" ht="12.75" customHeight="1">
      <c r="H8409" s="43" t="n"/>
      <c r="AG8409" s="49">
        <f>IFERROR(__xludf.DUMMYFUNCTION("IFNA(vlookup(H8409,IMPORTRANGE(""1vUGwO1n0QQGx9kKbO0_M5gmuhXZ6-LaxQxgrmJnzgP0"",""'TP# look up'!A:C""),3,0),"""")"),"")</f>
        <v/>
      </c>
      <c r="AH8409" s="49">
        <f>LEFT(J8409,2)</f>
        <v/>
      </c>
    </row>
    <row r="8410" ht="12.75" customHeight="1">
      <c r="H8410" s="43" t="n"/>
      <c r="AG8410" s="49">
        <f>IFERROR(__xludf.DUMMYFUNCTION("IFNA(vlookup(H8410,IMPORTRANGE(""1vUGwO1n0QQGx9kKbO0_M5gmuhXZ6-LaxQxgrmJnzgP0"",""'TP# look up'!A:C""),3,0),"""")"),"")</f>
        <v/>
      </c>
      <c r="AH8410" s="49">
        <f>LEFT(J8410,2)</f>
        <v/>
      </c>
    </row>
    <row r="8411" ht="12.75" customHeight="1">
      <c r="H8411" s="43" t="n"/>
      <c r="AG8411" s="49">
        <f>IFERROR(__xludf.DUMMYFUNCTION("IFNA(vlookup(H8411,IMPORTRANGE(""1vUGwO1n0QQGx9kKbO0_M5gmuhXZ6-LaxQxgrmJnzgP0"",""'TP# look up'!A:C""),3,0),"""")"),"")</f>
        <v/>
      </c>
      <c r="AH8411" s="49">
        <f>LEFT(J8411,2)</f>
        <v/>
      </c>
    </row>
    <row r="8412" ht="12.75" customHeight="1">
      <c r="H8412" s="43" t="n"/>
      <c r="AG8412" s="49">
        <f>IFERROR(__xludf.DUMMYFUNCTION("IFNA(vlookup(H8412,IMPORTRANGE(""1vUGwO1n0QQGx9kKbO0_M5gmuhXZ6-LaxQxgrmJnzgP0"",""'TP# look up'!A:C""),3,0),"""")"),"")</f>
        <v/>
      </c>
      <c r="AH8412" s="49">
        <f>LEFT(J8412,2)</f>
        <v/>
      </c>
    </row>
    <row r="8413" ht="12.75" customHeight="1">
      <c r="H8413" s="43" t="n"/>
      <c r="AG8413" s="49">
        <f>IFERROR(__xludf.DUMMYFUNCTION("IFNA(vlookup(H8413,IMPORTRANGE(""1vUGwO1n0QQGx9kKbO0_M5gmuhXZ6-LaxQxgrmJnzgP0"",""'TP# look up'!A:C""),3,0),"""")"),"")</f>
        <v/>
      </c>
      <c r="AH8413" s="49">
        <f>LEFT(J8413,2)</f>
        <v/>
      </c>
    </row>
    <row r="8414" ht="12.75" customHeight="1">
      <c r="H8414" s="43" t="n"/>
      <c r="AG8414" s="49">
        <f>IFERROR(__xludf.DUMMYFUNCTION("IFNA(vlookup(H8414,IMPORTRANGE(""1vUGwO1n0QQGx9kKbO0_M5gmuhXZ6-LaxQxgrmJnzgP0"",""'TP# look up'!A:C""),3,0),"""")"),"")</f>
        <v/>
      </c>
      <c r="AH8414" s="49">
        <f>LEFT(J8414,2)</f>
        <v/>
      </c>
    </row>
    <row r="8415" ht="12.75" customHeight="1">
      <c r="H8415" s="43" t="n"/>
      <c r="AG8415" s="49">
        <f>IFERROR(__xludf.DUMMYFUNCTION("IFNA(vlookup(H8415,IMPORTRANGE(""1vUGwO1n0QQGx9kKbO0_M5gmuhXZ6-LaxQxgrmJnzgP0"",""'TP# look up'!A:C""),3,0),"""")"),"")</f>
        <v/>
      </c>
      <c r="AH8415" s="49">
        <f>LEFT(J8415,2)</f>
        <v/>
      </c>
    </row>
    <row r="8416" ht="12.75" customHeight="1">
      <c r="H8416" s="43" t="n"/>
      <c r="AG8416" s="49">
        <f>IFERROR(__xludf.DUMMYFUNCTION("IFNA(vlookup(H8416,IMPORTRANGE(""1vUGwO1n0QQGx9kKbO0_M5gmuhXZ6-LaxQxgrmJnzgP0"",""'TP# look up'!A:C""),3,0),"""")"),"")</f>
        <v/>
      </c>
      <c r="AH8416" s="49">
        <f>LEFT(J8416,2)</f>
        <v/>
      </c>
    </row>
    <row r="8417" ht="12.75" customHeight="1">
      <c r="H8417" s="43" t="n"/>
      <c r="AG8417" s="49">
        <f>IFERROR(__xludf.DUMMYFUNCTION("IFNA(vlookup(H8417,IMPORTRANGE(""1vUGwO1n0QQGx9kKbO0_M5gmuhXZ6-LaxQxgrmJnzgP0"",""'TP# look up'!A:C""),3,0),"""")"),"")</f>
        <v/>
      </c>
      <c r="AH8417" s="49">
        <f>LEFT(J8417,2)</f>
        <v/>
      </c>
    </row>
    <row r="8418" ht="12.75" customHeight="1">
      <c r="H8418" s="43" t="n"/>
      <c r="AG8418" s="49">
        <f>IFERROR(__xludf.DUMMYFUNCTION("IFNA(vlookup(H8418,IMPORTRANGE(""1vUGwO1n0QQGx9kKbO0_M5gmuhXZ6-LaxQxgrmJnzgP0"",""'TP# look up'!A:C""),3,0),"""")"),"")</f>
        <v/>
      </c>
      <c r="AH8418" s="49">
        <f>LEFT(J8418,2)</f>
        <v/>
      </c>
    </row>
    <row r="8419" ht="12.75" customHeight="1">
      <c r="H8419" s="43" t="n"/>
      <c r="AG8419" s="49">
        <f>IFERROR(__xludf.DUMMYFUNCTION("IFNA(vlookup(H8419,IMPORTRANGE(""1vUGwO1n0QQGx9kKbO0_M5gmuhXZ6-LaxQxgrmJnzgP0"",""'TP# look up'!A:C""),3,0),"""")"),"")</f>
        <v/>
      </c>
      <c r="AH8419" s="49">
        <f>LEFT(J8419,2)</f>
        <v/>
      </c>
    </row>
    <row r="8420" ht="12.75" customHeight="1">
      <c r="H8420" s="43" t="n"/>
      <c r="AG8420" s="49">
        <f>IFERROR(__xludf.DUMMYFUNCTION("IFNA(vlookup(H8420,IMPORTRANGE(""1vUGwO1n0QQGx9kKbO0_M5gmuhXZ6-LaxQxgrmJnzgP0"",""'TP# look up'!A:C""),3,0),"""")"),"")</f>
        <v/>
      </c>
      <c r="AH8420" s="49">
        <f>LEFT(J8420,2)</f>
        <v/>
      </c>
    </row>
    <row r="8421" ht="12.75" customHeight="1">
      <c r="H8421" s="43" t="n"/>
      <c r="AG8421" s="49">
        <f>IFERROR(__xludf.DUMMYFUNCTION("IFNA(vlookup(H8421,IMPORTRANGE(""1vUGwO1n0QQGx9kKbO0_M5gmuhXZ6-LaxQxgrmJnzgP0"",""'TP# look up'!A:C""),3,0),"""")"),"")</f>
        <v/>
      </c>
      <c r="AH8421" s="49">
        <f>LEFT(J8421,2)</f>
        <v/>
      </c>
    </row>
    <row r="8422" ht="12.75" customHeight="1">
      <c r="H8422" s="43" t="n"/>
      <c r="AG8422" s="49">
        <f>IFERROR(__xludf.DUMMYFUNCTION("IFNA(vlookup(H8422,IMPORTRANGE(""1vUGwO1n0QQGx9kKbO0_M5gmuhXZ6-LaxQxgrmJnzgP0"",""'TP# look up'!A:C""),3,0),"""")"),"")</f>
        <v/>
      </c>
      <c r="AH8422" s="49">
        <f>LEFT(J8422,2)</f>
        <v/>
      </c>
    </row>
    <row r="8423" ht="12.75" customHeight="1">
      <c r="H8423" s="43" t="n"/>
      <c r="AG8423" s="49">
        <f>IFERROR(__xludf.DUMMYFUNCTION("IFNA(vlookup(H8423,IMPORTRANGE(""1vUGwO1n0QQGx9kKbO0_M5gmuhXZ6-LaxQxgrmJnzgP0"",""'TP# look up'!A:C""),3,0),"""")"),"")</f>
        <v/>
      </c>
      <c r="AH8423" s="49">
        <f>LEFT(J8423,2)</f>
        <v/>
      </c>
    </row>
    <row r="8424" ht="12.75" customHeight="1">
      <c r="H8424" s="43" t="n"/>
      <c r="AG8424" s="49">
        <f>IFERROR(__xludf.DUMMYFUNCTION("IFNA(vlookup(H8424,IMPORTRANGE(""1vUGwO1n0QQGx9kKbO0_M5gmuhXZ6-LaxQxgrmJnzgP0"",""'TP# look up'!A:C""),3,0),"""")"),"")</f>
        <v/>
      </c>
      <c r="AH8424" s="49">
        <f>LEFT(J8424,2)</f>
        <v/>
      </c>
    </row>
    <row r="8425" ht="12.75" customHeight="1">
      <c r="H8425" s="43" t="n"/>
      <c r="AG8425" s="49">
        <f>IFERROR(__xludf.DUMMYFUNCTION("IFNA(vlookup(H8425,IMPORTRANGE(""1vUGwO1n0QQGx9kKbO0_M5gmuhXZ6-LaxQxgrmJnzgP0"",""'TP# look up'!A:C""),3,0),"""")"),"")</f>
        <v/>
      </c>
      <c r="AH8425" s="49">
        <f>LEFT(J8425,2)</f>
        <v/>
      </c>
    </row>
    <row r="8426" ht="12.75" customHeight="1">
      <c r="H8426" s="43" t="n"/>
      <c r="AG8426" s="49">
        <f>IFERROR(__xludf.DUMMYFUNCTION("IFNA(vlookup(H8426,IMPORTRANGE(""1vUGwO1n0QQGx9kKbO0_M5gmuhXZ6-LaxQxgrmJnzgP0"",""'TP# look up'!A:C""),3,0),"""")"),"")</f>
        <v/>
      </c>
      <c r="AH8426" s="49">
        <f>LEFT(J8426,2)</f>
        <v/>
      </c>
    </row>
    <row r="8427" ht="12.75" customHeight="1">
      <c r="H8427" s="43" t="n"/>
      <c r="AG8427" s="49">
        <f>IFERROR(__xludf.DUMMYFUNCTION("IFNA(vlookup(H8427,IMPORTRANGE(""1vUGwO1n0QQGx9kKbO0_M5gmuhXZ6-LaxQxgrmJnzgP0"",""'TP# look up'!A:C""),3,0),"""")"),"")</f>
        <v/>
      </c>
      <c r="AH8427" s="49">
        <f>LEFT(J8427,2)</f>
        <v/>
      </c>
    </row>
    <row r="8428" ht="12.75" customHeight="1">
      <c r="H8428" s="43" t="n"/>
      <c r="AG8428" s="49">
        <f>IFERROR(__xludf.DUMMYFUNCTION("IFNA(vlookup(H8428,IMPORTRANGE(""1vUGwO1n0QQGx9kKbO0_M5gmuhXZ6-LaxQxgrmJnzgP0"",""'TP# look up'!A:C""),3,0),"""")"),"")</f>
        <v/>
      </c>
      <c r="AH8428" s="49">
        <f>LEFT(J8428,2)</f>
        <v/>
      </c>
    </row>
    <row r="8429" ht="12.75" customHeight="1">
      <c r="H8429" s="43" t="n"/>
      <c r="AG8429" s="49">
        <f>IFERROR(__xludf.DUMMYFUNCTION("IFNA(vlookup(H8429,IMPORTRANGE(""1vUGwO1n0QQGx9kKbO0_M5gmuhXZ6-LaxQxgrmJnzgP0"",""'TP# look up'!A:C""),3,0),"""")"),"")</f>
        <v/>
      </c>
      <c r="AH8429" s="49">
        <f>LEFT(J8429,2)</f>
        <v/>
      </c>
    </row>
    <row r="8430" ht="12.75" customHeight="1">
      <c r="H8430" s="43" t="n"/>
      <c r="AG8430" s="49">
        <f>IFERROR(__xludf.DUMMYFUNCTION("IFNA(vlookup(H8430,IMPORTRANGE(""1vUGwO1n0QQGx9kKbO0_M5gmuhXZ6-LaxQxgrmJnzgP0"",""'TP# look up'!A:C""),3,0),"""")"),"")</f>
        <v/>
      </c>
      <c r="AH8430" s="49">
        <f>LEFT(J8430,2)</f>
        <v/>
      </c>
    </row>
    <row r="8431" ht="12.75" customHeight="1">
      <c r="H8431" s="43" t="n"/>
      <c r="AG8431" s="49">
        <f>IFERROR(__xludf.DUMMYFUNCTION("IFNA(vlookup(H8431,IMPORTRANGE(""1vUGwO1n0QQGx9kKbO0_M5gmuhXZ6-LaxQxgrmJnzgP0"",""'TP# look up'!A:C""),3,0),"""")"),"")</f>
        <v/>
      </c>
      <c r="AH8431" s="49">
        <f>LEFT(J8431,2)</f>
        <v/>
      </c>
    </row>
    <row r="8432" ht="12.75" customHeight="1">
      <c r="H8432" s="43" t="n"/>
      <c r="AG8432" s="49">
        <f>IFERROR(__xludf.DUMMYFUNCTION("IFNA(vlookup(H8432,IMPORTRANGE(""1vUGwO1n0QQGx9kKbO0_M5gmuhXZ6-LaxQxgrmJnzgP0"",""'TP# look up'!A:C""),3,0),"""")"),"")</f>
        <v/>
      </c>
      <c r="AH8432" s="49">
        <f>LEFT(J8432,2)</f>
        <v/>
      </c>
    </row>
    <row r="8433" ht="12.75" customHeight="1">
      <c r="H8433" s="43" t="n"/>
      <c r="AG8433" s="49">
        <f>IFERROR(__xludf.DUMMYFUNCTION("IFNA(vlookup(H8433,IMPORTRANGE(""1vUGwO1n0QQGx9kKbO0_M5gmuhXZ6-LaxQxgrmJnzgP0"",""'TP# look up'!A:C""),3,0),"""")"),"")</f>
        <v/>
      </c>
      <c r="AH8433" s="49">
        <f>LEFT(J8433,2)</f>
        <v/>
      </c>
    </row>
    <row r="8434" ht="12.75" customHeight="1">
      <c r="H8434" s="43" t="n"/>
      <c r="AG8434" s="49">
        <f>IFERROR(__xludf.DUMMYFUNCTION("IFNA(vlookup(H8434,IMPORTRANGE(""1vUGwO1n0QQGx9kKbO0_M5gmuhXZ6-LaxQxgrmJnzgP0"",""'TP# look up'!A:C""),3,0),"""")"),"")</f>
        <v/>
      </c>
      <c r="AH8434" s="49">
        <f>LEFT(J8434,2)</f>
        <v/>
      </c>
    </row>
    <row r="8435" ht="12.75" customHeight="1">
      <c r="H8435" s="43" t="n"/>
      <c r="AG8435" s="49">
        <f>IFERROR(__xludf.DUMMYFUNCTION("IFNA(vlookup(H8435,IMPORTRANGE(""1vUGwO1n0QQGx9kKbO0_M5gmuhXZ6-LaxQxgrmJnzgP0"",""'TP# look up'!A:C""),3,0),"""")"),"")</f>
        <v/>
      </c>
      <c r="AH8435" s="49">
        <f>LEFT(J8435,2)</f>
        <v/>
      </c>
    </row>
    <row r="8436" ht="12.75" customHeight="1">
      <c r="H8436" s="43" t="n"/>
      <c r="AG8436" s="49">
        <f>IFERROR(__xludf.DUMMYFUNCTION("IFNA(vlookup(H8436,IMPORTRANGE(""1vUGwO1n0QQGx9kKbO0_M5gmuhXZ6-LaxQxgrmJnzgP0"",""'TP# look up'!A:C""),3,0),"""")"),"")</f>
        <v/>
      </c>
      <c r="AH8436" s="49">
        <f>LEFT(J8436,2)</f>
        <v/>
      </c>
    </row>
    <row r="8437" ht="12.75" customHeight="1">
      <c r="H8437" s="43" t="n"/>
      <c r="AG8437" s="49">
        <f>IFERROR(__xludf.DUMMYFUNCTION("IFNA(vlookup(H8437,IMPORTRANGE(""1vUGwO1n0QQGx9kKbO0_M5gmuhXZ6-LaxQxgrmJnzgP0"",""'TP# look up'!A:C""),3,0),"""")"),"")</f>
        <v/>
      </c>
      <c r="AH8437" s="49">
        <f>LEFT(J8437,2)</f>
        <v/>
      </c>
    </row>
    <row r="8438" ht="12.75" customHeight="1">
      <c r="H8438" s="43" t="n"/>
      <c r="AG8438" s="49">
        <f>IFERROR(__xludf.DUMMYFUNCTION("IFNA(vlookup(H8438,IMPORTRANGE(""1vUGwO1n0QQGx9kKbO0_M5gmuhXZ6-LaxQxgrmJnzgP0"",""'TP# look up'!A:C""),3,0),"""")"),"")</f>
        <v/>
      </c>
      <c r="AH8438" s="49">
        <f>LEFT(J8438,2)</f>
        <v/>
      </c>
    </row>
    <row r="8439" ht="12.75" customHeight="1">
      <c r="H8439" s="43" t="n"/>
      <c r="AG8439" s="49">
        <f>IFERROR(__xludf.DUMMYFUNCTION("IFNA(vlookup(H8439,IMPORTRANGE(""1vUGwO1n0QQGx9kKbO0_M5gmuhXZ6-LaxQxgrmJnzgP0"",""'TP# look up'!A:C""),3,0),"""")"),"")</f>
        <v/>
      </c>
      <c r="AH8439" s="49">
        <f>LEFT(J8439,2)</f>
        <v/>
      </c>
    </row>
    <row r="8440" ht="12.75" customHeight="1">
      <c r="H8440" s="43" t="n"/>
      <c r="AG8440" s="49">
        <f>IFERROR(__xludf.DUMMYFUNCTION("IFNA(vlookup(H8440,IMPORTRANGE(""1vUGwO1n0QQGx9kKbO0_M5gmuhXZ6-LaxQxgrmJnzgP0"",""'TP# look up'!A:C""),3,0),"""")"),"")</f>
        <v/>
      </c>
      <c r="AH8440" s="49">
        <f>LEFT(J8440,2)</f>
        <v/>
      </c>
    </row>
    <row r="8441" ht="12.75" customHeight="1">
      <c r="H8441" s="43" t="n"/>
      <c r="AG8441" s="49">
        <f>IFERROR(__xludf.DUMMYFUNCTION("IFNA(vlookup(H8441,IMPORTRANGE(""1vUGwO1n0QQGx9kKbO0_M5gmuhXZ6-LaxQxgrmJnzgP0"",""'TP# look up'!A:C""),3,0),"""")"),"")</f>
        <v/>
      </c>
      <c r="AH8441" s="49">
        <f>LEFT(J8441,2)</f>
        <v/>
      </c>
    </row>
    <row r="8442" ht="12.75" customHeight="1">
      <c r="H8442" s="43" t="n"/>
      <c r="AG8442" s="49">
        <f>IFERROR(__xludf.DUMMYFUNCTION("IFNA(vlookup(H8442,IMPORTRANGE(""1vUGwO1n0QQGx9kKbO0_M5gmuhXZ6-LaxQxgrmJnzgP0"",""'TP# look up'!A:C""),3,0),"""")"),"")</f>
        <v/>
      </c>
      <c r="AH8442" s="49">
        <f>LEFT(J8442,2)</f>
        <v/>
      </c>
    </row>
    <row r="8443" ht="12.75" customHeight="1">
      <c r="H8443" s="43" t="n"/>
      <c r="AG8443" s="49">
        <f>IFERROR(__xludf.DUMMYFUNCTION("IFNA(vlookup(H8443,IMPORTRANGE(""1vUGwO1n0QQGx9kKbO0_M5gmuhXZ6-LaxQxgrmJnzgP0"",""'TP# look up'!A:C""),3,0),"""")"),"")</f>
        <v/>
      </c>
      <c r="AH8443" s="49">
        <f>LEFT(J8443,2)</f>
        <v/>
      </c>
    </row>
    <row r="8444" ht="12.75" customHeight="1">
      <c r="H8444" s="43" t="n"/>
      <c r="AG8444" s="49">
        <f>IFERROR(__xludf.DUMMYFUNCTION("IFNA(vlookup(H8444,IMPORTRANGE(""1vUGwO1n0QQGx9kKbO0_M5gmuhXZ6-LaxQxgrmJnzgP0"",""'TP# look up'!A:C""),3,0),"""")"),"")</f>
        <v/>
      </c>
      <c r="AH8444" s="49">
        <f>LEFT(J8444,2)</f>
        <v/>
      </c>
    </row>
    <row r="8445" ht="12.75" customHeight="1">
      <c r="H8445" s="43" t="n"/>
      <c r="AG8445" s="49">
        <f>IFERROR(__xludf.DUMMYFUNCTION("IFNA(vlookup(H8445,IMPORTRANGE(""1vUGwO1n0QQGx9kKbO0_M5gmuhXZ6-LaxQxgrmJnzgP0"",""'TP# look up'!A:C""),3,0),"""")"),"")</f>
        <v/>
      </c>
      <c r="AH8445" s="49">
        <f>LEFT(J8445,2)</f>
        <v/>
      </c>
    </row>
    <row r="8446" ht="12.75" customHeight="1">
      <c r="H8446" s="43" t="n"/>
      <c r="AG8446" s="49">
        <f>IFERROR(__xludf.DUMMYFUNCTION("IFNA(vlookup(H8446,IMPORTRANGE(""1vUGwO1n0QQGx9kKbO0_M5gmuhXZ6-LaxQxgrmJnzgP0"",""'TP# look up'!A:C""),3,0),"""")"),"")</f>
        <v/>
      </c>
      <c r="AH8446" s="49">
        <f>LEFT(J8446,2)</f>
        <v/>
      </c>
    </row>
    <row r="8447" ht="12.75" customHeight="1">
      <c r="H8447" s="43" t="n"/>
      <c r="AG8447" s="49">
        <f>IFERROR(__xludf.DUMMYFUNCTION("IFNA(vlookup(H8447,IMPORTRANGE(""1vUGwO1n0QQGx9kKbO0_M5gmuhXZ6-LaxQxgrmJnzgP0"",""'TP# look up'!A:C""),3,0),"""")"),"")</f>
        <v/>
      </c>
      <c r="AH8447" s="49">
        <f>LEFT(J8447,2)</f>
        <v/>
      </c>
    </row>
    <row r="8448" ht="12.75" customHeight="1">
      <c r="H8448" s="43" t="n"/>
      <c r="AG8448" s="49">
        <f>IFERROR(__xludf.DUMMYFUNCTION("IFNA(vlookup(H8448,IMPORTRANGE(""1vUGwO1n0QQGx9kKbO0_M5gmuhXZ6-LaxQxgrmJnzgP0"",""'TP# look up'!A:C""),3,0),"""")"),"")</f>
        <v/>
      </c>
      <c r="AH8448" s="49">
        <f>LEFT(J8448,2)</f>
        <v/>
      </c>
    </row>
    <row r="8449" ht="12.75" customHeight="1">
      <c r="H8449" s="43" t="n"/>
      <c r="AG8449" s="49">
        <f>IFERROR(__xludf.DUMMYFUNCTION("IFNA(vlookup(H8449,IMPORTRANGE(""1vUGwO1n0QQGx9kKbO0_M5gmuhXZ6-LaxQxgrmJnzgP0"",""'TP# look up'!A:C""),3,0),"""")"),"")</f>
        <v/>
      </c>
      <c r="AH8449" s="49">
        <f>LEFT(J8449,2)</f>
        <v/>
      </c>
    </row>
    <row r="8450" ht="12.75" customHeight="1">
      <c r="H8450" s="43" t="n"/>
      <c r="AG8450" s="49">
        <f>IFERROR(__xludf.DUMMYFUNCTION("IFNA(vlookup(H8450,IMPORTRANGE(""1vUGwO1n0QQGx9kKbO0_M5gmuhXZ6-LaxQxgrmJnzgP0"",""'TP# look up'!A:C""),3,0),"""")"),"")</f>
        <v/>
      </c>
      <c r="AH8450" s="49">
        <f>LEFT(J8450,2)</f>
        <v/>
      </c>
    </row>
    <row r="8451" ht="12.75" customHeight="1">
      <c r="H8451" s="43" t="n"/>
      <c r="AG8451" s="49">
        <f>IFERROR(__xludf.DUMMYFUNCTION("IFNA(vlookup(H8451,IMPORTRANGE(""1vUGwO1n0QQGx9kKbO0_M5gmuhXZ6-LaxQxgrmJnzgP0"",""'TP# look up'!A:C""),3,0),"""")"),"")</f>
        <v/>
      </c>
      <c r="AH8451" s="49">
        <f>LEFT(J8451,2)</f>
        <v/>
      </c>
    </row>
    <row r="8452" ht="12.75" customHeight="1">
      <c r="H8452" s="43" t="n"/>
      <c r="AG8452" s="49">
        <f>IFERROR(__xludf.DUMMYFUNCTION("IFNA(vlookup(H8452,IMPORTRANGE(""1vUGwO1n0QQGx9kKbO0_M5gmuhXZ6-LaxQxgrmJnzgP0"",""'TP# look up'!A:C""),3,0),"""")"),"")</f>
        <v/>
      </c>
      <c r="AH8452" s="49">
        <f>LEFT(J8452,2)</f>
        <v/>
      </c>
    </row>
    <row r="8453" ht="12.75" customHeight="1">
      <c r="H8453" s="43" t="n"/>
      <c r="AG8453" s="49">
        <f>IFERROR(__xludf.DUMMYFUNCTION("IFNA(vlookup(H8453,IMPORTRANGE(""1vUGwO1n0QQGx9kKbO0_M5gmuhXZ6-LaxQxgrmJnzgP0"",""'TP# look up'!A:C""),3,0),"""")"),"")</f>
        <v/>
      </c>
      <c r="AH8453" s="49">
        <f>LEFT(J8453,2)</f>
        <v/>
      </c>
    </row>
    <row r="8454" ht="12.75" customHeight="1">
      <c r="H8454" s="43" t="n"/>
      <c r="AG8454" s="49">
        <f>IFERROR(__xludf.DUMMYFUNCTION("IFNA(vlookup(H8454,IMPORTRANGE(""1vUGwO1n0QQGx9kKbO0_M5gmuhXZ6-LaxQxgrmJnzgP0"",""'TP# look up'!A:C""),3,0),"""")"),"")</f>
        <v/>
      </c>
      <c r="AH8454" s="49">
        <f>LEFT(J8454,2)</f>
        <v/>
      </c>
    </row>
    <row r="8455" ht="12.75" customHeight="1">
      <c r="H8455" s="43" t="n"/>
      <c r="AG8455" s="49">
        <f>IFERROR(__xludf.DUMMYFUNCTION("IFNA(vlookup(H8455,IMPORTRANGE(""1vUGwO1n0QQGx9kKbO0_M5gmuhXZ6-LaxQxgrmJnzgP0"",""'TP# look up'!A:C""),3,0),"""")"),"")</f>
        <v/>
      </c>
      <c r="AH8455" s="49">
        <f>LEFT(J8455,2)</f>
        <v/>
      </c>
    </row>
    <row r="8456" ht="12.75" customHeight="1">
      <c r="H8456" s="43" t="n"/>
      <c r="AG8456" s="49">
        <f>IFERROR(__xludf.DUMMYFUNCTION("IFNA(vlookup(H8456,IMPORTRANGE(""1vUGwO1n0QQGx9kKbO0_M5gmuhXZ6-LaxQxgrmJnzgP0"",""'TP# look up'!A:C""),3,0),"""")"),"")</f>
        <v/>
      </c>
      <c r="AH8456" s="49">
        <f>LEFT(J8456,2)</f>
        <v/>
      </c>
    </row>
    <row r="8457" ht="12.75" customHeight="1">
      <c r="H8457" s="43" t="n"/>
      <c r="AG8457" s="49">
        <f>IFERROR(__xludf.DUMMYFUNCTION("IFNA(vlookup(H8457,IMPORTRANGE(""1vUGwO1n0QQGx9kKbO0_M5gmuhXZ6-LaxQxgrmJnzgP0"",""'TP# look up'!A:C""),3,0),"""")"),"")</f>
        <v/>
      </c>
      <c r="AH8457" s="49">
        <f>LEFT(J8457,2)</f>
        <v/>
      </c>
    </row>
    <row r="8458" ht="12.75" customHeight="1">
      <c r="H8458" s="43" t="n"/>
      <c r="AG8458" s="49">
        <f>IFERROR(__xludf.DUMMYFUNCTION("IFNA(vlookup(H8458,IMPORTRANGE(""1vUGwO1n0QQGx9kKbO0_M5gmuhXZ6-LaxQxgrmJnzgP0"",""'TP# look up'!A:C""),3,0),"""")"),"")</f>
        <v/>
      </c>
      <c r="AH8458" s="49">
        <f>LEFT(J8458,2)</f>
        <v/>
      </c>
    </row>
    <row r="8459" ht="12.75" customHeight="1">
      <c r="H8459" s="43" t="n"/>
      <c r="AG8459" s="49">
        <f>IFERROR(__xludf.DUMMYFUNCTION("IFNA(vlookup(H8459,IMPORTRANGE(""1vUGwO1n0QQGx9kKbO0_M5gmuhXZ6-LaxQxgrmJnzgP0"",""'TP# look up'!A:C""),3,0),"""")"),"")</f>
        <v/>
      </c>
      <c r="AH8459" s="49">
        <f>LEFT(J8459,2)</f>
        <v/>
      </c>
    </row>
    <row r="8460" ht="12.75" customHeight="1">
      <c r="H8460" s="43" t="n"/>
      <c r="AG8460" s="49">
        <f>IFERROR(__xludf.DUMMYFUNCTION("IFNA(vlookup(H8460,IMPORTRANGE(""1vUGwO1n0QQGx9kKbO0_M5gmuhXZ6-LaxQxgrmJnzgP0"",""'TP# look up'!A:C""),3,0),"""")"),"")</f>
        <v/>
      </c>
      <c r="AH8460" s="49">
        <f>LEFT(J8460,2)</f>
        <v/>
      </c>
    </row>
    <row r="8461" ht="12.75" customHeight="1">
      <c r="H8461" s="43" t="n"/>
      <c r="AG8461" s="49">
        <f>IFERROR(__xludf.DUMMYFUNCTION("IFNA(vlookup(H8461,IMPORTRANGE(""1vUGwO1n0QQGx9kKbO0_M5gmuhXZ6-LaxQxgrmJnzgP0"",""'TP# look up'!A:C""),3,0),"""")"),"")</f>
        <v/>
      </c>
      <c r="AH8461" s="49">
        <f>LEFT(J8461,2)</f>
        <v/>
      </c>
    </row>
    <row r="8462" ht="12.75" customHeight="1">
      <c r="H8462" s="43" t="n"/>
      <c r="AG8462" s="49">
        <f>IFERROR(__xludf.DUMMYFUNCTION("IFNA(vlookup(H8462,IMPORTRANGE(""1vUGwO1n0QQGx9kKbO0_M5gmuhXZ6-LaxQxgrmJnzgP0"",""'TP# look up'!A:C""),3,0),"""")"),"")</f>
        <v/>
      </c>
      <c r="AH8462" s="49">
        <f>LEFT(J8462,2)</f>
        <v/>
      </c>
    </row>
    <row r="8463" ht="12.75" customHeight="1">
      <c r="H8463" s="43" t="n"/>
      <c r="AG8463" s="49">
        <f>IFERROR(__xludf.DUMMYFUNCTION("IFNA(vlookup(H8463,IMPORTRANGE(""1vUGwO1n0QQGx9kKbO0_M5gmuhXZ6-LaxQxgrmJnzgP0"",""'TP# look up'!A:C""),3,0),"""")"),"")</f>
        <v/>
      </c>
      <c r="AH8463" s="49">
        <f>LEFT(J8463,2)</f>
        <v/>
      </c>
    </row>
    <row r="8464" ht="12.75" customHeight="1">
      <c r="H8464" s="43" t="n"/>
      <c r="AG8464" s="49">
        <f>IFERROR(__xludf.DUMMYFUNCTION("IFNA(vlookup(H8464,IMPORTRANGE(""1vUGwO1n0QQGx9kKbO0_M5gmuhXZ6-LaxQxgrmJnzgP0"",""'TP# look up'!A:C""),3,0),"""")"),"")</f>
        <v/>
      </c>
      <c r="AH8464" s="49">
        <f>LEFT(J8464,2)</f>
        <v/>
      </c>
    </row>
    <row r="8465" ht="12.75" customHeight="1">
      <c r="H8465" s="43" t="n"/>
      <c r="AG8465" s="49">
        <f>IFERROR(__xludf.DUMMYFUNCTION("IFNA(vlookup(H8465,IMPORTRANGE(""1vUGwO1n0QQGx9kKbO0_M5gmuhXZ6-LaxQxgrmJnzgP0"",""'TP# look up'!A:C""),3,0),"""")"),"")</f>
        <v/>
      </c>
      <c r="AH8465" s="49">
        <f>LEFT(J8465,2)</f>
        <v/>
      </c>
    </row>
    <row r="8466" ht="12.75" customHeight="1">
      <c r="H8466" s="43" t="n"/>
      <c r="AG8466" s="49">
        <f>IFERROR(__xludf.DUMMYFUNCTION("IFNA(vlookup(H8466,IMPORTRANGE(""1vUGwO1n0QQGx9kKbO0_M5gmuhXZ6-LaxQxgrmJnzgP0"",""'TP# look up'!A:C""),3,0),"""")"),"")</f>
        <v/>
      </c>
      <c r="AH8466" s="49">
        <f>LEFT(J8466,2)</f>
        <v/>
      </c>
    </row>
    <row r="8467" ht="12.75" customHeight="1">
      <c r="H8467" s="43" t="n"/>
      <c r="AG8467" s="49">
        <f>IFERROR(__xludf.DUMMYFUNCTION("IFNA(vlookup(H8467,IMPORTRANGE(""1vUGwO1n0QQGx9kKbO0_M5gmuhXZ6-LaxQxgrmJnzgP0"",""'TP# look up'!A:C""),3,0),"""")"),"")</f>
        <v/>
      </c>
      <c r="AH8467" s="49">
        <f>LEFT(J8467,2)</f>
        <v/>
      </c>
    </row>
    <row r="8468" ht="12.75" customHeight="1">
      <c r="H8468" s="43" t="n"/>
      <c r="AG8468" s="49">
        <f>IFERROR(__xludf.DUMMYFUNCTION("IFNA(vlookup(H8468,IMPORTRANGE(""1vUGwO1n0QQGx9kKbO0_M5gmuhXZ6-LaxQxgrmJnzgP0"",""'TP# look up'!A:C""),3,0),"""")"),"")</f>
        <v/>
      </c>
      <c r="AH8468" s="49">
        <f>LEFT(J8468,2)</f>
        <v/>
      </c>
    </row>
    <row r="8469" ht="12.75" customHeight="1">
      <c r="H8469" s="43" t="n"/>
      <c r="AG8469" s="49">
        <f>IFERROR(__xludf.DUMMYFUNCTION("IFNA(vlookup(H8469,IMPORTRANGE(""1vUGwO1n0QQGx9kKbO0_M5gmuhXZ6-LaxQxgrmJnzgP0"",""'TP# look up'!A:C""),3,0),"""")"),"")</f>
        <v/>
      </c>
      <c r="AH8469" s="49">
        <f>LEFT(J8469,2)</f>
        <v/>
      </c>
    </row>
    <row r="8470" ht="12.75" customHeight="1">
      <c r="H8470" s="43" t="n"/>
      <c r="AG8470" s="49">
        <f>IFERROR(__xludf.DUMMYFUNCTION("IFNA(vlookup(H8470,IMPORTRANGE(""1vUGwO1n0QQGx9kKbO0_M5gmuhXZ6-LaxQxgrmJnzgP0"",""'TP# look up'!A:C""),3,0),"""")"),"")</f>
        <v/>
      </c>
      <c r="AH8470" s="49">
        <f>LEFT(J8470,2)</f>
        <v/>
      </c>
    </row>
    <row r="8471" ht="12.75" customHeight="1">
      <c r="H8471" s="43" t="n"/>
      <c r="AG8471" s="49">
        <f>IFERROR(__xludf.DUMMYFUNCTION("IFNA(vlookup(H8471,IMPORTRANGE(""1vUGwO1n0QQGx9kKbO0_M5gmuhXZ6-LaxQxgrmJnzgP0"",""'TP# look up'!A:C""),3,0),"""")"),"")</f>
        <v/>
      </c>
      <c r="AH8471" s="49">
        <f>LEFT(J8471,2)</f>
        <v/>
      </c>
    </row>
    <row r="8472" ht="12.75" customHeight="1">
      <c r="H8472" s="43" t="n"/>
      <c r="AG8472" s="49">
        <f>IFERROR(__xludf.DUMMYFUNCTION("IFNA(vlookup(H8472,IMPORTRANGE(""1vUGwO1n0QQGx9kKbO0_M5gmuhXZ6-LaxQxgrmJnzgP0"",""'TP# look up'!A:C""),3,0),"""")"),"")</f>
        <v/>
      </c>
      <c r="AH8472" s="49">
        <f>LEFT(J8472,2)</f>
        <v/>
      </c>
    </row>
    <row r="8473" ht="12.75" customHeight="1">
      <c r="H8473" s="43" t="n"/>
      <c r="AG8473" s="49">
        <f>IFERROR(__xludf.DUMMYFUNCTION("IFNA(vlookup(H8473,IMPORTRANGE(""1vUGwO1n0QQGx9kKbO0_M5gmuhXZ6-LaxQxgrmJnzgP0"",""'TP# look up'!A:C""),3,0),"""")"),"")</f>
        <v/>
      </c>
      <c r="AH8473" s="49">
        <f>LEFT(J8473,2)</f>
        <v/>
      </c>
    </row>
    <row r="8474" ht="12.75" customHeight="1">
      <c r="H8474" s="43" t="n"/>
      <c r="AG8474" s="49">
        <f>IFERROR(__xludf.DUMMYFUNCTION("IFNA(vlookup(H8474,IMPORTRANGE(""1vUGwO1n0QQGx9kKbO0_M5gmuhXZ6-LaxQxgrmJnzgP0"",""'TP# look up'!A:C""),3,0),"""")"),"")</f>
        <v/>
      </c>
      <c r="AH8474" s="49">
        <f>LEFT(J8474,2)</f>
        <v/>
      </c>
    </row>
    <row r="8475" ht="12.75" customHeight="1">
      <c r="H8475" s="43" t="n"/>
      <c r="AG8475" s="49">
        <f>IFERROR(__xludf.DUMMYFUNCTION("IFNA(vlookup(H8475,IMPORTRANGE(""1vUGwO1n0QQGx9kKbO0_M5gmuhXZ6-LaxQxgrmJnzgP0"",""'TP# look up'!A:C""),3,0),"""")"),"")</f>
        <v/>
      </c>
      <c r="AH8475" s="49">
        <f>LEFT(J8475,2)</f>
        <v/>
      </c>
    </row>
    <row r="8476" ht="12.75" customHeight="1">
      <c r="H8476" s="43" t="n"/>
      <c r="AG8476" s="49">
        <f>IFERROR(__xludf.DUMMYFUNCTION("IFNA(vlookup(H8476,IMPORTRANGE(""1vUGwO1n0QQGx9kKbO0_M5gmuhXZ6-LaxQxgrmJnzgP0"",""'TP# look up'!A:C""),3,0),"""")"),"")</f>
        <v/>
      </c>
      <c r="AH8476" s="49">
        <f>LEFT(J8476,2)</f>
        <v/>
      </c>
    </row>
    <row r="8477" ht="12.75" customHeight="1">
      <c r="H8477" s="43" t="n"/>
      <c r="AG8477" s="49">
        <f>IFERROR(__xludf.DUMMYFUNCTION("IFNA(vlookup(H8477,IMPORTRANGE(""1vUGwO1n0QQGx9kKbO0_M5gmuhXZ6-LaxQxgrmJnzgP0"",""'TP# look up'!A:C""),3,0),"""")"),"")</f>
        <v/>
      </c>
      <c r="AH8477" s="49">
        <f>LEFT(J8477,2)</f>
        <v/>
      </c>
    </row>
    <row r="8478" ht="12.75" customHeight="1">
      <c r="H8478" s="43" t="n"/>
      <c r="AG8478" s="49">
        <f>IFERROR(__xludf.DUMMYFUNCTION("IFNA(vlookup(H8478,IMPORTRANGE(""1vUGwO1n0QQGx9kKbO0_M5gmuhXZ6-LaxQxgrmJnzgP0"",""'TP# look up'!A:C""),3,0),"""")"),"")</f>
        <v/>
      </c>
      <c r="AH8478" s="49">
        <f>LEFT(J8478,2)</f>
        <v/>
      </c>
    </row>
    <row r="8479" ht="12.75" customHeight="1">
      <c r="H8479" s="43" t="n"/>
      <c r="AG8479" s="49">
        <f>IFERROR(__xludf.DUMMYFUNCTION("IFNA(vlookup(H8479,IMPORTRANGE(""1vUGwO1n0QQGx9kKbO0_M5gmuhXZ6-LaxQxgrmJnzgP0"",""'TP# look up'!A:C""),3,0),"""")"),"")</f>
        <v/>
      </c>
      <c r="AH8479" s="49">
        <f>LEFT(J8479,2)</f>
        <v/>
      </c>
    </row>
    <row r="8480" ht="12.75" customHeight="1">
      <c r="H8480" s="43" t="n"/>
      <c r="AG8480" s="49">
        <f>IFERROR(__xludf.DUMMYFUNCTION("IFNA(vlookup(H8480,IMPORTRANGE(""1vUGwO1n0QQGx9kKbO0_M5gmuhXZ6-LaxQxgrmJnzgP0"",""'TP# look up'!A:C""),3,0),"""")"),"")</f>
        <v/>
      </c>
      <c r="AH8480" s="49">
        <f>LEFT(J8480,2)</f>
        <v/>
      </c>
    </row>
    <row r="8481" ht="12.75" customHeight="1">
      <c r="H8481" s="43" t="n"/>
      <c r="AG8481" s="49">
        <f>IFERROR(__xludf.DUMMYFUNCTION("IFNA(vlookup(H8481,IMPORTRANGE(""1vUGwO1n0QQGx9kKbO0_M5gmuhXZ6-LaxQxgrmJnzgP0"",""'TP# look up'!A:C""),3,0),"""")"),"")</f>
        <v/>
      </c>
      <c r="AH8481" s="49">
        <f>LEFT(J8481,2)</f>
        <v/>
      </c>
    </row>
    <row r="8482" ht="12.75" customHeight="1">
      <c r="H8482" s="43" t="n"/>
      <c r="AG8482" s="49">
        <f>IFERROR(__xludf.DUMMYFUNCTION("IFNA(vlookup(H8482,IMPORTRANGE(""1vUGwO1n0QQGx9kKbO0_M5gmuhXZ6-LaxQxgrmJnzgP0"",""'TP# look up'!A:C""),3,0),"""")"),"")</f>
        <v/>
      </c>
      <c r="AH8482" s="49">
        <f>LEFT(J8482,2)</f>
        <v/>
      </c>
    </row>
    <row r="8483" ht="12.75" customHeight="1">
      <c r="H8483" s="43" t="n"/>
      <c r="AG8483" s="49">
        <f>IFERROR(__xludf.DUMMYFUNCTION("IFNA(vlookup(H8483,IMPORTRANGE(""1vUGwO1n0QQGx9kKbO0_M5gmuhXZ6-LaxQxgrmJnzgP0"",""'TP# look up'!A:C""),3,0),"""")"),"")</f>
        <v/>
      </c>
      <c r="AH8483" s="49">
        <f>LEFT(J8483,2)</f>
        <v/>
      </c>
    </row>
    <row r="8484" ht="12.75" customHeight="1">
      <c r="H8484" s="43" t="n"/>
      <c r="AG8484" s="49">
        <f>IFERROR(__xludf.DUMMYFUNCTION("IFNA(vlookup(H8484,IMPORTRANGE(""1vUGwO1n0QQGx9kKbO0_M5gmuhXZ6-LaxQxgrmJnzgP0"",""'TP# look up'!A:C""),3,0),"""")"),"")</f>
        <v/>
      </c>
      <c r="AH8484" s="49">
        <f>LEFT(J8484,2)</f>
        <v/>
      </c>
    </row>
    <row r="8485" ht="12.75" customHeight="1">
      <c r="H8485" s="43" t="n"/>
      <c r="AG8485" s="49">
        <f>IFERROR(__xludf.DUMMYFUNCTION("IFNA(vlookup(H8485,IMPORTRANGE(""1vUGwO1n0QQGx9kKbO0_M5gmuhXZ6-LaxQxgrmJnzgP0"",""'TP# look up'!A:C""),3,0),"""")"),"")</f>
        <v/>
      </c>
      <c r="AH8485" s="49">
        <f>LEFT(J8485,2)</f>
        <v/>
      </c>
    </row>
    <row r="8486" ht="12.75" customHeight="1">
      <c r="H8486" s="43" t="n"/>
      <c r="AG8486" s="49">
        <f>IFERROR(__xludf.DUMMYFUNCTION("IFNA(vlookup(H8486,IMPORTRANGE(""1vUGwO1n0QQGx9kKbO0_M5gmuhXZ6-LaxQxgrmJnzgP0"",""'TP# look up'!A:C""),3,0),"""")"),"")</f>
        <v/>
      </c>
      <c r="AH8486" s="49">
        <f>LEFT(J8486,2)</f>
        <v/>
      </c>
    </row>
    <row r="8487" ht="12.75" customHeight="1">
      <c r="H8487" s="43" t="n"/>
      <c r="AG8487" s="49">
        <f>IFERROR(__xludf.DUMMYFUNCTION("IFNA(vlookup(H8487,IMPORTRANGE(""1vUGwO1n0QQGx9kKbO0_M5gmuhXZ6-LaxQxgrmJnzgP0"",""'TP# look up'!A:C""),3,0),"""")"),"")</f>
        <v/>
      </c>
      <c r="AH8487" s="49">
        <f>LEFT(J8487,2)</f>
        <v/>
      </c>
    </row>
    <row r="8488" ht="12.75" customHeight="1">
      <c r="H8488" s="43" t="n"/>
      <c r="AG8488" s="49">
        <f>IFERROR(__xludf.DUMMYFUNCTION("IFNA(vlookup(H8488,IMPORTRANGE(""1vUGwO1n0QQGx9kKbO0_M5gmuhXZ6-LaxQxgrmJnzgP0"",""'TP# look up'!A:C""),3,0),"""")"),"")</f>
        <v/>
      </c>
      <c r="AH8488" s="49">
        <f>LEFT(J8488,2)</f>
        <v/>
      </c>
    </row>
    <row r="8489" ht="12.75" customHeight="1">
      <c r="H8489" s="43" t="n"/>
      <c r="AG8489" s="49">
        <f>IFERROR(__xludf.DUMMYFUNCTION("IFNA(vlookup(H8489,IMPORTRANGE(""1vUGwO1n0QQGx9kKbO0_M5gmuhXZ6-LaxQxgrmJnzgP0"",""'TP# look up'!A:C""),3,0),"""")"),"")</f>
        <v/>
      </c>
      <c r="AH8489" s="49">
        <f>LEFT(J8489,2)</f>
        <v/>
      </c>
    </row>
    <row r="8490" ht="12.75" customHeight="1">
      <c r="H8490" s="43" t="n"/>
      <c r="AG8490" s="49">
        <f>IFERROR(__xludf.DUMMYFUNCTION("IFNA(vlookup(H8490,IMPORTRANGE(""1vUGwO1n0QQGx9kKbO0_M5gmuhXZ6-LaxQxgrmJnzgP0"",""'TP# look up'!A:C""),3,0),"""")"),"")</f>
        <v/>
      </c>
      <c r="AH8490" s="49">
        <f>LEFT(J8490,2)</f>
        <v/>
      </c>
    </row>
    <row r="8491" ht="12.75" customHeight="1">
      <c r="H8491" s="43" t="n"/>
      <c r="AG8491" s="49">
        <f>IFERROR(__xludf.DUMMYFUNCTION("IFNA(vlookup(H8491,IMPORTRANGE(""1vUGwO1n0QQGx9kKbO0_M5gmuhXZ6-LaxQxgrmJnzgP0"",""'TP# look up'!A:C""),3,0),"""")"),"")</f>
        <v/>
      </c>
      <c r="AH8491" s="49">
        <f>LEFT(J8491,2)</f>
        <v/>
      </c>
    </row>
    <row r="8492" ht="12.75" customHeight="1">
      <c r="H8492" s="43" t="n"/>
      <c r="AG8492" s="49">
        <f>IFERROR(__xludf.DUMMYFUNCTION("IFNA(vlookup(H8492,IMPORTRANGE(""1vUGwO1n0QQGx9kKbO0_M5gmuhXZ6-LaxQxgrmJnzgP0"",""'TP# look up'!A:C""),3,0),"""")"),"")</f>
        <v/>
      </c>
      <c r="AH8492" s="49">
        <f>LEFT(J8492,2)</f>
        <v/>
      </c>
    </row>
    <row r="8493" ht="12.75" customHeight="1">
      <c r="H8493" s="43" t="n"/>
      <c r="AG8493" s="49">
        <f>IFERROR(__xludf.DUMMYFUNCTION("IFNA(vlookup(H8493,IMPORTRANGE(""1vUGwO1n0QQGx9kKbO0_M5gmuhXZ6-LaxQxgrmJnzgP0"",""'TP# look up'!A:C""),3,0),"""")"),"")</f>
        <v/>
      </c>
      <c r="AH8493" s="49">
        <f>LEFT(J8493,2)</f>
        <v/>
      </c>
    </row>
    <row r="8494" ht="12.75" customHeight="1">
      <c r="H8494" s="43" t="n"/>
      <c r="AG8494" s="49">
        <f>IFERROR(__xludf.DUMMYFUNCTION("IFNA(vlookup(H8494,IMPORTRANGE(""1vUGwO1n0QQGx9kKbO0_M5gmuhXZ6-LaxQxgrmJnzgP0"",""'TP# look up'!A:C""),3,0),"""")"),"")</f>
        <v/>
      </c>
      <c r="AH8494" s="49">
        <f>LEFT(J8494,2)</f>
        <v/>
      </c>
    </row>
    <row r="8495" ht="12.75" customHeight="1">
      <c r="H8495" s="43" t="n"/>
      <c r="AG8495" s="49">
        <f>IFERROR(__xludf.DUMMYFUNCTION("IFNA(vlookup(H8495,IMPORTRANGE(""1vUGwO1n0QQGx9kKbO0_M5gmuhXZ6-LaxQxgrmJnzgP0"",""'TP# look up'!A:C""),3,0),"""")"),"")</f>
        <v/>
      </c>
      <c r="AH8495" s="49">
        <f>LEFT(J8495,2)</f>
        <v/>
      </c>
    </row>
    <row r="8496" ht="12.75" customHeight="1">
      <c r="H8496" s="43" t="n"/>
      <c r="AG8496" s="49">
        <f>IFERROR(__xludf.DUMMYFUNCTION("IFNA(vlookup(H8496,IMPORTRANGE(""1vUGwO1n0QQGx9kKbO0_M5gmuhXZ6-LaxQxgrmJnzgP0"",""'TP# look up'!A:C""),3,0),"""")"),"")</f>
        <v/>
      </c>
      <c r="AH8496" s="49">
        <f>LEFT(J8496,2)</f>
        <v/>
      </c>
    </row>
    <row r="8497" ht="12.75" customHeight="1">
      <c r="H8497" s="43" t="n"/>
      <c r="AG8497" s="49">
        <f>IFERROR(__xludf.DUMMYFUNCTION("IFNA(vlookup(H8497,IMPORTRANGE(""1vUGwO1n0QQGx9kKbO0_M5gmuhXZ6-LaxQxgrmJnzgP0"",""'TP# look up'!A:C""),3,0),"""")"),"")</f>
        <v/>
      </c>
      <c r="AH8497" s="49">
        <f>LEFT(J8497,2)</f>
        <v/>
      </c>
    </row>
    <row r="8498" ht="12.75" customHeight="1">
      <c r="H8498" s="43" t="n"/>
      <c r="AG8498" s="49">
        <f>IFERROR(__xludf.DUMMYFUNCTION("IFNA(vlookup(H8498,IMPORTRANGE(""1vUGwO1n0QQGx9kKbO0_M5gmuhXZ6-LaxQxgrmJnzgP0"",""'TP# look up'!A:C""),3,0),"""")"),"")</f>
        <v/>
      </c>
      <c r="AH8498" s="49">
        <f>LEFT(J8498,2)</f>
        <v/>
      </c>
    </row>
    <row r="8499" ht="12.75" customHeight="1">
      <c r="H8499" s="43" t="n"/>
      <c r="AG8499" s="49">
        <f>IFERROR(__xludf.DUMMYFUNCTION("IFNA(vlookup(H8499,IMPORTRANGE(""1vUGwO1n0QQGx9kKbO0_M5gmuhXZ6-LaxQxgrmJnzgP0"",""'TP# look up'!A:C""),3,0),"""")"),"")</f>
        <v/>
      </c>
      <c r="AH8499" s="49">
        <f>LEFT(J8499,2)</f>
        <v/>
      </c>
    </row>
    <row r="8500" ht="12.75" customHeight="1">
      <c r="H8500" s="43" t="n"/>
      <c r="AG8500" s="49">
        <f>IFERROR(__xludf.DUMMYFUNCTION("IFNA(vlookup(H8500,IMPORTRANGE(""1vUGwO1n0QQGx9kKbO0_M5gmuhXZ6-LaxQxgrmJnzgP0"",""'TP# look up'!A:C""),3,0),"""")"),"")</f>
        <v/>
      </c>
      <c r="AH8500" s="49">
        <f>LEFT(J8500,2)</f>
        <v/>
      </c>
    </row>
    <row r="8501" ht="12.75" customHeight="1">
      <c r="H8501" s="43" t="n"/>
      <c r="AG8501" s="49">
        <f>IFERROR(__xludf.DUMMYFUNCTION("IFNA(vlookup(H8501,IMPORTRANGE(""1vUGwO1n0QQGx9kKbO0_M5gmuhXZ6-LaxQxgrmJnzgP0"",""'TP# look up'!A:C""),3,0),"""")"),"")</f>
        <v/>
      </c>
      <c r="AH8501" s="49">
        <f>LEFT(J8501,2)</f>
        <v/>
      </c>
    </row>
    <row r="8502" ht="12.75" customHeight="1">
      <c r="H8502" s="43" t="n"/>
      <c r="AG8502" s="49">
        <f>IFERROR(__xludf.DUMMYFUNCTION("IFNA(vlookup(H8502,IMPORTRANGE(""1vUGwO1n0QQGx9kKbO0_M5gmuhXZ6-LaxQxgrmJnzgP0"",""'TP# look up'!A:C""),3,0),"""")"),"")</f>
        <v/>
      </c>
      <c r="AH8502" s="49">
        <f>LEFT(J8502,2)</f>
        <v/>
      </c>
    </row>
    <row r="8503" ht="12.75" customHeight="1">
      <c r="H8503" s="43" t="n"/>
      <c r="AG8503" s="49">
        <f>IFERROR(__xludf.DUMMYFUNCTION("IFNA(vlookup(H8503,IMPORTRANGE(""1vUGwO1n0QQGx9kKbO0_M5gmuhXZ6-LaxQxgrmJnzgP0"",""'TP# look up'!A:C""),3,0),"""")"),"")</f>
        <v/>
      </c>
      <c r="AH8503" s="49">
        <f>LEFT(J8503,2)</f>
        <v/>
      </c>
    </row>
    <row r="8504" ht="12.75" customHeight="1">
      <c r="H8504" s="43" t="n"/>
      <c r="AG8504" s="49">
        <f>IFERROR(__xludf.DUMMYFUNCTION("IFNA(vlookup(H8504,IMPORTRANGE(""1vUGwO1n0QQGx9kKbO0_M5gmuhXZ6-LaxQxgrmJnzgP0"",""'TP# look up'!A:C""),3,0),"""")"),"")</f>
        <v/>
      </c>
      <c r="AH8504" s="49">
        <f>LEFT(J8504,2)</f>
        <v/>
      </c>
    </row>
    <row r="8505" ht="12.75" customHeight="1">
      <c r="H8505" s="43" t="n"/>
      <c r="AG8505" s="49">
        <f>IFERROR(__xludf.DUMMYFUNCTION("IFNA(vlookup(H8505,IMPORTRANGE(""1vUGwO1n0QQGx9kKbO0_M5gmuhXZ6-LaxQxgrmJnzgP0"",""'TP# look up'!A:C""),3,0),"""")"),"")</f>
        <v/>
      </c>
      <c r="AH8505" s="49">
        <f>LEFT(J8505,2)</f>
        <v/>
      </c>
    </row>
    <row r="8506" ht="12.75" customHeight="1">
      <c r="H8506" s="43" t="n"/>
      <c r="AG8506" s="49">
        <f>IFERROR(__xludf.DUMMYFUNCTION("IFNA(vlookup(H8506,IMPORTRANGE(""1vUGwO1n0QQGx9kKbO0_M5gmuhXZ6-LaxQxgrmJnzgP0"",""'TP# look up'!A:C""),3,0),"""")"),"")</f>
        <v/>
      </c>
      <c r="AH8506" s="49">
        <f>LEFT(J8506,2)</f>
        <v/>
      </c>
    </row>
    <row r="8507" ht="12.75" customHeight="1">
      <c r="H8507" s="43" t="n"/>
      <c r="AG8507" s="49">
        <f>IFERROR(__xludf.DUMMYFUNCTION("IFNA(vlookup(H8507,IMPORTRANGE(""1vUGwO1n0QQGx9kKbO0_M5gmuhXZ6-LaxQxgrmJnzgP0"",""'TP# look up'!A:C""),3,0),"""")"),"")</f>
        <v/>
      </c>
      <c r="AH8507" s="49">
        <f>LEFT(J8507,2)</f>
        <v/>
      </c>
    </row>
    <row r="8508" ht="12.75" customHeight="1">
      <c r="H8508" s="43" t="n"/>
      <c r="AG8508" s="49">
        <f>IFERROR(__xludf.DUMMYFUNCTION("IFNA(vlookup(H8508,IMPORTRANGE(""1vUGwO1n0QQGx9kKbO0_M5gmuhXZ6-LaxQxgrmJnzgP0"",""'TP# look up'!A:C""),3,0),"""")"),"")</f>
        <v/>
      </c>
      <c r="AH8508" s="49">
        <f>LEFT(J8508,2)</f>
        <v/>
      </c>
    </row>
    <row r="8509" ht="12.75" customHeight="1">
      <c r="H8509" s="43" t="n"/>
      <c r="AG8509" s="49">
        <f>IFERROR(__xludf.DUMMYFUNCTION("IFNA(vlookup(H8509,IMPORTRANGE(""1vUGwO1n0QQGx9kKbO0_M5gmuhXZ6-LaxQxgrmJnzgP0"",""'TP# look up'!A:C""),3,0),"""")"),"")</f>
        <v/>
      </c>
      <c r="AH8509" s="49">
        <f>LEFT(J8509,2)</f>
        <v/>
      </c>
    </row>
    <row r="8510" ht="12.75" customHeight="1">
      <c r="H8510" s="43" t="n"/>
      <c r="AG8510" s="49">
        <f>IFERROR(__xludf.DUMMYFUNCTION("IFNA(vlookup(H8510,IMPORTRANGE(""1vUGwO1n0QQGx9kKbO0_M5gmuhXZ6-LaxQxgrmJnzgP0"",""'TP# look up'!A:C""),3,0),"""")"),"")</f>
        <v/>
      </c>
      <c r="AH8510" s="49">
        <f>LEFT(J8510,2)</f>
        <v/>
      </c>
    </row>
    <row r="8511" ht="12.75" customHeight="1">
      <c r="H8511" s="43" t="n"/>
      <c r="AG8511" s="49">
        <f>IFERROR(__xludf.DUMMYFUNCTION("IFNA(vlookup(H8511,IMPORTRANGE(""1vUGwO1n0QQGx9kKbO0_M5gmuhXZ6-LaxQxgrmJnzgP0"",""'TP# look up'!A:C""),3,0),"""")"),"")</f>
        <v/>
      </c>
      <c r="AH8511" s="49">
        <f>LEFT(J8511,2)</f>
        <v/>
      </c>
    </row>
    <row r="8512" ht="12.75" customHeight="1">
      <c r="H8512" s="43" t="n"/>
      <c r="AG8512" s="49">
        <f>IFERROR(__xludf.DUMMYFUNCTION("IFNA(vlookup(H8512,IMPORTRANGE(""1vUGwO1n0QQGx9kKbO0_M5gmuhXZ6-LaxQxgrmJnzgP0"",""'TP# look up'!A:C""),3,0),"""")"),"")</f>
        <v/>
      </c>
      <c r="AH8512" s="49">
        <f>LEFT(J8512,2)</f>
        <v/>
      </c>
    </row>
    <row r="8513" ht="12.75" customHeight="1">
      <c r="H8513" s="43" t="n"/>
      <c r="AG8513" s="49">
        <f>IFERROR(__xludf.DUMMYFUNCTION("IFNA(vlookup(H8513,IMPORTRANGE(""1vUGwO1n0QQGx9kKbO0_M5gmuhXZ6-LaxQxgrmJnzgP0"",""'TP# look up'!A:C""),3,0),"""")"),"")</f>
        <v/>
      </c>
      <c r="AH8513" s="49">
        <f>LEFT(J8513,2)</f>
        <v/>
      </c>
    </row>
    <row r="8514" ht="12.75" customHeight="1">
      <c r="H8514" s="43" t="n"/>
      <c r="AG8514" s="49">
        <f>IFERROR(__xludf.DUMMYFUNCTION("IFNA(vlookup(H8514,IMPORTRANGE(""1vUGwO1n0QQGx9kKbO0_M5gmuhXZ6-LaxQxgrmJnzgP0"",""'TP# look up'!A:C""),3,0),"""")"),"")</f>
        <v/>
      </c>
      <c r="AH8514" s="49">
        <f>LEFT(J8514,2)</f>
        <v/>
      </c>
    </row>
    <row r="8515" ht="12.75" customHeight="1">
      <c r="H8515" s="43" t="n"/>
      <c r="AG8515" s="49">
        <f>IFERROR(__xludf.DUMMYFUNCTION("IFNA(vlookup(H8515,IMPORTRANGE(""1vUGwO1n0QQGx9kKbO0_M5gmuhXZ6-LaxQxgrmJnzgP0"",""'TP# look up'!A:C""),3,0),"""")"),"")</f>
        <v/>
      </c>
      <c r="AH8515" s="49">
        <f>LEFT(J8515,2)</f>
        <v/>
      </c>
    </row>
    <row r="8516" ht="12.75" customHeight="1">
      <c r="H8516" s="43" t="n"/>
      <c r="AG8516" s="49">
        <f>IFERROR(__xludf.DUMMYFUNCTION("IFNA(vlookup(H8516,IMPORTRANGE(""1vUGwO1n0QQGx9kKbO0_M5gmuhXZ6-LaxQxgrmJnzgP0"",""'TP# look up'!A:C""),3,0),"""")"),"")</f>
        <v/>
      </c>
      <c r="AH8516" s="49">
        <f>LEFT(J8516,2)</f>
        <v/>
      </c>
    </row>
    <row r="8517" ht="12.75" customHeight="1">
      <c r="H8517" s="43" t="n"/>
      <c r="AG8517" s="49">
        <f>IFERROR(__xludf.DUMMYFUNCTION("IFNA(vlookup(H8517,IMPORTRANGE(""1vUGwO1n0QQGx9kKbO0_M5gmuhXZ6-LaxQxgrmJnzgP0"",""'TP# look up'!A:C""),3,0),"""")"),"")</f>
        <v/>
      </c>
      <c r="AH8517" s="49">
        <f>LEFT(J8517,2)</f>
        <v/>
      </c>
    </row>
    <row r="8518" ht="12.75" customHeight="1">
      <c r="H8518" s="43" t="n"/>
      <c r="AG8518" s="49">
        <f>IFERROR(__xludf.DUMMYFUNCTION("IFNA(vlookup(H8518,IMPORTRANGE(""1vUGwO1n0QQGx9kKbO0_M5gmuhXZ6-LaxQxgrmJnzgP0"",""'TP# look up'!A:C""),3,0),"""")"),"")</f>
        <v/>
      </c>
      <c r="AH8518" s="49">
        <f>LEFT(J8518,2)</f>
        <v/>
      </c>
    </row>
    <row r="8519" ht="12.75" customHeight="1">
      <c r="H8519" s="43" t="n"/>
      <c r="AG8519" s="49">
        <f>IFERROR(__xludf.DUMMYFUNCTION("IFNA(vlookup(H8519,IMPORTRANGE(""1vUGwO1n0QQGx9kKbO0_M5gmuhXZ6-LaxQxgrmJnzgP0"",""'TP# look up'!A:C""),3,0),"""")"),"")</f>
        <v/>
      </c>
      <c r="AH8519" s="49">
        <f>LEFT(J8519,2)</f>
        <v/>
      </c>
    </row>
    <row r="8520" ht="12.75" customHeight="1">
      <c r="H8520" s="43" t="n"/>
      <c r="AG8520" s="49">
        <f>IFERROR(__xludf.DUMMYFUNCTION("IFNA(vlookup(H8520,IMPORTRANGE(""1vUGwO1n0QQGx9kKbO0_M5gmuhXZ6-LaxQxgrmJnzgP0"",""'TP# look up'!A:C""),3,0),"""")"),"")</f>
        <v/>
      </c>
      <c r="AH8520" s="49">
        <f>LEFT(J8520,2)</f>
        <v/>
      </c>
    </row>
    <row r="8521" ht="12.75" customHeight="1">
      <c r="H8521" s="43" t="n"/>
      <c r="AG8521" s="49">
        <f>IFERROR(__xludf.DUMMYFUNCTION("IFNA(vlookup(H8521,IMPORTRANGE(""1vUGwO1n0QQGx9kKbO0_M5gmuhXZ6-LaxQxgrmJnzgP0"",""'TP# look up'!A:C""),3,0),"""")"),"")</f>
        <v/>
      </c>
      <c r="AH8521" s="49">
        <f>LEFT(J8521,2)</f>
        <v/>
      </c>
    </row>
    <row r="8522" ht="12.75" customHeight="1">
      <c r="H8522" s="43" t="n"/>
      <c r="AG8522" s="49">
        <f>IFERROR(__xludf.DUMMYFUNCTION("IFNA(vlookup(H8522,IMPORTRANGE(""1vUGwO1n0QQGx9kKbO0_M5gmuhXZ6-LaxQxgrmJnzgP0"",""'TP# look up'!A:C""),3,0),"""")"),"")</f>
        <v/>
      </c>
      <c r="AH8522" s="49">
        <f>LEFT(J8522,2)</f>
        <v/>
      </c>
    </row>
    <row r="8523" ht="12.75" customHeight="1">
      <c r="H8523" s="43" t="n"/>
      <c r="AG8523" s="49">
        <f>IFERROR(__xludf.DUMMYFUNCTION("IFNA(vlookup(H8523,IMPORTRANGE(""1vUGwO1n0QQGx9kKbO0_M5gmuhXZ6-LaxQxgrmJnzgP0"",""'TP# look up'!A:C""),3,0),"""")"),"")</f>
        <v/>
      </c>
      <c r="AH8523" s="49">
        <f>LEFT(J8523,2)</f>
        <v/>
      </c>
    </row>
    <row r="8524" ht="12.75" customHeight="1">
      <c r="H8524" s="43" t="n"/>
      <c r="AG8524" s="49">
        <f>IFERROR(__xludf.DUMMYFUNCTION("IFNA(vlookup(H8524,IMPORTRANGE(""1vUGwO1n0QQGx9kKbO0_M5gmuhXZ6-LaxQxgrmJnzgP0"",""'TP# look up'!A:C""),3,0),"""")"),"")</f>
        <v/>
      </c>
      <c r="AH8524" s="49">
        <f>LEFT(J8524,2)</f>
        <v/>
      </c>
    </row>
    <row r="8525" ht="12.75" customHeight="1">
      <c r="H8525" s="43" t="n"/>
      <c r="AG8525" s="49">
        <f>IFERROR(__xludf.DUMMYFUNCTION("IFNA(vlookup(H8525,IMPORTRANGE(""1vUGwO1n0QQGx9kKbO0_M5gmuhXZ6-LaxQxgrmJnzgP0"",""'TP# look up'!A:C""),3,0),"""")"),"")</f>
        <v/>
      </c>
      <c r="AH8525" s="49">
        <f>LEFT(J8525,2)</f>
        <v/>
      </c>
    </row>
    <row r="8526" ht="12.75" customHeight="1">
      <c r="H8526" s="43" t="n"/>
      <c r="AG8526" s="49">
        <f>IFERROR(__xludf.DUMMYFUNCTION("IFNA(vlookup(H8526,IMPORTRANGE(""1vUGwO1n0QQGx9kKbO0_M5gmuhXZ6-LaxQxgrmJnzgP0"",""'TP# look up'!A:C""),3,0),"""")"),"")</f>
        <v/>
      </c>
      <c r="AH8526" s="49">
        <f>LEFT(J8526,2)</f>
        <v/>
      </c>
    </row>
    <row r="8527" ht="12.75" customHeight="1">
      <c r="H8527" s="43" t="n"/>
      <c r="AG8527" s="49">
        <f>IFERROR(__xludf.DUMMYFUNCTION("IFNA(vlookup(H8527,IMPORTRANGE(""1vUGwO1n0QQGx9kKbO0_M5gmuhXZ6-LaxQxgrmJnzgP0"",""'TP# look up'!A:C""),3,0),"""")"),"")</f>
        <v/>
      </c>
      <c r="AH8527" s="49">
        <f>LEFT(J8527,2)</f>
        <v/>
      </c>
    </row>
    <row r="8528" ht="12.75" customHeight="1">
      <c r="H8528" s="43" t="n"/>
      <c r="AG8528" s="49">
        <f>IFERROR(__xludf.DUMMYFUNCTION("IFNA(vlookup(H8528,IMPORTRANGE(""1vUGwO1n0QQGx9kKbO0_M5gmuhXZ6-LaxQxgrmJnzgP0"",""'TP# look up'!A:C""),3,0),"""")"),"")</f>
        <v/>
      </c>
      <c r="AH8528" s="49">
        <f>LEFT(J8528,2)</f>
        <v/>
      </c>
    </row>
    <row r="8529" ht="12.75" customHeight="1">
      <c r="H8529" s="43" t="n"/>
      <c r="AG8529" s="49">
        <f>IFERROR(__xludf.DUMMYFUNCTION("IFNA(vlookup(H8529,IMPORTRANGE(""1vUGwO1n0QQGx9kKbO0_M5gmuhXZ6-LaxQxgrmJnzgP0"",""'TP# look up'!A:C""),3,0),"""")"),"")</f>
        <v/>
      </c>
      <c r="AH8529" s="49">
        <f>LEFT(J8529,2)</f>
        <v/>
      </c>
    </row>
    <row r="8530" ht="12.75" customHeight="1">
      <c r="H8530" s="43" t="n"/>
      <c r="AG8530" s="49">
        <f>IFERROR(__xludf.DUMMYFUNCTION("IFNA(vlookup(H8530,IMPORTRANGE(""1vUGwO1n0QQGx9kKbO0_M5gmuhXZ6-LaxQxgrmJnzgP0"",""'TP# look up'!A:C""),3,0),"""")"),"")</f>
        <v/>
      </c>
      <c r="AH8530" s="49">
        <f>LEFT(J8530,2)</f>
        <v/>
      </c>
    </row>
    <row r="8531" ht="12.75" customHeight="1">
      <c r="H8531" s="43" t="n"/>
      <c r="AG8531" s="49">
        <f>IFERROR(__xludf.DUMMYFUNCTION("IFNA(vlookup(H8531,IMPORTRANGE(""1vUGwO1n0QQGx9kKbO0_M5gmuhXZ6-LaxQxgrmJnzgP0"",""'TP# look up'!A:C""),3,0),"""")"),"")</f>
        <v/>
      </c>
      <c r="AH8531" s="49">
        <f>LEFT(J8531,2)</f>
        <v/>
      </c>
    </row>
    <row r="8532" ht="12.75" customHeight="1">
      <c r="H8532" s="43" t="n"/>
      <c r="AG8532" s="49">
        <f>IFERROR(__xludf.DUMMYFUNCTION("IFNA(vlookup(H8532,IMPORTRANGE(""1vUGwO1n0QQGx9kKbO0_M5gmuhXZ6-LaxQxgrmJnzgP0"",""'TP# look up'!A:C""),3,0),"""")"),"")</f>
        <v/>
      </c>
      <c r="AH8532" s="49">
        <f>LEFT(J8532,2)</f>
        <v/>
      </c>
    </row>
    <row r="8533" ht="12.75" customHeight="1">
      <c r="H8533" s="43" t="n"/>
      <c r="AG8533" s="49">
        <f>IFERROR(__xludf.DUMMYFUNCTION("IFNA(vlookup(H8533,IMPORTRANGE(""1vUGwO1n0QQGx9kKbO0_M5gmuhXZ6-LaxQxgrmJnzgP0"",""'TP# look up'!A:C""),3,0),"""")"),"")</f>
        <v/>
      </c>
      <c r="AH8533" s="49">
        <f>LEFT(J8533,2)</f>
        <v/>
      </c>
    </row>
    <row r="8534" ht="12.75" customHeight="1">
      <c r="H8534" s="43" t="n"/>
      <c r="AG8534" s="49">
        <f>IFERROR(__xludf.DUMMYFUNCTION("IFNA(vlookup(H8534,IMPORTRANGE(""1vUGwO1n0QQGx9kKbO0_M5gmuhXZ6-LaxQxgrmJnzgP0"",""'TP# look up'!A:C""),3,0),"""")"),"")</f>
        <v/>
      </c>
      <c r="AH8534" s="49">
        <f>LEFT(J8534,2)</f>
        <v/>
      </c>
    </row>
    <row r="8535" ht="12.75" customHeight="1">
      <c r="H8535" s="43" t="n"/>
      <c r="AG8535" s="49">
        <f>IFERROR(__xludf.DUMMYFUNCTION("IFNA(vlookup(H8535,IMPORTRANGE(""1vUGwO1n0QQGx9kKbO0_M5gmuhXZ6-LaxQxgrmJnzgP0"",""'TP# look up'!A:C""),3,0),"""")"),"")</f>
        <v/>
      </c>
      <c r="AH8535" s="49">
        <f>LEFT(J8535,2)</f>
        <v/>
      </c>
    </row>
    <row r="8536" ht="12.75" customHeight="1">
      <c r="H8536" s="43" t="n"/>
      <c r="AG8536" s="49">
        <f>IFERROR(__xludf.DUMMYFUNCTION("IFNA(vlookup(H8536,IMPORTRANGE(""1vUGwO1n0QQGx9kKbO0_M5gmuhXZ6-LaxQxgrmJnzgP0"",""'TP# look up'!A:C""),3,0),"""")"),"")</f>
        <v/>
      </c>
      <c r="AH8536" s="49">
        <f>LEFT(J8536,2)</f>
        <v/>
      </c>
    </row>
    <row r="8537" ht="12.75" customHeight="1">
      <c r="H8537" s="43" t="n"/>
      <c r="AG8537" s="49">
        <f>IFERROR(__xludf.DUMMYFUNCTION("IFNA(vlookup(H8537,IMPORTRANGE(""1vUGwO1n0QQGx9kKbO0_M5gmuhXZ6-LaxQxgrmJnzgP0"",""'TP# look up'!A:C""),3,0),"""")"),"")</f>
        <v/>
      </c>
      <c r="AH8537" s="49">
        <f>LEFT(J8537,2)</f>
        <v/>
      </c>
    </row>
    <row r="8538" ht="12.75" customHeight="1">
      <c r="H8538" s="43" t="n"/>
      <c r="AG8538" s="49">
        <f>IFERROR(__xludf.DUMMYFUNCTION("IFNA(vlookup(H8538,IMPORTRANGE(""1vUGwO1n0QQGx9kKbO0_M5gmuhXZ6-LaxQxgrmJnzgP0"",""'TP# look up'!A:C""),3,0),"""")"),"")</f>
        <v/>
      </c>
      <c r="AH8538" s="49">
        <f>LEFT(J8538,2)</f>
        <v/>
      </c>
    </row>
    <row r="8539" ht="12.75" customHeight="1">
      <c r="H8539" s="43" t="n"/>
      <c r="AG8539" s="49">
        <f>IFERROR(__xludf.DUMMYFUNCTION("IFNA(vlookup(H8539,IMPORTRANGE(""1vUGwO1n0QQGx9kKbO0_M5gmuhXZ6-LaxQxgrmJnzgP0"",""'TP# look up'!A:C""),3,0),"""")"),"")</f>
        <v/>
      </c>
      <c r="AH8539" s="49">
        <f>LEFT(J8539,2)</f>
        <v/>
      </c>
    </row>
    <row r="8540" ht="12.75" customHeight="1">
      <c r="H8540" s="43" t="n"/>
      <c r="AG8540" s="49">
        <f>IFERROR(__xludf.DUMMYFUNCTION("IFNA(vlookup(H8540,IMPORTRANGE(""1vUGwO1n0QQGx9kKbO0_M5gmuhXZ6-LaxQxgrmJnzgP0"",""'TP# look up'!A:C""),3,0),"""")"),"")</f>
        <v/>
      </c>
      <c r="AH8540" s="49">
        <f>LEFT(J8540,2)</f>
        <v/>
      </c>
    </row>
    <row r="8541" ht="12.75" customHeight="1">
      <c r="H8541" s="43" t="n"/>
      <c r="AG8541" s="49">
        <f>IFERROR(__xludf.DUMMYFUNCTION("IFNA(vlookup(H8541,IMPORTRANGE(""1vUGwO1n0QQGx9kKbO0_M5gmuhXZ6-LaxQxgrmJnzgP0"",""'TP# look up'!A:C""),3,0),"""")"),"")</f>
        <v/>
      </c>
      <c r="AH8541" s="49">
        <f>LEFT(J8541,2)</f>
        <v/>
      </c>
    </row>
    <row r="8542" ht="12.75" customHeight="1">
      <c r="H8542" s="43" t="n"/>
      <c r="AG8542" s="49">
        <f>IFERROR(__xludf.DUMMYFUNCTION("IFNA(vlookup(H8542,IMPORTRANGE(""1vUGwO1n0QQGx9kKbO0_M5gmuhXZ6-LaxQxgrmJnzgP0"",""'TP# look up'!A:C""),3,0),"""")"),"")</f>
        <v/>
      </c>
      <c r="AH8542" s="49">
        <f>LEFT(J8542,2)</f>
        <v/>
      </c>
    </row>
    <row r="8543" ht="12.75" customHeight="1">
      <c r="H8543" s="43" t="n"/>
      <c r="AG8543" s="49">
        <f>IFERROR(__xludf.DUMMYFUNCTION("IFNA(vlookup(H8543,IMPORTRANGE(""1vUGwO1n0QQGx9kKbO0_M5gmuhXZ6-LaxQxgrmJnzgP0"",""'TP# look up'!A:C""),3,0),"""")"),"")</f>
        <v/>
      </c>
      <c r="AH8543" s="49">
        <f>LEFT(J8543,2)</f>
        <v/>
      </c>
    </row>
    <row r="8544" ht="12.75" customHeight="1">
      <c r="H8544" s="43" t="n"/>
      <c r="AG8544" s="49">
        <f>IFERROR(__xludf.DUMMYFUNCTION("IFNA(vlookup(H8544,IMPORTRANGE(""1vUGwO1n0QQGx9kKbO0_M5gmuhXZ6-LaxQxgrmJnzgP0"",""'TP# look up'!A:C""),3,0),"""")"),"")</f>
        <v/>
      </c>
      <c r="AH8544" s="49">
        <f>LEFT(J8544,2)</f>
        <v/>
      </c>
    </row>
    <row r="8545" ht="12.75" customHeight="1">
      <c r="H8545" s="43" t="n"/>
      <c r="AG8545" s="49">
        <f>IFERROR(__xludf.DUMMYFUNCTION("IFNA(vlookup(H8545,IMPORTRANGE(""1vUGwO1n0QQGx9kKbO0_M5gmuhXZ6-LaxQxgrmJnzgP0"",""'TP# look up'!A:C""),3,0),"""")"),"")</f>
        <v/>
      </c>
      <c r="AH8545" s="49">
        <f>LEFT(J8545,2)</f>
        <v/>
      </c>
    </row>
    <row r="8546" ht="12.75" customHeight="1">
      <c r="H8546" s="43" t="n"/>
      <c r="AG8546" s="49">
        <f>IFERROR(__xludf.DUMMYFUNCTION("IFNA(vlookup(H8546,IMPORTRANGE(""1vUGwO1n0QQGx9kKbO0_M5gmuhXZ6-LaxQxgrmJnzgP0"",""'TP# look up'!A:C""),3,0),"""")"),"")</f>
        <v/>
      </c>
      <c r="AH8546" s="49">
        <f>LEFT(J8546,2)</f>
        <v/>
      </c>
    </row>
    <row r="8547" ht="12.75" customHeight="1">
      <c r="H8547" s="43" t="n"/>
      <c r="AG8547" s="49">
        <f>IFERROR(__xludf.DUMMYFUNCTION("IFNA(vlookup(H8547,IMPORTRANGE(""1vUGwO1n0QQGx9kKbO0_M5gmuhXZ6-LaxQxgrmJnzgP0"",""'TP# look up'!A:C""),3,0),"""")"),"")</f>
        <v/>
      </c>
      <c r="AH8547" s="49">
        <f>LEFT(J8547,2)</f>
        <v/>
      </c>
    </row>
    <row r="8548" ht="12.75" customHeight="1">
      <c r="H8548" s="43" t="n"/>
      <c r="AG8548" s="49">
        <f>IFERROR(__xludf.DUMMYFUNCTION("IFNA(vlookup(H8548,IMPORTRANGE(""1vUGwO1n0QQGx9kKbO0_M5gmuhXZ6-LaxQxgrmJnzgP0"",""'TP# look up'!A:C""),3,0),"""")"),"")</f>
        <v/>
      </c>
      <c r="AH8548" s="49">
        <f>LEFT(J8548,2)</f>
        <v/>
      </c>
    </row>
    <row r="8549" ht="12.75" customHeight="1">
      <c r="H8549" s="43" t="n"/>
      <c r="AG8549" s="49">
        <f>IFERROR(__xludf.DUMMYFUNCTION("IFNA(vlookup(H8549,IMPORTRANGE(""1vUGwO1n0QQGx9kKbO0_M5gmuhXZ6-LaxQxgrmJnzgP0"",""'TP# look up'!A:C""),3,0),"""")"),"")</f>
        <v/>
      </c>
      <c r="AH8549" s="49">
        <f>LEFT(J8549,2)</f>
        <v/>
      </c>
    </row>
    <row r="8550" ht="12.75" customHeight="1">
      <c r="H8550" s="43" t="n"/>
      <c r="AG8550" s="49">
        <f>IFERROR(__xludf.DUMMYFUNCTION("IFNA(vlookup(H8550,IMPORTRANGE(""1vUGwO1n0QQGx9kKbO0_M5gmuhXZ6-LaxQxgrmJnzgP0"",""'TP# look up'!A:C""),3,0),"""")"),"")</f>
        <v/>
      </c>
      <c r="AH8550" s="49">
        <f>LEFT(J8550,2)</f>
        <v/>
      </c>
    </row>
    <row r="8551" ht="12.75" customHeight="1">
      <c r="H8551" s="43" t="n"/>
      <c r="AG8551" s="49">
        <f>IFERROR(__xludf.DUMMYFUNCTION("IFNA(vlookup(H8551,IMPORTRANGE(""1vUGwO1n0QQGx9kKbO0_M5gmuhXZ6-LaxQxgrmJnzgP0"",""'TP# look up'!A:C""),3,0),"""")"),"")</f>
        <v/>
      </c>
      <c r="AH8551" s="49">
        <f>LEFT(J8551,2)</f>
        <v/>
      </c>
    </row>
    <row r="8552" ht="12.75" customHeight="1">
      <c r="H8552" s="43" t="n"/>
      <c r="AG8552" s="49">
        <f>IFERROR(__xludf.DUMMYFUNCTION("IFNA(vlookup(H8552,IMPORTRANGE(""1vUGwO1n0QQGx9kKbO0_M5gmuhXZ6-LaxQxgrmJnzgP0"",""'TP# look up'!A:C""),3,0),"""")"),"")</f>
        <v/>
      </c>
      <c r="AH8552" s="49">
        <f>LEFT(J8552,2)</f>
        <v/>
      </c>
    </row>
    <row r="8553" ht="12.75" customHeight="1">
      <c r="H8553" s="43" t="n"/>
      <c r="AG8553" s="49">
        <f>IFERROR(__xludf.DUMMYFUNCTION("IFNA(vlookup(H8553,IMPORTRANGE(""1vUGwO1n0QQGx9kKbO0_M5gmuhXZ6-LaxQxgrmJnzgP0"",""'TP# look up'!A:C""),3,0),"""")"),"")</f>
        <v/>
      </c>
      <c r="AH8553" s="49">
        <f>LEFT(J8553,2)</f>
        <v/>
      </c>
    </row>
    <row r="8554" ht="12.75" customHeight="1">
      <c r="H8554" s="43" t="n"/>
      <c r="AG8554" s="49">
        <f>IFERROR(__xludf.DUMMYFUNCTION("IFNA(vlookup(H8554,IMPORTRANGE(""1vUGwO1n0QQGx9kKbO0_M5gmuhXZ6-LaxQxgrmJnzgP0"",""'TP# look up'!A:C""),3,0),"""")"),"")</f>
        <v/>
      </c>
      <c r="AH8554" s="49">
        <f>LEFT(J8554,2)</f>
        <v/>
      </c>
    </row>
    <row r="8555" ht="12.75" customHeight="1">
      <c r="H8555" s="43" t="n"/>
      <c r="AG8555" s="49">
        <f>IFERROR(__xludf.DUMMYFUNCTION("IFNA(vlookup(H8555,IMPORTRANGE(""1vUGwO1n0QQGx9kKbO0_M5gmuhXZ6-LaxQxgrmJnzgP0"",""'TP# look up'!A:C""),3,0),"""")"),"")</f>
        <v/>
      </c>
      <c r="AH8555" s="49">
        <f>LEFT(J8555,2)</f>
        <v/>
      </c>
    </row>
    <row r="8556" ht="12.75" customHeight="1">
      <c r="H8556" s="43" t="n"/>
      <c r="AG8556" s="49">
        <f>IFERROR(__xludf.DUMMYFUNCTION("IFNA(vlookup(H8556,IMPORTRANGE(""1vUGwO1n0QQGx9kKbO0_M5gmuhXZ6-LaxQxgrmJnzgP0"",""'TP# look up'!A:C""),3,0),"""")"),"")</f>
        <v/>
      </c>
      <c r="AH8556" s="49">
        <f>LEFT(J8556,2)</f>
        <v/>
      </c>
    </row>
    <row r="8557" ht="12.75" customHeight="1">
      <c r="H8557" s="43" t="n"/>
      <c r="AG8557" s="49">
        <f>IFERROR(__xludf.DUMMYFUNCTION("IFNA(vlookup(H8557,IMPORTRANGE(""1vUGwO1n0QQGx9kKbO0_M5gmuhXZ6-LaxQxgrmJnzgP0"",""'TP# look up'!A:C""),3,0),"""")"),"")</f>
        <v/>
      </c>
      <c r="AH8557" s="49">
        <f>LEFT(J8557,2)</f>
        <v/>
      </c>
    </row>
    <row r="8558" ht="12.75" customHeight="1">
      <c r="H8558" s="43" t="n"/>
      <c r="AG8558" s="49">
        <f>IFERROR(__xludf.DUMMYFUNCTION("IFNA(vlookup(H8558,IMPORTRANGE(""1vUGwO1n0QQGx9kKbO0_M5gmuhXZ6-LaxQxgrmJnzgP0"",""'TP# look up'!A:C""),3,0),"""")"),"")</f>
        <v/>
      </c>
      <c r="AH8558" s="49">
        <f>LEFT(J8558,2)</f>
        <v/>
      </c>
    </row>
    <row r="8559" ht="12.75" customHeight="1">
      <c r="H8559" s="43" t="n"/>
      <c r="AG8559" s="49">
        <f>IFERROR(__xludf.DUMMYFUNCTION("IFNA(vlookup(H8559,IMPORTRANGE(""1vUGwO1n0QQGx9kKbO0_M5gmuhXZ6-LaxQxgrmJnzgP0"",""'TP# look up'!A:C""),3,0),"""")"),"")</f>
        <v/>
      </c>
      <c r="AH8559" s="49">
        <f>LEFT(J8559,2)</f>
        <v/>
      </c>
    </row>
    <row r="8560" ht="12.75" customHeight="1">
      <c r="H8560" s="43" t="n"/>
      <c r="AG8560" s="49">
        <f>IFERROR(__xludf.DUMMYFUNCTION("IFNA(vlookup(H8560,IMPORTRANGE(""1vUGwO1n0QQGx9kKbO0_M5gmuhXZ6-LaxQxgrmJnzgP0"",""'TP# look up'!A:C""),3,0),"""")"),"")</f>
        <v/>
      </c>
      <c r="AH8560" s="49">
        <f>LEFT(J8560,2)</f>
        <v/>
      </c>
    </row>
    <row r="8561" ht="12.75" customHeight="1">
      <c r="H8561" s="43" t="n"/>
      <c r="AG8561" s="49">
        <f>IFERROR(__xludf.DUMMYFUNCTION("IFNA(vlookup(H8561,IMPORTRANGE(""1vUGwO1n0QQGx9kKbO0_M5gmuhXZ6-LaxQxgrmJnzgP0"",""'TP# look up'!A:C""),3,0),"""")"),"")</f>
        <v/>
      </c>
      <c r="AH8561" s="49">
        <f>LEFT(J8561,2)</f>
        <v/>
      </c>
    </row>
    <row r="8562" ht="12.75" customHeight="1">
      <c r="H8562" s="43" t="n"/>
      <c r="AG8562" s="49">
        <f>IFERROR(__xludf.DUMMYFUNCTION("IFNA(vlookup(H8562,IMPORTRANGE(""1vUGwO1n0QQGx9kKbO0_M5gmuhXZ6-LaxQxgrmJnzgP0"",""'TP# look up'!A:C""),3,0),"""")"),"")</f>
        <v/>
      </c>
      <c r="AH8562" s="49">
        <f>LEFT(J8562,2)</f>
        <v/>
      </c>
    </row>
    <row r="8563" ht="12.75" customHeight="1">
      <c r="H8563" s="43" t="n"/>
      <c r="AG8563" s="49">
        <f>IFERROR(__xludf.DUMMYFUNCTION("IFNA(vlookup(H8563,IMPORTRANGE(""1vUGwO1n0QQGx9kKbO0_M5gmuhXZ6-LaxQxgrmJnzgP0"",""'TP# look up'!A:C""),3,0),"""")"),"")</f>
        <v/>
      </c>
      <c r="AH8563" s="49">
        <f>LEFT(J8563,2)</f>
        <v/>
      </c>
    </row>
    <row r="8564" ht="12.75" customHeight="1">
      <c r="H8564" s="43" t="n"/>
      <c r="AG8564" s="49">
        <f>IFERROR(__xludf.DUMMYFUNCTION("IFNA(vlookup(H8564,IMPORTRANGE(""1vUGwO1n0QQGx9kKbO0_M5gmuhXZ6-LaxQxgrmJnzgP0"",""'TP# look up'!A:C""),3,0),"""")"),"")</f>
        <v/>
      </c>
      <c r="AH8564" s="49">
        <f>LEFT(J8564,2)</f>
        <v/>
      </c>
    </row>
    <row r="8565" ht="12.75" customHeight="1">
      <c r="H8565" s="43" t="n"/>
      <c r="AG8565" s="49">
        <f>IFERROR(__xludf.DUMMYFUNCTION("IFNA(vlookup(H8565,IMPORTRANGE(""1vUGwO1n0QQGx9kKbO0_M5gmuhXZ6-LaxQxgrmJnzgP0"",""'TP# look up'!A:C""),3,0),"""")"),"")</f>
        <v/>
      </c>
      <c r="AH8565" s="49">
        <f>LEFT(J8565,2)</f>
        <v/>
      </c>
    </row>
    <row r="8566" ht="12.75" customHeight="1">
      <c r="H8566" s="43" t="n"/>
      <c r="AG8566" s="49">
        <f>IFERROR(__xludf.DUMMYFUNCTION("IFNA(vlookup(H8566,IMPORTRANGE(""1vUGwO1n0QQGx9kKbO0_M5gmuhXZ6-LaxQxgrmJnzgP0"",""'TP# look up'!A:C""),3,0),"""")"),"")</f>
        <v/>
      </c>
      <c r="AH8566" s="49">
        <f>LEFT(J8566,2)</f>
        <v/>
      </c>
    </row>
    <row r="8567" ht="12.75" customHeight="1">
      <c r="H8567" s="43" t="n"/>
      <c r="AG8567" s="49">
        <f>IFERROR(__xludf.DUMMYFUNCTION("IFNA(vlookup(H8567,IMPORTRANGE(""1vUGwO1n0QQGx9kKbO0_M5gmuhXZ6-LaxQxgrmJnzgP0"",""'TP# look up'!A:C""),3,0),"""")"),"")</f>
        <v/>
      </c>
      <c r="AH8567" s="49">
        <f>LEFT(J8567,2)</f>
        <v/>
      </c>
    </row>
    <row r="8568" ht="12.75" customHeight="1">
      <c r="H8568" s="43" t="n"/>
      <c r="AG8568" s="49">
        <f>IFERROR(__xludf.DUMMYFUNCTION("IFNA(vlookup(H8568,IMPORTRANGE(""1vUGwO1n0QQGx9kKbO0_M5gmuhXZ6-LaxQxgrmJnzgP0"",""'TP# look up'!A:C""),3,0),"""")"),"")</f>
        <v/>
      </c>
      <c r="AH8568" s="49">
        <f>LEFT(J8568,2)</f>
        <v/>
      </c>
    </row>
    <row r="8569" ht="12.75" customHeight="1">
      <c r="H8569" s="43" t="n"/>
      <c r="AG8569" s="49">
        <f>IFERROR(__xludf.DUMMYFUNCTION("IFNA(vlookup(H8569,IMPORTRANGE(""1vUGwO1n0QQGx9kKbO0_M5gmuhXZ6-LaxQxgrmJnzgP0"",""'TP# look up'!A:C""),3,0),"""")"),"")</f>
        <v/>
      </c>
      <c r="AH8569" s="49">
        <f>LEFT(J8569,2)</f>
        <v/>
      </c>
    </row>
    <row r="8570" ht="12.75" customHeight="1">
      <c r="H8570" s="43" t="n"/>
      <c r="AG8570" s="49">
        <f>IFERROR(__xludf.DUMMYFUNCTION("IFNA(vlookup(H8570,IMPORTRANGE(""1vUGwO1n0QQGx9kKbO0_M5gmuhXZ6-LaxQxgrmJnzgP0"",""'TP# look up'!A:C""),3,0),"""")"),"")</f>
        <v/>
      </c>
      <c r="AH8570" s="49">
        <f>LEFT(J8570,2)</f>
        <v/>
      </c>
    </row>
    <row r="8571" ht="12.75" customHeight="1">
      <c r="H8571" s="43" t="n"/>
      <c r="AG8571" s="49">
        <f>IFERROR(__xludf.DUMMYFUNCTION("IFNA(vlookup(H8571,IMPORTRANGE(""1vUGwO1n0QQGx9kKbO0_M5gmuhXZ6-LaxQxgrmJnzgP0"",""'TP# look up'!A:C""),3,0),"""")"),"")</f>
        <v/>
      </c>
      <c r="AH8571" s="49">
        <f>LEFT(J8571,2)</f>
        <v/>
      </c>
    </row>
    <row r="8572" ht="12.75" customHeight="1">
      <c r="H8572" s="43" t="n"/>
      <c r="AG8572" s="49">
        <f>IFERROR(__xludf.DUMMYFUNCTION("IFNA(vlookup(H8572,IMPORTRANGE(""1vUGwO1n0QQGx9kKbO0_M5gmuhXZ6-LaxQxgrmJnzgP0"",""'TP# look up'!A:C""),3,0),"""")"),"")</f>
        <v/>
      </c>
      <c r="AH8572" s="49">
        <f>LEFT(J8572,2)</f>
        <v/>
      </c>
    </row>
    <row r="8573" ht="12.75" customHeight="1">
      <c r="H8573" s="43" t="n"/>
      <c r="AG8573" s="49">
        <f>IFERROR(__xludf.DUMMYFUNCTION("IFNA(vlookup(H8573,IMPORTRANGE(""1vUGwO1n0QQGx9kKbO0_M5gmuhXZ6-LaxQxgrmJnzgP0"",""'TP# look up'!A:C""),3,0),"""")"),"")</f>
        <v/>
      </c>
      <c r="AH8573" s="49">
        <f>LEFT(J8573,2)</f>
        <v/>
      </c>
    </row>
    <row r="8574" ht="12.75" customHeight="1">
      <c r="H8574" s="43" t="n"/>
      <c r="AG8574" s="49">
        <f>IFERROR(__xludf.DUMMYFUNCTION("IFNA(vlookup(H8574,IMPORTRANGE(""1vUGwO1n0QQGx9kKbO0_M5gmuhXZ6-LaxQxgrmJnzgP0"",""'TP# look up'!A:C""),3,0),"""")"),"")</f>
        <v/>
      </c>
      <c r="AH8574" s="49">
        <f>LEFT(J8574,2)</f>
        <v/>
      </c>
    </row>
    <row r="8575" ht="12.75" customHeight="1">
      <c r="H8575" s="43" t="n"/>
      <c r="AG8575" s="49">
        <f>IFERROR(__xludf.DUMMYFUNCTION("IFNA(vlookup(H8575,IMPORTRANGE(""1vUGwO1n0QQGx9kKbO0_M5gmuhXZ6-LaxQxgrmJnzgP0"",""'TP# look up'!A:C""),3,0),"""")"),"")</f>
        <v/>
      </c>
      <c r="AH8575" s="49">
        <f>LEFT(J8575,2)</f>
        <v/>
      </c>
    </row>
    <row r="8576" ht="12.75" customHeight="1">
      <c r="H8576" s="43" t="n"/>
      <c r="AG8576" s="49">
        <f>IFERROR(__xludf.DUMMYFUNCTION("IFNA(vlookup(H8576,IMPORTRANGE(""1vUGwO1n0QQGx9kKbO0_M5gmuhXZ6-LaxQxgrmJnzgP0"",""'TP# look up'!A:C""),3,0),"""")"),"")</f>
        <v/>
      </c>
      <c r="AH8576" s="49">
        <f>LEFT(J8576,2)</f>
        <v/>
      </c>
    </row>
    <row r="8577" ht="12.75" customHeight="1">
      <c r="H8577" s="43" t="n"/>
      <c r="AG8577" s="49">
        <f>IFERROR(__xludf.DUMMYFUNCTION("IFNA(vlookup(H8577,IMPORTRANGE(""1vUGwO1n0QQGx9kKbO0_M5gmuhXZ6-LaxQxgrmJnzgP0"",""'TP# look up'!A:C""),3,0),"""")"),"")</f>
        <v/>
      </c>
      <c r="AH8577" s="49">
        <f>LEFT(J8577,2)</f>
        <v/>
      </c>
    </row>
    <row r="8578" ht="12.75" customHeight="1">
      <c r="H8578" s="43" t="n"/>
      <c r="AG8578" s="49">
        <f>IFERROR(__xludf.DUMMYFUNCTION("IFNA(vlookup(H8578,IMPORTRANGE(""1vUGwO1n0QQGx9kKbO0_M5gmuhXZ6-LaxQxgrmJnzgP0"",""'TP# look up'!A:C""),3,0),"""")"),"")</f>
        <v/>
      </c>
      <c r="AH8578" s="49">
        <f>LEFT(J8578,2)</f>
        <v/>
      </c>
    </row>
    <row r="8579" ht="12.75" customHeight="1">
      <c r="H8579" s="43" t="n"/>
      <c r="AG8579" s="49">
        <f>IFERROR(__xludf.DUMMYFUNCTION("IFNA(vlookup(H8579,IMPORTRANGE(""1vUGwO1n0QQGx9kKbO0_M5gmuhXZ6-LaxQxgrmJnzgP0"",""'TP# look up'!A:C""),3,0),"""")"),"")</f>
        <v/>
      </c>
      <c r="AH8579" s="49">
        <f>LEFT(J8579,2)</f>
        <v/>
      </c>
    </row>
    <row r="8580" ht="12.75" customHeight="1">
      <c r="H8580" s="43" t="n"/>
      <c r="AG8580" s="49">
        <f>IFERROR(__xludf.DUMMYFUNCTION("IFNA(vlookup(H8580,IMPORTRANGE(""1vUGwO1n0QQGx9kKbO0_M5gmuhXZ6-LaxQxgrmJnzgP0"",""'TP# look up'!A:C""),3,0),"""")"),"")</f>
        <v/>
      </c>
      <c r="AH8580" s="49">
        <f>LEFT(J8580,2)</f>
        <v/>
      </c>
    </row>
    <row r="8581" ht="12.75" customHeight="1">
      <c r="H8581" s="43" t="n"/>
      <c r="AG8581" s="49">
        <f>IFERROR(__xludf.DUMMYFUNCTION("IFNA(vlookup(H8581,IMPORTRANGE(""1vUGwO1n0QQGx9kKbO0_M5gmuhXZ6-LaxQxgrmJnzgP0"",""'TP# look up'!A:C""),3,0),"""")"),"")</f>
        <v/>
      </c>
      <c r="AH8581" s="49">
        <f>LEFT(J8581,2)</f>
        <v/>
      </c>
    </row>
    <row r="8582" ht="12.75" customHeight="1">
      <c r="H8582" s="43" t="n"/>
      <c r="AG8582" s="49">
        <f>IFERROR(__xludf.DUMMYFUNCTION("IFNA(vlookup(H8582,IMPORTRANGE(""1vUGwO1n0QQGx9kKbO0_M5gmuhXZ6-LaxQxgrmJnzgP0"",""'TP# look up'!A:C""),3,0),"""")"),"")</f>
        <v/>
      </c>
      <c r="AH8582" s="49">
        <f>LEFT(J8582,2)</f>
        <v/>
      </c>
    </row>
    <row r="8583" ht="12.75" customHeight="1">
      <c r="H8583" s="43" t="n"/>
      <c r="AG8583" s="49">
        <f>IFERROR(__xludf.DUMMYFUNCTION("IFNA(vlookup(H8583,IMPORTRANGE(""1vUGwO1n0QQGx9kKbO0_M5gmuhXZ6-LaxQxgrmJnzgP0"",""'TP# look up'!A:C""),3,0),"""")"),"")</f>
        <v/>
      </c>
      <c r="AH8583" s="49">
        <f>LEFT(J8583,2)</f>
        <v/>
      </c>
    </row>
    <row r="8584" ht="12.75" customHeight="1">
      <c r="H8584" s="43" t="n"/>
      <c r="AG8584" s="49">
        <f>IFERROR(__xludf.DUMMYFUNCTION("IFNA(vlookup(H8584,IMPORTRANGE(""1vUGwO1n0QQGx9kKbO0_M5gmuhXZ6-LaxQxgrmJnzgP0"",""'TP# look up'!A:C""),3,0),"""")"),"")</f>
        <v/>
      </c>
      <c r="AH8584" s="49">
        <f>LEFT(J8584,2)</f>
        <v/>
      </c>
    </row>
    <row r="8585" ht="12.75" customHeight="1">
      <c r="H8585" s="43" t="n"/>
      <c r="AG8585" s="49">
        <f>IFERROR(__xludf.DUMMYFUNCTION("IFNA(vlookup(H8585,IMPORTRANGE(""1vUGwO1n0QQGx9kKbO0_M5gmuhXZ6-LaxQxgrmJnzgP0"",""'TP# look up'!A:C""),3,0),"""")"),"")</f>
        <v/>
      </c>
      <c r="AH8585" s="49">
        <f>LEFT(J8585,2)</f>
        <v/>
      </c>
    </row>
    <row r="8586" ht="12.75" customHeight="1">
      <c r="H8586" s="43" t="n"/>
      <c r="AG8586" s="49">
        <f>IFERROR(__xludf.DUMMYFUNCTION("IFNA(vlookup(H8586,IMPORTRANGE(""1vUGwO1n0QQGx9kKbO0_M5gmuhXZ6-LaxQxgrmJnzgP0"",""'TP# look up'!A:C""),3,0),"""")"),"")</f>
        <v/>
      </c>
      <c r="AH8586" s="49">
        <f>LEFT(J8586,2)</f>
        <v/>
      </c>
    </row>
    <row r="8587" ht="12.75" customHeight="1">
      <c r="H8587" s="43" t="n"/>
      <c r="AG8587" s="49">
        <f>IFERROR(__xludf.DUMMYFUNCTION("IFNA(vlookup(H8587,IMPORTRANGE(""1vUGwO1n0QQGx9kKbO0_M5gmuhXZ6-LaxQxgrmJnzgP0"",""'TP# look up'!A:C""),3,0),"""")"),"")</f>
        <v/>
      </c>
      <c r="AH8587" s="49">
        <f>LEFT(J8587,2)</f>
        <v/>
      </c>
    </row>
    <row r="8588" ht="12.75" customHeight="1">
      <c r="H8588" s="43" t="n"/>
      <c r="AG8588" s="49">
        <f>IFERROR(__xludf.DUMMYFUNCTION("IFNA(vlookup(H8588,IMPORTRANGE(""1vUGwO1n0QQGx9kKbO0_M5gmuhXZ6-LaxQxgrmJnzgP0"",""'TP# look up'!A:C""),3,0),"""")"),"")</f>
        <v/>
      </c>
      <c r="AH8588" s="49">
        <f>LEFT(J8588,2)</f>
        <v/>
      </c>
    </row>
    <row r="8589" ht="12.75" customHeight="1">
      <c r="H8589" s="43" t="n"/>
      <c r="AG8589" s="49">
        <f>IFERROR(__xludf.DUMMYFUNCTION("IFNA(vlookup(H8589,IMPORTRANGE(""1vUGwO1n0QQGx9kKbO0_M5gmuhXZ6-LaxQxgrmJnzgP0"",""'TP# look up'!A:C""),3,0),"""")"),"")</f>
        <v/>
      </c>
      <c r="AH8589" s="49">
        <f>LEFT(J8589,2)</f>
        <v/>
      </c>
    </row>
    <row r="8590" ht="12.75" customHeight="1">
      <c r="H8590" s="43" t="n"/>
      <c r="AG8590" s="49">
        <f>IFERROR(__xludf.DUMMYFUNCTION("IFNA(vlookup(H8590,IMPORTRANGE(""1vUGwO1n0QQGx9kKbO0_M5gmuhXZ6-LaxQxgrmJnzgP0"",""'TP# look up'!A:C""),3,0),"""")"),"")</f>
        <v/>
      </c>
      <c r="AH8590" s="49">
        <f>LEFT(J8590,2)</f>
        <v/>
      </c>
    </row>
    <row r="8591" ht="12.75" customHeight="1">
      <c r="H8591" s="43" t="n"/>
      <c r="AG8591" s="49">
        <f>IFERROR(__xludf.DUMMYFUNCTION("IFNA(vlookup(H8591,IMPORTRANGE(""1vUGwO1n0QQGx9kKbO0_M5gmuhXZ6-LaxQxgrmJnzgP0"",""'TP# look up'!A:C""),3,0),"""")"),"")</f>
        <v/>
      </c>
      <c r="AH8591" s="49">
        <f>LEFT(J8591,2)</f>
        <v/>
      </c>
    </row>
    <row r="8592" ht="12.75" customHeight="1">
      <c r="H8592" s="43" t="n"/>
      <c r="AG8592" s="49">
        <f>IFERROR(__xludf.DUMMYFUNCTION("IFNA(vlookup(H8592,IMPORTRANGE(""1vUGwO1n0QQGx9kKbO0_M5gmuhXZ6-LaxQxgrmJnzgP0"",""'TP# look up'!A:C""),3,0),"""")"),"")</f>
        <v/>
      </c>
      <c r="AH8592" s="49">
        <f>LEFT(J8592,2)</f>
        <v/>
      </c>
    </row>
    <row r="8593" ht="12.75" customHeight="1">
      <c r="H8593" s="43" t="n"/>
      <c r="AG8593" s="49">
        <f>IFERROR(__xludf.DUMMYFUNCTION("IFNA(vlookup(H8593,IMPORTRANGE(""1vUGwO1n0QQGx9kKbO0_M5gmuhXZ6-LaxQxgrmJnzgP0"",""'TP# look up'!A:C""),3,0),"""")"),"")</f>
        <v/>
      </c>
      <c r="AH8593" s="49">
        <f>LEFT(J8593,2)</f>
        <v/>
      </c>
    </row>
    <row r="8594" ht="12.75" customHeight="1">
      <c r="H8594" s="43" t="n"/>
      <c r="AG8594" s="49">
        <f>IFERROR(__xludf.DUMMYFUNCTION("IFNA(vlookup(H8594,IMPORTRANGE(""1vUGwO1n0QQGx9kKbO0_M5gmuhXZ6-LaxQxgrmJnzgP0"",""'TP# look up'!A:C""),3,0),"""")"),"")</f>
        <v/>
      </c>
      <c r="AH8594" s="49">
        <f>LEFT(J8594,2)</f>
        <v/>
      </c>
    </row>
    <row r="8595" ht="12.75" customHeight="1">
      <c r="H8595" s="43" t="n"/>
      <c r="AG8595" s="49">
        <f>IFERROR(__xludf.DUMMYFUNCTION("IFNA(vlookup(H8595,IMPORTRANGE(""1vUGwO1n0QQGx9kKbO0_M5gmuhXZ6-LaxQxgrmJnzgP0"",""'TP# look up'!A:C""),3,0),"""")"),"")</f>
        <v/>
      </c>
      <c r="AH8595" s="49">
        <f>LEFT(J8595,2)</f>
        <v/>
      </c>
    </row>
    <row r="8596" ht="12.75" customHeight="1">
      <c r="H8596" s="43" t="n"/>
      <c r="AG8596" s="49">
        <f>IFERROR(__xludf.DUMMYFUNCTION("IFNA(vlookup(H8596,IMPORTRANGE(""1vUGwO1n0QQGx9kKbO0_M5gmuhXZ6-LaxQxgrmJnzgP0"",""'TP# look up'!A:C""),3,0),"""")"),"")</f>
        <v/>
      </c>
      <c r="AH8596" s="49">
        <f>LEFT(J8596,2)</f>
        <v/>
      </c>
    </row>
    <row r="8597" ht="12.75" customHeight="1">
      <c r="H8597" s="43" t="n"/>
      <c r="AG8597" s="49">
        <f>IFERROR(__xludf.DUMMYFUNCTION("IFNA(vlookup(H8597,IMPORTRANGE(""1vUGwO1n0QQGx9kKbO0_M5gmuhXZ6-LaxQxgrmJnzgP0"",""'TP# look up'!A:C""),3,0),"""")"),"")</f>
        <v/>
      </c>
      <c r="AH8597" s="49">
        <f>LEFT(J8597,2)</f>
        <v/>
      </c>
    </row>
    <row r="8598" ht="12.75" customHeight="1">
      <c r="H8598" s="43" t="n"/>
      <c r="AG8598" s="49">
        <f>IFERROR(__xludf.DUMMYFUNCTION("IFNA(vlookup(H8598,IMPORTRANGE(""1vUGwO1n0QQGx9kKbO0_M5gmuhXZ6-LaxQxgrmJnzgP0"",""'TP# look up'!A:C""),3,0),"""")"),"")</f>
        <v/>
      </c>
      <c r="AH8598" s="49">
        <f>LEFT(J8598,2)</f>
        <v/>
      </c>
    </row>
    <row r="8599" ht="12.75" customHeight="1">
      <c r="H8599" s="43" t="n"/>
      <c r="AG8599" s="49">
        <f>IFERROR(__xludf.DUMMYFUNCTION("IFNA(vlookup(H8599,IMPORTRANGE(""1vUGwO1n0QQGx9kKbO0_M5gmuhXZ6-LaxQxgrmJnzgP0"",""'TP# look up'!A:C""),3,0),"""")"),"")</f>
        <v/>
      </c>
      <c r="AH8599" s="49">
        <f>LEFT(J8599,2)</f>
        <v/>
      </c>
    </row>
    <row r="8600" ht="12.75" customHeight="1">
      <c r="H8600" s="43" t="n"/>
      <c r="AG8600" s="49">
        <f>IFERROR(__xludf.DUMMYFUNCTION("IFNA(vlookup(H8600,IMPORTRANGE(""1vUGwO1n0QQGx9kKbO0_M5gmuhXZ6-LaxQxgrmJnzgP0"",""'TP# look up'!A:C""),3,0),"""")"),"")</f>
        <v/>
      </c>
      <c r="AH8600" s="49">
        <f>LEFT(J8600,2)</f>
        <v/>
      </c>
    </row>
    <row r="8601" ht="12.75" customHeight="1">
      <c r="H8601" s="43" t="n"/>
      <c r="AG8601" s="49">
        <f>IFERROR(__xludf.DUMMYFUNCTION("IFNA(vlookup(H8601,IMPORTRANGE(""1vUGwO1n0QQGx9kKbO0_M5gmuhXZ6-LaxQxgrmJnzgP0"",""'TP# look up'!A:C""),3,0),"""")"),"")</f>
        <v/>
      </c>
      <c r="AH8601" s="49">
        <f>LEFT(J8601,2)</f>
        <v/>
      </c>
    </row>
    <row r="8602" ht="12.75" customHeight="1">
      <c r="H8602" s="43" t="n"/>
      <c r="AG8602" s="49">
        <f>IFERROR(__xludf.DUMMYFUNCTION("IFNA(vlookup(H8602,IMPORTRANGE(""1vUGwO1n0QQGx9kKbO0_M5gmuhXZ6-LaxQxgrmJnzgP0"",""'TP# look up'!A:C""),3,0),"""")"),"")</f>
        <v/>
      </c>
      <c r="AH8602" s="49">
        <f>LEFT(J8602,2)</f>
        <v/>
      </c>
    </row>
    <row r="8603" ht="12.75" customHeight="1">
      <c r="H8603" s="43" t="n"/>
      <c r="AG8603" s="49">
        <f>IFERROR(__xludf.DUMMYFUNCTION("IFNA(vlookup(H8603,IMPORTRANGE(""1vUGwO1n0QQGx9kKbO0_M5gmuhXZ6-LaxQxgrmJnzgP0"",""'TP# look up'!A:C""),3,0),"""")"),"")</f>
        <v/>
      </c>
      <c r="AH8603" s="49">
        <f>LEFT(J8603,2)</f>
        <v/>
      </c>
    </row>
    <row r="8604" ht="12.75" customHeight="1">
      <c r="H8604" s="43" t="n"/>
      <c r="AG8604" s="49">
        <f>IFERROR(__xludf.DUMMYFUNCTION("IFNA(vlookup(H8604,IMPORTRANGE(""1vUGwO1n0QQGx9kKbO0_M5gmuhXZ6-LaxQxgrmJnzgP0"",""'TP# look up'!A:C""),3,0),"""")"),"")</f>
        <v/>
      </c>
      <c r="AH8604" s="49">
        <f>LEFT(J8604,2)</f>
        <v/>
      </c>
    </row>
    <row r="8605" ht="12.75" customHeight="1">
      <c r="H8605" s="43" t="n"/>
      <c r="AG8605" s="49">
        <f>IFERROR(__xludf.DUMMYFUNCTION("IFNA(vlookup(H8605,IMPORTRANGE(""1vUGwO1n0QQGx9kKbO0_M5gmuhXZ6-LaxQxgrmJnzgP0"",""'TP# look up'!A:C""),3,0),"""")"),"")</f>
        <v/>
      </c>
      <c r="AH8605" s="49">
        <f>LEFT(J8605,2)</f>
        <v/>
      </c>
    </row>
    <row r="8606" ht="12.75" customHeight="1">
      <c r="H8606" s="43" t="n"/>
      <c r="AG8606" s="49">
        <f>IFERROR(__xludf.DUMMYFUNCTION("IFNA(vlookup(H8606,IMPORTRANGE(""1vUGwO1n0QQGx9kKbO0_M5gmuhXZ6-LaxQxgrmJnzgP0"",""'TP# look up'!A:C""),3,0),"""")"),"")</f>
        <v/>
      </c>
      <c r="AH8606" s="49">
        <f>LEFT(J8606,2)</f>
        <v/>
      </c>
    </row>
    <row r="8607" ht="12.75" customHeight="1">
      <c r="H8607" s="43" t="n"/>
      <c r="AG8607" s="49">
        <f>IFERROR(__xludf.DUMMYFUNCTION("IFNA(vlookup(H8607,IMPORTRANGE(""1vUGwO1n0QQGx9kKbO0_M5gmuhXZ6-LaxQxgrmJnzgP0"",""'TP# look up'!A:C""),3,0),"""")"),"")</f>
        <v/>
      </c>
      <c r="AH8607" s="49">
        <f>LEFT(J8607,2)</f>
        <v/>
      </c>
    </row>
    <row r="8608" ht="12.75" customHeight="1">
      <c r="H8608" s="43" t="n"/>
      <c r="AG8608" s="49">
        <f>IFERROR(__xludf.DUMMYFUNCTION("IFNA(vlookup(H8608,IMPORTRANGE(""1vUGwO1n0QQGx9kKbO0_M5gmuhXZ6-LaxQxgrmJnzgP0"",""'TP# look up'!A:C""),3,0),"""")"),"")</f>
        <v/>
      </c>
      <c r="AH8608" s="49">
        <f>LEFT(J8608,2)</f>
        <v/>
      </c>
    </row>
    <row r="8609" ht="12.75" customHeight="1">
      <c r="H8609" s="43" t="n"/>
      <c r="AG8609" s="49">
        <f>IFERROR(__xludf.DUMMYFUNCTION("IFNA(vlookup(H8609,IMPORTRANGE(""1vUGwO1n0QQGx9kKbO0_M5gmuhXZ6-LaxQxgrmJnzgP0"",""'TP# look up'!A:C""),3,0),"""")"),"")</f>
        <v/>
      </c>
      <c r="AH8609" s="49">
        <f>LEFT(J8609,2)</f>
        <v/>
      </c>
    </row>
    <row r="8610" ht="12.75" customHeight="1">
      <c r="H8610" s="43" t="n"/>
      <c r="AG8610" s="49">
        <f>IFERROR(__xludf.DUMMYFUNCTION("IFNA(vlookup(H8610,IMPORTRANGE(""1vUGwO1n0QQGx9kKbO0_M5gmuhXZ6-LaxQxgrmJnzgP0"",""'TP# look up'!A:C""),3,0),"""")"),"")</f>
        <v/>
      </c>
      <c r="AH8610" s="49">
        <f>LEFT(J8610,2)</f>
        <v/>
      </c>
    </row>
    <row r="8611" ht="12.75" customHeight="1">
      <c r="H8611" s="43" t="n"/>
      <c r="AG8611" s="49">
        <f>IFERROR(__xludf.DUMMYFUNCTION("IFNA(vlookup(H8611,IMPORTRANGE(""1vUGwO1n0QQGx9kKbO0_M5gmuhXZ6-LaxQxgrmJnzgP0"",""'TP# look up'!A:C""),3,0),"""")"),"")</f>
        <v/>
      </c>
      <c r="AH8611" s="49">
        <f>LEFT(J8611,2)</f>
        <v/>
      </c>
    </row>
    <row r="8612" ht="12.75" customHeight="1">
      <c r="H8612" s="43" t="n"/>
      <c r="AG8612" s="49">
        <f>IFERROR(__xludf.DUMMYFUNCTION("IFNA(vlookup(H8612,IMPORTRANGE(""1vUGwO1n0QQGx9kKbO0_M5gmuhXZ6-LaxQxgrmJnzgP0"",""'TP# look up'!A:C""),3,0),"""")"),"")</f>
        <v/>
      </c>
      <c r="AH8612" s="49">
        <f>LEFT(J8612,2)</f>
        <v/>
      </c>
    </row>
    <row r="8613" ht="12.75" customHeight="1">
      <c r="H8613" s="43" t="n"/>
      <c r="AG8613" s="49">
        <f>IFERROR(__xludf.DUMMYFUNCTION("IFNA(vlookup(H8613,IMPORTRANGE(""1vUGwO1n0QQGx9kKbO0_M5gmuhXZ6-LaxQxgrmJnzgP0"",""'TP# look up'!A:C""),3,0),"""")"),"")</f>
        <v/>
      </c>
      <c r="AH8613" s="49">
        <f>LEFT(J8613,2)</f>
        <v/>
      </c>
    </row>
    <row r="8614" ht="12.75" customHeight="1">
      <c r="H8614" s="43" t="n"/>
      <c r="AG8614" s="49">
        <f>IFERROR(__xludf.DUMMYFUNCTION("IFNA(vlookup(H8614,IMPORTRANGE(""1vUGwO1n0QQGx9kKbO0_M5gmuhXZ6-LaxQxgrmJnzgP0"",""'TP# look up'!A:C""),3,0),"""")"),"")</f>
        <v/>
      </c>
      <c r="AH8614" s="49">
        <f>LEFT(J8614,2)</f>
        <v/>
      </c>
    </row>
    <row r="8615" ht="12.75" customHeight="1">
      <c r="H8615" s="43" t="n"/>
      <c r="AG8615" s="49">
        <f>IFERROR(__xludf.DUMMYFUNCTION("IFNA(vlookup(H8615,IMPORTRANGE(""1vUGwO1n0QQGx9kKbO0_M5gmuhXZ6-LaxQxgrmJnzgP0"",""'TP# look up'!A:C""),3,0),"""")"),"")</f>
        <v/>
      </c>
      <c r="AH8615" s="49">
        <f>LEFT(J8615,2)</f>
        <v/>
      </c>
    </row>
    <row r="8616" ht="12.75" customHeight="1">
      <c r="H8616" s="43" t="n"/>
      <c r="AG8616" s="49">
        <f>IFERROR(__xludf.DUMMYFUNCTION("IFNA(vlookup(H8616,IMPORTRANGE(""1vUGwO1n0QQGx9kKbO0_M5gmuhXZ6-LaxQxgrmJnzgP0"",""'TP# look up'!A:C""),3,0),"""")"),"")</f>
        <v/>
      </c>
      <c r="AH8616" s="49">
        <f>LEFT(J8616,2)</f>
        <v/>
      </c>
    </row>
    <row r="8617" ht="12.75" customHeight="1">
      <c r="H8617" s="43" t="n"/>
      <c r="AG8617" s="49">
        <f>IFERROR(__xludf.DUMMYFUNCTION("IFNA(vlookup(H8617,IMPORTRANGE(""1vUGwO1n0QQGx9kKbO0_M5gmuhXZ6-LaxQxgrmJnzgP0"",""'TP# look up'!A:C""),3,0),"""")"),"")</f>
        <v/>
      </c>
      <c r="AH8617" s="49">
        <f>LEFT(J8617,2)</f>
        <v/>
      </c>
    </row>
    <row r="8618" ht="12.75" customHeight="1">
      <c r="H8618" s="43" t="n"/>
      <c r="AG8618" s="49">
        <f>IFERROR(__xludf.DUMMYFUNCTION("IFNA(vlookup(H8618,IMPORTRANGE(""1vUGwO1n0QQGx9kKbO0_M5gmuhXZ6-LaxQxgrmJnzgP0"",""'TP# look up'!A:C""),3,0),"""")"),"")</f>
        <v/>
      </c>
      <c r="AH8618" s="49">
        <f>LEFT(J8618,2)</f>
        <v/>
      </c>
    </row>
    <row r="8619" ht="12.75" customHeight="1">
      <c r="H8619" s="43" t="n"/>
      <c r="AG8619" s="49">
        <f>IFERROR(__xludf.DUMMYFUNCTION("IFNA(vlookup(H8619,IMPORTRANGE(""1vUGwO1n0QQGx9kKbO0_M5gmuhXZ6-LaxQxgrmJnzgP0"",""'TP# look up'!A:C""),3,0),"""")"),"")</f>
        <v/>
      </c>
      <c r="AH8619" s="49">
        <f>LEFT(J8619,2)</f>
        <v/>
      </c>
    </row>
    <row r="8620" ht="12.75" customHeight="1">
      <c r="H8620" s="43" t="n"/>
      <c r="AG8620" s="49">
        <f>IFERROR(__xludf.DUMMYFUNCTION("IFNA(vlookup(H8620,IMPORTRANGE(""1vUGwO1n0QQGx9kKbO0_M5gmuhXZ6-LaxQxgrmJnzgP0"",""'TP# look up'!A:C""),3,0),"""")"),"")</f>
        <v/>
      </c>
      <c r="AH8620" s="49">
        <f>LEFT(J8620,2)</f>
        <v/>
      </c>
    </row>
    <row r="8621" ht="12.75" customHeight="1">
      <c r="H8621" s="43" t="n"/>
      <c r="AG8621" s="49">
        <f>IFERROR(__xludf.DUMMYFUNCTION("IFNA(vlookup(H8621,IMPORTRANGE(""1vUGwO1n0QQGx9kKbO0_M5gmuhXZ6-LaxQxgrmJnzgP0"",""'TP# look up'!A:C""),3,0),"""")"),"")</f>
        <v/>
      </c>
      <c r="AH8621" s="49">
        <f>LEFT(J8621,2)</f>
        <v/>
      </c>
    </row>
    <row r="8622" ht="12.75" customHeight="1">
      <c r="H8622" s="43" t="n"/>
      <c r="AG8622" s="49">
        <f>IFERROR(__xludf.DUMMYFUNCTION("IFNA(vlookup(H8622,IMPORTRANGE(""1vUGwO1n0QQGx9kKbO0_M5gmuhXZ6-LaxQxgrmJnzgP0"",""'TP# look up'!A:C""),3,0),"""")"),"")</f>
        <v/>
      </c>
      <c r="AH8622" s="49">
        <f>LEFT(J8622,2)</f>
        <v/>
      </c>
    </row>
    <row r="8623" ht="12.75" customHeight="1">
      <c r="H8623" s="43" t="n"/>
      <c r="AG8623" s="49">
        <f>IFERROR(__xludf.DUMMYFUNCTION("IFNA(vlookup(H8623,IMPORTRANGE(""1vUGwO1n0QQGx9kKbO0_M5gmuhXZ6-LaxQxgrmJnzgP0"",""'TP# look up'!A:C""),3,0),"""")"),"")</f>
        <v/>
      </c>
      <c r="AH8623" s="49">
        <f>LEFT(J8623,2)</f>
        <v/>
      </c>
    </row>
    <row r="8624" ht="12.75" customHeight="1">
      <c r="H8624" s="43" t="n"/>
      <c r="AG8624" s="49">
        <f>IFERROR(__xludf.DUMMYFUNCTION("IFNA(vlookup(H8624,IMPORTRANGE(""1vUGwO1n0QQGx9kKbO0_M5gmuhXZ6-LaxQxgrmJnzgP0"",""'TP# look up'!A:C""),3,0),"""")"),"")</f>
        <v/>
      </c>
      <c r="AH8624" s="49">
        <f>LEFT(J8624,2)</f>
        <v/>
      </c>
    </row>
    <row r="8625" ht="12.75" customHeight="1">
      <c r="H8625" s="43" t="n"/>
      <c r="AG8625" s="49">
        <f>IFERROR(__xludf.DUMMYFUNCTION("IFNA(vlookup(H8625,IMPORTRANGE(""1vUGwO1n0QQGx9kKbO0_M5gmuhXZ6-LaxQxgrmJnzgP0"",""'TP# look up'!A:C""),3,0),"""")"),"")</f>
        <v/>
      </c>
      <c r="AH8625" s="49">
        <f>LEFT(J8625,2)</f>
        <v/>
      </c>
    </row>
    <row r="8626" ht="12.75" customHeight="1">
      <c r="H8626" s="43" t="n"/>
      <c r="AG8626" s="49">
        <f>IFERROR(__xludf.DUMMYFUNCTION("IFNA(vlookup(H8626,IMPORTRANGE(""1vUGwO1n0QQGx9kKbO0_M5gmuhXZ6-LaxQxgrmJnzgP0"",""'TP# look up'!A:C""),3,0),"""")"),"")</f>
        <v/>
      </c>
      <c r="AH8626" s="49">
        <f>LEFT(J8626,2)</f>
        <v/>
      </c>
    </row>
    <row r="8627" ht="12.75" customHeight="1">
      <c r="H8627" s="43" t="n"/>
      <c r="AG8627" s="49">
        <f>IFERROR(__xludf.DUMMYFUNCTION("IFNA(vlookup(H8627,IMPORTRANGE(""1vUGwO1n0QQGx9kKbO0_M5gmuhXZ6-LaxQxgrmJnzgP0"",""'TP# look up'!A:C""),3,0),"""")"),"")</f>
        <v/>
      </c>
      <c r="AH8627" s="49">
        <f>LEFT(J8627,2)</f>
        <v/>
      </c>
    </row>
    <row r="8628" ht="12.75" customHeight="1">
      <c r="H8628" s="43" t="n"/>
      <c r="AG8628" s="49">
        <f>IFERROR(__xludf.DUMMYFUNCTION("IFNA(vlookup(H8628,IMPORTRANGE(""1vUGwO1n0QQGx9kKbO0_M5gmuhXZ6-LaxQxgrmJnzgP0"",""'TP# look up'!A:C""),3,0),"""")"),"")</f>
        <v/>
      </c>
      <c r="AH8628" s="49">
        <f>LEFT(J8628,2)</f>
        <v/>
      </c>
    </row>
    <row r="8629" ht="12.75" customHeight="1">
      <c r="H8629" s="43" t="n"/>
      <c r="AG8629" s="49">
        <f>IFERROR(__xludf.DUMMYFUNCTION("IFNA(vlookup(H8629,IMPORTRANGE(""1vUGwO1n0QQGx9kKbO0_M5gmuhXZ6-LaxQxgrmJnzgP0"",""'TP# look up'!A:C""),3,0),"""")"),"")</f>
        <v/>
      </c>
      <c r="AH8629" s="49">
        <f>LEFT(J8629,2)</f>
        <v/>
      </c>
    </row>
    <row r="8630" ht="12.75" customHeight="1">
      <c r="H8630" s="43" t="n"/>
      <c r="AG8630" s="49">
        <f>IFERROR(__xludf.DUMMYFUNCTION("IFNA(vlookup(H8630,IMPORTRANGE(""1vUGwO1n0QQGx9kKbO0_M5gmuhXZ6-LaxQxgrmJnzgP0"",""'TP# look up'!A:C""),3,0),"""")"),"")</f>
        <v/>
      </c>
      <c r="AH8630" s="49">
        <f>LEFT(J8630,2)</f>
        <v/>
      </c>
    </row>
    <row r="8631" ht="12.75" customHeight="1">
      <c r="H8631" s="43" t="n"/>
      <c r="AG8631" s="49">
        <f>IFERROR(__xludf.DUMMYFUNCTION("IFNA(vlookup(H8631,IMPORTRANGE(""1vUGwO1n0QQGx9kKbO0_M5gmuhXZ6-LaxQxgrmJnzgP0"",""'TP# look up'!A:C""),3,0),"""")"),"")</f>
        <v/>
      </c>
      <c r="AH8631" s="49">
        <f>LEFT(J8631,2)</f>
        <v/>
      </c>
    </row>
    <row r="8632" ht="12.75" customHeight="1">
      <c r="H8632" s="43" t="n"/>
      <c r="AG8632" s="49">
        <f>IFERROR(__xludf.DUMMYFUNCTION("IFNA(vlookup(H8632,IMPORTRANGE(""1vUGwO1n0QQGx9kKbO0_M5gmuhXZ6-LaxQxgrmJnzgP0"",""'TP# look up'!A:C""),3,0),"""")"),"")</f>
        <v/>
      </c>
      <c r="AH8632" s="49">
        <f>LEFT(J8632,2)</f>
        <v/>
      </c>
    </row>
    <row r="8633" ht="12.75" customHeight="1">
      <c r="H8633" s="43" t="n"/>
      <c r="AG8633" s="49">
        <f>IFERROR(__xludf.DUMMYFUNCTION("IFNA(vlookup(H8633,IMPORTRANGE(""1vUGwO1n0QQGx9kKbO0_M5gmuhXZ6-LaxQxgrmJnzgP0"",""'TP# look up'!A:C""),3,0),"""")"),"")</f>
        <v/>
      </c>
      <c r="AH8633" s="49">
        <f>LEFT(J8633,2)</f>
        <v/>
      </c>
    </row>
    <row r="8634" ht="12.75" customHeight="1">
      <c r="H8634" s="43" t="n"/>
      <c r="AG8634" s="49">
        <f>IFERROR(__xludf.DUMMYFUNCTION("IFNA(vlookup(H8634,IMPORTRANGE(""1vUGwO1n0QQGx9kKbO0_M5gmuhXZ6-LaxQxgrmJnzgP0"",""'TP# look up'!A:C""),3,0),"""")"),"")</f>
        <v/>
      </c>
      <c r="AH8634" s="49">
        <f>LEFT(J8634,2)</f>
        <v/>
      </c>
    </row>
    <row r="8635" ht="12.75" customHeight="1">
      <c r="H8635" s="43" t="n"/>
      <c r="AG8635" s="49">
        <f>IFERROR(__xludf.DUMMYFUNCTION("IFNA(vlookup(H8635,IMPORTRANGE(""1vUGwO1n0QQGx9kKbO0_M5gmuhXZ6-LaxQxgrmJnzgP0"",""'TP# look up'!A:C""),3,0),"""")"),"")</f>
        <v/>
      </c>
      <c r="AH8635" s="49">
        <f>LEFT(J8635,2)</f>
        <v/>
      </c>
    </row>
    <row r="8636" ht="12.75" customHeight="1">
      <c r="H8636" s="43" t="n"/>
      <c r="AG8636" s="49">
        <f>IFERROR(__xludf.DUMMYFUNCTION("IFNA(vlookup(H8636,IMPORTRANGE(""1vUGwO1n0QQGx9kKbO0_M5gmuhXZ6-LaxQxgrmJnzgP0"",""'TP# look up'!A:C""),3,0),"""")"),"")</f>
        <v/>
      </c>
      <c r="AH8636" s="49">
        <f>LEFT(J8636,2)</f>
        <v/>
      </c>
    </row>
    <row r="8637" ht="12.75" customHeight="1">
      <c r="H8637" s="43" t="n"/>
      <c r="AG8637" s="49">
        <f>IFERROR(__xludf.DUMMYFUNCTION("IFNA(vlookup(H8637,IMPORTRANGE(""1vUGwO1n0QQGx9kKbO0_M5gmuhXZ6-LaxQxgrmJnzgP0"",""'TP# look up'!A:C""),3,0),"""")"),"")</f>
        <v/>
      </c>
      <c r="AH8637" s="49">
        <f>LEFT(J8637,2)</f>
        <v/>
      </c>
    </row>
    <row r="8638" ht="12.75" customHeight="1">
      <c r="H8638" s="43" t="n"/>
      <c r="AG8638" s="49">
        <f>IFERROR(__xludf.DUMMYFUNCTION("IFNA(vlookup(H8638,IMPORTRANGE(""1vUGwO1n0QQGx9kKbO0_M5gmuhXZ6-LaxQxgrmJnzgP0"",""'TP# look up'!A:C""),3,0),"""")"),"")</f>
        <v/>
      </c>
      <c r="AH8638" s="49">
        <f>LEFT(J8638,2)</f>
        <v/>
      </c>
    </row>
    <row r="8639" ht="12.75" customHeight="1">
      <c r="H8639" s="43" t="n"/>
      <c r="AG8639" s="49">
        <f>IFERROR(__xludf.DUMMYFUNCTION("IFNA(vlookup(H8639,IMPORTRANGE(""1vUGwO1n0QQGx9kKbO0_M5gmuhXZ6-LaxQxgrmJnzgP0"",""'TP# look up'!A:C""),3,0),"""")"),"")</f>
        <v/>
      </c>
      <c r="AH8639" s="49">
        <f>LEFT(J8639,2)</f>
        <v/>
      </c>
    </row>
    <row r="8640" ht="12.75" customHeight="1">
      <c r="H8640" s="43" t="n"/>
      <c r="AG8640" s="49">
        <f>IFERROR(__xludf.DUMMYFUNCTION("IFNA(vlookup(H8640,IMPORTRANGE(""1vUGwO1n0QQGx9kKbO0_M5gmuhXZ6-LaxQxgrmJnzgP0"",""'TP# look up'!A:C""),3,0),"""")"),"")</f>
        <v/>
      </c>
      <c r="AH8640" s="49">
        <f>LEFT(J8640,2)</f>
        <v/>
      </c>
    </row>
    <row r="8641" ht="12.75" customHeight="1">
      <c r="H8641" s="43" t="n"/>
      <c r="AG8641" s="49">
        <f>IFERROR(__xludf.DUMMYFUNCTION("IFNA(vlookup(H8641,IMPORTRANGE(""1vUGwO1n0QQGx9kKbO0_M5gmuhXZ6-LaxQxgrmJnzgP0"",""'TP# look up'!A:C""),3,0),"""")"),"")</f>
        <v/>
      </c>
      <c r="AH8641" s="49">
        <f>LEFT(J8641,2)</f>
        <v/>
      </c>
    </row>
    <row r="8642" ht="12.75" customHeight="1">
      <c r="H8642" s="43" t="n"/>
      <c r="AG8642" s="49">
        <f>IFERROR(__xludf.DUMMYFUNCTION("IFNA(vlookup(H8642,IMPORTRANGE(""1vUGwO1n0QQGx9kKbO0_M5gmuhXZ6-LaxQxgrmJnzgP0"",""'TP# look up'!A:C""),3,0),"""")"),"")</f>
        <v/>
      </c>
      <c r="AH8642" s="49">
        <f>LEFT(J8642,2)</f>
        <v/>
      </c>
    </row>
    <row r="8643" ht="12.75" customHeight="1">
      <c r="H8643" s="43" t="n"/>
      <c r="AG8643" s="49">
        <f>IFERROR(__xludf.DUMMYFUNCTION("IFNA(vlookup(H8643,IMPORTRANGE(""1vUGwO1n0QQGx9kKbO0_M5gmuhXZ6-LaxQxgrmJnzgP0"",""'TP# look up'!A:C""),3,0),"""")"),"")</f>
        <v/>
      </c>
      <c r="AH8643" s="49">
        <f>LEFT(J8643,2)</f>
        <v/>
      </c>
    </row>
    <row r="8644" ht="12.75" customHeight="1">
      <c r="H8644" s="43" t="n"/>
      <c r="AG8644" s="49">
        <f>IFERROR(__xludf.DUMMYFUNCTION("IFNA(vlookup(H8644,IMPORTRANGE(""1vUGwO1n0QQGx9kKbO0_M5gmuhXZ6-LaxQxgrmJnzgP0"",""'TP# look up'!A:C""),3,0),"""")"),"")</f>
        <v/>
      </c>
      <c r="AH8644" s="49">
        <f>LEFT(J8644,2)</f>
        <v/>
      </c>
    </row>
    <row r="8645" ht="12.75" customHeight="1">
      <c r="H8645" s="43" t="n"/>
      <c r="AG8645" s="49">
        <f>IFERROR(__xludf.DUMMYFUNCTION("IFNA(vlookup(H8645,IMPORTRANGE(""1vUGwO1n0QQGx9kKbO0_M5gmuhXZ6-LaxQxgrmJnzgP0"",""'TP# look up'!A:C""),3,0),"""")"),"")</f>
        <v/>
      </c>
      <c r="AH8645" s="49">
        <f>LEFT(J8645,2)</f>
        <v/>
      </c>
    </row>
    <row r="8646" ht="12.75" customHeight="1">
      <c r="H8646" s="43" t="n"/>
      <c r="AG8646" s="49">
        <f>IFERROR(__xludf.DUMMYFUNCTION("IFNA(vlookup(H8646,IMPORTRANGE(""1vUGwO1n0QQGx9kKbO0_M5gmuhXZ6-LaxQxgrmJnzgP0"",""'TP# look up'!A:C""),3,0),"""")"),"")</f>
        <v/>
      </c>
      <c r="AH8646" s="49">
        <f>LEFT(J8646,2)</f>
        <v/>
      </c>
    </row>
    <row r="8647" ht="12.75" customHeight="1">
      <c r="H8647" s="43" t="n"/>
      <c r="AG8647" s="49">
        <f>IFERROR(__xludf.DUMMYFUNCTION("IFNA(vlookup(H8647,IMPORTRANGE(""1vUGwO1n0QQGx9kKbO0_M5gmuhXZ6-LaxQxgrmJnzgP0"",""'TP# look up'!A:C""),3,0),"""")"),"")</f>
        <v/>
      </c>
      <c r="AH8647" s="49">
        <f>LEFT(J8647,2)</f>
        <v/>
      </c>
    </row>
    <row r="8648" ht="12.75" customHeight="1">
      <c r="H8648" s="43" t="n"/>
      <c r="AG8648" s="49">
        <f>IFERROR(__xludf.DUMMYFUNCTION("IFNA(vlookup(H8648,IMPORTRANGE(""1vUGwO1n0QQGx9kKbO0_M5gmuhXZ6-LaxQxgrmJnzgP0"",""'TP# look up'!A:C""),3,0),"""")"),"")</f>
        <v/>
      </c>
      <c r="AH8648" s="49">
        <f>LEFT(J8648,2)</f>
        <v/>
      </c>
    </row>
    <row r="8649" ht="12.75" customHeight="1">
      <c r="H8649" s="43" t="n"/>
      <c r="AG8649" s="49">
        <f>IFERROR(__xludf.DUMMYFUNCTION("IFNA(vlookup(H8649,IMPORTRANGE(""1vUGwO1n0QQGx9kKbO0_M5gmuhXZ6-LaxQxgrmJnzgP0"",""'TP# look up'!A:C""),3,0),"""")"),"")</f>
        <v/>
      </c>
      <c r="AH8649" s="49">
        <f>LEFT(J8649,2)</f>
        <v/>
      </c>
    </row>
    <row r="8650" ht="12.75" customHeight="1">
      <c r="H8650" s="43" t="n"/>
      <c r="AG8650" s="49">
        <f>IFERROR(__xludf.DUMMYFUNCTION("IFNA(vlookup(H8650,IMPORTRANGE(""1vUGwO1n0QQGx9kKbO0_M5gmuhXZ6-LaxQxgrmJnzgP0"",""'TP# look up'!A:C""),3,0),"""")"),"")</f>
        <v/>
      </c>
      <c r="AH8650" s="49">
        <f>LEFT(J8650,2)</f>
        <v/>
      </c>
    </row>
    <row r="8651" ht="12.75" customHeight="1">
      <c r="H8651" s="43" t="n"/>
      <c r="AG8651" s="49">
        <f>IFERROR(__xludf.DUMMYFUNCTION("IFNA(vlookup(H8651,IMPORTRANGE(""1vUGwO1n0QQGx9kKbO0_M5gmuhXZ6-LaxQxgrmJnzgP0"",""'TP# look up'!A:C""),3,0),"""")"),"")</f>
        <v/>
      </c>
      <c r="AH8651" s="49">
        <f>LEFT(J8651,2)</f>
        <v/>
      </c>
    </row>
    <row r="8652" ht="12.75" customHeight="1">
      <c r="H8652" s="43" t="n"/>
      <c r="AG8652" s="49">
        <f>IFERROR(__xludf.DUMMYFUNCTION("IFNA(vlookup(H8652,IMPORTRANGE(""1vUGwO1n0QQGx9kKbO0_M5gmuhXZ6-LaxQxgrmJnzgP0"",""'TP# look up'!A:C""),3,0),"""")"),"")</f>
        <v/>
      </c>
      <c r="AH8652" s="49">
        <f>LEFT(J8652,2)</f>
        <v/>
      </c>
    </row>
    <row r="8653" ht="12.75" customHeight="1">
      <c r="H8653" s="43" t="n"/>
      <c r="AG8653" s="49">
        <f>IFERROR(__xludf.DUMMYFUNCTION("IFNA(vlookup(H8653,IMPORTRANGE(""1vUGwO1n0QQGx9kKbO0_M5gmuhXZ6-LaxQxgrmJnzgP0"",""'TP# look up'!A:C""),3,0),"""")"),"")</f>
        <v/>
      </c>
      <c r="AH8653" s="49">
        <f>LEFT(J8653,2)</f>
        <v/>
      </c>
    </row>
    <row r="8654" ht="12.75" customHeight="1">
      <c r="H8654" s="43" t="n"/>
      <c r="AG8654" s="49">
        <f>IFERROR(__xludf.DUMMYFUNCTION("IFNA(vlookup(H8654,IMPORTRANGE(""1vUGwO1n0QQGx9kKbO0_M5gmuhXZ6-LaxQxgrmJnzgP0"",""'TP# look up'!A:C""),3,0),"""")"),"")</f>
        <v/>
      </c>
      <c r="AH8654" s="49">
        <f>LEFT(J8654,2)</f>
        <v/>
      </c>
    </row>
    <row r="8655" ht="12.75" customHeight="1">
      <c r="H8655" s="43" t="n"/>
      <c r="AG8655" s="49">
        <f>IFERROR(__xludf.DUMMYFUNCTION("IFNA(vlookup(H8655,IMPORTRANGE(""1vUGwO1n0QQGx9kKbO0_M5gmuhXZ6-LaxQxgrmJnzgP0"",""'TP# look up'!A:C""),3,0),"""")"),"")</f>
        <v/>
      </c>
      <c r="AH8655" s="49">
        <f>LEFT(J8655,2)</f>
        <v/>
      </c>
    </row>
    <row r="8656" ht="12.75" customHeight="1">
      <c r="H8656" s="43" t="n"/>
      <c r="AG8656" s="49">
        <f>IFERROR(__xludf.DUMMYFUNCTION("IFNA(vlookup(H8656,IMPORTRANGE(""1vUGwO1n0QQGx9kKbO0_M5gmuhXZ6-LaxQxgrmJnzgP0"",""'TP# look up'!A:C""),3,0),"""")"),"")</f>
        <v/>
      </c>
      <c r="AH8656" s="49">
        <f>LEFT(J8656,2)</f>
        <v/>
      </c>
    </row>
    <row r="8657" ht="12.75" customHeight="1">
      <c r="H8657" s="43" t="n"/>
      <c r="AG8657" s="49">
        <f>IFERROR(__xludf.DUMMYFUNCTION("IFNA(vlookup(H8657,IMPORTRANGE(""1vUGwO1n0QQGx9kKbO0_M5gmuhXZ6-LaxQxgrmJnzgP0"",""'TP# look up'!A:C""),3,0),"""")"),"")</f>
        <v/>
      </c>
      <c r="AH8657" s="49">
        <f>LEFT(J8657,2)</f>
        <v/>
      </c>
    </row>
    <row r="8658" ht="12.75" customHeight="1">
      <c r="H8658" s="43" t="n"/>
      <c r="AG8658" s="49">
        <f>IFERROR(__xludf.DUMMYFUNCTION("IFNA(vlookup(H8658,IMPORTRANGE(""1vUGwO1n0QQGx9kKbO0_M5gmuhXZ6-LaxQxgrmJnzgP0"",""'TP# look up'!A:C""),3,0),"""")"),"")</f>
        <v/>
      </c>
      <c r="AH8658" s="49">
        <f>LEFT(J8658,2)</f>
        <v/>
      </c>
    </row>
    <row r="8659" ht="12.75" customHeight="1">
      <c r="H8659" s="43" t="n"/>
      <c r="AG8659" s="49">
        <f>IFERROR(__xludf.DUMMYFUNCTION("IFNA(vlookup(H8659,IMPORTRANGE(""1vUGwO1n0QQGx9kKbO0_M5gmuhXZ6-LaxQxgrmJnzgP0"",""'TP# look up'!A:C""),3,0),"""")"),"")</f>
        <v/>
      </c>
      <c r="AH8659" s="49">
        <f>LEFT(J8659,2)</f>
        <v/>
      </c>
    </row>
    <row r="8660" ht="12.75" customHeight="1">
      <c r="H8660" s="43" t="n"/>
      <c r="AG8660" s="49">
        <f>IFERROR(__xludf.DUMMYFUNCTION("IFNA(vlookup(H8660,IMPORTRANGE(""1vUGwO1n0QQGx9kKbO0_M5gmuhXZ6-LaxQxgrmJnzgP0"",""'TP# look up'!A:C""),3,0),"""")"),"")</f>
        <v/>
      </c>
      <c r="AH8660" s="49">
        <f>LEFT(J8660,2)</f>
        <v/>
      </c>
    </row>
    <row r="8661" ht="12.75" customHeight="1">
      <c r="H8661" s="43" t="n"/>
      <c r="AG8661" s="49">
        <f>IFERROR(__xludf.DUMMYFUNCTION("IFNA(vlookup(H8661,IMPORTRANGE(""1vUGwO1n0QQGx9kKbO0_M5gmuhXZ6-LaxQxgrmJnzgP0"",""'TP# look up'!A:C""),3,0),"""")"),"")</f>
        <v/>
      </c>
      <c r="AH8661" s="49">
        <f>LEFT(J8661,2)</f>
        <v/>
      </c>
    </row>
    <row r="8662" ht="12.75" customHeight="1">
      <c r="H8662" s="43" t="n"/>
      <c r="AG8662" s="49">
        <f>IFERROR(__xludf.DUMMYFUNCTION("IFNA(vlookup(H8662,IMPORTRANGE(""1vUGwO1n0QQGx9kKbO0_M5gmuhXZ6-LaxQxgrmJnzgP0"",""'TP# look up'!A:C""),3,0),"""")"),"")</f>
        <v/>
      </c>
      <c r="AH8662" s="49">
        <f>LEFT(J8662,2)</f>
        <v/>
      </c>
    </row>
    <row r="8663" ht="12.75" customHeight="1">
      <c r="H8663" s="43" t="n"/>
      <c r="AG8663" s="49">
        <f>IFERROR(__xludf.DUMMYFUNCTION("IFNA(vlookup(H8663,IMPORTRANGE(""1vUGwO1n0QQGx9kKbO0_M5gmuhXZ6-LaxQxgrmJnzgP0"",""'TP# look up'!A:C""),3,0),"""")"),"")</f>
        <v/>
      </c>
      <c r="AH8663" s="49">
        <f>LEFT(J8663,2)</f>
        <v/>
      </c>
    </row>
    <row r="8664" ht="12.75" customHeight="1">
      <c r="H8664" s="43" t="n"/>
      <c r="AG8664" s="49">
        <f>IFERROR(__xludf.DUMMYFUNCTION("IFNA(vlookup(H8664,IMPORTRANGE(""1vUGwO1n0QQGx9kKbO0_M5gmuhXZ6-LaxQxgrmJnzgP0"",""'TP# look up'!A:C""),3,0),"""")"),"")</f>
        <v/>
      </c>
      <c r="AH8664" s="49">
        <f>LEFT(J8664,2)</f>
        <v/>
      </c>
    </row>
    <row r="8665" ht="12.75" customHeight="1">
      <c r="H8665" s="43" t="n"/>
      <c r="AG8665" s="49">
        <f>IFERROR(__xludf.DUMMYFUNCTION("IFNA(vlookup(H8665,IMPORTRANGE(""1vUGwO1n0QQGx9kKbO0_M5gmuhXZ6-LaxQxgrmJnzgP0"",""'TP# look up'!A:C""),3,0),"""")"),"")</f>
        <v/>
      </c>
      <c r="AH8665" s="49">
        <f>LEFT(J8665,2)</f>
        <v/>
      </c>
    </row>
    <row r="8666" ht="12.75" customHeight="1">
      <c r="H8666" s="43" t="n"/>
      <c r="AG8666" s="49">
        <f>IFERROR(__xludf.DUMMYFUNCTION("IFNA(vlookup(H8666,IMPORTRANGE(""1vUGwO1n0QQGx9kKbO0_M5gmuhXZ6-LaxQxgrmJnzgP0"",""'TP# look up'!A:C""),3,0),"""")"),"")</f>
        <v/>
      </c>
      <c r="AH8666" s="49">
        <f>LEFT(J8666,2)</f>
        <v/>
      </c>
    </row>
    <row r="8667" ht="12.75" customHeight="1">
      <c r="H8667" s="43" t="n"/>
      <c r="AG8667" s="49">
        <f>IFERROR(__xludf.DUMMYFUNCTION("IFNA(vlookup(H8667,IMPORTRANGE(""1vUGwO1n0QQGx9kKbO0_M5gmuhXZ6-LaxQxgrmJnzgP0"",""'TP# look up'!A:C""),3,0),"""")"),"")</f>
        <v/>
      </c>
      <c r="AH8667" s="49">
        <f>LEFT(J8667,2)</f>
        <v/>
      </c>
    </row>
    <row r="8668" ht="12.75" customHeight="1">
      <c r="H8668" s="43" t="n"/>
      <c r="AG8668" s="49">
        <f>IFERROR(__xludf.DUMMYFUNCTION("IFNA(vlookup(H8668,IMPORTRANGE(""1vUGwO1n0QQGx9kKbO0_M5gmuhXZ6-LaxQxgrmJnzgP0"",""'TP# look up'!A:C""),3,0),"""")"),"")</f>
        <v/>
      </c>
      <c r="AH8668" s="49">
        <f>LEFT(J8668,2)</f>
        <v/>
      </c>
    </row>
    <row r="8669" ht="12.75" customHeight="1">
      <c r="H8669" s="43" t="n"/>
      <c r="AG8669" s="49">
        <f>IFERROR(__xludf.DUMMYFUNCTION("IFNA(vlookup(H8669,IMPORTRANGE(""1vUGwO1n0QQGx9kKbO0_M5gmuhXZ6-LaxQxgrmJnzgP0"",""'TP# look up'!A:C""),3,0),"""")"),"")</f>
        <v/>
      </c>
      <c r="AH8669" s="49">
        <f>LEFT(J8669,2)</f>
        <v/>
      </c>
    </row>
    <row r="8670" ht="12.75" customHeight="1">
      <c r="H8670" s="43" t="n"/>
      <c r="AG8670" s="49">
        <f>IFERROR(__xludf.DUMMYFUNCTION("IFNA(vlookup(H8670,IMPORTRANGE(""1vUGwO1n0QQGx9kKbO0_M5gmuhXZ6-LaxQxgrmJnzgP0"",""'TP# look up'!A:C""),3,0),"""")"),"")</f>
        <v/>
      </c>
      <c r="AH8670" s="49">
        <f>LEFT(J8670,2)</f>
        <v/>
      </c>
    </row>
    <row r="8671" ht="12.75" customHeight="1">
      <c r="H8671" s="43" t="n"/>
      <c r="AG8671" s="49">
        <f>IFERROR(__xludf.DUMMYFUNCTION("IFNA(vlookup(H8671,IMPORTRANGE(""1vUGwO1n0QQGx9kKbO0_M5gmuhXZ6-LaxQxgrmJnzgP0"",""'TP# look up'!A:C""),3,0),"""")"),"")</f>
        <v/>
      </c>
      <c r="AH8671" s="49">
        <f>LEFT(J8671,2)</f>
        <v/>
      </c>
    </row>
    <row r="8672" ht="12.75" customHeight="1">
      <c r="H8672" s="43" t="n"/>
      <c r="AG8672" s="49">
        <f>IFERROR(__xludf.DUMMYFUNCTION("IFNA(vlookup(H8672,IMPORTRANGE(""1vUGwO1n0QQGx9kKbO0_M5gmuhXZ6-LaxQxgrmJnzgP0"",""'TP# look up'!A:C""),3,0),"""")"),"")</f>
        <v/>
      </c>
      <c r="AH8672" s="49">
        <f>LEFT(J8672,2)</f>
        <v/>
      </c>
    </row>
    <row r="8673" ht="12.75" customHeight="1">
      <c r="H8673" s="43" t="n"/>
      <c r="AG8673" s="49">
        <f>IFERROR(__xludf.DUMMYFUNCTION("IFNA(vlookup(H8673,IMPORTRANGE(""1vUGwO1n0QQGx9kKbO0_M5gmuhXZ6-LaxQxgrmJnzgP0"",""'TP# look up'!A:C""),3,0),"""")"),"")</f>
        <v/>
      </c>
      <c r="AH8673" s="49">
        <f>LEFT(J8673,2)</f>
        <v/>
      </c>
    </row>
    <row r="8674" ht="12.75" customHeight="1">
      <c r="H8674" s="43" t="n"/>
      <c r="AG8674" s="49">
        <f>IFERROR(__xludf.DUMMYFUNCTION("IFNA(vlookup(H8674,IMPORTRANGE(""1vUGwO1n0QQGx9kKbO0_M5gmuhXZ6-LaxQxgrmJnzgP0"",""'TP# look up'!A:C""),3,0),"""")"),"")</f>
        <v/>
      </c>
      <c r="AH8674" s="49">
        <f>LEFT(J8674,2)</f>
        <v/>
      </c>
    </row>
    <row r="8675" ht="12.75" customHeight="1">
      <c r="H8675" s="43" t="n"/>
      <c r="AG8675" s="49">
        <f>IFERROR(__xludf.DUMMYFUNCTION("IFNA(vlookup(H8675,IMPORTRANGE(""1vUGwO1n0QQGx9kKbO0_M5gmuhXZ6-LaxQxgrmJnzgP0"",""'TP# look up'!A:C""),3,0),"""")"),"")</f>
        <v/>
      </c>
      <c r="AH8675" s="49">
        <f>LEFT(J8675,2)</f>
        <v/>
      </c>
    </row>
    <row r="8676" ht="12.75" customHeight="1">
      <c r="H8676" s="43" t="n"/>
      <c r="AG8676" s="49">
        <f>IFERROR(__xludf.DUMMYFUNCTION("IFNA(vlookup(H8676,IMPORTRANGE(""1vUGwO1n0QQGx9kKbO0_M5gmuhXZ6-LaxQxgrmJnzgP0"",""'TP# look up'!A:C""),3,0),"""")"),"")</f>
        <v/>
      </c>
      <c r="AH8676" s="49">
        <f>LEFT(J8676,2)</f>
        <v/>
      </c>
    </row>
    <row r="8677" ht="12.75" customHeight="1">
      <c r="H8677" s="43" t="n"/>
      <c r="AG8677" s="49">
        <f>IFERROR(__xludf.DUMMYFUNCTION("IFNA(vlookup(H8677,IMPORTRANGE(""1vUGwO1n0QQGx9kKbO0_M5gmuhXZ6-LaxQxgrmJnzgP0"",""'TP# look up'!A:C""),3,0),"""")"),"")</f>
        <v/>
      </c>
      <c r="AH8677" s="49">
        <f>LEFT(J8677,2)</f>
        <v/>
      </c>
    </row>
    <row r="8678" ht="12.75" customHeight="1">
      <c r="H8678" s="43" t="n"/>
      <c r="AG8678" s="49">
        <f>IFERROR(__xludf.DUMMYFUNCTION("IFNA(vlookup(H8678,IMPORTRANGE(""1vUGwO1n0QQGx9kKbO0_M5gmuhXZ6-LaxQxgrmJnzgP0"",""'TP# look up'!A:C""),3,0),"""")"),"")</f>
        <v/>
      </c>
      <c r="AH8678" s="49">
        <f>LEFT(J8678,2)</f>
        <v/>
      </c>
    </row>
    <row r="8679" ht="12.75" customHeight="1">
      <c r="H8679" s="43" t="n"/>
      <c r="AG8679" s="49">
        <f>IFERROR(__xludf.DUMMYFUNCTION("IFNA(vlookup(H8679,IMPORTRANGE(""1vUGwO1n0QQGx9kKbO0_M5gmuhXZ6-LaxQxgrmJnzgP0"",""'TP# look up'!A:C""),3,0),"""")"),"")</f>
        <v/>
      </c>
      <c r="AH8679" s="49">
        <f>LEFT(J8679,2)</f>
        <v/>
      </c>
    </row>
    <row r="8680" ht="12.75" customHeight="1">
      <c r="H8680" s="43" t="n"/>
      <c r="AG8680" s="49">
        <f>IFERROR(__xludf.DUMMYFUNCTION("IFNA(vlookup(H8680,IMPORTRANGE(""1vUGwO1n0QQGx9kKbO0_M5gmuhXZ6-LaxQxgrmJnzgP0"",""'TP# look up'!A:C""),3,0),"""")"),"")</f>
        <v/>
      </c>
      <c r="AH8680" s="49">
        <f>LEFT(J8680,2)</f>
        <v/>
      </c>
    </row>
    <row r="8681" ht="12.75" customHeight="1">
      <c r="H8681" s="43" t="n"/>
      <c r="AG8681" s="49">
        <f>IFERROR(__xludf.DUMMYFUNCTION("IFNA(vlookup(H8681,IMPORTRANGE(""1vUGwO1n0QQGx9kKbO0_M5gmuhXZ6-LaxQxgrmJnzgP0"",""'TP# look up'!A:C""),3,0),"""")"),"")</f>
        <v/>
      </c>
      <c r="AH8681" s="49">
        <f>LEFT(J8681,2)</f>
        <v/>
      </c>
    </row>
    <row r="8682" ht="12.75" customHeight="1">
      <c r="H8682" s="43" t="n"/>
      <c r="AG8682" s="49">
        <f>IFERROR(__xludf.DUMMYFUNCTION("IFNA(vlookup(H8682,IMPORTRANGE(""1vUGwO1n0QQGx9kKbO0_M5gmuhXZ6-LaxQxgrmJnzgP0"",""'TP# look up'!A:C""),3,0),"""")"),"")</f>
        <v/>
      </c>
      <c r="AH8682" s="49">
        <f>LEFT(J8682,2)</f>
        <v/>
      </c>
    </row>
    <row r="8683" ht="12.75" customHeight="1">
      <c r="H8683" s="43" t="n"/>
      <c r="AG8683" s="49">
        <f>IFERROR(__xludf.DUMMYFUNCTION("IFNA(vlookup(H8683,IMPORTRANGE(""1vUGwO1n0QQGx9kKbO0_M5gmuhXZ6-LaxQxgrmJnzgP0"",""'TP# look up'!A:C""),3,0),"""")"),"")</f>
        <v/>
      </c>
      <c r="AH8683" s="49">
        <f>LEFT(J8683,2)</f>
        <v/>
      </c>
    </row>
    <row r="8684" ht="12.75" customHeight="1">
      <c r="H8684" s="43" t="n"/>
      <c r="AG8684" s="49">
        <f>IFERROR(__xludf.DUMMYFUNCTION("IFNA(vlookup(H8684,IMPORTRANGE(""1vUGwO1n0QQGx9kKbO0_M5gmuhXZ6-LaxQxgrmJnzgP0"",""'TP# look up'!A:C""),3,0),"""")"),"")</f>
        <v/>
      </c>
      <c r="AH8684" s="49">
        <f>LEFT(J8684,2)</f>
        <v/>
      </c>
    </row>
    <row r="8685" ht="12.75" customHeight="1">
      <c r="H8685" s="43" t="n"/>
      <c r="AG8685" s="49">
        <f>IFERROR(__xludf.DUMMYFUNCTION("IFNA(vlookup(H8685,IMPORTRANGE(""1vUGwO1n0QQGx9kKbO0_M5gmuhXZ6-LaxQxgrmJnzgP0"",""'TP# look up'!A:C""),3,0),"""")"),"")</f>
        <v/>
      </c>
      <c r="AH8685" s="49">
        <f>LEFT(J8685,2)</f>
        <v/>
      </c>
    </row>
    <row r="8686" ht="12.75" customHeight="1">
      <c r="H8686" s="43" t="n"/>
      <c r="AG8686" s="49">
        <f>IFERROR(__xludf.DUMMYFUNCTION("IFNA(vlookup(H8686,IMPORTRANGE(""1vUGwO1n0QQGx9kKbO0_M5gmuhXZ6-LaxQxgrmJnzgP0"",""'TP# look up'!A:C""),3,0),"""")"),"")</f>
        <v/>
      </c>
      <c r="AH8686" s="49">
        <f>LEFT(J8686,2)</f>
        <v/>
      </c>
    </row>
    <row r="8687" ht="12.75" customHeight="1">
      <c r="H8687" s="43" t="n"/>
      <c r="AG8687" s="49">
        <f>IFERROR(__xludf.DUMMYFUNCTION("IFNA(vlookup(H8687,IMPORTRANGE(""1vUGwO1n0QQGx9kKbO0_M5gmuhXZ6-LaxQxgrmJnzgP0"",""'TP# look up'!A:C""),3,0),"""")"),"")</f>
        <v/>
      </c>
      <c r="AH8687" s="49">
        <f>LEFT(J8687,2)</f>
        <v/>
      </c>
    </row>
    <row r="8688" ht="12.75" customHeight="1">
      <c r="H8688" s="43" t="n"/>
      <c r="AG8688" s="49">
        <f>IFERROR(__xludf.DUMMYFUNCTION("IFNA(vlookup(H8688,IMPORTRANGE(""1vUGwO1n0QQGx9kKbO0_M5gmuhXZ6-LaxQxgrmJnzgP0"",""'TP# look up'!A:C""),3,0),"""")"),"")</f>
        <v/>
      </c>
      <c r="AH8688" s="49">
        <f>LEFT(J8688,2)</f>
        <v/>
      </c>
    </row>
    <row r="8689" ht="12.75" customHeight="1">
      <c r="H8689" s="43" t="n"/>
      <c r="AG8689" s="49">
        <f>IFERROR(__xludf.DUMMYFUNCTION("IFNA(vlookup(H8689,IMPORTRANGE(""1vUGwO1n0QQGx9kKbO0_M5gmuhXZ6-LaxQxgrmJnzgP0"",""'TP# look up'!A:C""),3,0),"""")"),"")</f>
        <v/>
      </c>
      <c r="AH8689" s="49">
        <f>LEFT(J8689,2)</f>
        <v/>
      </c>
    </row>
    <row r="8690" ht="12.75" customHeight="1">
      <c r="H8690" s="43" t="n"/>
      <c r="AG8690" s="49">
        <f>IFERROR(__xludf.DUMMYFUNCTION("IFNA(vlookup(H8690,IMPORTRANGE(""1vUGwO1n0QQGx9kKbO0_M5gmuhXZ6-LaxQxgrmJnzgP0"",""'TP# look up'!A:C""),3,0),"""")"),"")</f>
        <v/>
      </c>
      <c r="AH8690" s="49">
        <f>LEFT(J8690,2)</f>
        <v/>
      </c>
    </row>
    <row r="8691" ht="12.75" customHeight="1">
      <c r="H8691" s="43" t="n"/>
      <c r="AG8691" s="49">
        <f>IFERROR(__xludf.DUMMYFUNCTION("IFNA(vlookup(H8691,IMPORTRANGE(""1vUGwO1n0QQGx9kKbO0_M5gmuhXZ6-LaxQxgrmJnzgP0"",""'TP# look up'!A:C""),3,0),"""")"),"")</f>
        <v/>
      </c>
      <c r="AH8691" s="49">
        <f>LEFT(J8691,2)</f>
        <v/>
      </c>
    </row>
    <row r="8692" ht="12.75" customHeight="1">
      <c r="H8692" s="43" t="n"/>
      <c r="AG8692" s="49">
        <f>IFERROR(__xludf.DUMMYFUNCTION("IFNA(vlookup(H8692,IMPORTRANGE(""1vUGwO1n0QQGx9kKbO0_M5gmuhXZ6-LaxQxgrmJnzgP0"",""'TP# look up'!A:C""),3,0),"""")"),"")</f>
        <v/>
      </c>
      <c r="AH8692" s="49">
        <f>LEFT(J8692,2)</f>
        <v/>
      </c>
    </row>
    <row r="8693" ht="12.75" customHeight="1">
      <c r="H8693" s="43" t="n"/>
      <c r="AG8693" s="49">
        <f>IFERROR(__xludf.DUMMYFUNCTION("IFNA(vlookup(H8693,IMPORTRANGE(""1vUGwO1n0QQGx9kKbO0_M5gmuhXZ6-LaxQxgrmJnzgP0"",""'TP# look up'!A:C""),3,0),"""")"),"")</f>
        <v/>
      </c>
      <c r="AH8693" s="49">
        <f>LEFT(J8693,2)</f>
        <v/>
      </c>
    </row>
    <row r="8694" ht="12.75" customHeight="1">
      <c r="H8694" s="43" t="n"/>
      <c r="AG8694" s="49">
        <f>IFERROR(__xludf.DUMMYFUNCTION("IFNA(vlookup(H8694,IMPORTRANGE(""1vUGwO1n0QQGx9kKbO0_M5gmuhXZ6-LaxQxgrmJnzgP0"",""'TP# look up'!A:C""),3,0),"""")"),"")</f>
        <v/>
      </c>
      <c r="AH8694" s="49">
        <f>LEFT(J8694,2)</f>
        <v/>
      </c>
    </row>
    <row r="8695" ht="12.75" customHeight="1">
      <c r="H8695" s="43" t="n"/>
      <c r="AG8695" s="49">
        <f>IFERROR(__xludf.DUMMYFUNCTION("IFNA(vlookup(H8695,IMPORTRANGE(""1vUGwO1n0QQGx9kKbO0_M5gmuhXZ6-LaxQxgrmJnzgP0"",""'TP# look up'!A:C""),3,0),"""")"),"")</f>
        <v/>
      </c>
      <c r="AH8695" s="49">
        <f>LEFT(J8695,2)</f>
        <v/>
      </c>
    </row>
    <row r="8696" ht="12.75" customHeight="1">
      <c r="H8696" s="43" t="n"/>
      <c r="AG8696" s="49">
        <f>IFERROR(__xludf.DUMMYFUNCTION("IFNA(vlookup(H8696,IMPORTRANGE(""1vUGwO1n0QQGx9kKbO0_M5gmuhXZ6-LaxQxgrmJnzgP0"",""'TP# look up'!A:C""),3,0),"""")"),"")</f>
        <v/>
      </c>
      <c r="AH8696" s="49">
        <f>LEFT(J8696,2)</f>
        <v/>
      </c>
    </row>
    <row r="8697" ht="12.75" customHeight="1">
      <c r="H8697" s="43" t="n"/>
      <c r="AG8697" s="49">
        <f>IFERROR(__xludf.DUMMYFUNCTION("IFNA(vlookup(H8697,IMPORTRANGE(""1vUGwO1n0QQGx9kKbO0_M5gmuhXZ6-LaxQxgrmJnzgP0"",""'TP# look up'!A:C""),3,0),"""")"),"")</f>
        <v/>
      </c>
      <c r="AH8697" s="49">
        <f>LEFT(J8697,2)</f>
        <v/>
      </c>
    </row>
    <row r="8698" ht="12.75" customHeight="1">
      <c r="H8698" s="43" t="n"/>
      <c r="AG8698" s="49">
        <f>IFERROR(__xludf.DUMMYFUNCTION("IFNA(vlookup(H8698,IMPORTRANGE(""1vUGwO1n0QQGx9kKbO0_M5gmuhXZ6-LaxQxgrmJnzgP0"",""'TP# look up'!A:C""),3,0),"""")"),"")</f>
        <v/>
      </c>
      <c r="AH8698" s="49">
        <f>LEFT(J8698,2)</f>
        <v/>
      </c>
    </row>
    <row r="8699" ht="12.75" customHeight="1">
      <c r="H8699" s="43" t="n"/>
      <c r="AG8699" s="49">
        <f>IFERROR(__xludf.DUMMYFUNCTION("IFNA(vlookup(H8699,IMPORTRANGE(""1vUGwO1n0QQGx9kKbO0_M5gmuhXZ6-LaxQxgrmJnzgP0"",""'TP# look up'!A:C""),3,0),"""")"),"")</f>
        <v/>
      </c>
      <c r="AH8699" s="49">
        <f>LEFT(J8699,2)</f>
        <v/>
      </c>
    </row>
    <row r="8700" ht="12.75" customHeight="1">
      <c r="H8700" s="43" t="n"/>
      <c r="AG8700" s="49">
        <f>IFERROR(__xludf.DUMMYFUNCTION("IFNA(vlookup(H8700,IMPORTRANGE(""1vUGwO1n0QQGx9kKbO0_M5gmuhXZ6-LaxQxgrmJnzgP0"",""'TP# look up'!A:C""),3,0),"""")"),"")</f>
        <v/>
      </c>
      <c r="AH8700" s="49">
        <f>LEFT(J8700,2)</f>
        <v/>
      </c>
    </row>
    <row r="8701" ht="12.75" customHeight="1">
      <c r="H8701" s="43" t="n"/>
      <c r="AG8701" s="49">
        <f>IFERROR(__xludf.DUMMYFUNCTION("IFNA(vlookup(H8701,IMPORTRANGE(""1vUGwO1n0QQGx9kKbO0_M5gmuhXZ6-LaxQxgrmJnzgP0"",""'TP# look up'!A:C""),3,0),"""")"),"")</f>
        <v/>
      </c>
      <c r="AH8701" s="49">
        <f>LEFT(J8701,2)</f>
        <v/>
      </c>
    </row>
    <row r="8702" ht="12.75" customHeight="1">
      <c r="H8702" s="43" t="n"/>
      <c r="AG8702" s="49">
        <f>IFERROR(__xludf.DUMMYFUNCTION("IFNA(vlookup(H8702,IMPORTRANGE(""1vUGwO1n0QQGx9kKbO0_M5gmuhXZ6-LaxQxgrmJnzgP0"",""'TP# look up'!A:C""),3,0),"""")"),"")</f>
        <v/>
      </c>
      <c r="AH8702" s="49">
        <f>LEFT(J8702,2)</f>
        <v/>
      </c>
    </row>
    <row r="8703" ht="12.75" customHeight="1">
      <c r="H8703" s="43" t="n"/>
      <c r="AG8703" s="49">
        <f>IFERROR(__xludf.DUMMYFUNCTION("IFNA(vlookup(H8703,IMPORTRANGE(""1vUGwO1n0QQGx9kKbO0_M5gmuhXZ6-LaxQxgrmJnzgP0"",""'TP# look up'!A:C""),3,0),"""")"),"")</f>
        <v/>
      </c>
      <c r="AH8703" s="49">
        <f>LEFT(J8703,2)</f>
        <v/>
      </c>
    </row>
    <row r="8704" ht="12.75" customHeight="1">
      <c r="H8704" s="43" t="n"/>
      <c r="AG8704" s="49">
        <f>IFERROR(__xludf.DUMMYFUNCTION("IFNA(vlookup(H8704,IMPORTRANGE(""1vUGwO1n0QQGx9kKbO0_M5gmuhXZ6-LaxQxgrmJnzgP0"",""'TP# look up'!A:C""),3,0),"""")"),"")</f>
        <v/>
      </c>
      <c r="AH8704" s="49">
        <f>LEFT(J8704,2)</f>
        <v/>
      </c>
    </row>
    <row r="8705" ht="12.75" customHeight="1">
      <c r="H8705" s="43" t="n"/>
      <c r="AG8705" s="49">
        <f>IFERROR(__xludf.DUMMYFUNCTION("IFNA(vlookup(H8705,IMPORTRANGE(""1vUGwO1n0QQGx9kKbO0_M5gmuhXZ6-LaxQxgrmJnzgP0"",""'TP# look up'!A:C""),3,0),"""")"),"")</f>
        <v/>
      </c>
      <c r="AH8705" s="49">
        <f>LEFT(J8705,2)</f>
        <v/>
      </c>
    </row>
    <row r="8706" ht="12.75" customHeight="1">
      <c r="H8706" s="43" t="n"/>
      <c r="AG8706" s="49">
        <f>IFERROR(__xludf.DUMMYFUNCTION("IFNA(vlookup(H8706,IMPORTRANGE(""1vUGwO1n0QQGx9kKbO0_M5gmuhXZ6-LaxQxgrmJnzgP0"",""'TP# look up'!A:C""),3,0),"""")"),"")</f>
        <v/>
      </c>
      <c r="AH8706" s="49">
        <f>LEFT(J8706,2)</f>
        <v/>
      </c>
    </row>
    <row r="8707" ht="12.75" customHeight="1">
      <c r="H8707" s="43" t="n"/>
      <c r="AG8707" s="49">
        <f>IFERROR(__xludf.DUMMYFUNCTION("IFNA(vlookup(H8707,IMPORTRANGE(""1vUGwO1n0QQGx9kKbO0_M5gmuhXZ6-LaxQxgrmJnzgP0"",""'TP# look up'!A:C""),3,0),"""")"),"")</f>
        <v/>
      </c>
      <c r="AH8707" s="49">
        <f>LEFT(J8707,2)</f>
        <v/>
      </c>
    </row>
    <row r="8708" ht="12.75" customHeight="1">
      <c r="H8708" s="43" t="n"/>
      <c r="AG8708" s="49">
        <f>IFERROR(__xludf.DUMMYFUNCTION("IFNA(vlookup(H8708,IMPORTRANGE(""1vUGwO1n0QQGx9kKbO0_M5gmuhXZ6-LaxQxgrmJnzgP0"",""'TP# look up'!A:C""),3,0),"""")"),"")</f>
        <v/>
      </c>
      <c r="AH8708" s="49">
        <f>LEFT(J8708,2)</f>
        <v/>
      </c>
    </row>
    <row r="8709" ht="12.75" customHeight="1">
      <c r="H8709" s="43" t="n"/>
      <c r="AG8709" s="49">
        <f>IFERROR(__xludf.DUMMYFUNCTION("IFNA(vlookup(H8709,IMPORTRANGE(""1vUGwO1n0QQGx9kKbO0_M5gmuhXZ6-LaxQxgrmJnzgP0"",""'TP# look up'!A:C""),3,0),"""")"),"")</f>
        <v/>
      </c>
      <c r="AH8709" s="49">
        <f>LEFT(J8709,2)</f>
        <v/>
      </c>
    </row>
    <row r="8710" ht="12.75" customHeight="1">
      <c r="H8710" s="43" t="n"/>
      <c r="AG8710" s="49">
        <f>IFERROR(__xludf.DUMMYFUNCTION("IFNA(vlookup(H8710,IMPORTRANGE(""1vUGwO1n0QQGx9kKbO0_M5gmuhXZ6-LaxQxgrmJnzgP0"",""'TP# look up'!A:C""),3,0),"""")"),"")</f>
        <v/>
      </c>
      <c r="AH8710" s="49">
        <f>LEFT(J8710,2)</f>
        <v/>
      </c>
    </row>
    <row r="8711" ht="12.75" customHeight="1">
      <c r="H8711" s="43" t="n"/>
      <c r="AG8711" s="49">
        <f>IFERROR(__xludf.DUMMYFUNCTION("IFNA(vlookup(H8711,IMPORTRANGE(""1vUGwO1n0QQGx9kKbO0_M5gmuhXZ6-LaxQxgrmJnzgP0"",""'TP# look up'!A:C""),3,0),"""")"),"")</f>
        <v/>
      </c>
      <c r="AH8711" s="49">
        <f>LEFT(J8711,2)</f>
        <v/>
      </c>
    </row>
    <row r="8712" ht="12.75" customHeight="1">
      <c r="H8712" s="43" t="n"/>
      <c r="AG8712" s="49">
        <f>IFERROR(__xludf.DUMMYFUNCTION("IFNA(vlookup(H8712,IMPORTRANGE(""1vUGwO1n0QQGx9kKbO0_M5gmuhXZ6-LaxQxgrmJnzgP0"",""'TP# look up'!A:C""),3,0),"""")"),"")</f>
        <v/>
      </c>
      <c r="AH8712" s="49">
        <f>LEFT(J8712,2)</f>
        <v/>
      </c>
    </row>
    <row r="8713" ht="12.75" customHeight="1">
      <c r="H8713" s="43" t="n"/>
      <c r="AG8713" s="49">
        <f>IFERROR(__xludf.DUMMYFUNCTION("IFNA(vlookup(H8713,IMPORTRANGE(""1vUGwO1n0QQGx9kKbO0_M5gmuhXZ6-LaxQxgrmJnzgP0"",""'TP# look up'!A:C""),3,0),"""")"),"")</f>
        <v/>
      </c>
      <c r="AH8713" s="49">
        <f>LEFT(J8713,2)</f>
        <v/>
      </c>
    </row>
    <row r="8714" ht="12.75" customHeight="1">
      <c r="H8714" s="43" t="n"/>
      <c r="AG8714" s="49">
        <f>IFERROR(__xludf.DUMMYFUNCTION("IFNA(vlookup(H8714,IMPORTRANGE(""1vUGwO1n0QQGx9kKbO0_M5gmuhXZ6-LaxQxgrmJnzgP0"",""'TP# look up'!A:C""),3,0),"""")"),"")</f>
        <v/>
      </c>
      <c r="AH8714" s="49">
        <f>LEFT(J8714,2)</f>
        <v/>
      </c>
    </row>
    <row r="8715" ht="12.75" customHeight="1">
      <c r="H8715" s="43" t="n"/>
      <c r="AG8715" s="49">
        <f>IFERROR(__xludf.DUMMYFUNCTION("IFNA(vlookup(H8715,IMPORTRANGE(""1vUGwO1n0QQGx9kKbO0_M5gmuhXZ6-LaxQxgrmJnzgP0"",""'TP# look up'!A:C""),3,0),"""")"),"")</f>
        <v/>
      </c>
      <c r="AH8715" s="49">
        <f>LEFT(J8715,2)</f>
        <v/>
      </c>
    </row>
    <row r="8716" ht="12.75" customHeight="1">
      <c r="H8716" s="43" t="n"/>
      <c r="AG8716" s="49">
        <f>IFERROR(__xludf.DUMMYFUNCTION("IFNA(vlookup(H8716,IMPORTRANGE(""1vUGwO1n0QQGx9kKbO0_M5gmuhXZ6-LaxQxgrmJnzgP0"",""'TP# look up'!A:C""),3,0),"""")"),"")</f>
        <v/>
      </c>
      <c r="AH8716" s="49">
        <f>LEFT(J8716,2)</f>
        <v/>
      </c>
    </row>
    <row r="8717" ht="12.75" customHeight="1">
      <c r="H8717" s="43" t="n"/>
      <c r="AG8717" s="49">
        <f>IFERROR(__xludf.DUMMYFUNCTION("IFNA(vlookup(H8717,IMPORTRANGE(""1vUGwO1n0QQGx9kKbO0_M5gmuhXZ6-LaxQxgrmJnzgP0"",""'TP# look up'!A:C""),3,0),"""")"),"")</f>
        <v/>
      </c>
      <c r="AH8717" s="49">
        <f>LEFT(J8717,2)</f>
        <v/>
      </c>
    </row>
    <row r="8718" ht="12.75" customHeight="1">
      <c r="H8718" s="43" t="n"/>
      <c r="AG8718" s="49">
        <f>IFERROR(__xludf.DUMMYFUNCTION("IFNA(vlookup(H8718,IMPORTRANGE(""1vUGwO1n0QQGx9kKbO0_M5gmuhXZ6-LaxQxgrmJnzgP0"",""'TP# look up'!A:C""),3,0),"""")"),"")</f>
        <v/>
      </c>
      <c r="AH8718" s="49">
        <f>LEFT(J8718,2)</f>
        <v/>
      </c>
    </row>
    <row r="8719" ht="12.75" customHeight="1">
      <c r="H8719" s="43" t="n"/>
      <c r="AG8719" s="49">
        <f>IFERROR(__xludf.DUMMYFUNCTION("IFNA(vlookup(H8719,IMPORTRANGE(""1vUGwO1n0QQGx9kKbO0_M5gmuhXZ6-LaxQxgrmJnzgP0"",""'TP# look up'!A:C""),3,0),"""")"),"")</f>
        <v/>
      </c>
      <c r="AH8719" s="49">
        <f>LEFT(J8719,2)</f>
        <v/>
      </c>
    </row>
    <row r="8720" ht="12.75" customHeight="1">
      <c r="H8720" s="43" t="n"/>
      <c r="AG8720" s="49">
        <f>IFERROR(__xludf.DUMMYFUNCTION("IFNA(vlookup(H8720,IMPORTRANGE(""1vUGwO1n0QQGx9kKbO0_M5gmuhXZ6-LaxQxgrmJnzgP0"",""'TP# look up'!A:C""),3,0),"""")"),"")</f>
        <v/>
      </c>
      <c r="AH8720" s="49">
        <f>LEFT(J8720,2)</f>
        <v/>
      </c>
    </row>
    <row r="8721" ht="12.75" customHeight="1">
      <c r="H8721" s="43" t="n"/>
      <c r="AG8721" s="49">
        <f>IFERROR(__xludf.DUMMYFUNCTION("IFNA(vlookup(H8721,IMPORTRANGE(""1vUGwO1n0QQGx9kKbO0_M5gmuhXZ6-LaxQxgrmJnzgP0"",""'TP# look up'!A:C""),3,0),"""")"),"")</f>
        <v/>
      </c>
      <c r="AH8721" s="49">
        <f>LEFT(J8721,2)</f>
        <v/>
      </c>
    </row>
    <row r="8722" ht="12.75" customHeight="1">
      <c r="H8722" s="43" t="n"/>
      <c r="AG8722" s="49">
        <f>IFERROR(__xludf.DUMMYFUNCTION("IFNA(vlookup(H8722,IMPORTRANGE(""1vUGwO1n0QQGx9kKbO0_M5gmuhXZ6-LaxQxgrmJnzgP0"",""'TP# look up'!A:C""),3,0),"""")"),"")</f>
        <v/>
      </c>
      <c r="AH8722" s="49">
        <f>LEFT(J8722,2)</f>
        <v/>
      </c>
    </row>
    <row r="8723" ht="12.75" customHeight="1">
      <c r="H8723" s="43" t="n"/>
      <c r="AG8723" s="49">
        <f>IFERROR(__xludf.DUMMYFUNCTION("IFNA(vlookup(H8723,IMPORTRANGE(""1vUGwO1n0QQGx9kKbO0_M5gmuhXZ6-LaxQxgrmJnzgP0"",""'TP# look up'!A:C""),3,0),"""")"),"")</f>
        <v/>
      </c>
      <c r="AH8723" s="49">
        <f>LEFT(J8723,2)</f>
        <v/>
      </c>
    </row>
    <row r="8724" ht="12.75" customHeight="1">
      <c r="H8724" s="43" t="n"/>
      <c r="AG8724" s="49">
        <f>IFERROR(__xludf.DUMMYFUNCTION("IFNA(vlookup(H8724,IMPORTRANGE(""1vUGwO1n0QQGx9kKbO0_M5gmuhXZ6-LaxQxgrmJnzgP0"",""'TP# look up'!A:C""),3,0),"""")"),"")</f>
        <v/>
      </c>
      <c r="AH8724" s="49">
        <f>LEFT(J8724,2)</f>
        <v/>
      </c>
    </row>
    <row r="8725" ht="12.75" customHeight="1">
      <c r="H8725" s="43" t="n"/>
      <c r="AG8725" s="49">
        <f>IFERROR(__xludf.DUMMYFUNCTION("IFNA(vlookup(H8725,IMPORTRANGE(""1vUGwO1n0QQGx9kKbO0_M5gmuhXZ6-LaxQxgrmJnzgP0"",""'TP# look up'!A:C""),3,0),"""")"),"")</f>
        <v/>
      </c>
      <c r="AH8725" s="49">
        <f>LEFT(J8725,2)</f>
        <v/>
      </c>
    </row>
    <row r="8726" ht="12.75" customHeight="1">
      <c r="H8726" s="43" t="n"/>
      <c r="AG8726" s="49">
        <f>IFERROR(__xludf.DUMMYFUNCTION("IFNA(vlookup(H8726,IMPORTRANGE(""1vUGwO1n0QQGx9kKbO0_M5gmuhXZ6-LaxQxgrmJnzgP0"",""'TP# look up'!A:C""),3,0),"""")"),"")</f>
        <v/>
      </c>
      <c r="AH8726" s="49">
        <f>LEFT(J8726,2)</f>
        <v/>
      </c>
    </row>
    <row r="8727" ht="12.75" customHeight="1">
      <c r="H8727" s="43" t="n"/>
      <c r="AG8727" s="49">
        <f>IFERROR(__xludf.DUMMYFUNCTION("IFNA(vlookup(H8727,IMPORTRANGE(""1vUGwO1n0QQGx9kKbO0_M5gmuhXZ6-LaxQxgrmJnzgP0"",""'TP# look up'!A:C""),3,0),"""")"),"")</f>
        <v/>
      </c>
      <c r="AH8727" s="49">
        <f>LEFT(J8727,2)</f>
        <v/>
      </c>
    </row>
    <row r="8728" ht="12.75" customHeight="1">
      <c r="H8728" s="43" t="n"/>
      <c r="AG8728" s="49">
        <f>IFERROR(__xludf.DUMMYFUNCTION("IFNA(vlookup(H8728,IMPORTRANGE(""1vUGwO1n0QQGx9kKbO0_M5gmuhXZ6-LaxQxgrmJnzgP0"",""'TP# look up'!A:C""),3,0),"""")"),"")</f>
        <v/>
      </c>
      <c r="AH8728" s="49">
        <f>LEFT(J8728,2)</f>
        <v/>
      </c>
    </row>
    <row r="8729" ht="12.75" customHeight="1">
      <c r="H8729" s="43" t="n"/>
      <c r="AG8729" s="49">
        <f>IFERROR(__xludf.DUMMYFUNCTION("IFNA(vlookup(H8729,IMPORTRANGE(""1vUGwO1n0QQGx9kKbO0_M5gmuhXZ6-LaxQxgrmJnzgP0"",""'TP# look up'!A:C""),3,0),"""")"),"")</f>
        <v/>
      </c>
      <c r="AH8729" s="49">
        <f>LEFT(J8729,2)</f>
        <v/>
      </c>
    </row>
    <row r="8730" ht="12.75" customHeight="1">
      <c r="H8730" s="43" t="n"/>
      <c r="AG8730" s="49">
        <f>IFERROR(__xludf.DUMMYFUNCTION("IFNA(vlookup(H8730,IMPORTRANGE(""1vUGwO1n0QQGx9kKbO0_M5gmuhXZ6-LaxQxgrmJnzgP0"",""'TP# look up'!A:C""),3,0),"""")"),"")</f>
        <v/>
      </c>
      <c r="AH8730" s="49">
        <f>LEFT(J8730,2)</f>
        <v/>
      </c>
    </row>
    <row r="8731" ht="12.75" customHeight="1">
      <c r="H8731" s="43" t="n"/>
      <c r="AG8731" s="49">
        <f>IFERROR(__xludf.DUMMYFUNCTION("IFNA(vlookup(H8731,IMPORTRANGE(""1vUGwO1n0QQGx9kKbO0_M5gmuhXZ6-LaxQxgrmJnzgP0"",""'TP# look up'!A:C""),3,0),"""")"),"")</f>
        <v/>
      </c>
      <c r="AH8731" s="49">
        <f>LEFT(J8731,2)</f>
        <v/>
      </c>
    </row>
    <row r="8732" ht="12.75" customHeight="1">
      <c r="H8732" s="43" t="n"/>
      <c r="AG8732" s="49">
        <f>IFERROR(__xludf.DUMMYFUNCTION("IFNA(vlookup(H8732,IMPORTRANGE(""1vUGwO1n0QQGx9kKbO0_M5gmuhXZ6-LaxQxgrmJnzgP0"",""'TP# look up'!A:C""),3,0),"""")"),"")</f>
        <v/>
      </c>
      <c r="AH8732" s="49">
        <f>LEFT(J8732,2)</f>
        <v/>
      </c>
    </row>
    <row r="8733" ht="12.75" customHeight="1">
      <c r="H8733" s="43" t="n"/>
      <c r="AG8733" s="49">
        <f>IFERROR(__xludf.DUMMYFUNCTION("IFNA(vlookup(H8733,IMPORTRANGE(""1vUGwO1n0QQGx9kKbO0_M5gmuhXZ6-LaxQxgrmJnzgP0"",""'TP# look up'!A:C""),3,0),"""")"),"")</f>
        <v/>
      </c>
      <c r="AH8733" s="49">
        <f>LEFT(J8733,2)</f>
        <v/>
      </c>
    </row>
    <row r="8734" ht="12.75" customHeight="1">
      <c r="H8734" s="43" t="n"/>
      <c r="AG8734" s="49">
        <f>IFERROR(__xludf.DUMMYFUNCTION("IFNA(vlookup(H8734,IMPORTRANGE(""1vUGwO1n0QQGx9kKbO0_M5gmuhXZ6-LaxQxgrmJnzgP0"",""'TP# look up'!A:C""),3,0),"""")"),"")</f>
        <v/>
      </c>
      <c r="AH8734" s="49">
        <f>LEFT(J8734,2)</f>
        <v/>
      </c>
    </row>
    <row r="8735" ht="12.75" customHeight="1">
      <c r="H8735" s="43" t="n"/>
      <c r="AG8735" s="49">
        <f>IFERROR(__xludf.DUMMYFUNCTION("IFNA(vlookup(H8735,IMPORTRANGE(""1vUGwO1n0QQGx9kKbO0_M5gmuhXZ6-LaxQxgrmJnzgP0"",""'TP# look up'!A:C""),3,0),"""")"),"")</f>
        <v/>
      </c>
      <c r="AH8735" s="49">
        <f>LEFT(J8735,2)</f>
        <v/>
      </c>
    </row>
    <row r="8736" ht="12.75" customHeight="1">
      <c r="H8736" s="43" t="n"/>
      <c r="AG8736" s="49">
        <f>IFERROR(__xludf.DUMMYFUNCTION("IFNA(vlookup(H8736,IMPORTRANGE(""1vUGwO1n0QQGx9kKbO0_M5gmuhXZ6-LaxQxgrmJnzgP0"",""'TP# look up'!A:C""),3,0),"""")"),"")</f>
        <v/>
      </c>
      <c r="AH8736" s="49">
        <f>LEFT(J8736,2)</f>
        <v/>
      </c>
    </row>
    <row r="8737" ht="12.75" customHeight="1">
      <c r="H8737" s="43" t="n"/>
      <c r="AG8737" s="49">
        <f>IFERROR(__xludf.DUMMYFUNCTION("IFNA(vlookup(H8737,IMPORTRANGE(""1vUGwO1n0QQGx9kKbO0_M5gmuhXZ6-LaxQxgrmJnzgP0"",""'TP# look up'!A:C""),3,0),"""")"),"")</f>
        <v/>
      </c>
      <c r="AH8737" s="49">
        <f>LEFT(J8737,2)</f>
        <v/>
      </c>
    </row>
    <row r="8738" ht="12.75" customHeight="1">
      <c r="H8738" s="43" t="n"/>
      <c r="AG8738" s="49">
        <f>IFERROR(__xludf.DUMMYFUNCTION("IFNA(vlookup(H8738,IMPORTRANGE(""1vUGwO1n0QQGx9kKbO0_M5gmuhXZ6-LaxQxgrmJnzgP0"",""'TP# look up'!A:C""),3,0),"""")"),"")</f>
        <v/>
      </c>
      <c r="AH8738" s="49">
        <f>LEFT(J8738,2)</f>
        <v/>
      </c>
    </row>
    <row r="8739" ht="12.75" customHeight="1">
      <c r="H8739" s="43" t="n"/>
      <c r="AG8739" s="49">
        <f>IFERROR(__xludf.DUMMYFUNCTION("IFNA(vlookup(H8739,IMPORTRANGE(""1vUGwO1n0QQGx9kKbO0_M5gmuhXZ6-LaxQxgrmJnzgP0"",""'TP# look up'!A:C""),3,0),"""")"),"")</f>
        <v/>
      </c>
      <c r="AH8739" s="49">
        <f>LEFT(J8739,2)</f>
        <v/>
      </c>
    </row>
    <row r="8740" ht="12.75" customHeight="1">
      <c r="H8740" s="43" t="n"/>
      <c r="AG8740" s="49">
        <f>IFERROR(__xludf.DUMMYFUNCTION("IFNA(vlookup(H8740,IMPORTRANGE(""1vUGwO1n0QQGx9kKbO0_M5gmuhXZ6-LaxQxgrmJnzgP0"",""'TP# look up'!A:C""),3,0),"""")"),"")</f>
        <v/>
      </c>
      <c r="AH8740" s="49">
        <f>LEFT(J8740,2)</f>
        <v/>
      </c>
    </row>
    <row r="8741" ht="12.75" customHeight="1">
      <c r="H8741" s="43" t="n"/>
      <c r="AG8741" s="49">
        <f>IFERROR(__xludf.DUMMYFUNCTION("IFNA(vlookup(H8741,IMPORTRANGE(""1vUGwO1n0QQGx9kKbO0_M5gmuhXZ6-LaxQxgrmJnzgP0"",""'TP# look up'!A:C""),3,0),"""")"),"")</f>
        <v/>
      </c>
      <c r="AH8741" s="49">
        <f>LEFT(J8741,2)</f>
        <v/>
      </c>
    </row>
    <row r="8742" ht="12.75" customHeight="1">
      <c r="H8742" s="43" t="n"/>
      <c r="AG8742" s="49">
        <f>IFERROR(__xludf.DUMMYFUNCTION("IFNA(vlookup(H8742,IMPORTRANGE(""1vUGwO1n0QQGx9kKbO0_M5gmuhXZ6-LaxQxgrmJnzgP0"",""'TP# look up'!A:C""),3,0),"""")"),"")</f>
        <v/>
      </c>
      <c r="AH8742" s="49">
        <f>LEFT(J8742,2)</f>
        <v/>
      </c>
    </row>
    <row r="8743" ht="12.75" customHeight="1">
      <c r="H8743" s="43" t="n"/>
      <c r="AG8743" s="49">
        <f>IFERROR(__xludf.DUMMYFUNCTION("IFNA(vlookup(H8743,IMPORTRANGE(""1vUGwO1n0QQGx9kKbO0_M5gmuhXZ6-LaxQxgrmJnzgP0"",""'TP# look up'!A:C""),3,0),"""")"),"")</f>
        <v/>
      </c>
      <c r="AH8743" s="49">
        <f>LEFT(J8743,2)</f>
        <v/>
      </c>
    </row>
    <row r="8744" ht="12.75" customHeight="1">
      <c r="H8744" s="43" t="n"/>
      <c r="AG8744" s="49">
        <f>IFERROR(__xludf.DUMMYFUNCTION("IFNA(vlookup(H8744,IMPORTRANGE(""1vUGwO1n0QQGx9kKbO0_M5gmuhXZ6-LaxQxgrmJnzgP0"",""'TP# look up'!A:C""),3,0),"""")"),"")</f>
        <v/>
      </c>
      <c r="AH8744" s="49">
        <f>LEFT(J8744,2)</f>
        <v/>
      </c>
    </row>
    <row r="8745" ht="12.75" customHeight="1">
      <c r="H8745" s="43" t="n"/>
      <c r="AG8745" s="49">
        <f>IFERROR(__xludf.DUMMYFUNCTION("IFNA(vlookup(H8745,IMPORTRANGE(""1vUGwO1n0QQGx9kKbO0_M5gmuhXZ6-LaxQxgrmJnzgP0"",""'TP# look up'!A:C""),3,0),"""")"),"")</f>
        <v/>
      </c>
      <c r="AH8745" s="49">
        <f>LEFT(J8745,2)</f>
        <v/>
      </c>
    </row>
    <row r="8746" ht="12.75" customHeight="1">
      <c r="H8746" s="43" t="n"/>
      <c r="AG8746" s="49">
        <f>IFERROR(__xludf.DUMMYFUNCTION("IFNA(vlookup(H8746,IMPORTRANGE(""1vUGwO1n0QQGx9kKbO0_M5gmuhXZ6-LaxQxgrmJnzgP0"",""'TP# look up'!A:C""),3,0),"""")"),"")</f>
        <v/>
      </c>
      <c r="AH8746" s="49">
        <f>LEFT(J8746,2)</f>
        <v/>
      </c>
    </row>
    <row r="8747" ht="12.75" customHeight="1">
      <c r="H8747" s="43" t="n"/>
      <c r="AG8747" s="49">
        <f>IFERROR(__xludf.DUMMYFUNCTION("IFNA(vlookup(H8747,IMPORTRANGE(""1vUGwO1n0QQGx9kKbO0_M5gmuhXZ6-LaxQxgrmJnzgP0"",""'TP# look up'!A:C""),3,0),"""")"),"")</f>
        <v/>
      </c>
      <c r="AH8747" s="49">
        <f>LEFT(J8747,2)</f>
        <v/>
      </c>
    </row>
    <row r="8748" ht="12.75" customHeight="1">
      <c r="H8748" s="43" t="n"/>
      <c r="AG8748" s="49">
        <f>IFERROR(__xludf.DUMMYFUNCTION("IFNA(vlookup(H8748,IMPORTRANGE(""1vUGwO1n0QQGx9kKbO0_M5gmuhXZ6-LaxQxgrmJnzgP0"",""'TP# look up'!A:C""),3,0),"""")"),"")</f>
        <v/>
      </c>
      <c r="AH8748" s="49">
        <f>LEFT(J8748,2)</f>
        <v/>
      </c>
    </row>
    <row r="8749" ht="12.75" customHeight="1">
      <c r="H8749" s="43" t="n"/>
      <c r="AG8749" s="49">
        <f>IFERROR(__xludf.DUMMYFUNCTION("IFNA(vlookup(H8749,IMPORTRANGE(""1vUGwO1n0QQGx9kKbO0_M5gmuhXZ6-LaxQxgrmJnzgP0"",""'TP# look up'!A:C""),3,0),"""")"),"")</f>
        <v/>
      </c>
      <c r="AH8749" s="49">
        <f>LEFT(J8749,2)</f>
        <v/>
      </c>
    </row>
    <row r="8750" ht="12.75" customHeight="1">
      <c r="H8750" s="43" t="n"/>
      <c r="AG8750" s="49">
        <f>IFERROR(__xludf.DUMMYFUNCTION("IFNA(vlookup(H8750,IMPORTRANGE(""1vUGwO1n0QQGx9kKbO0_M5gmuhXZ6-LaxQxgrmJnzgP0"",""'TP# look up'!A:C""),3,0),"""")"),"")</f>
        <v/>
      </c>
      <c r="AH8750" s="49">
        <f>LEFT(J8750,2)</f>
        <v/>
      </c>
    </row>
    <row r="8751" ht="12.75" customHeight="1">
      <c r="H8751" s="43" t="n"/>
      <c r="AG8751" s="49">
        <f>IFERROR(__xludf.DUMMYFUNCTION("IFNA(vlookup(H8751,IMPORTRANGE(""1vUGwO1n0QQGx9kKbO0_M5gmuhXZ6-LaxQxgrmJnzgP0"",""'TP# look up'!A:C""),3,0),"""")"),"")</f>
        <v/>
      </c>
      <c r="AH8751" s="49">
        <f>LEFT(J8751,2)</f>
        <v/>
      </c>
    </row>
    <row r="8752" ht="12.75" customHeight="1">
      <c r="H8752" s="43" t="n"/>
      <c r="AG8752" s="49">
        <f>IFERROR(__xludf.DUMMYFUNCTION("IFNA(vlookup(H8752,IMPORTRANGE(""1vUGwO1n0QQGx9kKbO0_M5gmuhXZ6-LaxQxgrmJnzgP0"",""'TP# look up'!A:C""),3,0),"""")"),"")</f>
        <v/>
      </c>
      <c r="AH8752" s="49">
        <f>LEFT(J8752,2)</f>
        <v/>
      </c>
    </row>
    <row r="8753" ht="12.75" customHeight="1">
      <c r="H8753" s="43" t="n"/>
      <c r="AG8753" s="49">
        <f>IFERROR(__xludf.DUMMYFUNCTION("IFNA(vlookup(H8753,IMPORTRANGE(""1vUGwO1n0QQGx9kKbO0_M5gmuhXZ6-LaxQxgrmJnzgP0"",""'TP# look up'!A:C""),3,0),"""")"),"")</f>
        <v/>
      </c>
      <c r="AH8753" s="49">
        <f>LEFT(J8753,2)</f>
        <v/>
      </c>
    </row>
    <row r="8754" ht="12.75" customHeight="1">
      <c r="H8754" s="43" t="n"/>
      <c r="AG8754" s="49">
        <f>IFERROR(__xludf.DUMMYFUNCTION("IFNA(vlookup(H8754,IMPORTRANGE(""1vUGwO1n0QQGx9kKbO0_M5gmuhXZ6-LaxQxgrmJnzgP0"",""'TP# look up'!A:C""),3,0),"""")"),"")</f>
        <v/>
      </c>
      <c r="AH8754" s="49">
        <f>LEFT(J8754,2)</f>
        <v/>
      </c>
    </row>
    <row r="8755" ht="12.75" customHeight="1">
      <c r="H8755" s="43" t="n"/>
      <c r="AG8755" s="49">
        <f>IFERROR(__xludf.DUMMYFUNCTION("IFNA(vlookup(H8755,IMPORTRANGE(""1vUGwO1n0QQGx9kKbO0_M5gmuhXZ6-LaxQxgrmJnzgP0"",""'TP# look up'!A:C""),3,0),"""")"),"")</f>
        <v/>
      </c>
      <c r="AH8755" s="49">
        <f>LEFT(J8755,2)</f>
        <v/>
      </c>
    </row>
    <row r="8756" ht="12.75" customHeight="1">
      <c r="H8756" s="43" t="n"/>
      <c r="AG8756" s="49">
        <f>IFERROR(__xludf.DUMMYFUNCTION("IFNA(vlookup(H8756,IMPORTRANGE(""1vUGwO1n0QQGx9kKbO0_M5gmuhXZ6-LaxQxgrmJnzgP0"",""'TP# look up'!A:C""),3,0),"""")"),"")</f>
        <v/>
      </c>
      <c r="AH8756" s="49">
        <f>LEFT(J8756,2)</f>
        <v/>
      </c>
    </row>
    <row r="8757" ht="12.75" customHeight="1">
      <c r="H8757" s="43" t="n"/>
      <c r="AG8757" s="49">
        <f>IFERROR(__xludf.DUMMYFUNCTION("IFNA(vlookup(H8757,IMPORTRANGE(""1vUGwO1n0QQGx9kKbO0_M5gmuhXZ6-LaxQxgrmJnzgP0"",""'TP# look up'!A:C""),3,0),"""")"),"")</f>
        <v/>
      </c>
      <c r="AH8757" s="49">
        <f>LEFT(J8757,2)</f>
        <v/>
      </c>
    </row>
    <row r="8758" ht="12.75" customHeight="1">
      <c r="H8758" s="43" t="n"/>
      <c r="AG8758" s="49">
        <f>IFERROR(__xludf.DUMMYFUNCTION("IFNA(vlookup(H8758,IMPORTRANGE(""1vUGwO1n0QQGx9kKbO0_M5gmuhXZ6-LaxQxgrmJnzgP0"",""'TP# look up'!A:C""),3,0),"""")"),"")</f>
        <v/>
      </c>
      <c r="AH8758" s="49">
        <f>LEFT(J8758,2)</f>
        <v/>
      </c>
    </row>
    <row r="8759" ht="12.75" customHeight="1">
      <c r="H8759" s="43" t="n"/>
      <c r="AG8759" s="49">
        <f>IFERROR(__xludf.DUMMYFUNCTION("IFNA(vlookup(H8759,IMPORTRANGE(""1vUGwO1n0QQGx9kKbO0_M5gmuhXZ6-LaxQxgrmJnzgP0"",""'TP# look up'!A:C""),3,0),"""")"),"")</f>
        <v/>
      </c>
      <c r="AH8759" s="49">
        <f>LEFT(J8759,2)</f>
        <v/>
      </c>
    </row>
    <row r="8760" ht="12.75" customHeight="1">
      <c r="H8760" s="43" t="n"/>
      <c r="AG8760" s="49">
        <f>IFERROR(__xludf.DUMMYFUNCTION("IFNA(vlookup(H8760,IMPORTRANGE(""1vUGwO1n0QQGx9kKbO0_M5gmuhXZ6-LaxQxgrmJnzgP0"",""'TP# look up'!A:C""),3,0),"""")"),"")</f>
        <v/>
      </c>
      <c r="AH8760" s="49">
        <f>LEFT(J8760,2)</f>
        <v/>
      </c>
    </row>
    <row r="8761" ht="12.75" customHeight="1">
      <c r="H8761" s="43" t="n"/>
      <c r="AG8761" s="49">
        <f>IFERROR(__xludf.DUMMYFUNCTION("IFNA(vlookup(H8761,IMPORTRANGE(""1vUGwO1n0QQGx9kKbO0_M5gmuhXZ6-LaxQxgrmJnzgP0"",""'TP# look up'!A:C""),3,0),"""")"),"")</f>
        <v/>
      </c>
      <c r="AH8761" s="49">
        <f>LEFT(J8761,2)</f>
        <v/>
      </c>
    </row>
    <row r="8762" ht="12.75" customHeight="1">
      <c r="H8762" s="43" t="n"/>
      <c r="AG8762" s="49">
        <f>IFERROR(__xludf.DUMMYFUNCTION("IFNA(vlookup(H8762,IMPORTRANGE(""1vUGwO1n0QQGx9kKbO0_M5gmuhXZ6-LaxQxgrmJnzgP0"",""'TP# look up'!A:C""),3,0),"""")"),"")</f>
        <v/>
      </c>
      <c r="AH8762" s="49">
        <f>LEFT(J8762,2)</f>
        <v/>
      </c>
    </row>
    <row r="8763" ht="12.75" customHeight="1">
      <c r="H8763" s="43" t="n"/>
      <c r="AG8763" s="49">
        <f>IFERROR(__xludf.DUMMYFUNCTION("IFNA(vlookup(H8763,IMPORTRANGE(""1vUGwO1n0QQGx9kKbO0_M5gmuhXZ6-LaxQxgrmJnzgP0"",""'TP# look up'!A:C""),3,0),"""")"),"")</f>
        <v/>
      </c>
      <c r="AH8763" s="49">
        <f>LEFT(J8763,2)</f>
        <v/>
      </c>
    </row>
    <row r="8764" ht="12.75" customHeight="1">
      <c r="H8764" s="43" t="n"/>
      <c r="AG8764" s="49">
        <f>IFERROR(__xludf.DUMMYFUNCTION("IFNA(vlookup(H8764,IMPORTRANGE(""1vUGwO1n0QQGx9kKbO0_M5gmuhXZ6-LaxQxgrmJnzgP0"",""'TP# look up'!A:C""),3,0),"""")"),"")</f>
        <v/>
      </c>
      <c r="AH8764" s="49">
        <f>LEFT(J8764,2)</f>
        <v/>
      </c>
    </row>
    <row r="8765" ht="12.75" customHeight="1">
      <c r="H8765" s="43" t="n"/>
      <c r="AG8765" s="49">
        <f>IFERROR(__xludf.DUMMYFUNCTION("IFNA(vlookup(H8765,IMPORTRANGE(""1vUGwO1n0QQGx9kKbO0_M5gmuhXZ6-LaxQxgrmJnzgP0"",""'TP# look up'!A:C""),3,0),"""")"),"")</f>
        <v/>
      </c>
      <c r="AH8765" s="49">
        <f>LEFT(J8765,2)</f>
        <v/>
      </c>
    </row>
    <row r="8766" ht="12.75" customHeight="1">
      <c r="H8766" s="43" t="n"/>
      <c r="AG8766" s="49">
        <f>IFERROR(__xludf.DUMMYFUNCTION("IFNA(vlookup(H8766,IMPORTRANGE(""1vUGwO1n0QQGx9kKbO0_M5gmuhXZ6-LaxQxgrmJnzgP0"",""'TP# look up'!A:C""),3,0),"""")"),"")</f>
        <v/>
      </c>
      <c r="AH8766" s="49">
        <f>LEFT(J8766,2)</f>
        <v/>
      </c>
    </row>
    <row r="8767" ht="12.75" customHeight="1">
      <c r="H8767" s="43" t="n"/>
      <c r="AG8767" s="49">
        <f>IFERROR(__xludf.DUMMYFUNCTION("IFNA(vlookup(H8767,IMPORTRANGE(""1vUGwO1n0QQGx9kKbO0_M5gmuhXZ6-LaxQxgrmJnzgP0"",""'TP# look up'!A:C""),3,0),"""")"),"")</f>
        <v/>
      </c>
      <c r="AH8767" s="49">
        <f>LEFT(J8767,2)</f>
        <v/>
      </c>
    </row>
    <row r="8768" ht="12.75" customHeight="1">
      <c r="H8768" s="43" t="n"/>
      <c r="AG8768" s="49">
        <f>IFERROR(__xludf.DUMMYFUNCTION("IFNA(vlookup(H8768,IMPORTRANGE(""1vUGwO1n0QQGx9kKbO0_M5gmuhXZ6-LaxQxgrmJnzgP0"",""'TP# look up'!A:C""),3,0),"""")"),"")</f>
        <v/>
      </c>
      <c r="AH8768" s="49">
        <f>LEFT(J8768,2)</f>
        <v/>
      </c>
    </row>
    <row r="8769" ht="12.75" customHeight="1">
      <c r="H8769" s="43" t="n"/>
      <c r="AG8769" s="49">
        <f>IFERROR(__xludf.DUMMYFUNCTION("IFNA(vlookup(H8769,IMPORTRANGE(""1vUGwO1n0QQGx9kKbO0_M5gmuhXZ6-LaxQxgrmJnzgP0"",""'TP# look up'!A:C""),3,0),"""")"),"")</f>
        <v/>
      </c>
      <c r="AH8769" s="49">
        <f>LEFT(J8769,2)</f>
        <v/>
      </c>
    </row>
    <row r="8770" ht="12.75" customHeight="1">
      <c r="H8770" s="43" t="n"/>
      <c r="AG8770" s="49">
        <f>IFERROR(__xludf.DUMMYFUNCTION("IFNA(vlookup(H8770,IMPORTRANGE(""1vUGwO1n0QQGx9kKbO0_M5gmuhXZ6-LaxQxgrmJnzgP0"",""'TP# look up'!A:C""),3,0),"""")"),"")</f>
        <v/>
      </c>
      <c r="AH8770" s="49">
        <f>LEFT(J8770,2)</f>
        <v/>
      </c>
    </row>
    <row r="8771" ht="12.75" customHeight="1">
      <c r="H8771" s="43" t="n"/>
      <c r="AG8771" s="49">
        <f>IFERROR(__xludf.DUMMYFUNCTION("IFNA(vlookup(H8771,IMPORTRANGE(""1vUGwO1n0QQGx9kKbO0_M5gmuhXZ6-LaxQxgrmJnzgP0"",""'TP# look up'!A:C""),3,0),"""")"),"")</f>
        <v/>
      </c>
      <c r="AH8771" s="49">
        <f>LEFT(J8771,2)</f>
        <v/>
      </c>
    </row>
    <row r="8772" ht="12.75" customHeight="1">
      <c r="H8772" s="43" t="n"/>
      <c r="AG8772" s="49">
        <f>IFERROR(__xludf.DUMMYFUNCTION("IFNA(vlookup(H8772,IMPORTRANGE(""1vUGwO1n0QQGx9kKbO0_M5gmuhXZ6-LaxQxgrmJnzgP0"",""'TP# look up'!A:C""),3,0),"""")"),"")</f>
        <v/>
      </c>
      <c r="AH8772" s="49">
        <f>LEFT(J8772,2)</f>
        <v/>
      </c>
    </row>
    <row r="8773" ht="12.75" customHeight="1">
      <c r="H8773" s="43" t="n"/>
      <c r="AG8773" s="49">
        <f>IFERROR(__xludf.DUMMYFUNCTION("IFNA(vlookup(H8773,IMPORTRANGE(""1vUGwO1n0QQGx9kKbO0_M5gmuhXZ6-LaxQxgrmJnzgP0"",""'TP# look up'!A:C""),3,0),"""")"),"")</f>
        <v/>
      </c>
      <c r="AH8773" s="49">
        <f>LEFT(J8773,2)</f>
        <v/>
      </c>
    </row>
    <row r="8774" ht="12.75" customHeight="1">
      <c r="H8774" s="43" t="n"/>
      <c r="AG8774" s="49">
        <f>IFERROR(__xludf.DUMMYFUNCTION("IFNA(vlookup(H8774,IMPORTRANGE(""1vUGwO1n0QQGx9kKbO0_M5gmuhXZ6-LaxQxgrmJnzgP0"",""'TP# look up'!A:C""),3,0),"""")"),"")</f>
        <v/>
      </c>
      <c r="AH8774" s="49">
        <f>LEFT(J8774,2)</f>
        <v/>
      </c>
    </row>
    <row r="8775" ht="12.75" customHeight="1">
      <c r="H8775" s="43" t="n"/>
      <c r="AG8775" s="49">
        <f>IFERROR(__xludf.DUMMYFUNCTION("IFNA(vlookup(H8775,IMPORTRANGE(""1vUGwO1n0QQGx9kKbO0_M5gmuhXZ6-LaxQxgrmJnzgP0"",""'TP# look up'!A:C""),3,0),"""")"),"")</f>
        <v/>
      </c>
      <c r="AH8775" s="49">
        <f>LEFT(J8775,2)</f>
        <v/>
      </c>
    </row>
    <row r="8776" ht="12.75" customHeight="1">
      <c r="H8776" s="43" t="n"/>
      <c r="AG8776" s="49">
        <f>IFERROR(__xludf.DUMMYFUNCTION("IFNA(vlookup(H8776,IMPORTRANGE(""1vUGwO1n0QQGx9kKbO0_M5gmuhXZ6-LaxQxgrmJnzgP0"",""'TP# look up'!A:C""),3,0),"""")"),"")</f>
        <v/>
      </c>
      <c r="AH8776" s="49">
        <f>LEFT(J8776,2)</f>
        <v/>
      </c>
    </row>
    <row r="8777" ht="12.75" customHeight="1">
      <c r="H8777" s="43" t="n"/>
      <c r="AG8777" s="49">
        <f>IFERROR(__xludf.DUMMYFUNCTION("IFNA(vlookup(H8777,IMPORTRANGE(""1vUGwO1n0QQGx9kKbO0_M5gmuhXZ6-LaxQxgrmJnzgP0"",""'TP# look up'!A:C""),3,0),"""")"),"")</f>
        <v/>
      </c>
      <c r="AH8777" s="49">
        <f>LEFT(J8777,2)</f>
        <v/>
      </c>
    </row>
    <row r="8778" ht="12.75" customHeight="1">
      <c r="H8778" s="43" t="n"/>
      <c r="AG8778" s="49">
        <f>IFERROR(__xludf.DUMMYFUNCTION("IFNA(vlookup(H8778,IMPORTRANGE(""1vUGwO1n0QQGx9kKbO0_M5gmuhXZ6-LaxQxgrmJnzgP0"",""'TP# look up'!A:C""),3,0),"""")"),"")</f>
        <v/>
      </c>
      <c r="AH8778" s="49">
        <f>LEFT(J8778,2)</f>
        <v/>
      </c>
    </row>
    <row r="8779" ht="12.75" customHeight="1">
      <c r="H8779" s="43" t="n"/>
      <c r="AG8779" s="49">
        <f>IFERROR(__xludf.DUMMYFUNCTION("IFNA(vlookup(H8779,IMPORTRANGE(""1vUGwO1n0QQGx9kKbO0_M5gmuhXZ6-LaxQxgrmJnzgP0"",""'TP# look up'!A:C""),3,0),"""")"),"")</f>
        <v/>
      </c>
      <c r="AH8779" s="49">
        <f>LEFT(J8779,2)</f>
        <v/>
      </c>
    </row>
    <row r="8780" ht="12.75" customHeight="1">
      <c r="H8780" s="43" t="n"/>
      <c r="AG8780" s="49">
        <f>IFERROR(__xludf.DUMMYFUNCTION("IFNA(vlookup(H8780,IMPORTRANGE(""1vUGwO1n0QQGx9kKbO0_M5gmuhXZ6-LaxQxgrmJnzgP0"",""'TP# look up'!A:C""),3,0),"""")"),"")</f>
        <v/>
      </c>
      <c r="AH8780" s="49">
        <f>LEFT(J8780,2)</f>
        <v/>
      </c>
    </row>
    <row r="8781" ht="12.75" customHeight="1">
      <c r="H8781" s="43" t="n"/>
      <c r="AG8781" s="49">
        <f>IFERROR(__xludf.DUMMYFUNCTION("IFNA(vlookup(H8781,IMPORTRANGE(""1vUGwO1n0QQGx9kKbO0_M5gmuhXZ6-LaxQxgrmJnzgP0"",""'TP# look up'!A:C""),3,0),"""")"),"")</f>
        <v/>
      </c>
      <c r="AH8781" s="49">
        <f>LEFT(J8781,2)</f>
        <v/>
      </c>
    </row>
    <row r="8782" ht="12.75" customHeight="1">
      <c r="H8782" s="43" t="n"/>
      <c r="AG8782" s="49">
        <f>IFERROR(__xludf.DUMMYFUNCTION("IFNA(vlookup(H8782,IMPORTRANGE(""1vUGwO1n0QQGx9kKbO0_M5gmuhXZ6-LaxQxgrmJnzgP0"",""'TP# look up'!A:C""),3,0),"""")"),"")</f>
        <v/>
      </c>
      <c r="AH8782" s="49">
        <f>LEFT(J8782,2)</f>
        <v/>
      </c>
    </row>
    <row r="8783" ht="12.75" customHeight="1">
      <c r="H8783" s="43" t="n"/>
      <c r="AG8783" s="49">
        <f>IFERROR(__xludf.DUMMYFUNCTION("IFNA(vlookup(H8783,IMPORTRANGE(""1vUGwO1n0QQGx9kKbO0_M5gmuhXZ6-LaxQxgrmJnzgP0"",""'TP# look up'!A:C""),3,0),"""")"),"")</f>
        <v/>
      </c>
      <c r="AH8783" s="49">
        <f>LEFT(J8783,2)</f>
        <v/>
      </c>
    </row>
    <row r="8784" ht="12.75" customHeight="1">
      <c r="H8784" s="43" t="n"/>
      <c r="AG8784" s="49">
        <f>IFERROR(__xludf.DUMMYFUNCTION("IFNA(vlookup(H8784,IMPORTRANGE(""1vUGwO1n0QQGx9kKbO0_M5gmuhXZ6-LaxQxgrmJnzgP0"",""'TP# look up'!A:C""),3,0),"""")"),"")</f>
        <v/>
      </c>
      <c r="AH8784" s="49">
        <f>LEFT(J8784,2)</f>
        <v/>
      </c>
    </row>
    <row r="8785" ht="12.75" customHeight="1">
      <c r="H8785" s="43" t="n"/>
      <c r="AG8785" s="49">
        <f>IFERROR(__xludf.DUMMYFUNCTION("IFNA(vlookup(H8785,IMPORTRANGE(""1vUGwO1n0QQGx9kKbO0_M5gmuhXZ6-LaxQxgrmJnzgP0"",""'TP# look up'!A:C""),3,0),"""")"),"")</f>
        <v/>
      </c>
      <c r="AH8785" s="49">
        <f>LEFT(J8785,2)</f>
        <v/>
      </c>
    </row>
    <row r="8786" ht="12.75" customHeight="1">
      <c r="H8786" s="43" t="n"/>
      <c r="AG8786" s="49">
        <f>IFERROR(__xludf.DUMMYFUNCTION("IFNA(vlookup(H8786,IMPORTRANGE(""1vUGwO1n0QQGx9kKbO0_M5gmuhXZ6-LaxQxgrmJnzgP0"",""'TP# look up'!A:C""),3,0),"""")"),"")</f>
        <v/>
      </c>
      <c r="AH8786" s="49">
        <f>LEFT(J8786,2)</f>
        <v/>
      </c>
    </row>
    <row r="8787" ht="12.75" customHeight="1">
      <c r="H8787" s="43" t="n"/>
      <c r="AG8787" s="49">
        <f>IFERROR(__xludf.DUMMYFUNCTION("IFNA(vlookup(H8787,IMPORTRANGE(""1vUGwO1n0QQGx9kKbO0_M5gmuhXZ6-LaxQxgrmJnzgP0"",""'TP# look up'!A:C""),3,0),"""")"),"")</f>
        <v/>
      </c>
      <c r="AH8787" s="49">
        <f>LEFT(J8787,2)</f>
        <v/>
      </c>
    </row>
    <row r="8788" ht="12.75" customHeight="1">
      <c r="H8788" s="43" t="n"/>
      <c r="AG8788" s="49">
        <f>IFERROR(__xludf.DUMMYFUNCTION("IFNA(vlookup(H8788,IMPORTRANGE(""1vUGwO1n0QQGx9kKbO0_M5gmuhXZ6-LaxQxgrmJnzgP0"",""'TP# look up'!A:C""),3,0),"""")"),"")</f>
        <v/>
      </c>
      <c r="AH8788" s="49">
        <f>LEFT(J8788,2)</f>
        <v/>
      </c>
    </row>
    <row r="8789" ht="12.75" customHeight="1">
      <c r="H8789" s="43" t="n"/>
      <c r="AG8789" s="49">
        <f>IFERROR(__xludf.DUMMYFUNCTION("IFNA(vlookup(H8789,IMPORTRANGE(""1vUGwO1n0QQGx9kKbO0_M5gmuhXZ6-LaxQxgrmJnzgP0"",""'TP# look up'!A:C""),3,0),"""")"),"")</f>
        <v/>
      </c>
      <c r="AH8789" s="49">
        <f>LEFT(J8789,2)</f>
        <v/>
      </c>
    </row>
    <row r="8790" ht="12.75" customHeight="1">
      <c r="H8790" s="43" t="n"/>
      <c r="AG8790" s="49">
        <f>IFERROR(__xludf.DUMMYFUNCTION("IFNA(vlookup(H8790,IMPORTRANGE(""1vUGwO1n0QQGx9kKbO0_M5gmuhXZ6-LaxQxgrmJnzgP0"",""'TP# look up'!A:C""),3,0),"""")"),"")</f>
        <v/>
      </c>
      <c r="AH8790" s="49">
        <f>LEFT(J8790,2)</f>
        <v/>
      </c>
    </row>
    <row r="8791" ht="12.75" customHeight="1">
      <c r="H8791" s="43" t="n"/>
      <c r="AG8791" s="49">
        <f>IFERROR(__xludf.DUMMYFUNCTION("IFNA(vlookup(H8791,IMPORTRANGE(""1vUGwO1n0QQGx9kKbO0_M5gmuhXZ6-LaxQxgrmJnzgP0"",""'TP# look up'!A:C""),3,0),"""")"),"")</f>
        <v/>
      </c>
      <c r="AH8791" s="49">
        <f>LEFT(J8791,2)</f>
        <v/>
      </c>
    </row>
    <row r="8792" ht="12.75" customHeight="1">
      <c r="H8792" s="43" t="n"/>
      <c r="AG8792" s="49">
        <f>IFERROR(__xludf.DUMMYFUNCTION("IFNA(vlookup(H8792,IMPORTRANGE(""1vUGwO1n0QQGx9kKbO0_M5gmuhXZ6-LaxQxgrmJnzgP0"",""'TP# look up'!A:C""),3,0),"""")"),"")</f>
        <v/>
      </c>
      <c r="AH8792" s="49">
        <f>LEFT(J8792,2)</f>
        <v/>
      </c>
    </row>
    <row r="8793" ht="12.75" customHeight="1">
      <c r="H8793" s="43" t="n"/>
      <c r="AG8793" s="49">
        <f>IFERROR(__xludf.DUMMYFUNCTION("IFNA(vlookup(H8793,IMPORTRANGE(""1vUGwO1n0QQGx9kKbO0_M5gmuhXZ6-LaxQxgrmJnzgP0"",""'TP# look up'!A:C""),3,0),"""")"),"")</f>
        <v/>
      </c>
      <c r="AH8793" s="49">
        <f>LEFT(J8793,2)</f>
        <v/>
      </c>
    </row>
    <row r="8794" ht="12.75" customHeight="1">
      <c r="H8794" s="43" t="n"/>
      <c r="AG8794" s="49">
        <f>IFERROR(__xludf.DUMMYFUNCTION("IFNA(vlookup(H8794,IMPORTRANGE(""1vUGwO1n0QQGx9kKbO0_M5gmuhXZ6-LaxQxgrmJnzgP0"",""'TP# look up'!A:C""),3,0),"""")"),"")</f>
        <v/>
      </c>
      <c r="AH8794" s="49">
        <f>LEFT(J8794,2)</f>
        <v/>
      </c>
    </row>
    <row r="8795" ht="12.75" customHeight="1">
      <c r="H8795" s="43" t="n"/>
      <c r="AG8795" s="49">
        <f>IFERROR(__xludf.DUMMYFUNCTION("IFNA(vlookup(H8795,IMPORTRANGE(""1vUGwO1n0QQGx9kKbO0_M5gmuhXZ6-LaxQxgrmJnzgP0"",""'TP# look up'!A:C""),3,0),"""")"),"")</f>
        <v/>
      </c>
      <c r="AH8795" s="49">
        <f>LEFT(J8795,2)</f>
        <v/>
      </c>
    </row>
    <row r="8796" ht="12.75" customHeight="1">
      <c r="H8796" s="43" t="n"/>
      <c r="AG8796" s="49">
        <f>IFERROR(__xludf.DUMMYFUNCTION("IFNA(vlookup(H8796,IMPORTRANGE(""1vUGwO1n0QQGx9kKbO0_M5gmuhXZ6-LaxQxgrmJnzgP0"",""'TP# look up'!A:C""),3,0),"""")"),"")</f>
        <v/>
      </c>
      <c r="AH8796" s="49">
        <f>LEFT(J8796,2)</f>
        <v/>
      </c>
    </row>
    <row r="8797" ht="12.75" customHeight="1">
      <c r="H8797" s="43" t="n"/>
      <c r="AG8797" s="49">
        <f>IFERROR(__xludf.DUMMYFUNCTION("IFNA(vlookup(H8797,IMPORTRANGE(""1vUGwO1n0QQGx9kKbO0_M5gmuhXZ6-LaxQxgrmJnzgP0"",""'TP# look up'!A:C""),3,0),"""")"),"")</f>
        <v/>
      </c>
      <c r="AH8797" s="49">
        <f>LEFT(J8797,2)</f>
        <v/>
      </c>
    </row>
    <row r="8798" ht="12.75" customHeight="1">
      <c r="H8798" s="43" t="n"/>
      <c r="AG8798" s="49">
        <f>IFERROR(__xludf.DUMMYFUNCTION("IFNA(vlookup(H8798,IMPORTRANGE(""1vUGwO1n0QQGx9kKbO0_M5gmuhXZ6-LaxQxgrmJnzgP0"",""'TP# look up'!A:C""),3,0),"""")"),"")</f>
        <v/>
      </c>
      <c r="AH8798" s="49">
        <f>LEFT(J8798,2)</f>
        <v/>
      </c>
    </row>
    <row r="8799" ht="12.75" customHeight="1">
      <c r="H8799" s="43" t="n"/>
      <c r="AG8799" s="49">
        <f>IFERROR(__xludf.DUMMYFUNCTION("IFNA(vlookup(H8799,IMPORTRANGE(""1vUGwO1n0QQGx9kKbO0_M5gmuhXZ6-LaxQxgrmJnzgP0"",""'TP# look up'!A:C""),3,0),"""")"),"")</f>
        <v/>
      </c>
      <c r="AH8799" s="49">
        <f>LEFT(J8799,2)</f>
        <v/>
      </c>
    </row>
    <row r="8800" ht="12.75" customHeight="1">
      <c r="H8800" s="43" t="n"/>
      <c r="AG8800" s="49">
        <f>IFERROR(__xludf.DUMMYFUNCTION("IFNA(vlookup(H8800,IMPORTRANGE(""1vUGwO1n0QQGx9kKbO0_M5gmuhXZ6-LaxQxgrmJnzgP0"",""'TP# look up'!A:C""),3,0),"""")"),"")</f>
        <v/>
      </c>
      <c r="AH8800" s="49">
        <f>LEFT(J8800,2)</f>
        <v/>
      </c>
    </row>
    <row r="8801" ht="12.75" customHeight="1">
      <c r="H8801" s="43" t="n"/>
      <c r="AG8801" s="49">
        <f>IFERROR(__xludf.DUMMYFUNCTION("IFNA(vlookup(H8801,IMPORTRANGE(""1vUGwO1n0QQGx9kKbO0_M5gmuhXZ6-LaxQxgrmJnzgP0"",""'TP# look up'!A:C""),3,0),"""")"),"")</f>
        <v/>
      </c>
      <c r="AH8801" s="49">
        <f>LEFT(J8801,2)</f>
        <v/>
      </c>
    </row>
    <row r="8802" ht="12.75" customHeight="1">
      <c r="H8802" s="43" t="n"/>
      <c r="AG8802" s="49">
        <f>IFERROR(__xludf.DUMMYFUNCTION("IFNA(vlookup(H8802,IMPORTRANGE(""1vUGwO1n0QQGx9kKbO0_M5gmuhXZ6-LaxQxgrmJnzgP0"",""'TP# look up'!A:C""),3,0),"""")"),"")</f>
        <v/>
      </c>
      <c r="AH8802" s="49">
        <f>LEFT(J8802,2)</f>
        <v/>
      </c>
    </row>
    <row r="8803" ht="12.75" customHeight="1">
      <c r="H8803" s="43" t="n"/>
      <c r="AG8803" s="49">
        <f>IFERROR(__xludf.DUMMYFUNCTION("IFNA(vlookup(H8803,IMPORTRANGE(""1vUGwO1n0QQGx9kKbO0_M5gmuhXZ6-LaxQxgrmJnzgP0"",""'TP# look up'!A:C""),3,0),"""")"),"")</f>
        <v/>
      </c>
      <c r="AH8803" s="49">
        <f>LEFT(J8803,2)</f>
        <v/>
      </c>
    </row>
    <row r="8804" ht="12.75" customHeight="1">
      <c r="H8804" s="43" t="n"/>
      <c r="AG8804" s="49">
        <f>IFERROR(__xludf.DUMMYFUNCTION("IFNA(vlookup(H8804,IMPORTRANGE(""1vUGwO1n0QQGx9kKbO0_M5gmuhXZ6-LaxQxgrmJnzgP0"",""'TP# look up'!A:C""),3,0),"""")"),"")</f>
        <v/>
      </c>
      <c r="AH8804" s="49">
        <f>LEFT(J8804,2)</f>
        <v/>
      </c>
    </row>
    <row r="8805" ht="12.75" customHeight="1">
      <c r="H8805" s="43" t="n"/>
      <c r="AG8805" s="49">
        <f>IFERROR(__xludf.DUMMYFUNCTION("IFNA(vlookup(H8805,IMPORTRANGE(""1vUGwO1n0QQGx9kKbO0_M5gmuhXZ6-LaxQxgrmJnzgP0"",""'TP# look up'!A:C""),3,0),"""")"),"")</f>
        <v/>
      </c>
      <c r="AH8805" s="49">
        <f>LEFT(J8805,2)</f>
        <v/>
      </c>
    </row>
    <row r="8806" ht="12.75" customHeight="1">
      <c r="H8806" s="43" t="n"/>
      <c r="AG8806" s="49">
        <f>IFERROR(__xludf.DUMMYFUNCTION("IFNA(vlookup(H8806,IMPORTRANGE(""1vUGwO1n0QQGx9kKbO0_M5gmuhXZ6-LaxQxgrmJnzgP0"",""'TP# look up'!A:C""),3,0),"""")"),"")</f>
        <v/>
      </c>
      <c r="AH8806" s="49">
        <f>LEFT(J8806,2)</f>
        <v/>
      </c>
    </row>
    <row r="8807" ht="12.75" customHeight="1">
      <c r="H8807" s="43" t="n"/>
      <c r="AG8807" s="49">
        <f>IFERROR(__xludf.DUMMYFUNCTION("IFNA(vlookup(H8807,IMPORTRANGE(""1vUGwO1n0QQGx9kKbO0_M5gmuhXZ6-LaxQxgrmJnzgP0"",""'TP# look up'!A:C""),3,0),"""")"),"")</f>
        <v/>
      </c>
      <c r="AH8807" s="49">
        <f>LEFT(J8807,2)</f>
        <v/>
      </c>
    </row>
    <row r="8808" ht="12.75" customHeight="1">
      <c r="H8808" s="43" t="n"/>
      <c r="AG8808" s="49">
        <f>IFERROR(__xludf.DUMMYFUNCTION("IFNA(vlookup(H8808,IMPORTRANGE(""1vUGwO1n0QQGx9kKbO0_M5gmuhXZ6-LaxQxgrmJnzgP0"",""'TP# look up'!A:C""),3,0),"""")"),"")</f>
        <v/>
      </c>
      <c r="AH8808" s="49">
        <f>LEFT(J8808,2)</f>
        <v/>
      </c>
    </row>
    <row r="8809" ht="12.75" customHeight="1">
      <c r="H8809" s="43" t="n"/>
      <c r="AG8809" s="49">
        <f>IFERROR(__xludf.DUMMYFUNCTION("IFNA(vlookup(H8809,IMPORTRANGE(""1vUGwO1n0QQGx9kKbO0_M5gmuhXZ6-LaxQxgrmJnzgP0"",""'TP# look up'!A:C""),3,0),"""")"),"")</f>
        <v/>
      </c>
      <c r="AH8809" s="49">
        <f>LEFT(J8809,2)</f>
        <v/>
      </c>
    </row>
    <row r="8810" ht="12.75" customHeight="1">
      <c r="H8810" s="43" t="n"/>
      <c r="AG8810" s="49">
        <f>IFERROR(__xludf.DUMMYFUNCTION("IFNA(vlookup(H8810,IMPORTRANGE(""1vUGwO1n0QQGx9kKbO0_M5gmuhXZ6-LaxQxgrmJnzgP0"",""'TP# look up'!A:C""),3,0),"""")"),"")</f>
        <v/>
      </c>
      <c r="AH8810" s="49">
        <f>LEFT(J8810,2)</f>
        <v/>
      </c>
    </row>
    <row r="8811" ht="12.75" customHeight="1">
      <c r="H8811" s="43" t="n"/>
      <c r="AG8811" s="49">
        <f>IFERROR(__xludf.DUMMYFUNCTION("IFNA(vlookup(H8811,IMPORTRANGE(""1vUGwO1n0QQGx9kKbO0_M5gmuhXZ6-LaxQxgrmJnzgP0"",""'TP# look up'!A:C""),3,0),"""")"),"")</f>
        <v/>
      </c>
      <c r="AH8811" s="49">
        <f>LEFT(J8811,2)</f>
        <v/>
      </c>
    </row>
    <row r="8812" ht="12.75" customHeight="1">
      <c r="H8812" s="43" t="n"/>
      <c r="AG8812" s="49">
        <f>IFERROR(__xludf.DUMMYFUNCTION("IFNA(vlookup(H8812,IMPORTRANGE(""1vUGwO1n0QQGx9kKbO0_M5gmuhXZ6-LaxQxgrmJnzgP0"",""'TP# look up'!A:C""),3,0),"""")"),"")</f>
        <v/>
      </c>
      <c r="AH8812" s="49">
        <f>LEFT(J8812,2)</f>
        <v/>
      </c>
    </row>
    <row r="8813" ht="12.75" customHeight="1">
      <c r="H8813" s="43" t="n"/>
      <c r="AG8813" s="49">
        <f>IFERROR(__xludf.DUMMYFUNCTION("IFNA(vlookup(H8813,IMPORTRANGE(""1vUGwO1n0QQGx9kKbO0_M5gmuhXZ6-LaxQxgrmJnzgP0"",""'TP# look up'!A:C""),3,0),"""")"),"")</f>
        <v/>
      </c>
      <c r="AH8813" s="49">
        <f>LEFT(J8813,2)</f>
        <v/>
      </c>
    </row>
    <row r="8814" ht="12.75" customHeight="1">
      <c r="H8814" s="43" t="n"/>
      <c r="AG8814" s="49">
        <f>IFERROR(__xludf.DUMMYFUNCTION("IFNA(vlookup(H8814,IMPORTRANGE(""1vUGwO1n0QQGx9kKbO0_M5gmuhXZ6-LaxQxgrmJnzgP0"",""'TP# look up'!A:C""),3,0),"""")"),"")</f>
        <v/>
      </c>
      <c r="AH8814" s="49">
        <f>LEFT(J8814,2)</f>
        <v/>
      </c>
    </row>
    <row r="8815" ht="12.75" customHeight="1">
      <c r="H8815" s="43" t="n"/>
      <c r="AG8815" s="49">
        <f>IFERROR(__xludf.DUMMYFUNCTION("IFNA(vlookup(H8815,IMPORTRANGE(""1vUGwO1n0QQGx9kKbO0_M5gmuhXZ6-LaxQxgrmJnzgP0"",""'TP# look up'!A:C""),3,0),"""")"),"")</f>
        <v/>
      </c>
      <c r="AH8815" s="49">
        <f>LEFT(J8815,2)</f>
        <v/>
      </c>
    </row>
    <row r="8816" ht="12.75" customHeight="1">
      <c r="H8816" s="43" t="n"/>
      <c r="AG8816" s="49">
        <f>IFERROR(__xludf.DUMMYFUNCTION("IFNA(vlookup(H8816,IMPORTRANGE(""1vUGwO1n0QQGx9kKbO0_M5gmuhXZ6-LaxQxgrmJnzgP0"",""'TP# look up'!A:C""),3,0),"""")"),"")</f>
        <v/>
      </c>
      <c r="AH8816" s="49">
        <f>LEFT(J8816,2)</f>
        <v/>
      </c>
    </row>
    <row r="8817" ht="12.75" customHeight="1">
      <c r="H8817" s="43" t="n"/>
      <c r="AG8817" s="49">
        <f>IFERROR(__xludf.DUMMYFUNCTION("IFNA(vlookup(H8817,IMPORTRANGE(""1vUGwO1n0QQGx9kKbO0_M5gmuhXZ6-LaxQxgrmJnzgP0"",""'TP# look up'!A:C""),3,0),"""")"),"")</f>
        <v/>
      </c>
      <c r="AH8817" s="49">
        <f>LEFT(J8817,2)</f>
        <v/>
      </c>
    </row>
    <row r="8818" ht="12.75" customHeight="1">
      <c r="H8818" s="43" t="n"/>
      <c r="AG8818" s="49">
        <f>IFERROR(__xludf.DUMMYFUNCTION("IFNA(vlookup(H8818,IMPORTRANGE(""1vUGwO1n0QQGx9kKbO0_M5gmuhXZ6-LaxQxgrmJnzgP0"",""'TP# look up'!A:C""),3,0),"""")"),"")</f>
        <v/>
      </c>
      <c r="AH8818" s="49">
        <f>LEFT(J8818,2)</f>
        <v/>
      </c>
    </row>
    <row r="8819" ht="12.75" customHeight="1">
      <c r="H8819" s="43" t="n"/>
      <c r="AG8819" s="49">
        <f>IFERROR(__xludf.DUMMYFUNCTION("IFNA(vlookup(H8819,IMPORTRANGE(""1vUGwO1n0QQGx9kKbO0_M5gmuhXZ6-LaxQxgrmJnzgP0"",""'TP# look up'!A:C""),3,0),"""")"),"")</f>
        <v/>
      </c>
      <c r="AH8819" s="49">
        <f>LEFT(J8819,2)</f>
        <v/>
      </c>
    </row>
    <row r="8820" ht="12.75" customHeight="1">
      <c r="H8820" s="43" t="n"/>
      <c r="AG8820" s="49">
        <f>IFERROR(__xludf.DUMMYFUNCTION("IFNA(vlookup(H8820,IMPORTRANGE(""1vUGwO1n0QQGx9kKbO0_M5gmuhXZ6-LaxQxgrmJnzgP0"",""'TP# look up'!A:C""),3,0),"""")"),"")</f>
        <v/>
      </c>
      <c r="AH8820" s="49">
        <f>LEFT(J8820,2)</f>
        <v/>
      </c>
    </row>
    <row r="8821" ht="12.75" customHeight="1">
      <c r="H8821" s="43" t="n"/>
      <c r="AG8821" s="49">
        <f>IFERROR(__xludf.DUMMYFUNCTION("IFNA(vlookup(H8821,IMPORTRANGE(""1vUGwO1n0QQGx9kKbO0_M5gmuhXZ6-LaxQxgrmJnzgP0"",""'TP# look up'!A:C""),3,0),"""")"),"")</f>
        <v/>
      </c>
      <c r="AH8821" s="49">
        <f>LEFT(J8821,2)</f>
        <v/>
      </c>
    </row>
    <row r="8822" ht="12.75" customHeight="1">
      <c r="H8822" s="43" t="n"/>
      <c r="AG8822" s="49">
        <f>IFERROR(__xludf.DUMMYFUNCTION("IFNA(vlookup(H8822,IMPORTRANGE(""1vUGwO1n0QQGx9kKbO0_M5gmuhXZ6-LaxQxgrmJnzgP0"",""'TP# look up'!A:C""),3,0),"""")"),"")</f>
        <v/>
      </c>
      <c r="AH8822" s="49">
        <f>LEFT(J8822,2)</f>
        <v/>
      </c>
    </row>
    <row r="8823" ht="12.75" customHeight="1">
      <c r="H8823" s="43" t="n"/>
      <c r="AG8823" s="49">
        <f>IFERROR(__xludf.DUMMYFUNCTION("IFNA(vlookup(H8823,IMPORTRANGE(""1vUGwO1n0QQGx9kKbO0_M5gmuhXZ6-LaxQxgrmJnzgP0"",""'TP# look up'!A:C""),3,0),"""")"),"")</f>
        <v/>
      </c>
      <c r="AH8823" s="49">
        <f>LEFT(J8823,2)</f>
        <v/>
      </c>
    </row>
    <row r="8824" ht="12.75" customHeight="1">
      <c r="H8824" s="43" t="n"/>
      <c r="AG8824" s="49">
        <f>IFERROR(__xludf.DUMMYFUNCTION("IFNA(vlookup(H8824,IMPORTRANGE(""1vUGwO1n0QQGx9kKbO0_M5gmuhXZ6-LaxQxgrmJnzgP0"",""'TP# look up'!A:C""),3,0),"""")"),"")</f>
        <v/>
      </c>
      <c r="AH8824" s="49">
        <f>LEFT(J8824,2)</f>
        <v/>
      </c>
    </row>
    <row r="8825" ht="12.75" customHeight="1">
      <c r="H8825" s="43" t="n"/>
      <c r="AG8825" s="49">
        <f>IFERROR(__xludf.DUMMYFUNCTION("IFNA(vlookup(H8825,IMPORTRANGE(""1vUGwO1n0QQGx9kKbO0_M5gmuhXZ6-LaxQxgrmJnzgP0"",""'TP# look up'!A:C""),3,0),"""")"),"")</f>
        <v/>
      </c>
      <c r="AH8825" s="49">
        <f>LEFT(J8825,2)</f>
        <v/>
      </c>
    </row>
    <row r="8826" ht="12.75" customHeight="1">
      <c r="H8826" s="43" t="n"/>
      <c r="AG8826" s="49">
        <f>IFERROR(__xludf.DUMMYFUNCTION("IFNA(vlookup(H8826,IMPORTRANGE(""1vUGwO1n0QQGx9kKbO0_M5gmuhXZ6-LaxQxgrmJnzgP0"",""'TP# look up'!A:C""),3,0),"""")"),"")</f>
        <v/>
      </c>
      <c r="AH8826" s="49">
        <f>LEFT(J8826,2)</f>
        <v/>
      </c>
    </row>
    <row r="8827" ht="12.75" customHeight="1">
      <c r="H8827" s="43" t="n"/>
      <c r="AG8827" s="49">
        <f>IFERROR(__xludf.DUMMYFUNCTION("IFNA(vlookup(H8827,IMPORTRANGE(""1vUGwO1n0QQGx9kKbO0_M5gmuhXZ6-LaxQxgrmJnzgP0"",""'TP# look up'!A:C""),3,0),"""")"),"")</f>
        <v/>
      </c>
      <c r="AH8827" s="49">
        <f>LEFT(J8827,2)</f>
        <v/>
      </c>
    </row>
    <row r="8828" ht="12.75" customHeight="1">
      <c r="H8828" s="43" t="n"/>
      <c r="AG8828" s="49">
        <f>IFERROR(__xludf.DUMMYFUNCTION("IFNA(vlookup(H8828,IMPORTRANGE(""1vUGwO1n0QQGx9kKbO0_M5gmuhXZ6-LaxQxgrmJnzgP0"",""'TP# look up'!A:C""),3,0),"""")"),"")</f>
        <v/>
      </c>
      <c r="AH8828" s="49">
        <f>LEFT(J8828,2)</f>
        <v/>
      </c>
    </row>
    <row r="8829" ht="12.75" customHeight="1">
      <c r="H8829" s="43" t="n"/>
      <c r="AG8829" s="49">
        <f>IFERROR(__xludf.DUMMYFUNCTION("IFNA(vlookup(H8829,IMPORTRANGE(""1vUGwO1n0QQGx9kKbO0_M5gmuhXZ6-LaxQxgrmJnzgP0"",""'TP# look up'!A:C""),3,0),"""")"),"")</f>
        <v/>
      </c>
      <c r="AH8829" s="49">
        <f>LEFT(J8829,2)</f>
        <v/>
      </c>
    </row>
    <row r="8830" ht="12.75" customHeight="1">
      <c r="H8830" s="43" t="n"/>
      <c r="AG8830" s="49">
        <f>IFERROR(__xludf.DUMMYFUNCTION("IFNA(vlookup(H8830,IMPORTRANGE(""1vUGwO1n0QQGx9kKbO0_M5gmuhXZ6-LaxQxgrmJnzgP0"",""'TP# look up'!A:C""),3,0),"""")"),"")</f>
        <v/>
      </c>
      <c r="AH8830" s="49">
        <f>LEFT(J8830,2)</f>
        <v/>
      </c>
    </row>
    <row r="8831" ht="12.75" customHeight="1">
      <c r="H8831" s="43" t="n"/>
      <c r="AG8831" s="49">
        <f>IFERROR(__xludf.DUMMYFUNCTION("IFNA(vlookup(H8831,IMPORTRANGE(""1vUGwO1n0QQGx9kKbO0_M5gmuhXZ6-LaxQxgrmJnzgP0"",""'TP# look up'!A:C""),3,0),"""")"),"")</f>
        <v/>
      </c>
      <c r="AH8831" s="49">
        <f>LEFT(J8831,2)</f>
        <v/>
      </c>
    </row>
    <row r="8832" ht="12.75" customHeight="1">
      <c r="H8832" s="43" t="n"/>
      <c r="AG8832" s="49">
        <f>IFERROR(__xludf.DUMMYFUNCTION("IFNA(vlookup(H8832,IMPORTRANGE(""1vUGwO1n0QQGx9kKbO0_M5gmuhXZ6-LaxQxgrmJnzgP0"",""'TP# look up'!A:C""),3,0),"""")"),"")</f>
        <v/>
      </c>
      <c r="AH8832" s="49">
        <f>LEFT(J8832,2)</f>
        <v/>
      </c>
    </row>
    <row r="8833" ht="12.75" customHeight="1">
      <c r="H8833" s="43" t="n"/>
      <c r="AG8833" s="49">
        <f>IFERROR(__xludf.DUMMYFUNCTION("IFNA(vlookup(H8833,IMPORTRANGE(""1vUGwO1n0QQGx9kKbO0_M5gmuhXZ6-LaxQxgrmJnzgP0"",""'TP# look up'!A:C""),3,0),"""")"),"")</f>
        <v/>
      </c>
      <c r="AH8833" s="49">
        <f>LEFT(J8833,2)</f>
        <v/>
      </c>
    </row>
    <row r="8834" ht="12.75" customHeight="1">
      <c r="H8834" s="43" t="n"/>
      <c r="AG8834" s="49">
        <f>IFERROR(__xludf.DUMMYFUNCTION("IFNA(vlookup(H8834,IMPORTRANGE(""1vUGwO1n0QQGx9kKbO0_M5gmuhXZ6-LaxQxgrmJnzgP0"",""'TP# look up'!A:C""),3,0),"""")"),"")</f>
        <v/>
      </c>
      <c r="AH8834" s="49">
        <f>LEFT(J8834,2)</f>
        <v/>
      </c>
    </row>
    <row r="8835" ht="12.75" customHeight="1">
      <c r="H8835" s="43" t="n"/>
      <c r="AG8835" s="49">
        <f>IFERROR(__xludf.DUMMYFUNCTION("IFNA(vlookup(H8835,IMPORTRANGE(""1vUGwO1n0QQGx9kKbO0_M5gmuhXZ6-LaxQxgrmJnzgP0"",""'TP# look up'!A:C""),3,0),"""")"),"")</f>
        <v/>
      </c>
      <c r="AH8835" s="49">
        <f>LEFT(J8835,2)</f>
        <v/>
      </c>
    </row>
    <row r="8836" ht="12.75" customHeight="1">
      <c r="H8836" s="43" t="n"/>
      <c r="AG8836" s="49">
        <f>IFERROR(__xludf.DUMMYFUNCTION("IFNA(vlookup(H8836,IMPORTRANGE(""1vUGwO1n0QQGx9kKbO0_M5gmuhXZ6-LaxQxgrmJnzgP0"",""'TP# look up'!A:C""),3,0),"""")"),"")</f>
        <v/>
      </c>
      <c r="AH8836" s="49">
        <f>LEFT(J8836,2)</f>
        <v/>
      </c>
    </row>
    <row r="8837" ht="12.75" customHeight="1">
      <c r="H8837" s="43" t="n"/>
      <c r="AG8837" s="49">
        <f>IFERROR(__xludf.DUMMYFUNCTION("IFNA(vlookup(H8837,IMPORTRANGE(""1vUGwO1n0QQGx9kKbO0_M5gmuhXZ6-LaxQxgrmJnzgP0"",""'TP# look up'!A:C""),3,0),"""")"),"")</f>
        <v/>
      </c>
      <c r="AH8837" s="49">
        <f>LEFT(J8837,2)</f>
        <v/>
      </c>
    </row>
    <row r="8838" ht="12.75" customHeight="1">
      <c r="H8838" s="43" t="n"/>
      <c r="AG8838" s="49">
        <f>IFERROR(__xludf.DUMMYFUNCTION("IFNA(vlookup(H8838,IMPORTRANGE(""1vUGwO1n0QQGx9kKbO0_M5gmuhXZ6-LaxQxgrmJnzgP0"",""'TP# look up'!A:C""),3,0),"""")"),"")</f>
        <v/>
      </c>
      <c r="AH8838" s="49">
        <f>LEFT(J8838,2)</f>
        <v/>
      </c>
    </row>
    <row r="8839" ht="12.75" customHeight="1">
      <c r="H8839" s="43" t="n"/>
      <c r="AG8839" s="49">
        <f>IFERROR(__xludf.DUMMYFUNCTION("IFNA(vlookup(H8839,IMPORTRANGE(""1vUGwO1n0QQGx9kKbO0_M5gmuhXZ6-LaxQxgrmJnzgP0"",""'TP# look up'!A:C""),3,0),"""")"),"")</f>
        <v/>
      </c>
      <c r="AH8839" s="49">
        <f>LEFT(J8839,2)</f>
        <v/>
      </c>
    </row>
    <row r="8840" ht="12.75" customHeight="1">
      <c r="H8840" s="43" t="n"/>
      <c r="AG8840" s="49">
        <f>IFERROR(__xludf.DUMMYFUNCTION("IFNA(vlookup(H8840,IMPORTRANGE(""1vUGwO1n0QQGx9kKbO0_M5gmuhXZ6-LaxQxgrmJnzgP0"",""'TP# look up'!A:C""),3,0),"""")"),"")</f>
        <v/>
      </c>
      <c r="AH8840" s="49">
        <f>LEFT(J8840,2)</f>
        <v/>
      </c>
    </row>
    <row r="8841" ht="12.75" customHeight="1">
      <c r="H8841" s="43" t="n"/>
      <c r="AG8841" s="49">
        <f>IFERROR(__xludf.DUMMYFUNCTION("IFNA(vlookup(H8841,IMPORTRANGE(""1vUGwO1n0QQGx9kKbO0_M5gmuhXZ6-LaxQxgrmJnzgP0"",""'TP# look up'!A:C""),3,0),"""")"),"")</f>
        <v/>
      </c>
      <c r="AH8841" s="49">
        <f>LEFT(J8841,2)</f>
        <v/>
      </c>
    </row>
    <row r="8842" ht="12.75" customHeight="1">
      <c r="H8842" s="43" t="n"/>
      <c r="AG8842" s="49">
        <f>IFERROR(__xludf.DUMMYFUNCTION("IFNA(vlookup(H8842,IMPORTRANGE(""1vUGwO1n0QQGx9kKbO0_M5gmuhXZ6-LaxQxgrmJnzgP0"",""'TP# look up'!A:C""),3,0),"""")"),"")</f>
        <v/>
      </c>
      <c r="AH8842" s="49">
        <f>LEFT(J8842,2)</f>
        <v/>
      </c>
    </row>
    <row r="8843" ht="12.75" customHeight="1">
      <c r="H8843" s="43" t="n"/>
      <c r="AG8843" s="49">
        <f>IFERROR(__xludf.DUMMYFUNCTION("IFNA(vlookup(H8843,IMPORTRANGE(""1vUGwO1n0QQGx9kKbO0_M5gmuhXZ6-LaxQxgrmJnzgP0"",""'TP# look up'!A:C""),3,0),"""")"),"")</f>
        <v/>
      </c>
      <c r="AH8843" s="49">
        <f>LEFT(J8843,2)</f>
        <v/>
      </c>
    </row>
    <row r="8844" ht="12.75" customHeight="1">
      <c r="H8844" s="43" t="n"/>
      <c r="AG8844" s="49">
        <f>IFERROR(__xludf.DUMMYFUNCTION("IFNA(vlookup(H8844,IMPORTRANGE(""1vUGwO1n0QQGx9kKbO0_M5gmuhXZ6-LaxQxgrmJnzgP0"",""'TP# look up'!A:C""),3,0),"""")"),"")</f>
        <v/>
      </c>
      <c r="AH8844" s="49">
        <f>LEFT(J8844,2)</f>
        <v/>
      </c>
    </row>
    <row r="8845" ht="12.75" customHeight="1">
      <c r="H8845" s="43" t="n"/>
      <c r="AG8845" s="49">
        <f>IFERROR(__xludf.DUMMYFUNCTION("IFNA(vlookup(H8845,IMPORTRANGE(""1vUGwO1n0QQGx9kKbO0_M5gmuhXZ6-LaxQxgrmJnzgP0"",""'TP# look up'!A:C""),3,0),"""")"),"")</f>
        <v/>
      </c>
      <c r="AH8845" s="49">
        <f>LEFT(J8845,2)</f>
        <v/>
      </c>
    </row>
    <row r="8846" ht="12.75" customHeight="1">
      <c r="H8846" s="43" t="n"/>
      <c r="AG8846" s="49">
        <f>IFERROR(__xludf.DUMMYFUNCTION("IFNA(vlookup(H8846,IMPORTRANGE(""1vUGwO1n0QQGx9kKbO0_M5gmuhXZ6-LaxQxgrmJnzgP0"",""'TP# look up'!A:C""),3,0),"""")"),"")</f>
        <v/>
      </c>
      <c r="AH8846" s="49">
        <f>LEFT(J8846,2)</f>
        <v/>
      </c>
    </row>
    <row r="8847" ht="12.75" customHeight="1">
      <c r="H8847" s="43" t="n"/>
      <c r="AG8847" s="49">
        <f>IFERROR(__xludf.DUMMYFUNCTION("IFNA(vlookup(H8847,IMPORTRANGE(""1vUGwO1n0QQGx9kKbO0_M5gmuhXZ6-LaxQxgrmJnzgP0"",""'TP# look up'!A:C""),3,0),"""")"),"")</f>
        <v/>
      </c>
      <c r="AH8847" s="49">
        <f>LEFT(J8847,2)</f>
        <v/>
      </c>
    </row>
    <row r="8848" ht="12.75" customHeight="1">
      <c r="H8848" s="43" t="n"/>
      <c r="AG8848" s="49">
        <f>IFERROR(__xludf.DUMMYFUNCTION("IFNA(vlookup(H8848,IMPORTRANGE(""1vUGwO1n0QQGx9kKbO0_M5gmuhXZ6-LaxQxgrmJnzgP0"",""'TP# look up'!A:C""),3,0),"""")"),"")</f>
        <v/>
      </c>
      <c r="AH8848" s="49">
        <f>LEFT(J8848,2)</f>
        <v/>
      </c>
    </row>
    <row r="8849" ht="12.75" customHeight="1">
      <c r="H8849" s="43" t="n"/>
      <c r="AG8849" s="49">
        <f>IFERROR(__xludf.DUMMYFUNCTION("IFNA(vlookup(H8849,IMPORTRANGE(""1vUGwO1n0QQGx9kKbO0_M5gmuhXZ6-LaxQxgrmJnzgP0"",""'TP# look up'!A:C""),3,0),"""")"),"")</f>
        <v/>
      </c>
      <c r="AH8849" s="49">
        <f>LEFT(J8849,2)</f>
        <v/>
      </c>
    </row>
    <row r="8850" ht="12.75" customHeight="1">
      <c r="H8850" s="43" t="n"/>
      <c r="AG8850" s="49">
        <f>IFERROR(__xludf.DUMMYFUNCTION("IFNA(vlookup(H8850,IMPORTRANGE(""1vUGwO1n0QQGx9kKbO0_M5gmuhXZ6-LaxQxgrmJnzgP0"",""'TP# look up'!A:C""),3,0),"""")"),"")</f>
        <v/>
      </c>
      <c r="AH8850" s="49">
        <f>LEFT(J8850,2)</f>
        <v/>
      </c>
    </row>
    <row r="8851" ht="12.75" customHeight="1">
      <c r="H8851" s="43" t="n"/>
      <c r="AG8851" s="49">
        <f>IFERROR(__xludf.DUMMYFUNCTION("IFNA(vlookup(H8851,IMPORTRANGE(""1vUGwO1n0QQGx9kKbO0_M5gmuhXZ6-LaxQxgrmJnzgP0"",""'TP# look up'!A:C""),3,0),"""")"),"")</f>
        <v/>
      </c>
      <c r="AH8851" s="49">
        <f>LEFT(J8851,2)</f>
        <v/>
      </c>
    </row>
    <row r="8852" ht="12.75" customHeight="1">
      <c r="H8852" s="43" t="n"/>
      <c r="AG8852" s="49">
        <f>IFERROR(__xludf.DUMMYFUNCTION("IFNA(vlookup(H8852,IMPORTRANGE(""1vUGwO1n0QQGx9kKbO0_M5gmuhXZ6-LaxQxgrmJnzgP0"",""'TP# look up'!A:C""),3,0),"""")"),"")</f>
        <v/>
      </c>
      <c r="AH8852" s="49">
        <f>LEFT(J8852,2)</f>
        <v/>
      </c>
    </row>
    <row r="8853" ht="12.75" customHeight="1">
      <c r="H8853" s="43" t="n"/>
      <c r="AG8853" s="49">
        <f>IFERROR(__xludf.DUMMYFUNCTION("IFNA(vlookup(H8853,IMPORTRANGE(""1vUGwO1n0QQGx9kKbO0_M5gmuhXZ6-LaxQxgrmJnzgP0"",""'TP# look up'!A:C""),3,0),"""")"),"")</f>
        <v/>
      </c>
      <c r="AH8853" s="49">
        <f>LEFT(J8853,2)</f>
        <v/>
      </c>
    </row>
    <row r="8854" ht="12.75" customHeight="1">
      <c r="H8854" s="43" t="n"/>
      <c r="AG8854" s="49">
        <f>IFERROR(__xludf.DUMMYFUNCTION("IFNA(vlookup(H8854,IMPORTRANGE(""1vUGwO1n0QQGx9kKbO0_M5gmuhXZ6-LaxQxgrmJnzgP0"",""'TP# look up'!A:C""),3,0),"""")"),"")</f>
        <v/>
      </c>
      <c r="AH8854" s="49">
        <f>LEFT(J8854,2)</f>
        <v/>
      </c>
    </row>
    <row r="8855" ht="12.75" customHeight="1">
      <c r="H8855" s="43" t="n"/>
      <c r="AG8855" s="49">
        <f>IFERROR(__xludf.DUMMYFUNCTION("IFNA(vlookup(H8855,IMPORTRANGE(""1vUGwO1n0QQGx9kKbO0_M5gmuhXZ6-LaxQxgrmJnzgP0"",""'TP# look up'!A:C""),3,0),"""")"),"")</f>
        <v/>
      </c>
      <c r="AH8855" s="49">
        <f>LEFT(J8855,2)</f>
        <v/>
      </c>
    </row>
    <row r="8856" ht="12.75" customHeight="1">
      <c r="H8856" s="43" t="n"/>
      <c r="AG8856" s="49">
        <f>IFERROR(__xludf.DUMMYFUNCTION("IFNA(vlookup(H8856,IMPORTRANGE(""1vUGwO1n0QQGx9kKbO0_M5gmuhXZ6-LaxQxgrmJnzgP0"",""'TP# look up'!A:C""),3,0),"""")"),"")</f>
        <v/>
      </c>
      <c r="AH8856" s="49">
        <f>LEFT(J8856,2)</f>
        <v/>
      </c>
    </row>
    <row r="8857" ht="12.75" customHeight="1">
      <c r="H8857" s="43" t="n"/>
      <c r="AG8857" s="49">
        <f>IFERROR(__xludf.DUMMYFUNCTION("IFNA(vlookup(H8857,IMPORTRANGE(""1vUGwO1n0QQGx9kKbO0_M5gmuhXZ6-LaxQxgrmJnzgP0"",""'TP# look up'!A:C""),3,0),"""")"),"")</f>
        <v/>
      </c>
      <c r="AH8857" s="49">
        <f>LEFT(J8857,2)</f>
        <v/>
      </c>
    </row>
    <row r="8858" ht="12.75" customHeight="1">
      <c r="H8858" s="43" t="n"/>
      <c r="AG8858" s="49">
        <f>IFERROR(__xludf.DUMMYFUNCTION("IFNA(vlookup(H8858,IMPORTRANGE(""1vUGwO1n0QQGx9kKbO0_M5gmuhXZ6-LaxQxgrmJnzgP0"",""'TP# look up'!A:C""),3,0),"""")"),"")</f>
        <v/>
      </c>
      <c r="AH8858" s="49">
        <f>LEFT(J8858,2)</f>
        <v/>
      </c>
    </row>
    <row r="8859" ht="12.75" customHeight="1">
      <c r="H8859" s="43" t="n"/>
      <c r="AG8859" s="49">
        <f>IFERROR(__xludf.DUMMYFUNCTION("IFNA(vlookup(H8859,IMPORTRANGE(""1vUGwO1n0QQGx9kKbO0_M5gmuhXZ6-LaxQxgrmJnzgP0"",""'TP# look up'!A:C""),3,0),"""")"),"")</f>
        <v/>
      </c>
      <c r="AH8859" s="49">
        <f>LEFT(J8859,2)</f>
        <v/>
      </c>
    </row>
    <row r="8860" ht="12.75" customHeight="1">
      <c r="H8860" s="43" t="n"/>
      <c r="AG8860" s="49">
        <f>IFERROR(__xludf.DUMMYFUNCTION("IFNA(vlookup(H8860,IMPORTRANGE(""1vUGwO1n0QQGx9kKbO0_M5gmuhXZ6-LaxQxgrmJnzgP0"",""'TP# look up'!A:C""),3,0),"""")"),"")</f>
        <v/>
      </c>
      <c r="AH8860" s="49">
        <f>LEFT(J8860,2)</f>
        <v/>
      </c>
    </row>
    <row r="8861" ht="12.75" customHeight="1">
      <c r="H8861" s="43" t="n"/>
      <c r="AG8861" s="49">
        <f>IFERROR(__xludf.DUMMYFUNCTION("IFNA(vlookup(H8861,IMPORTRANGE(""1vUGwO1n0QQGx9kKbO0_M5gmuhXZ6-LaxQxgrmJnzgP0"",""'TP# look up'!A:C""),3,0),"""")"),"")</f>
        <v/>
      </c>
      <c r="AH8861" s="49">
        <f>LEFT(J8861,2)</f>
        <v/>
      </c>
    </row>
    <row r="8862" ht="12.75" customHeight="1">
      <c r="H8862" s="43" t="n"/>
      <c r="AG8862" s="49">
        <f>IFERROR(__xludf.DUMMYFUNCTION("IFNA(vlookup(H8862,IMPORTRANGE(""1vUGwO1n0QQGx9kKbO0_M5gmuhXZ6-LaxQxgrmJnzgP0"",""'TP# look up'!A:C""),3,0),"""")"),"")</f>
        <v/>
      </c>
      <c r="AH8862" s="49">
        <f>LEFT(J8862,2)</f>
        <v/>
      </c>
    </row>
    <row r="8863" ht="12.75" customHeight="1">
      <c r="H8863" s="43" t="n"/>
      <c r="AG8863" s="49">
        <f>IFERROR(__xludf.DUMMYFUNCTION("IFNA(vlookup(H8863,IMPORTRANGE(""1vUGwO1n0QQGx9kKbO0_M5gmuhXZ6-LaxQxgrmJnzgP0"",""'TP# look up'!A:C""),3,0),"""")"),"")</f>
        <v/>
      </c>
      <c r="AH8863" s="49">
        <f>LEFT(J8863,2)</f>
        <v/>
      </c>
    </row>
    <row r="8864" ht="12.75" customHeight="1">
      <c r="H8864" s="43" t="n"/>
      <c r="AG8864" s="49">
        <f>IFERROR(__xludf.DUMMYFUNCTION("IFNA(vlookup(H8864,IMPORTRANGE(""1vUGwO1n0QQGx9kKbO0_M5gmuhXZ6-LaxQxgrmJnzgP0"",""'TP# look up'!A:C""),3,0),"""")"),"")</f>
        <v/>
      </c>
      <c r="AH8864" s="49">
        <f>LEFT(J8864,2)</f>
        <v/>
      </c>
    </row>
    <row r="8865" ht="12.75" customHeight="1">
      <c r="H8865" s="43" t="n"/>
      <c r="AG8865" s="49">
        <f>IFERROR(__xludf.DUMMYFUNCTION("IFNA(vlookup(H8865,IMPORTRANGE(""1vUGwO1n0QQGx9kKbO0_M5gmuhXZ6-LaxQxgrmJnzgP0"",""'TP# look up'!A:C""),3,0),"""")"),"")</f>
        <v/>
      </c>
      <c r="AH8865" s="49">
        <f>LEFT(J8865,2)</f>
        <v/>
      </c>
    </row>
    <row r="8866" ht="12.75" customHeight="1">
      <c r="H8866" s="43" t="n"/>
      <c r="AG8866" s="49">
        <f>IFERROR(__xludf.DUMMYFUNCTION("IFNA(vlookup(H8866,IMPORTRANGE(""1vUGwO1n0QQGx9kKbO0_M5gmuhXZ6-LaxQxgrmJnzgP0"",""'TP# look up'!A:C""),3,0),"""")"),"")</f>
        <v/>
      </c>
      <c r="AH8866" s="49">
        <f>LEFT(J8866,2)</f>
        <v/>
      </c>
    </row>
    <row r="8867" ht="12.75" customHeight="1">
      <c r="H8867" s="43" t="n"/>
      <c r="AG8867" s="49">
        <f>IFERROR(__xludf.DUMMYFUNCTION("IFNA(vlookup(H8867,IMPORTRANGE(""1vUGwO1n0QQGx9kKbO0_M5gmuhXZ6-LaxQxgrmJnzgP0"",""'TP# look up'!A:C""),3,0),"""")"),"")</f>
        <v/>
      </c>
      <c r="AH8867" s="49">
        <f>LEFT(J8867,2)</f>
        <v/>
      </c>
    </row>
    <row r="8868" ht="12.75" customHeight="1">
      <c r="H8868" s="43" t="n"/>
      <c r="AG8868" s="49">
        <f>IFERROR(__xludf.DUMMYFUNCTION("IFNA(vlookup(H8868,IMPORTRANGE(""1vUGwO1n0QQGx9kKbO0_M5gmuhXZ6-LaxQxgrmJnzgP0"",""'TP# look up'!A:C""),3,0),"""")"),"")</f>
        <v/>
      </c>
      <c r="AH8868" s="49">
        <f>LEFT(J8868,2)</f>
        <v/>
      </c>
    </row>
    <row r="8869" ht="12.75" customHeight="1">
      <c r="H8869" s="43" t="n"/>
      <c r="AG8869" s="49">
        <f>IFERROR(__xludf.DUMMYFUNCTION("IFNA(vlookup(H8869,IMPORTRANGE(""1vUGwO1n0QQGx9kKbO0_M5gmuhXZ6-LaxQxgrmJnzgP0"",""'TP# look up'!A:C""),3,0),"""")"),"")</f>
        <v/>
      </c>
      <c r="AH8869" s="49">
        <f>LEFT(J8869,2)</f>
        <v/>
      </c>
    </row>
    <row r="8870" ht="12.75" customHeight="1">
      <c r="H8870" s="43" t="n"/>
      <c r="AG8870" s="49">
        <f>IFERROR(__xludf.DUMMYFUNCTION("IFNA(vlookup(H8870,IMPORTRANGE(""1vUGwO1n0QQGx9kKbO0_M5gmuhXZ6-LaxQxgrmJnzgP0"",""'TP# look up'!A:C""),3,0),"""")"),"")</f>
        <v/>
      </c>
      <c r="AH8870" s="49">
        <f>LEFT(J8870,2)</f>
        <v/>
      </c>
    </row>
    <row r="8871" ht="12.75" customHeight="1">
      <c r="H8871" s="43" t="n"/>
      <c r="AG8871" s="49">
        <f>IFERROR(__xludf.DUMMYFUNCTION("IFNA(vlookup(H8871,IMPORTRANGE(""1vUGwO1n0QQGx9kKbO0_M5gmuhXZ6-LaxQxgrmJnzgP0"",""'TP# look up'!A:C""),3,0),"""")"),"")</f>
        <v/>
      </c>
      <c r="AH8871" s="49">
        <f>LEFT(J8871,2)</f>
        <v/>
      </c>
    </row>
    <row r="8872" ht="12.75" customHeight="1">
      <c r="H8872" s="43" t="n"/>
      <c r="AG8872" s="49">
        <f>IFERROR(__xludf.DUMMYFUNCTION("IFNA(vlookup(H8872,IMPORTRANGE(""1vUGwO1n0QQGx9kKbO0_M5gmuhXZ6-LaxQxgrmJnzgP0"",""'TP# look up'!A:C""),3,0),"""")"),"")</f>
        <v/>
      </c>
      <c r="AH8872" s="49">
        <f>LEFT(J8872,2)</f>
        <v/>
      </c>
    </row>
    <row r="8873" ht="12.75" customHeight="1">
      <c r="H8873" s="43" t="n"/>
      <c r="AG8873" s="49">
        <f>IFERROR(__xludf.DUMMYFUNCTION("IFNA(vlookup(H8873,IMPORTRANGE(""1vUGwO1n0QQGx9kKbO0_M5gmuhXZ6-LaxQxgrmJnzgP0"",""'TP# look up'!A:C""),3,0),"""")"),"")</f>
        <v/>
      </c>
      <c r="AH8873" s="49">
        <f>LEFT(J8873,2)</f>
        <v/>
      </c>
    </row>
    <row r="8874" ht="12.75" customHeight="1">
      <c r="H8874" s="43" t="n"/>
      <c r="AG8874" s="49">
        <f>IFERROR(__xludf.DUMMYFUNCTION("IFNA(vlookup(H8874,IMPORTRANGE(""1vUGwO1n0QQGx9kKbO0_M5gmuhXZ6-LaxQxgrmJnzgP0"",""'TP# look up'!A:C""),3,0),"""")"),"")</f>
        <v/>
      </c>
      <c r="AH8874" s="49">
        <f>LEFT(J8874,2)</f>
        <v/>
      </c>
    </row>
    <row r="8875" ht="12.75" customHeight="1">
      <c r="H8875" s="43" t="n"/>
      <c r="AG8875" s="49">
        <f>IFERROR(__xludf.DUMMYFUNCTION("IFNA(vlookup(H8875,IMPORTRANGE(""1vUGwO1n0QQGx9kKbO0_M5gmuhXZ6-LaxQxgrmJnzgP0"",""'TP# look up'!A:C""),3,0),"""")"),"")</f>
        <v/>
      </c>
      <c r="AH8875" s="49">
        <f>LEFT(J8875,2)</f>
        <v/>
      </c>
    </row>
    <row r="8876" ht="12.75" customHeight="1">
      <c r="H8876" s="43" t="n"/>
      <c r="AG8876" s="49">
        <f>IFERROR(__xludf.DUMMYFUNCTION("IFNA(vlookup(H8876,IMPORTRANGE(""1vUGwO1n0QQGx9kKbO0_M5gmuhXZ6-LaxQxgrmJnzgP0"",""'TP# look up'!A:C""),3,0),"""")"),"")</f>
        <v/>
      </c>
      <c r="AH8876" s="49">
        <f>LEFT(J8876,2)</f>
        <v/>
      </c>
    </row>
    <row r="8877" ht="12.75" customHeight="1">
      <c r="H8877" s="43" t="n"/>
      <c r="AG8877" s="49">
        <f>IFERROR(__xludf.DUMMYFUNCTION("IFNA(vlookup(H8877,IMPORTRANGE(""1vUGwO1n0QQGx9kKbO0_M5gmuhXZ6-LaxQxgrmJnzgP0"",""'TP# look up'!A:C""),3,0),"""")"),"")</f>
        <v/>
      </c>
      <c r="AH8877" s="49">
        <f>LEFT(J8877,2)</f>
        <v/>
      </c>
    </row>
    <row r="8878" ht="12.75" customHeight="1">
      <c r="H8878" s="43" t="n"/>
      <c r="AG8878" s="49">
        <f>IFERROR(__xludf.DUMMYFUNCTION("IFNA(vlookup(H8878,IMPORTRANGE(""1vUGwO1n0QQGx9kKbO0_M5gmuhXZ6-LaxQxgrmJnzgP0"",""'TP# look up'!A:C""),3,0),"""")"),"")</f>
        <v/>
      </c>
      <c r="AH8878" s="49">
        <f>LEFT(J8878,2)</f>
        <v/>
      </c>
    </row>
    <row r="8879" ht="12.75" customHeight="1">
      <c r="H8879" s="43" t="n"/>
      <c r="AG8879" s="49">
        <f>IFERROR(__xludf.DUMMYFUNCTION("IFNA(vlookup(H8879,IMPORTRANGE(""1vUGwO1n0QQGx9kKbO0_M5gmuhXZ6-LaxQxgrmJnzgP0"",""'TP# look up'!A:C""),3,0),"""")"),"")</f>
        <v/>
      </c>
      <c r="AH8879" s="49">
        <f>LEFT(J8879,2)</f>
        <v/>
      </c>
    </row>
    <row r="8880" ht="12.75" customHeight="1">
      <c r="H8880" s="43" t="n"/>
      <c r="AG8880" s="49">
        <f>IFERROR(__xludf.DUMMYFUNCTION("IFNA(vlookup(H8880,IMPORTRANGE(""1vUGwO1n0QQGx9kKbO0_M5gmuhXZ6-LaxQxgrmJnzgP0"",""'TP# look up'!A:C""),3,0),"""")"),"")</f>
        <v/>
      </c>
      <c r="AH8880" s="49">
        <f>LEFT(J8880,2)</f>
        <v/>
      </c>
    </row>
    <row r="8881" ht="12.75" customHeight="1">
      <c r="H8881" s="43" t="n"/>
      <c r="AG8881" s="49">
        <f>IFERROR(__xludf.DUMMYFUNCTION("IFNA(vlookup(H8881,IMPORTRANGE(""1vUGwO1n0QQGx9kKbO0_M5gmuhXZ6-LaxQxgrmJnzgP0"",""'TP# look up'!A:C""),3,0),"""")"),"")</f>
        <v/>
      </c>
      <c r="AH8881" s="49">
        <f>LEFT(J8881,2)</f>
        <v/>
      </c>
    </row>
    <row r="8882" ht="12.75" customHeight="1">
      <c r="H8882" s="43" t="n"/>
      <c r="AG8882" s="49">
        <f>IFERROR(__xludf.DUMMYFUNCTION("IFNA(vlookup(H8882,IMPORTRANGE(""1vUGwO1n0QQGx9kKbO0_M5gmuhXZ6-LaxQxgrmJnzgP0"",""'TP# look up'!A:C""),3,0),"""")"),"")</f>
        <v/>
      </c>
      <c r="AH8882" s="49">
        <f>LEFT(J8882,2)</f>
        <v/>
      </c>
    </row>
    <row r="8883" ht="12.75" customHeight="1">
      <c r="H8883" s="43" t="n"/>
      <c r="AG8883" s="49">
        <f>IFERROR(__xludf.DUMMYFUNCTION("IFNA(vlookup(H8883,IMPORTRANGE(""1vUGwO1n0QQGx9kKbO0_M5gmuhXZ6-LaxQxgrmJnzgP0"",""'TP# look up'!A:C""),3,0),"""")"),"")</f>
        <v/>
      </c>
      <c r="AH8883" s="49">
        <f>LEFT(J8883,2)</f>
        <v/>
      </c>
    </row>
    <row r="8884" ht="12.75" customHeight="1">
      <c r="H8884" s="43" t="n"/>
      <c r="AG8884" s="49">
        <f>IFERROR(__xludf.DUMMYFUNCTION("IFNA(vlookup(H8884,IMPORTRANGE(""1vUGwO1n0QQGx9kKbO0_M5gmuhXZ6-LaxQxgrmJnzgP0"",""'TP# look up'!A:C""),3,0),"""")"),"")</f>
        <v/>
      </c>
      <c r="AH8884" s="49">
        <f>LEFT(J8884,2)</f>
        <v/>
      </c>
    </row>
    <row r="8885" ht="12.75" customHeight="1">
      <c r="H8885" s="43" t="n"/>
      <c r="AG8885" s="49">
        <f>IFERROR(__xludf.DUMMYFUNCTION("IFNA(vlookup(H8885,IMPORTRANGE(""1vUGwO1n0QQGx9kKbO0_M5gmuhXZ6-LaxQxgrmJnzgP0"",""'TP# look up'!A:C""),3,0),"""")"),"")</f>
        <v/>
      </c>
      <c r="AH8885" s="49">
        <f>LEFT(J8885,2)</f>
        <v/>
      </c>
    </row>
    <row r="8886" ht="12.75" customHeight="1">
      <c r="H8886" s="43" t="n"/>
      <c r="AG8886" s="49">
        <f>IFERROR(__xludf.DUMMYFUNCTION("IFNA(vlookup(H8886,IMPORTRANGE(""1vUGwO1n0QQGx9kKbO0_M5gmuhXZ6-LaxQxgrmJnzgP0"",""'TP# look up'!A:C""),3,0),"""")"),"")</f>
        <v/>
      </c>
      <c r="AH8886" s="49">
        <f>LEFT(J8886,2)</f>
        <v/>
      </c>
    </row>
    <row r="8887" ht="12.75" customHeight="1">
      <c r="H8887" s="43" t="n"/>
      <c r="AG8887" s="49">
        <f>IFERROR(__xludf.DUMMYFUNCTION("IFNA(vlookup(H8887,IMPORTRANGE(""1vUGwO1n0QQGx9kKbO0_M5gmuhXZ6-LaxQxgrmJnzgP0"",""'TP# look up'!A:C""),3,0),"""")"),"")</f>
        <v/>
      </c>
      <c r="AH8887" s="49">
        <f>LEFT(J8887,2)</f>
        <v/>
      </c>
    </row>
    <row r="8888" ht="12.75" customHeight="1">
      <c r="H8888" s="43" t="n"/>
      <c r="AG8888" s="49">
        <f>IFERROR(__xludf.DUMMYFUNCTION("IFNA(vlookup(H8888,IMPORTRANGE(""1vUGwO1n0QQGx9kKbO0_M5gmuhXZ6-LaxQxgrmJnzgP0"",""'TP# look up'!A:C""),3,0),"""")"),"")</f>
        <v/>
      </c>
      <c r="AH8888" s="49">
        <f>LEFT(J8888,2)</f>
        <v/>
      </c>
    </row>
    <row r="8889" ht="12.75" customHeight="1">
      <c r="H8889" s="43" t="n"/>
      <c r="AG8889" s="49">
        <f>IFERROR(__xludf.DUMMYFUNCTION("IFNA(vlookup(H8889,IMPORTRANGE(""1vUGwO1n0QQGx9kKbO0_M5gmuhXZ6-LaxQxgrmJnzgP0"",""'TP# look up'!A:C""),3,0),"""")"),"")</f>
        <v/>
      </c>
      <c r="AH8889" s="49">
        <f>LEFT(J8889,2)</f>
        <v/>
      </c>
    </row>
    <row r="8890" ht="12.75" customHeight="1">
      <c r="H8890" s="43" t="n"/>
      <c r="AG8890" s="49">
        <f>IFERROR(__xludf.DUMMYFUNCTION("IFNA(vlookup(H8890,IMPORTRANGE(""1vUGwO1n0QQGx9kKbO0_M5gmuhXZ6-LaxQxgrmJnzgP0"",""'TP# look up'!A:C""),3,0),"""")"),"")</f>
        <v/>
      </c>
      <c r="AH8890" s="49">
        <f>LEFT(J8890,2)</f>
        <v/>
      </c>
    </row>
    <row r="8891" ht="12.75" customHeight="1">
      <c r="H8891" s="43" t="n"/>
      <c r="AG8891" s="49">
        <f>IFERROR(__xludf.DUMMYFUNCTION("IFNA(vlookup(H8891,IMPORTRANGE(""1vUGwO1n0QQGx9kKbO0_M5gmuhXZ6-LaxQxgrmJnzgP0"",""'TP# look up'!A:C""),3,0),"""")"),"")</f>
        <v/>
      </c>
      <c r="AH8891" s="49">
        <f>LEFT(J8891,2)</f>
        <v/>
      </c>
    </row>
    <row r="8892" ht="12.75" customHeight="1">
      <c r="H8892" s="43" t="n"/>
      <c r="AG8892" s="49">
        <f>IFERROR(__xludf.DUMMYFUNCTION("IFNA(vlookup(H8892,IMPORTRANGE(""1vUGwO1n0QQGx9kKbO0_M5gmuhXZ6-LaxQxgrmJnzgP0"",""'TP# look up'!A:C""),3,0),"""")"),"")</f>
        <v/>
      </c>
      <c r="AH8892" s="49">
        <f>LEFT(J8892,2)</f>
        <v/>
      </c>
    </row>
    <row r="8893" ht="12.75" customHeight="1">
      <c r="H8893" s="43" t="n"/>
      <c r="AG8893" s="49">
        <f>IFERROR(__xludf.DUMMYFUNCTION("IFNA(vlookup(H8893,IMPORTRANGE(""1vUGwO1n0QQGx9kKbO0_M5gmuhXZ6-LaxQxgrmJnzgP0"",""'TP# look up'!A:C""),3,0),"""")"),"")</f>
        <v/>
      </c>
      <c r="AH8893" s="49">
        <f>LEFT(J8893,2)</f>
        <v/>
      </c>
    </row>
    <row r="8894" ht="12.75" customHeight="1">
      <c r="H8894" s="43" t="n"/>
      <c r="AG8894" s="49">
        <f>IFERROR(__xludf.DUMMYFUNCTION("IFNA(vlookup(H8894,IMPORTRANGE(""1vUGwO1n0QQGx9kKbO0_M5gmuhXZ6-LaxQxgrmJnzgP0"",""'TP# look up'!A:C""),3,0),"""")"),"")</f>
        <v/>
      </c>
      <c r="AH8894" s="49">
        <f>LEFT(J8894,2)</f>
        <v/>
      </c>
    </row>
    <row r="8895" ht="12.75" customHeight="1">
      <c r="H8895" s="43" t="n"/>
      <c r="AG8895" s="49">
        <f>IFERROR(__xludf.DUMMYFUNCTION("IFNA(vlookup(H8895,IMPORTRANGE(""1vUGwO1n0QQGx9kKbO0_M5gmuhXZ6-LaxQxgrmJnzgP0"",""'TP# look up'!A:C""),3,0),"""")"),"")</f>
        <v/>
      </c>
      <c r="AH8895" s="49">
        <f>LEFT(J8895,2)</f>
        <v/>
      </c>
    </row>
    <row r="8896" ht="12.75" customHeight="1">
      <c r="H8896" s="43" t="n"/>
      <c r="AG8896" s="49">
        <f>IFERROR(__xludf.DUMMYFUNCTION("IFNA(vlookup(H8896,IMPORTRANGE(""1vUGwO1n0QQGx9kKbO0_M5gmuhXZ6-LaxQxgrmJnzgP0"",""'TP# look up'!A:C""),3,0),"""")"),"")</f>
        <v/>
      </c>
      <c r="AH8896" s="49">
        <f>LEFT(J8896,2)</f>
        <v/>
      </c>
    </row>
    <row r="8897" ht="12.75" customHeight="1">
      <c r="H8897" s="43" t="n"/>
      <c r="AG8897" s="49">
        <f>IFERROR(__xludf.DUMMYFUNCTION("IFNA(vlookup(H8897,IMPORTRANGE(""1vUGwO1n0QQGx9kKbO0_M5gmuhXZ6-LaxQxgrmJnzgP0"",""'TP# look up'!A:C""),3,0),"""")"),"")</f>
        <v/>
      </c>
      <c r="AH8897" s="49">
        <f>LEFT(J8897,2)</f>
        <v/>
      </c>
    </row>
    <row r="8898" ht="12.75" customHeight="1">
      <c r="H8898" s="43" t="n"/>
      <c r="AG8898" s="49">
        <f>IFERROR(__xludf.DUMMYFUNCTION("IFNA(vlookup(H8898,IMPORTRANGE(""1vUGwO1n0QQGx9kKbO0_M5gmuhXZ6-LaxQxgrmJnzgP0"",""'TP# look up'!A:C""),3,0),"""")"),"")</f>
        <v/>
      </c>
      <c r="AH8898" s="49">
        <f>LEFT(J8898,2)</f>
        <v/>
      </c>
    </row>
    <row r="8899" ht="12.75" customHeight="1">
      <c r="H8899" s="43" t="n"/>
      <c r="AG8899" s="49">
        <f>IFERROR(__xludf.DUMMYFUNCTION("IFNA(vlookup(H8899,IMPORTRANGE(""1vUGwO1n0QQGx9kKbO0_M5gmuhXZ6-LaxQxgrmJnzgP0"",""'TP# look up'!A:C""),3,0),"""")"),"")</f>
        <v/>
      </c>
      <c r="AH8899" s="49">
        <f>LEFT(J8899,2)</f>
        <v/>
      </c>
    </row>
    <row r="8900" ht="12.75" customHeight="1">
      <c r="H8900" s="43" t="n"/>
      <c r="AG8900" s="49">
        <f>IFERROR(__xludf.DUMMYFUNCTION("IFNA(vlookup(H8900,IMPORTRANGE(""1vUGwO1n0QQGx9kKbO0_M5gmuhXZ6-LaxQxgrmJnzgP0"",""'TP# look up'!A:C""),3,0),"""")"),"")</f>
        <v/>
      </c>
      <c r="AH8900" s="49">
        <f>LEFT(J8900,2)</f>
        <v/>
      </c>
    </row>
    <row r="8901" ht="12.75" customHeight="1">
      <c r="H8901" s="43" t="n"/>
      <c r="AG8901" s="49">
        <f>IFERROR(__xludf.DUMMYFUNCTION("IFNA(vlookup(H8901,IMPORTRANGE(""1vUGwO1n0QQGx9kKbO0_M5gmuhXZ6-LaxQxgrmJnzgP0"",""'TP# look up'!A:C""),3,0),"""")"),"")</f>
        <v/>
      </c>
      <c r="AH8901" s="49">
        <f>LEFT(J8901,2)</f>
        <v/>
      </c>
    </row>
    <row r="8902" ht="12.75" customHeight="1">
      <c r="H8902" s="43" t="n"/>
      <c r="AG8902" s="49">
        <f>IFERROR(__xludf.DUMMYFUNCTION("IFNA(vlookup(H8902,IMPORTRANGE(""1vUGwO1n0QQGx9kKbO0_M5gmuhXZ6-LaxQxgrmJnzgP0"",""'TP# look up'!A:C""),3,0),"""")"),"")</f>
        <v/>
      </c>
      <c r="AH8902" s="49">
        <f>LEFT(J8902,2)</f>
        <v/>
      </c>
    </row>
    <row r="8903" ht="12.75" customHeight="1">
      <c r="H8903" s="43" t="n"/>
      <c r="AG8903" s="49">
        <f>IFERROR(__xludf.DUMMYFUNCTION("IFNA(vlookup(H8903,IMPORTRANGE(""1vUGwO1n0QQGx9kKbO0_M5gmuhXZ6-LaxQxgrmJnzgP0"",""'TP# look up'!A:C""),3,0),"""")"),"")</f>
        <v/>
      </c>
      <c r="AH8903" s="49">
        <f>LEFT(J8903,2)</f>
        <v/>
      </c>
    </row>
    <row r="8904" ht="12.75" customHeight="1">
      <c r="H8904" s="43" t="n"/>
      <c r="AG8904" s="49">
        <f>IFERROR(__xludf.DUMMYFUNCTION("IFNA(vlookup(H8904,IMPORTRANGE(""1vUGwO1n0QQGx9kKbO0_M5gmuhXZ6-LaxQxgrmJnzgP0"",""'TP# look up'!A:C""),3,0),"""")"),"")</f>
        <v/>
      </c>
      <c r="AH8904" s="49">
        <f>LEFT(J8904,2)</f>
        <v/>
      </c>
    </row>
    <row r="8905" ht="12.75" customHeight="1">
      <c r="H8905" s="43" t="n"/>
      <c r="AG8905" s="49">
        <f>IFERROR(__xludf.DUMMYFUNCTION("IFNA(vlookup(H8905,IMPORTRANGE(""1vUGwO1n0QQGx9kKbO0_M5gmuhXZ6-LaxQxgrmJnzgP0"",""'TP# look up'!A:C""),3,0),"""")"),"")</f>
        <v/>
      </c>
      <c r="AH8905" s="49">
        <f>LEFT(J8905,2)</f>
        <v/>
      </c>
    </row>
    <row r="8906" ht="12.75" customHeight="1">
      <c r="H8906" s="43" t="n"/>
      <c r="AG8906" s="49">
        <f>IFERROR(__xludf.DUMMYFUNCTION("IFNA(vlookup(H8906,IMPORTRANGE(""1vUGwO1n0QQGx9kKbO0_M5gmuhXZ6-LaxQxgrmJnzgP0"",""'TP# look up'!A:C""),3,0),"""")"),"")</f>
        <v/>
      </c>
      <c r="AH8906" s="49">
        <f>LEFT(J8906,2)</f>
        <v/>
      </c>
    </row>
    <row r="8907" ht="12.75" customHeight="1">
      <c r="H8907" s="43" t="n"/>
      <c r="AG8907" s="49">
        <f>IFERROR(__xludf.DUMMYFUNCTION("IFNA(vlookup(H8907,IMPORTRANGE(""1vUGwO1n0QQGx9kKbO0_M5gmuhXZ6-LaxQxgrmJnzgP0"",""'TP# look up'!A:C""),3,0),"""")"),"")</f>
        <v/>
      </c>
      <c r="AH8907" s="49">
        <f>LEFT(J8907,2)</f>
        <v/>
      </c>
    </row>
    <row r="8908" ht="12.75" customHeight="1">
      <c r="H8908" s="43" t="n"/>
      <c r="AG8908" s="49">
        <f>IFERROR(__xludf.DUMMYFUNCTION("IFNA(vlookup(H8908,IMPORTRANGE(""1vUGwO1n0QQGx9kKbO0_M5gmuhXZ6-LaxQxgrmJnzgP0"",""'TP# look up'!A:C""),3,0),"""")"),"")</f>
        <v/>
      </c>
      <c r="AH8908" s="49">
        <f>LEFT(J8908,2)</f>
        <v/>
      </c>
    </row>
    <row r="8909" ht="12.75" customHeight="1">
      <c r="H8909" s="43" t="n"/>
      <c r="AG8909" s="49">
        <f>IFERROR(__xludf.DUMMYFUNCTION("IFNA(vlookup(H8909,IMPORTRANGE(""1vUGwO1n0QQGx9kKbO0_M5gmuhXZ6-LaxQxgrmJnzgP0"",""'TP# look up'!A:C""),3,0),"""")"),"")</f>
        <v/>
      </c>
      <c r="AH8909" s="49">
        <f>LEFT(J8909,2)</f>
        <v/>
      </c>
    </row>
    <row r="8910" ht="12.75" customHeight="1">
      <c r="H8910" s="43" t="n"/>
      <c r="AG8910" s="49">
        <f>IFERROR(__xludf.DUMMYFUNCTION("IFNA(vlookup(H8910,IMPORTRANGE(""1vUGwO1n0QQGx9kKbO0_M5gmuhXZ6-LaxQxgrmJnzgP0"",""'TP# look up'!A:C""),3,0),"""")"),"")</f>
        <v/>
      </c>
      <c r="AH8910" s="49">
        <f>LEFT(J8910,2)</f>
        <v/>
      </c>
    </row>
    <row r="8911" ht="12.75" customHeight="1">
      <c r="H8911" s="43" t="n"/>
      <c r="AG8911" s="49">
        <f>IFERROR(__xludf.DUMMYFUNCTION("IFNA(vlookup(H8911,IMPORTRANGE(""1vUGwO1n0QQGx9kKbO0_M5gmuhXZ6-LaxQxgrmJnzgP0"",""'TP# look up'!A:C""),3,0),"""")"),"")</f>
        <v/>
      </c>
      <c r="AH8911" s="49">
        <f>LEFT(J8911,2)</f>
        <v/>
      </c>
    </row>
    <row r="8912" ht="12.75" customHeight="1">
      <c r="H8912" s="43" t="n"/>
      <c r="AG8912" s="49">
        <f>IFERROR(__xludf.DUMMYFUNCTION("IFNA(vlookup(H8912,IMPORTRANGE(""1vUGwO1n0QQGx9kKbO0_M5gmuhXZ6-LaxQxgrmJnzgP0"",""'TP# look up'!A:C""),3,0),"""")"),"")</f>
        <v/>
      </c>
      <c r="AH8912" s="49">
        <f>LEFT(J8912,2)</f>
        <v/>
      </c>
    </row>
    <row r="8913" ht="12.75" customHeight="1">
      <c r="H8913" s="43" t="n"/>
      <c r="AG8913" s="49">
        <f>IFERROR(__xludf.DUMMYFUNCTION("IFNA(vlookup(H8913,IMPORTRANGE(""1vUGwO1n0QQGx9kKbO0_M5gmuhXZ6-LaxQxgrmJnzgP0"",""'TP# look up'!A:C""),3,0),"""")"),"")</f>
        <v/>
      </c>
      <c r="AH8913" s="49">
        <f>LEFT(J8913,2)</f>
        <v/>
      </c>
    </row>
    <row r="8914" ht="12.75" customHeight="1">
      <c r="H8914" s="43" t="n"/>
      <c r="AG8914" s="49">
        <f>IFERROR(__xludf.DUMMYFUNCTION("IFNA(vlookup(H8914,IMPORTRANGE(""1vUGwO1n0QQGx9kKbO0_M5gmuhXZ6-LaxQxgrmJnzgP0"",""'TP# look up'!A:C""),3,0),"""")"),"")</f>
        <v/>
      </c>
      <c r="AH8914" s="49">
        <f>LEFT(J8914,2)</f>
        <v/>
      </c>
    </row>
    <row r="8915" ht="12.75" customHeight="1">
      <c r="H8915" s="43" t="n"/>
      <c r="AG8915" s="49">
        <f>IFERROR(__xludf.DUMMYFUNCTION("IFNA(vlookup(H8915,IMPORTRANGE(""1vUGwO1n0QQGx9kKbO0_M5gmuhXZ6-LaxQxgrmJnzgP0"",""'TP# look up'!A:C""),3,0),"""")"),"")</f>
        <v/>
      </c>
      <c r="AH8915" s="49">
        <f>LEFT(J8915,2)</f>
        <v/>
      </c>
    </row>
    <row r="8916" ht="12.75" customHeight="1">
      <c r="H8916" s="43" t="n"/>
      <c r="AG8916" s="49">
        <f>IFERROR(__xludf.DUMMYFUNCTION("IFNA(vlookup(H8916,IMPORTRANGE(""1vUGwO1n0QQGx9kKbO0_M5gmuhXZ6-LaxQxgrmJnzgP0"",""'TP# look up'!A:C""),3,0),"""")"),"")</f>
        <v/>
      </c>
      <c r="AH8916" s="49">
        <f>LEFT(J8916,2)</f>
        <v/>
      </c>
    </row>
    <row r="8917" ht="12.75" customHeight="1">
      <c r="H8917" s="43" t="n"/>
      <c r="AG8917" s="49">
        <f>IFERROR(__xludf.DUMMYFUNCTION("IFNA(vlookup(H8917,IMPORTRANGE(""1vUGwO1n0QQGx9kKbO0_M5gmuhXZ6-LaxQxgrmJnzgP0"",""'TP# look up'!A:C""),3,0),"""")"),"")</f>
        <v/>
      </c>
      <c r="AH8917" s="49">
        <f>LEFT(J8917,2)</f>
        <v/>
      </c>
    </row>
    <row r="8918" ht="12.75" customHeight="1">
      <c r="H8918" s="43" t="n"/>
      <c r="AG8918" s="49">
        <f>IFERROR(__xludf.DUMMYFUNCTION("IFNA(vlookup(H8918,IMPORTRANGE(""1vUGwO1n0QQGx9kKbO0_M5gmuhXZ6-LaxQxgrmJnzgP0"",""'TP# look up'!A:C""),3,0),"""")"),"")</f>
        <v/>
      </c>
      <c r="AH8918" s="49">
        <f>LEFT(J8918,2)</f>
        <v/>
      </c>
    </row>
    <row r="8919" ht="12.75" customHeight="1">
      <c r="H8919" s="43" t="n"/>
      <c r="AG8919" s="49">
        <f>IFERROR(__xludf.DUMMYFUNCTION("IFNA(vlookup(H8919,IMPORTRANGE(""1vUGwO1n0QQGx9kKbO0_M5gmuhXZ6-LaxQxgrmJnzgP0"",""'TP# look up'!A:C""),3,0),"""")"),"")</f>
        <v/>
      </c>
      <c r="AH8919" s="49">
        <f>LEFT(J8919,2)</f>
        <v/>
      </c>
    </row>
    <row r="8920" ht="12.75" customHeight="1">
      <c r="H8920" s="43" t="n"/>
      <c r="AG8920" s="49">
        <f>IFERROR(__xludf.DUMMYFUNCTION("IFNA(vlookup(H8920,IMPORTRANGE(""1vUGwO1n0QQGx9kKbO0_M5gmuhXZ6-LaxQxgrmJnzgP0"",""'TP# look up'!A:C""),3,0),"""")"),"")</f>
        <v/>
      </c>
      <c r="AH8920" s="49">
        <f>LEFT(J8920,2)</f>
        <v/>
      </c>
    </row>
    <row r="8921" ht="12.75" customHeight="1">
      <c r="H8921" s="43" t="n"/>
      <c r="AG8921" s="49">
        <f>IFERROR(__xludf.DUMMYFUNCTION("IFNA(vlookup(H8921,IMPORTRANGE(""1vUGwO1n0QQGx9kKbO0_M5gmuhXZ6-LaxQxgrmJnzgP0"",""'TP# look up'!A:C""),3,0),"""")"),"")</f>
        <v/>
      </c>
      <c r="AH8921" s="49">
        <f>LEFT(J8921,2)</f>
        <v/>
      </c>
    </row>
    <row r="8922" ht="12.75" customHeight="1">
      <c r="H8922" s="43" t="n"/>
      <c r="AG8922" s="49">
        <f>IFERROR(__xludf.DUMMYFUNCTION("IFNA(vlookup(H8922,IMPORTRANGE(""1vUGwO1n0QQGx9kKbO0_M5gmuhXZ6-LaxQxgrmJnzgP0"",""'TP# look up'!A:C""),3,0),"""")"),"")</f>
        <v/>
      </c>
      <c r="AH8922" s="49">
        <f>LEFT(J8922,2)</f>
        <v/>
      </c>
    </row>
    <row r="8923" ht="12.75" customHeight="1">
      <c r="H8923" s="43" t="n"/>
      <c r="AG8923" s="49">
        <f>IFERROR(__xludf.DUMMYFUNCTION("IFNA(vlookup(H8923,IMPORTRANGE(""1vUGwO1n0QQGx9kKbO0_M5gmuhXZ6-LaxQxgrmJnzgP0"",""'TP# look up'!A:C""),3,0),"""")"),"")</f>
        <v/>
      </c>
      <c r="AH8923" s="49">
        <f>LEFT(J8923,2)</f>
        <v/>
      </c>
    </row>
    <row r="8924" ht="12.75" customHeight="1">
      <c r="H8924" s="43" t="n"/>
      <c r="AG8924" s="49">
        <f>IFERROR(__xludf.DUMMYFUNCTION("IFNA(vlookup(H8924,IMPORTRANGE(""1vUGwO1n0QQGx9kKbO0_M5gmuhXZ6-LaxQxgrmJnzgP0"",""'TP# look up'!A:C""),3,0),"""")"),"")</f>
        <v/>
      </c>
      <c r="AH8924" s="49">
        <f>LEFT(J8924,2)</f>
        <v/>
      </c>
    </row>
    <row r="8925" ht="12.75" customHeight="1">
      <c r="H8925" s="43" t="n"/>
      <c r="AG8925" s="49">
        <f>IFERROR(__xludf.DUMMYFUNCTION("IFNA(vlookup(H8925,IMPORTRANGE(""1vUGwO1n0QQGx9kKbO0_M5gmuhXZ6-LaxQxgrmJnzgP0"",""'TP# look up'!A:C""),3,0),"""")"),"")</f>
        <v/>
      </c>
      <c r="AH8925" s="49">
        <f>LEFT(J8925,2)</f>
        <v/>
      </c>
    </row>
    <row r="8926" ht="12.75" customHeight="1">
      <c r="H8926" s="43" t="n"/>
      <c r="AG8926" s="49">
        <f>IFERROR(__xludf.DUMMYFUNCTION("IFNA(vlookup(H8926,IMPORTRANGE(""1vUGwO1n0QQGx9kKbO0_M5gmuhXZ6-LaxQxgrmJnzgP0"",""'TP# look up'!A:C""),3,0),"""")"),"")</f>
        <v/>
      </c>
      <c r="AH8926" s="49">
        <f>LEFT(J8926,2)</f>
        <v/>
      </c>
    </row>
    <row r="8927" ht="12.75" customHeight="1">
      <c r="H8927" s="43" t="n"/>
      <c r="AG8927" s="49">
        <f>IFERROR(__xludf.DUMMYFUNCTION("IFNA(vlookup(H8927,IMPORTRANGE(""1vUGwO1n0QQGx9kKbO0_M5gmuhXZ6-LaxQxgrmJnzgP0"",""'TP# look up'!A:C""),3,0),"""")"),"")</f>
        <v/>
      </c>
      <c r="AH8927" s="49">
        <f>LEFT(J8927,2)</f>
        <v/>
      </c>
    </row>
    <row r="8928" ht="12.75" customHeight="1">
      <c r="H8928" s="43" t="n"/>
      <c r="AG8928" s="49">
        <f>IFERROR(__xludf.DUMMYFUNCTION("IFNA(vlookup(H8928,IMPORTRANGE(""1vUGwO1n0QQGx9kKbO0_M5gmuhXZ6-LaxQxgrmJnzgP0"",""'TP# look up'!A:C""),3,0),"""")"),"")</f>
        <v/>
      </c>
      <c r="AH8928" s="49">
        <f>LEFT(J8928,2)</f>
        <v/>
      </c>
    </row>
    <row r="8929" ht="12.75" customHeight="1">
      <c r="H8929" s="43" t="n"/>
      <c r="AG8929" s="49">
        <f>IFERROR(__xludf.DUMMYFUNCTION("IFNA(vlookup(H8929,IMPORTRANGE(""1vUGwO1n0QQGx9kKbO0_M5gmuhXZ6-LaxQxgrmJnzgP0"",""'TP# look up'!A:C""),3,0),"""")"),"")</f>
        <v/>
      </c>
      <c r="AH8929" s="49">
        <f>LEFT(J8929,2)</f>
        <v/>
      </c>
    </row>
    <row r="8930" ht="12.75" customHeight="1">
      <c r="H8930" s="43" t="n"/>
      <c r="AG8930" s="49">
        <f>IFERROR(__xludf.DUMMYFUNCTION("IFNA(vlookup(H8930,IMPORTRANGE(""1vUGwO1n0QQGx9kKbO0_M5gmuhXZ6-LaxQxgrmJnzgP0"",""'TP# look up'!A:C""),3,0),"""")"),"")</f>
        <v/>
      </c>
      <c r="AH8930" s="49">
        <f>LEFT(J8930,2)</f>
        <v/>
      </c>
    </row>
    <row r="8931" ht="12.75" customHeight="1">
      <c r="H8931" s="43" t="n"/>
      <c r="AG8931" s="49">
        <f>IFERROR(__xludf.DUMMYFUNCTION("IFNA(vlookup(H8931,IMPORTRANGE(""1vUGwO1n0QQGx9kKbO0_M5gmuhXZ6-LaxQxgrmJnzgP0"",""'TP# look up'!A:C""),3,0),"""")"),"")</f>
        <v/>
      </c>
      <c r="AH8931" s="49">
        <f>LEFT(J8931,2)</f>
        <v/>
      </c>
    </row>
    <row r="8932" ht="12.75" customHeight="1">
      <c r="H8932" s="43" t="n"/>
      <c r="AG8932" s="49">
        <f>IFERROR(__xludf.DUMMYFUNCTION("IFNA(vlookup(H8932,IMPORTRANGE(""1vUGwO1n0QQGx9kKbO0_M5gmuhXZ6-LaxQxgrmJnzgP0"",""'TP# look up'!A:C""),3,0),"""")"),"")</f>
        <v/>
      </c>
      <c r="AH8932" s="49">
        <f>LEFT(J8932,2)</f>
        <v/>
      </c>
    </row>
    <row r="8933" ht="12.75" customHeight="1">
      <c r="H8933" s="43" t="n"/>
      <c r="AG8933" s="49">
        <f>IFERROR(__xludf.DUMMYFUNCTION("IFNA(vlookup(H8933,IMPORTRANGE(""1vUGwO1n0QQGx9kKbO0_M5gmuhXZ6-LaxQxgrmJnzgP0"",""'TP# look up'!A:C""),3,0),"""")"),"")</f>
        <v/>
      </c>
      <c r="AH8933" s="49">
        <f>LEFT(J8933,2)</f>
        <v/>
      </c>
    </row>
    <row r="8934" ht="12.75" customHeight="1">
      <c r="H8934" s="43" t="n"/>
      <c r="AG8934" s="49">
        <f>IFERROR(__xludf.DUMMYFUNCTION("IFNA(vlookup(H8934,IMPORTRANGE(""1vUGwO1n0QQGx9kKbO0_M5gmuhXZ6-LaxQxgrmJnzgP0"",""'TP# look up'!A:C""),3,0),"""")"),"")</f>
        <v/>
      </c>
      <c r="AH8934" s="49">
        <f>LEFT(J8934,2)</f>
        <v/>
      </c>
    </row>
    <row r="8935" ht="12.75" customHeight="1">
      <c r="H8935" s="43" t="n"/>
      <c r="AG8935" s="49">
        <f>IFERROR(__xludf.DUMMYFUNCTION("IFNA(vlookup(H8935,IMPORTRANGE(""1vUGwO1n0QQGx9kKbO0_M5gmuhXZ6-LaxQxgrmJnzgP0"",""'TP# look up'!A:C""),3,0),"""")"),"")</f>
        <v/>
      </c>
      <c r="AH8935" s="49">
        <f>LEFT(J8935,2)</f>
        <v/>
      </c>
    </row>
    <row r="8936" ht="12.75" customHeight="1">
      <c r="H8936" s="43" t="n"/>
      <c r="AG8936" s="49">
        <f>IFERROR(__xludf.DUMMYFUNCTION("IFNA(vlookup(H8936,IMPORTRANGE(""1vUGwO1n0QQGx9kKbO0_M5gmuhXZ6-LaxQxgrmJnzgP0"",""'TP# look up'!A:C""),3,0),"""")"),"")</f>
        <v/>
      </c>
      <c r="AH8936" s="49">
        <f>LEFT(J8936,2)</f>
        <v/>
      </c>
    </row>
    <row r="8937" ht="12.75" customHeight="1">
      <c r="H8937" s="43" t="n"/>
      <c r="AG8937" s="49">
        <f>IFERROR(__xludf.DUMMYFUNCTION("IFNA(vlookup(H8937,IMPORTRANGE(""1vUGwO1n0QQGx9kKbO0_M5gmuhXZ6-LaxQxgrmJnzgP0"",""'TP# look up'!A:C""),3,0),"""")"),"")</f>
        <v/>
      </c>
      <c r="AH8937" s="49">
        <f>LEFT(J8937,2)</f>
        <v/>
      </c>
    </row>
    <row r="8938" ht="12.75" customHeight="1">
      <c r="H8938" s="43" t="n"/>
      <c r="AG8938" s="49">
        <f>IFERROR(__xludf.DUMMYFUNCTION("IFNA(vlookup(H8938,IMPORTRANGE(""1vUGwO1n0QQGx9kKbO0_M5gmuhXZ6-LaxQxgrmJnzgP0"",""'TP# look up'!A:C""),3,0),"""")"),"")</f>
        <v/>
      </c>
      <c r="AH8938" s="49">
        <f>LEFT(J8938,2)</f>
        <v/>
      </c>
    </row>
    <row r="8939" ht="12.75" customHeight="1">
      <c r="H8939" s="43" t="n"/>
      <c r="AG8939" s="49">
        <f>IFERROR(__xludf.DUMMYFUNCTION("IFNA(vlookup(H8939,IMPORTRANGE(""1vUGwO1n0QQGx9kKbO0_M5gmuhXZ6-LaxQxgrmJnzgP0"",""'TP# look up'!A:C""),3,0),"""")"),"")</f>
        <v/>
      </c>
      <c r="AH8939" s="49">
        <f>LEFT(J8939,2)</f>
        <v/>
      </c>
    </row>
    <row r="8940" ht="12.75" customHeight="1">
      <c r="H8940" s="43" t="n"/>
      <c r="AG8940" s="49">
        <f>IFERROR(__xludf.DUMMYFUNCTION("IFNA(vlookup(H8940,IMPORTRANGE(""1vUGwO1n0QQGx9kKbO0_M5gmuhXZ6-LaxQxgrmJnzgP0"",""'TP# look up'!A:C""),3,0),"""")"),"")</f>
        <v/>
      </c>
      <c r="AH8940" s="49">
        <f>LEFT(J8940,2)</f>
        <v/>
      </c>
    </row>
    <row r="8941" ht="12.75" customHeight="1">
      <c r="H8941" s="43" t="n"/>
      <c r="AG8941" s="49">
        <f>IFERROR(__xludf.DUMMYFUNCTION("IFNA(vlookup(H8941,IMPORTRANGE(""1vUGwO1n0QQGx9kKbO0_M5gmuhXZ6-LaxQxgrmJnzgP0"",""'TP# look up'!A:C""),3,0),"""")"),"")</f>
        <v/>
      </c>
      <c r="AH8941" s="49">
        <f>LEFT(J8941,2)</f>
        <v/>
      </c>
    </row>
    <row r="8942" ht="12.75" customHeight="1">
      <c r="H8942" s="43" t="n"/>
      <c r="AG8942" s="49">
        <f>IFERROR(__xludf.DUMMYFUNCTION("IFNA(vlookup(H8942,IMPORTRANGE(""1vUGwO1n0QQGx9kKbO0_M5gmuhXZ6-LaxQxgrmJnzgP0"",""'TP# look up'!A:C""),3,0),"""")"),"")</f>
        <v/>
      </c>
      <c r="AH8942" s="49">
        <f>LEFT(J8942,2)</f>
        <v/>
      </c>
    </row>
    <row r="8943" ht="12.75" customHeight="1">
      <c r="H8943" s="43" t="n"/>
      <c r="AG8943" s="49">
        <f>IFERROR(__xludf.DUMMYFUNCTION("IFNA(vlookup(H8943,IMPORTRANGE(""1vUGwO1n0QQGx9kKbO0_M5gmuhXZ6-LaxQxgrmJnzgP0"",""'TP# look up'!A:C""),3,0),"""")"),"")</f>
        <v/>
      </c>
      <c r="AH8943" s="49">
        <f>LEFT(J8943,2)</f>
        <v/>
      </c>
    </row>
    <row r="8944" ht="12.75" customHeight="1">
      <c r="H8944" s="43" t="n"/>
      <c r="AG8944" s="49">
        <f>IFERROR(__xludf.DUMMYFUNCTION("IFNA(vlookup(H8944,IMPORTRANGE(""1vUGwO1n0QQGx9kKbO0_M5gmuhXZ6-LaxQxgrmJnzgP0"",""'TP# look up'!A:C""),3,0),"""")"),"")</f>
        <v/>
      </c>
      <c r="AH8944" s="49">
        <f>LEFT(J8944,2)</f>
        <v/>
      </c>
    </row>
    <row r="8945" ht="12.75" customHeight="1">
      <c r="H8945" s="43" t="n"/>
      <c r="AG8945" s="49">
        <f>IFERROR(__xludf.DUMMYFUNCTION("IFNA(vlookup(H8945,IMPORTRANGE(""1vUGwO1n0QQGx9kKbO0_M5gmuhXZ6-LaxQxgrmJnzgP0"",""'TP# look up'!A:C""),3,0),"""")"),"")</f>
        <v/>
      </c>
      <c r="AH8945" s="49">
        <f>LEFT(J8945,2)</f>
        <v/>
      </c>
    </row>
    <row r="8946" ht="12.75" customHeight="1">
      <c r="H8946" s="43" t="n"/>
      <c r="AG8946" s="49">
        <f>IFERROR(__xludf.DUMMYFUNCTION("IFNA(vlookup(H8946,IMPORTRANGE(""1vUGwO1n0QQGx9kKbO0_M5gmuhXZ6-LaxQxgrmJnzgP0"",""'TP# look up'!A:C""),3,0),"""")"),"")</f>
        <v/>
      </c>
      <c r="AH8946" s="49">
        <f>LEFT(J8946,2)</f>
        <v/>
      </c>
    </row>
    <row r="8947" ht="12.75" customHeight="1">
      <c r="H8947" s="43" t="n"/>
      <c r="AG8947" s="49">
        <f>IFERROR(__xludf.DUMMYFUNCTION("IFNA(vlookup(H8947,IMPORTRANGE(""1vUGwO1n0QQGx9kKbO0_M5gmuhXZ6-LaxQxgrmJnzgP0"",""'TP# look up'!A:C""),3,0),"""")"),"")</f>
        <v/>
      </c>
      <c r="AH8947" s="49">
        <f>LEFT(J8947,2)</f>
        <v/>
      </c>
    </row>
    <row r="8948" ht="12.75" customHeight="1">
      <c r="H8948" s="43" t="n"/>
      <c r="AG8948" s="49">
        <f>IFERROR(__xludf.DUMMYFUNCTION("IFNA(vlookup(H8948,IMPORTRANGE(""1vUGwO1n0QQGx9kKbO0_M5gmuhXZ6-LaxQxgrmJnzgP0"",""'TP# look up'!A:C""),3,0),"""")"),"")</f>
        <v/>
      </c>
      <c r="AH8948" s="49">
        <f>LEFT(J8948,2)</f>
        <v/>
      </c>
    </row>
    <row r="8949" ht="12.75" customHeight="1">
      <c r="H8949" s="43" t="n"/>
      <c r="AG8949" s="49">
        <f>IFERROR(__xludf.DUMMYFUNCTION("IFNA(vlookup(H8949,IMPORTRANGE(""1vUGwO1n0QQGx9kKbO0_M5gmuhXZ6-LaxQxgrmJnzgP0"",""'TP# look up'!A:C""),3,0),"""")"),"")</f>
        <v/>
      </c>
      <c r="AH8949" s="49">
        <f>LEFT(J8949,2)</f>
        <v/>
      </c>
    </row>
    <row r="8950" ht="12.75" customHeight="1">
      <c r="H8950" s="43" t="n"/>
      <c r="AG8950" s="49">
        <f>IFERROR(__xludf.DUMMYFUNCTION("IFNA(vlookup(H8950,IMPORTRANGE(""1vUGwO1n0QQGx9kKbO0_M5gmuhXZ6-LaxQxgrmJnzgP0"",""'TP# look up'!A:C""),3,0),"""")"),"")</f>
        <v/>
      </c>
      <c r="AH8950" s="49">
        <f>LEFT(J8950,2)</f>
        <v/>
      </c>
    </row>
    <row r="8951" ht="12.75" customHeight="1">
      <c r="H8951" s="43" t="n"/>
      <c r="AG8951" s="49">
        <f>IFERROR(__xludf.DUMMYFUNCTION("IFNA(vlookup(H8951,IMPORTRANGE(""1vUGwO1n0QQGx9kKbO0_M5gmuhXZ6-LaxQxgrmJnzgP0"",""'TP# look up'!A:C""),3,0),"""")"),"")</f>
        <v/>
      </c>
      <c r="AH8951" s="49">
        <f>LEFT(J8951,2)</f>
        <v/>
      </c>
    </row>
    <row r="8952" ht="12.75" customHeight="1">
      <c r="H8952" s="43" t="n"/>
      <c r="AG8952" s="49">
        <f>IFERROR(__xludf.DUMMYFUNCTION("IFNA(vlookup(H8952,IMPORTRANGE(""1vUGwO1n0QQGx9kKbO0_M5gmuhXZ6-LaxQxgrmJnzgP0"",""'TP# look up'!A:C""),3,0),"""")"),"")</f>
        <v/>
      </c>
      <c r="AH8952" s="49">
        <f>LEFT(J8952,2)</f>
        <v/>
      </c>
    </row>
    <row r="8953" ht="12.75" customHeight="1">
      <c r="H8953" s="43" t="n"/>
      <c r="AG8953" s="49">
        <f>IFERROR(__xludf.DUMMYFUNCTION("IFNA(vlookup(H8953,IMPORTRANGE(""1vUGwO1n0QQGx9kKbO0_M5gmuhXZ6-LaxQxgrmJnzgP0"",""'TP# look up'!A:C""),3,0),"""")"),"")</f>
        <v/>
      </c>
      <c r="AH8953" s="49">
        <f>LEFT(J8953,2)</f>
        <v/>
      </c>
    </row>
    <row r="8954" ht="12.75" customHeight="1">
      <c r="H8954" s="43" t="n"/>
      <c r="AG8954" s="49">
        <f>IFERROR(__xludf.DUMMYFUNCTION("IFNA(vlookup(H8954,IMPORTRANGE(""1vUGwO1n0QQGx9kKbO0_M5gmuhXZ6-LaxQxgrmJnzgP0"",""'TP# look up'!A:C""),3,0),"""")"),"")</f>
        <v/>
      </c>
      <c r="AH8954" s="49">
        <f>LEFT(J8954,2)</f>
        <v/>
      </c>
    </row>
    <row r="8955" ht="12.75" customHeight="1">
      <c r="H8955" s="43" t="n"/>
      <c r="AG8955" s="49">
        <f>IFERROR(__xludf.DUMMYFUNCTION("IFNA(vlookup(H8955,IMPORTRANGE(""1vUGwO1n0QQGx9kKbO0_M5gmuhXZ6-LaxQxgrmJnzgP0"",""'TP# look up'!A:C""),3,0),"""")"),"")</f>
        <v/>
      </c>
      <c r="AH8955" s="49">
        <f>LEFT(J8955,2)</f>
        <v/>
      </c>
    </row>
    <row r="8956" ht="12.75" customHeight="1">
      <c r="H8956" s="43" t="n"/>
      <c r="AG8956" s="49">
        <f>IFERROR(__xludf.DUMMYFUNCTION("IFNA(vlookup(H8956,IMPORTRANGE(""1vUGwO1n0QQGx9kKbO0_M5gmuhXZ6-LaxQxgrmJnzgP0"",""'TP# look up'!A:C""),3,0),"""")"),"")</f>
        <v/>
      </c>
      <c r="AH8956" s="49">
        <f>LEFT(J8956,2)</f>
        <v/>
      </c>
    </row>
    <row r="8957" ht="12.75" customHeight="1">
      <c r="H8957" s="43" t="n"/>
      <c r="AG8957" s="49">
        <f>IFERROR(__xludf.DUMMYFUNCTION("IFNA(vlookup(H8957,IMPORTRANGE(""1vUGwO1n0QQGx9kKbO0_M5gmuhXZ6-LaxQxgrmJnzgP0"",""'TP# look up'!A:C""),3,0),"""")"),"")</f>
        <v/>
      </c>
      <c r="AH8957" s="49">
        <f>LEFT(J8957,2)</f>
        <v/>
      </c>
    </row>
    <row r="8958" ht="12.75" customHeight="1">
      <c r="H8958" s="43" t="n"/>
      <c r="AG8958" s="49">
        <f>IFERROR(__xludf.DUMMYFUNCTION("IFNA(vlookup(H8958,IMPORTRANGE(""1vUGwO1n0QQGx9kKbO0_M5gmuhXZ6-LaxQxgrmJnzgP0"",""'TP# look up'!A:C""),3,0),"""")"),"")</f>
        <v/>
      </c>
      <c r="AH8958" s="49">
        <f>LEFT(J8958,2)</f>
        <v/>
      </c>
    </row>
    <row r="8959" ht="12.75" customHeight="1">
      <c r="H8959" s="43" t="n"/>
      <c r="AG8959" s="49">
        <f>IFERROR(__xludf.DUMMYFUNCTION("IFNA(vlookup(H8959,IMPORTRANGE(""1vUGwO1n0QQGx9kKbO0_M5gmuhXZ6-LaxQxgrmJnzgP0"",""'TP# look up'!A:C""),3,0),"""")"),"")</f>
        <v/>
      </c>
      <c r="AH8959" s="49">
        <f>LEFT(J8959,2)</f>
        <v/>
      </c>
    </row>
    <row r="8960" ht="12.75" customHeight="1">
      <c r="H8960" s="43" t="n"/>
      <c r="AG8960" s="49">
        <f>IFERROR(__xludf.DUMMYFUNCTION("IFNA(vlookup(H8960,IMPORTRANGE(""1vUGwO1n0QQGx9kKbO0_M5gmuhXZ6-LaxQxgrmJnzgP0"",""'TP# look up'!A:C""),3,0),"""")"),"")</f>
        <v/>
      </c>
      <c r="AH8960" s="49">
        <f>LEFT(J8960,2)</f>
        <v/>
      </c>
    </row>
    <row r="8961" ht="12.75" customHeight="1">
      <c r="H8961" s="43" t="n"/>
      <c r="AG8961" s="49">
        <f>IFERROR(__xludf.DUMMYFUNCTION("IFNA(vlookup(H8961,IMPORTRANGE(""1vUGwO1n0QQGx9kKbO0_M5gmuhXZ6-LaxQxgrmJnzgP0"",""'TP# look up'!A:C""),3,0),"""")"),"")</f>
        <v/>
      </c>
      <c r="AH8961" s="49">
        <f>LEFT(J8961,2)</f>
        <v/>
      </c>
    </row>
    <row r="8962" ht="12.75" customHeight="1">
      <c r="H8962" s="43" t="n"/>
      <c r="AG8962" s="49">
        <f>IFERROR(__xludf.DUMMYFUNCTION("IFNA(vlookup(H8962,IMPORTRANGE(""1vUGwO1n0QQGx9kKbO0_M5gmuhXZ6-LaxQxgrmJnzgP0"",""'TP# look up'!A:C""),3,0),"""")"),"")</f>
        <v/>
      </c>
      <c r="AH8962" s="49">
        <f>LEFT(J8962,2)</f>
        <v/>
      </c>
    </row>
    <row r="8963" ht="12.75" customHeight="1">
      <c r="H8963" s="43" t="n"/>
      <c r="AG8963" s="49">
        <f>IFERROR(__xludf.DUMMYFUNCTION("IFNA(vlookup(H8963,IMPORTRANGE(""1vUGwO1n0QQGx9kKbO0_M5gmuhXZ6-LaxQxgrmJnzgP0"",""'TP# look up'!A:C""),3,0),"""")"),"")</f>
        <v/>
      </c>
      <c r="AH8963" s="49">
        <f>LEFT(J8963,2)</f>
        <v/>
      </c>
    </row>
    <row r="8964" ht="12.75" customHeight="1">
      <c r="H8964" s="43" t="n"/>
      <c r="AG8964" s="49">
        <f>IFERROR(__xludf.DUMMYFUNCTION("IFNA(vlookup(H8964,IMPORTRANGE(""1vUGwO1n0QQGx9kKbO0_M5gmuhXZ6-LaxQxgrmJnzgP0"",""'TP# look up'!A:C""),3,0),"""")"),"")</f>
        <v/>
      </c>
      <c r="AH8964" s="49">
        <f>LEFT(J8964,2)</f>
        <v/>
      </c>
    </row>
    <row r="8965" ht="12.75" customHeight="1">
      <c r="H8965" s="43" t="n"/>
      <c r="AG8965" s="49">
        <f>IFERROR(__xludf.DUMMYFUNCTION("IFNA(vlookup(H8965,IMPORTRANGE(""1vUGwO1n0QQGx9kKbO0_M5gmuhXZ6-LaxQxgrmJnzgP0"",""'TP# look up'!A:C""),3,0),"""")"),"")</f>
        <v/>
      </c>
      <c r="AH8965" s="49">
        <f>LEFT(J8965,2)</f>
        <v/>
      </c>
    </row>
    <row r="8966" ht="12.75" customHeight="1">
      <c r="H8966" s="43" t="n"/>
      <c r="AG8966" s="49">
        <f>IFERROR(__xludf.DUMMYFUNCTION("IFNA(vlookup(H8966,IMPORTRANGE(""1vUGwO1n0QQGx9kKbO0_M5gmuhXZ6-LaxQxgrmJnzgP0"",""'TP# look up'!A:C""),3,0),"""")"),"")</f>
        <v/>
      </c>
      <c r="AH8966" s="49">
        <f>LEFT(J8966,2)</f>
        <v/>
      </c>
    </row>
    <row r="8967" ht="12.75" customHeight="1">
      <c r="H8967" s="43" t="n"/>
      <c r="AG8967" s="49">
        <f>IFERROR(__xludf.DUMMYFUNCTION("IFNA(vlookup(H8967,IMPORTRANGE(""1vUGwO1n0QQGx9kKbO0_M5gmuhXZ6-LaxQxgrmJnzgP0"",""'TP# look up'!A:C""),3,0),"""")"),"")</f>
        <v/>
      </c>
      <c r="AH8967" s="49">
        <f>LEFT(J8967,2)</f>
        <v/>
      </c>
    </row>
    <row r="8968" ht="12.75" customHeight="1">
      <c r="H8968" s="43" t="n"/>
      <c r="AG8968" s="49">
        <f>IFERROR(__xludf.DUMMYFUNCTION("IFNA(vlookup(H8968,IMPORTRANGE(""1vUGwO1n0QQGx9kKbO0_M5gmuhXZ6-LaxQxgrmJnzgP0"",""'TP# look up'!A:C""),3,0),"""")"),"")</f>
        <v/>
      </c>
      <c r="AH8968" s="49">
        <f>LEFT(J8968,2)</f>
        <v/>
      </c>
    </row>
    <row r="8969" ht="12.75" customHeight="1">
      <c r="H8969" s="43" t="n"/>
      <c r="AG8969" s="49">
        <f>IFERROR(__xludf.DUMMYFUNCTION("IFNA(vlookup(H8969,IMPORTRANGE(""1vUGwO1n0QQGx9kKbO0_M5gmuhXZ6-LaxQxgrmJnzgP0"",""'TP# look up'!A:C""),3,0),"""")"),"")</f>
        <v/>
      </c>
      <c r="AH8969" s="49">
        <f>LEFT(J8969,2)</f>
        <v/>
      </c>
    </row>
    <row r="8970" ht="12.75" customHeight="1">
      <c r="H8970" s="43" t="n"/>
      <c r="AG8970" s="49">
        <f>IFERROR(__xludf.DUMMYFUNCTION("IFNA(vlookup(H8970,IMPORTRANGE(""1vUGwO1n0QQGx9kKbO0_M5gmuhXZ6-LaxQxgrmJnzgP0"",""'TP# look up'!A:C""),3,0),"""")"),"")</f>
        <v/>
      </c>
      <c r="AH8970" s="49">
        <f>LEFT(J8970,2)</f>
        <v/>
      </c>
    </row>
    <row r="8971" ht="12.75" customHeight="1">
      <c r="H8971" s="43" t="n"/>
      <c r="AG8971" s="49">
        <f>IFERROR(__xludf.DUMMYFUNCTION("IFNA(vlookup(H8971,IMPORTRANGE(""1vUGwO1n0QQGx9kKbO0_M5gmuhXZ6-LaxQxgrmJnzgP0"",""'TP# look up'!A:C""),3,0),"""")"),"")</f>
        <v/>
      </c>
      <c r="AH8971" s="49">
        <f>LEFT(J8971,2)</f>
        <v/>
      </c>
    </row>
    <row r="8972" ht="12.75" customHeight="1">
      <c r="H8972" s="43" t="n"/>
      <c r="AG8972" s="49">
        <f>IFERROR(__xludf.DUMMYFUNCTION("IFNA(vlookup(H8972,IMPORTRANGE(""1vUGwO1n0QQGx9kKbO0_M5gmuhXZ6-LaxQxgrmJnzgP0"",""'TP# look up'!A:C""),3,0),"""")"),"")</f>
        <v/>
      </c>
      <c r="AH8972" s="49">
        <f>LEFT(J8972,2)</f>
        <v/>
      </c>
    </row>
    <row r="8973" ht="12.75" customHeight="1">
      <c r="H8973" s="43" t="n"/>
      <c r="AG8973" s="49">
        <f>IFERROR(__xludf.DUMMYFUNCTION("IFNA(vlookup(H8973,IMPORTRANGE(""1vUGwO1n0QQGx9kKbO0_M5gmuhXZ6-LaxQxgrmJnzgP0"",""'TP# look up'!A:C""),3,0),"""")"),"")</f>
        <v/>
      </c>
      <c r="AH8973" s="49">
        <f>LEFT(J8973,2)</f>
        <v/>
      </c>
    </row>
    <row r="8974" ht="12.75" customHeight="1">
      <c r="H8974" s="43" t="n"/>
      <c r="AG8974" s="49">
        <f>IFERROR(__xludf.DUMMYFUNCTION("IFNA(vlookup(H8974,IMPORTRANGE(""1vUGwO1n0QQGx9kKbO0_M5gmuhXZ6-LaxQxgrmJnzgP0"",""'TP# look up'!A:C""),3,0),"""")"),"")</f>
        <v/>
      </c>
      <c r="AH8974" s="49">
        <f>LEFT(J8974,2)</f>
        <v/>
      </c>
    </row>
    <row r="8975" ht="12.75" customHeight="1">
      <c r="H8975" s="43" t="n"/>
      <c r="AG8975" s="49">
        <f>IFERROR(__xludf.DUMMYFUNCTION("IFNA(vlookup(H8975,IMPORTRANGE(""1vUGwO1n0QQGx9kKbO0_M5gmuhXZ6-LaxQxgrmJnzgP0"",""'TP# look up'!A:C""),3,0),"""")"),"")</f>
        <v/>
      </c>
      <c r="AH8975" s="49">
        <f>LEFT(J8975,2)</f>
        <v/>
      </c>
    </row>
    <row r="8976" ht="12.75" customHeight="1">
      <c r="H8976" s="43" t="n"/>
      <c r="AG8976" s="49">
        <f>IFERROR(__xludf.DUMMYFUNCTION("IFNA(vlookup(H8976,IMPORTRANGE(""1vUGwO1n0QQGx9kKbO0_M5gmuhXZ6-LaxQxgrmJnzgP0"",""'TP# look up'!A:C""),3,0),"""")"),"")</f>
        <v/>
      </c>
      <c r="AH8976" s="49">
        <f>LEFT(J8976,2)</f>
        <v/>
      </c>
    </row>
    <row r="8977" ht="12.75" customHeight="1">
      <c r="H8977" s="43" t="n"/>
      <c r="AG8977" s="49">
        <f>IFERROR(__xludf.DUMMYFUNCTION("IFNA(vlookup(H8977,IMPORTRANGE(""1vUGwO1n0QQGx9kKbO0_M5gmuhXZ6-LaxQxgrmJnzgP0"",""'TP# look up'!A:C""),3,0),"""")"),"")</f>
        <v/>
      </c>
      <c r="AH8977" s="49">
        <f>LEFT(J8977,2)</f>
        <v/>
      </c>
    </row>
    <row r="8978" ht="12.75" customHeight="1">
      <c r="H8978" s="43" t="n"/>
      <c r="AG8978" s="49">
        <f>IFERROR(__xludf.DUMMYFUNCTION("IFNA(vlookup(H8978,IMPORTRANGE(""1vUGwO1n0QQGx9kKbO0_M5gmuhXZ6-LaxQxgrmJnzgP0"",""'TP# look up'!A:C""),3,0),"""")"),"")</f>
        <v/>
      </c>
      <c r="AH8978" s="49">
        <f>LEFT(J8978,2)</f>
        <v/>
      </c>
    </row>
    <row r="8979" ht="12.75" customHeight="1">
      <c r="H8979" s="43" t="n"/>
      <c r="AG8979" s="49">
        <f>IFERROR(__xludf.DUMMYFUNCTION("IFNA(vlookup(H8979,IMPORTRANGE(""1vUGwO1n0QQGx9kKbO0_M5gmuhXZ6-LaxQxgrmJnzgP0"",""'TP# look up'!A:C""),3,0),"""")"),"")</f>
        <v/>
      </c>
      <c r="AH8979" s="49">
        <f>LEFT(J8979,2)</f>
        <v/>
      </c>
    </row>
    <row r="8980" ht="12.75" customHeight="1">
      <c r="H8980" s="43" t="n"/>
      <c r="AG8980" s="49">
        <f>IFERROR(__xludf.DUMMYFUNCTION("IFNA(vlookup(H8980,IMPORTRANGE(""1vUGwO1n0QQGx9kKbO0_M5gmuhXZ6-LaxQxgrmJnzgP0"",""'TP# look up'!A:C""),3,0),"""")"),"")</f>
        <v/>
      </c>
      <c r="AH8980" s="49">
        <f>LEFT(J8980,2)</f>
        <v/>
      </c>
    </row>
    <row r="8981" ht="12.75" customHeight="1">
      <c r="H8981" s="43" t="n"/>
      <c r="AG8981" s="49">
        <f>IFERROR(__xludf.DUMMYFUNCTION("IFNA(vlookup(H8981,IMPORTRANGE(""1vUGwO1n0QQGx9kKbO0_M5gmuhXZ6-LaxQxgrmJnzgP0"",""'TP# look up'!A:C""),3,0),"""")"),"")</f>
        <v/>
      </c>
      <c r="AH8981" s="49">
        <f>LEFT(J8981,2)</f>
        <v/>
      </c>
    </row>
    <row r="8982" ht="12.75" customHeight="1">
      <c r="H8982" s="43" t="n"/>
      <c r="AG8982" s="49">
        <f>IFERROR(__xludf.DUMMYFUNCTION("IFNA(vlookup(H8982,IMPORTRANGE(""1vUGwO1n0QQGx9kKbO0_M5gmuhXZ6-LaxQxgrmJnzgP0"",""'TP# look up'!A:C""),3,0),"""")"),"")</f>
        <v/>
      </c>
      <c r="AH8982" s="49">
        <f>LEFT(J8982,2)</f>
        <v/>
      </c>
    </row>
    <row r="8983" ht="12.75" customHeight="1">
      <c r="H8983" s="43" t="n"/>
      <c r="AG8983" s="49">
        <f>IFERROR(__xludf.DUMMYFUNCTION("IFNA(vlookup(H8983,IMPORTRANGE(""1vUGwO1n0QQGx9kKbO0_M5gmuhXZ6-LaxQxgrmJnzgP0"",""'TP# look up'!A:C""),3,0),"""")"),"")</f>
        <v/>
      </c>
      <c r="AH8983" s="49">
        <f>LEFT(J8983,2)</f>
        <v/>
      </c>
    </row>
    <row r="8984" ht="12.75" customHeight="1">
      <c r="H8984" s="43" t="n"/>
      <c r="AG8984" s="49">
        <f>IFERROR(__xludf.DUMMYFUNCTION("IFNA(vlookup(H8984,IMPORTRANGE(""1vUGwO1n0QQGx9kKbO0_M5gmuhXZ6-LaxQxgrmJnzgP0"",""'TP# look up'!A:C""),3,0),"""")"),"")</f>
        <v/>
      </c>
      <c r="AH8984" s="49">
        <f>LEFT(J8984,2)</f>
        <v/>
      </c>
    </row>
    <row r="8985" ht="12.75" customHeight="1">
      <c r="H8985" s="43" t="n"/>
      <c r="AG8985" s="49">
        <f>IFERROR(__xludf.DUMMYFUNCTION("IFNA(vlookup(H8985,IMPORTRANGE(""1vUGwO1n0QQGx9kKbO0_M5gmuhXZ6-LaxQxgrmJnzgP0"",""'TP# look up'!A:C""),3,0),"""")"),"")</f>
        <v/>
      </c>
      <c r="AH8985" s="49">
        <f>LEFT(J8985,2)</f>
        <v/>
      </c>
    </row>
    <row r="8986" ht="12.75" customHeight="1">
      <c r="H8986" s="43" t="n"/>
      <c r="AG8986" s="49">
        <f>IFERROR(__xludf.DUMMYFUNCTION("IFNA(vlookup(H8986,IMPORTRANGE(""1vUGwO1n0QQGx9kKbO0_M5gmuhXZ6-LaxQxgrmJnzgP0"",""'TP# look up'!A:C""),3,0),"""")"),"")</f>
        <v/>
      </c>
      <c r="AH8986" s="49">
        <f>LEFT(J8986,2)</f>
        <v/>
      </c>
    </row>
    <row r="8987" ht="12.75" customHeight="1">
      <c r="H8987" s="43" t="n"/>
      <c r="AG8987" s="49">
        <f>IFERROR(__xludf.DUMMYFUNCTION("IFNA(vlookup(H8987,IMPORTRANGE(""1vUGwO1n0QQGx9kKbO0_M5gmuhXZ6-LaxQxgrmJnzgP0"",""'TP# look up'!A:C""),3,0),"""")"),"")</f>
        <v/>
      </c>
      <c r="AH8987" s="49">
        <f>LEFT(J8987,2)</f>
        <v/>
      </c>
    </row>
    <row r="8988" ht="12.75" customHeight="1">
      <c r="H8988" s="43" t="n"/>
      <c r="AG8988" s="49">
        <f>IFERROR(__xludf.DUMMYFUNCTION("IFNA(vlookup(H8988,IMPORTRANGE(""1vUGwO1n0QQGx9kKbO0_M5gmuhXZ6-LaxQxgrmJnzgP0"",""'TP# look up'!A:C""),3,0),"""")"),"")</f>
        <v/>
      </c>
      <c r="AH8988" s="49">
        <f>LEFT(J8988,2)</f>
        <v/>
      </c>
    </row>
    <row r="8989" ht="12.75" customHeight="1">
      <c r="H8989" s="43" t="n"/>
      <c r="AG8989" s="49">
        <f>IFERROR(__xludf.DUMMYFUNCTION("IFNA(vlookup(H8989,IMPORTRANGE(""1vUGwO1n0QQGx9kKbO0_M5gmuhXZ6-LaxQxgrmJnzgP0"",""'TP# look up'!A:C""),3,0),"""")"),"")</f>
        <v/>
      </c>
      <c r="AH8989" s="49">
        <f>LEFT(J8989,2)</f>
        <v/>
      </c>
    </row>
    <row r="8990" ht="12.75" customHeight="1">
      <c r="H8990" s="43" t="n"/>
      <c r="AG8990" s="49">
        <f>IFERROR(__xludf.DUMMYFUNCTION("IFNA(vlookup(H8990,IMPORTRANGE(""1vUGwO1n0QQGx9kKbO0_M5gmuhXZ6-LaxQxgrmJnzgP0"",""'TP# look up'!A:C""),3,0),"""")"),"")</f>
        <v/>
      </c>
      <c r="AH8990" s="49">
        <f>LEFT(J8990,2)</f>
        <v/>
      </c>
    </row>
    <row r="8991" ht="12.75" customHeight="1">
      <c r="H8991" s="43" t="n"/>
      <c r="AG8991" s="49">
        <f>IFERROR(__xludf.DUMMYFUNCTION("IFNA(vlookup(H8991,IMPORTRANGE(""1vUGwO1n0QQGx9kKbO0_M5gmuhXZ6-LaxQxgrmJnzgP0"",""'TP# look up'!A:C""),3,0),"""")"),"")</f>
        <v/>
      </c>
      <c r="AH8991" s="49">
        <f>LEFT(J8991,2)</f>
        <v/>
      </c>
    </row>
    <row r="8992" ht="12.75" customHeight="1">
      <c r="H8992" s="43" t="n"/>
      <c r="AG8992" s="49">
        <f>IFERROR(__xludf.DUMMYFUNCTION("IFNA(vlookup(H8992,IMPORTRANGE(""1vUGwO1n0QQGx9kKbO0_M5gmuhXZ6-LaxQxgrmJnzgP0"",""'TP# look up'!A:C""),3,0),"""")"),"")</f>
        <v/>
      </c>
      <c r="AH8992" s="49">
        <f>LEFT(J8992,2)</f>
        <v/>
      </c>
    </row>
    <row r="8993" ht="12.75" customHeight="1">
      <c r="H8993" s="43" t="n"/>
      <c r="AG8993" s="49">
        <f>IFERROR(__xludf.DUMMYFUNCTION("IFNA(vlookup(H8993,IMPORTRANGE(""1vUGwO1n0QQGx9kKbO0_M5gmuhXZ6-LaxQxgrmJnzgP0"",""'TP# look up'!A:C""),3,0),"""")"),"")</f>
        <v/>
      </c>
      <c r="AH8993" s="49">
        <f>LEFT(J8993,2)</f>
        <v/>
      </c>
    </row>
    <row r="8994" ht="12.75" customHeight="1">
      <c r="H8994" s="43" t="n"/>
      <c r="AG8994" s="49">
        <f>IFERROR(__xludf.DUMMYFUNCTION("IFNA(vlookup(H8994,IMPORTRANGE(""1vUGwO1n0QQGx9kKbO0_M5gmuhXZ6-LaxQxgrmJnzgP0"",""'TP# look up'!A:C""),3,0),"""")"),"")</f>
        <v/>
      </c>
      <c r="AH8994" s="49">
        <f>LEFT(J8994,2)</f>
        <v/>
      </c>
    </row>
    <row r="8995" ht="12.75" customHeight="1">
      <c r="H8995" s="43" t="n"/>
      <c r="AG8995" s="49">
        <f>IFERROR(__xludf.DUMMYFUNCTION("IFNA(vlookup(H8995,IMPORTRANGE(""1vUGwO1n0QQGx9kKbO0_M5gmuhXZ6-LaxQxgrmJnzgP0"",""'TP# look up'!A:C""),3,0),"""")"),"")</f>
        <v/>
      </c>
      <c r="AH8995" s="49">
        <f>LEFT(J8995,2)</f>
        <v/>
      </c>
    </row>
    <row r="8996" ht="12.75" customHeight="1">
      <c r="H8996" s="43" t="n"/>
      <c r="AG8996" s="49">
        <f>IFERROR(__xludf.DUMMYFUNCTION("IFNA(vlookup(H8996,IMPORTRANGE(""1vUGwO1n0QQGx9kKbO0_M5gmuhXZ6-LaxQxgrmJnzgP0"",""'TP# look up'!A:C""),3,0),"""")"),"")</f>
        <v/>
      </c>
      <c r="AH8996" s="49">
        <f>LEFT(J8996,2)</f>
        <v/>
      </c>
    </row>
    <row r="8997" ht="12.75" customHeight="1">
      <c r="H8997" s="43" t="n"/>
      <c r="AG8997" s="49">
        <f>IFERROR(__xludf.DUMMYFUNCTION("IFNA(vlookup(H8997,IMPORTRANGE(""1vUGwO1n0QQGx9kKbO0_M5gmuhXZ6-LaxQxgrmJnzgP0"",""'TP# look up'!A:C""),3,0),"""")"),"")</f>
        <v/>
      </c>
      <c r="AH8997" s="49">
        <f>LEFT(J8997,2)</f>
        <v/>
      </c>
    </row>
    <row r="8998" ht="12.75" customHeight="1">
      <c r="H8998" s="43" t="n"/>
      <c r="AG8998" s="49">
        <f>IFERROR(__xludf.DUMMYFUNCTION("IFNA(vlookup(H8998,IMPORTRANGE(""1vUGwO1n0QQGx9kKbO0_M5gmuhXZ6-LaxQxgrmJnzgP0"",""'TP# look up'!A:C""),3,0),"""")"),"")</f>
        <v/>
      </c>
      <c r="AH8998" s="49">
        <f>LEFT(J8998,2)</f>
        <v/>
      </c>
    </row>
    <row r="8999" ht="12.75" customHeight="1">
      <c r="H8999" s="43" t="n"/>
      <c r="AG8999" s="49">
        <f>IFERROR(__xludf.DUMMYFUNCTION("IFNA(vlookup(H8999,IMPORTRANGE(""1vUGwO1n0QQGx9kKbO0_M5gmuhXZ6-LaxQxgrmJnzgP0"",""'TP# look up'!A:C""),3,0),"""")"),"")</f>
        <v/>
      </c>
      <c r="AH8999" s="49">
        <f>LEFT(J8999,2)</f>
        <v/>
      </c>
    </row>
    <row r="9000" ht="12.75" customHeight="1">
      <c r="H9000" s="43" t="n"/>
      <c r="AG9000" s="49">
        <f>IFERROR(__xludf.DUMMYFUNCTION("IFNA(vlookup(H9000,IMPORTRANGE(""1vUGwO1n0QQGx9kKbO0_M5gmuhXZ6-LaxQxgrmJnzgP0"",""'TP# look up'!A:C""),3,0),"""")"),"")</f>
        <v/>
      </c>
      <c r="AH9000" s="49">
        <f>LEFT(J9000,2)</f>
        <v/>
      </c>
    </row>
  </sheetData>
  <autoFilter ref="C1:AO421">
    <filterColumn colId="17" hiddenButton="0" showButton="1">
      <filters>
        <filter val="Milton, ON, CA"/>
      </filters>
    </filterColumn>
  </autoFilter>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Aresha Cooray - DGL SSC</dc:creator>
  <dcterms:created xsi:type="dcterms:W3CDTF">2025-06-12T04:13:03Z</dcterms:created>
  <dcterms:modified xsi:type="dcterms:W3CDTF">2025-06-14T12:49:34Z</dcterms:modified>
  <cp:lastModifiedBy>Aresha Cooray - DGL SSC</cp:lastModifiedBy>
</cp:coreProperties>
</file>